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&amp; Pooling" sheetId="1" state="visible" r:id="rId3"/>
    <sheet name="CES IT" sheetId="2" state="visible" r:id="rId4"/>
    <sheet name="Mrkt East Capacity" sheetId="3" state="visible" r:id="rId5"/>
    <sheet name="East Capacity" sheetId="4" state="visible" r:id="rId6"/>
    <sheet name="Matrix June" sheetId="5" state="visible" r:id="rId7"/>
    <sheet name="Rates" sheetId="6" state="visible" r:id="rId8"/>
    <sheet name="Offseason Rate" sheetId="7" state="visible" r:id="rId9"/>
    <sheet name="Special Rates" sheetId="8" state="visible" r:id="rId10"/>
    <sheet name="Dmd Chrg Calc" sheetId="9" state="visible" r:id="rId11"/>
    <sheet name="Basis" sheetId="10" state="visible" r:id="rId12"/>
    <sheet name="Cashout" sheetId="11" state="visible" r:id="rId13"/>
    <sheet name="Sheet2" sheetId="12" state="visible" r:id="rId14"/>
    <sheet name="Transport Deal Tickets" sheetId="13" state="visible" r:id="rId15"/>
  </sheets>
  <definedNames>
    <definedName function="false" hidden="false" localSheetId="9" name="_xlnm.Print_Area" vbProcedure="false">Basis!$A$33:$I$42</definedName>
    <definedName function="false" hidden="false" localSheetId="4" name="_xlnm.Print_Area" vbProcedure="false">'Matrix June'!$A$3:$L$67</definedName>
    <definedName function="false" hidden="false" localSheetId="2" name="_xlnm.Print_Area" vbProcedure="false">'Mrkt East Capacity'!$10:$20</definedName>
    <definedName function="false" hidden="false" localSheetId="5" name="_xlnm.Print_Area" vbProcedure="false">Rates!$S$1:$X$72</definedName>
    <definedName function="false" hidden="false" localSheetId="12" name="_xlnm.Print_Area" vbProcedure="false">'Transport Deal Tickets'!$A$13:$I$50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<sst xmlns="http://schemas.openxmlformats.org/spreadsheetml/2006/main" count="4027" uniqueCount="1120">
  <si>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</si>
  <si>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</si>
  <si>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</si>
  <si>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</si>
  <si>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</si>
  <si>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</si>
  <si>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</si>
  <si>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</si>
  <si>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</si>
  <si>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</si>
  <si>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</si>
  <si>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</si>
  <si>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</si>
  <si>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</si>
  <si>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</si>
  <si>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</si>
  <si>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</si>
  <si>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</si>
  <si>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</si>
  <si>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</si>
  <si>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</si>
  <si>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</si>
  <si>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</si>
  <si>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</si>
  <si>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</si>
  <si>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</si>
  <si>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</si>
  <si>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</si>
  <si>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</si>
  <si>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</si>
  <si>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</si>
  <si>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</si>
  <si>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</si>
  <si>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</si>
  <si>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</si>
  <si>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</si>
  <si>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</si>
  <si>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</si>
  <si>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</si>
  <si>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</si>
  <si>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</si>
  <si>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</si>
  <si>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</si>
  <si>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</si>
  <si>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</si>
  <si>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</si>
  <si>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</si>
  <si>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</si>
  <si>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</si>
  <si>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</si>
  <si>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</si>
  <si>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</si>
  <si>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buy</t>
  </si>
  <si>
    <t xml:space="preserve">1/1/2000 Evergreen</t>
  </si>
  <si>
    <t xml:space="preserve">G0010</t>
  </si>
  <si>
    <t xml:space="preserve">8G0010</t>
  </si>
  <si>
    <t xml:space="preserve">G0011</t>
  </si>
  <si>
    <t xml:space="preserve">8G0011</t>
  </si>
  <si>
    <t xml:space="preserve">G0012</t>
  </si>
  <si>
    <t xml:space="preserve">8G0012</t>
  </si>
  <si>
    <t xml:space="preserve">G0013</t>
  </si>
  <si>
    <t xml:space="preserve">8G0013</t>
  </si>
  <si>
    <t xml:space="preserve">G0014</t>
  </si>
  <si>
    <t xml:space="preserve">8G0014</t>
  </si>
  <si>
    <t xml:space="preserve">T0010</t>
  </si>
  <si>
    <t xml:space="preserve">8T0010</t>
  </si>
  <si>
    <t xml:space="preserve">T0011</t>
  </si>
  <si>
    <t xml:space="preserve">8T0011</t>
  </si>
  <si>
    <t xml:space="preserve">T0012</t>
  </si>
  <si>
    <t xml:space="preserve">8T0012</t>
  </si>
  <si>
    <t xml:space="preserve">T0013</t>
  </si>
  <si>
    <t xml:space="preserve">8T0013</t>
  </si>
  <si>
    <t xml:space="preserve">T0014</t>
  </si>
  <si>
    <t xml:space="preserve">8T0014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</si>
  <si>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</si>
  <si>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</si>
  <si>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</si>
  <si>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</si>
  <si>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</si>
  <si>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</si>
  <si>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</si>
  <si>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</si>
  <si>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</si>
  <si>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</si>
  <si>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</si>
  <si>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</si>
  <si>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</si>
  <si>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</si>
  <si>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</si>
  <si>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</si>
  <si>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</si>
  <si>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</si>
  <si>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</si>
  <si>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</si>
  <si>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</si>
  <si>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</si>
  <si>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</si>
  <si>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</si>
  <si>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</si>
  <si>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</si>
  <si>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</si>
  <si>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</si>
  <si>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</si>
  <si>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</si>
  <si>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</si>
  <si>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</si>
  <si>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</si>
  <si>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</si>
  <si>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</si>
  <si>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</si>
  <si>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</si>
  <si>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</si>
  <si>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</si>
  <si>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</si>
  <si>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</si>
  <si>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</si>
  <si>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</si>
  <si>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</si>
  <si>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</si>
  <si>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</si>
  <si>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</si>
  <si>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</si>
  <si>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</si>
  <si>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</si>
  <si>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</si>
  <si>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</si>
  <si>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</si>
  <si>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</si>
  <si>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</si>
  <si>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</si>
  <si>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</si>
  <si>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</si>
  <si>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</si>
  <si>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</si>
  <si>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</si>
  <si>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</si>
  <si>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</si>
  <si>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</si>
  <si>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</si>
  <si>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</si>
  <si>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</si>
  <si>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</si>
  <si>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</si>
  <si>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</si>
  <si>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</si>
  <si>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</si>
  <si>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Market East Desk Transportation Capacity for July, 2000</t>
  </si>
  <si>
    <t xml:space="preserve">New K#</t>
  </si>
  <si>
    <t xml:space="preserve">New Sitara</t>
  </si>
  <si>
    <t xml:space="preserve">ENA</t>
  </si>
  <si>
    <t xml:space="preserve">Algo</t>
  </si>
  <si>
    <t xml:space="preserve">Bay State</t>
  </si>
  <si>
    <t xml:space="preserve">Lambertville</t>
  </si>
  <si>
    <t xml:space="preserve">Taunton</t>
  </si>
  <si>
    <t xml:space="preserve">Y</t>
  </si>
  <si>
    <t xml:space="preserve">#3679</t>
  </si>
  <si>
    <t xml:space="preserve">#3665</t>
  </si>
  <si>
    <t xml:space="preserve">Centerville</t>
  </si>
  <si>
    <t xml:space="preserve">Commonwealth</t>
  </si>
  <si>
    <t xml:space="preserve">Cambridge</t>
  </si>
  <si>
    <t xml:space="preserve">N</t>
  </si>
  <si>
    <t xml:space="preserve">#3725</t>
  </si>
  <si>
    <t xml:space="preserve">#3726</t>
  </si>
  <si>
    <t xml:space="preserve">eff 10/1/2000</t>
  </si>
  <si>
    <t xml:space="preserve">Total Demand</t>
  </si>
  <si>
    <t xml:space="preserve">Reimbursements</t>
  </si>
  <si>
    <t xml:space="preserve">Net Demand</t>
  </si>
  <si>
    <t xml:space="preserve">Buy </t>
  </si>
  <si>
    <t xml:space="preserve">BG&amp;E</t>
  </si>
  <si>
    <t xml:space="preserve">Oakford</t>
  </si>
  <si>
    <t xml:space="preserve">n</t>
  </si>
  <si>
    <t xml:space="preserve">5A2500</t>
  </si>
  <si>
    <t xml:space="preserve">#13343</t>
  </si>
  <si>
    <t xml:space="preserve">Cornwell</t>
  </si>
  <si>
    <t xml:space="preserve">5A2551</t>
  </si>
  <si>
    <t xml:space="preserve">#13420</t>
  </si>
  <si>
    <t xml:space="preserve">Lebanon</t>
  </si>
  <si>
    <t xml:space="preserve">Leidy</t>
  </si>
  <si>
    <t xml:space="preserve">5A2526</t>
  </si>
  <si>
    <t xml:space="preserve">#13336</t>
  </si>
  <si>
    <t xml:space="preserve">PP&amp;L</t>
  </si>
  <si>
    <t xml:space="preserve">#60002 Leidy</t>
  </si>
  <si>
    <t xml:space="preserve">#20800 PP&amp;L</t>
  </si>
  <si>
    <t xml:space="preserve">#13978, PPL released this to CES offer #13963, and I re-released it to ENA at the same rate.</t>
  </si>
  <si>
    <t xml:space="preserve">released month to month</t>
  </si>
  <si>
    <t xml:space="preserve">Month to Month</t>
  </si>
  <si>
    <t xml:space="preserve">gathering &amp; processing</t>
  </si>
  <si>
    <t xml:space="preserve">Various</t>
  </si>
  <si>
    <t xml:space="preserve">801 Leach</t>
  </si>
  <si>
    <t xml:space="preserve">Purchased directly from the pipe.</t>
  </si>
  <si>
    <t xml:space="preserve">23N-7</t>
  </si>
  <si>
    <t xml:space="preserve">Cap Auction</t>
  </si>
  <si>
    <t xml:space="preserve">19E</t>
  </si>
  <si>
    <t xml:space="preserve">Stow</t>
  </si>
  <si>
    <t xml:space="preserve">30CS-33</t>
  </si>
  <si>
    <t xml:space="preserve">CGV Transport</t>
  </si>
  <si>
    <t xml:space="preserve">30RV - Richmond</t>
  </si>
  <si>
    <t xml:space="preserve">Dynegy - released month to month</t>
  </si>
  <si>
    <t xml:space="preserve">Dynergi capcity released month to month.7500</t>
  </si>
  <si>
    <t xml:space="preserve">Term capcity</t>
  </si>
  <si>
    <t xml:space="preserve">Penn Fuel</t>
  </si>
  <si>
    <t xml:space="preserve">56-25 PFG-04 Lancaster</t>
  </si>
  <si>
    <t xml:space="preserve">#26782, Penn Fuel asset management capacity</t>
  </si>
  <si>
    <t xml:space="preserve">56-29 PFG-04 Downington</t>
  </si>
  <si>
    <t xml:space="preserve">56W PFG-08 Olean</t>
  </si>
  <si>
    <t xml:space="preserve">UGI/Gas Mark</t>
  </si>
  <si>
    <t xml:space="preserve">Release to Retail</t>
  </si>
  <si>
    <t xml:space="preserve">801 - Leach</t>
  </si>
  <si>
    <t xml:space="preserve">4 BG&amp;E</t>
  </si>
  <si>
    <t xml:space="preserve">FTS</t>
  </si>
  <si>
    <t xml:space="preserve">ENA purchased from CES</t>
  </si>
  <si>
    <t xml:space="preserve">CDC</t>
  </si>
  <si>
    <t xml:space="preserve">mkt 33</t>
  </si>
  <si>
    <t xml:space="preserve">801-Leach</t>
  </si>
  <si>
    <t xml:space="preserve">30cs-33</t>
  </si>
  <si>
    <t xml:space="preserve">CVA</t>
  </si>
  <si>
    <t xml:space="preserve">stow</t>
  </si>
  <si>
    <t xml:space="preserve">sst</t>
  </si>
  <si>
    <t xml:space="preserve">#29005</t>
  </si>
  <si>
    <t xml:space="preserve">Belfry</t>
  </si>
  <si>
    <t xml:space="preserve">Leach</t>
  </si>
  <si>
    <t xml:space="preserve">FTS-1</t>
  </si>
  <si>
    <t xml:space="preserve">#026081</t>
  </si>
  <si>
    <t xml:space="preserve">Wholesale</t>
  </si>
  <si>
    <t xml:space="preserve">Agency</t>
  </si>
  <si>
    <t xml:space="preserve">CALP</t>
  </si>
  <si>
    <t xml:space="preserve">Broad run</t>
  </si>
  <si>
    <t xml:space="preserve">$.02 Volumetric Rate effective 6/1/2000 - 7/7/2000</t>
  </si>
  <si>
    <t xml:space="preserve">Type</t>
  </si>
  <si>
    <t xml:space="preserve">CVPT</t>
  </si>
  <si>
    <t xml:space="preserve">Cove Point</t>
  </si>
  <si>
    <t xml:space="preserve">Strg</t>
  </si>
  <si>
    <t xml:space="preserve">FPS</t>
  </si>
  <si>
    <t xml:space="preserve">FPS1024</t>
  </si>
  <si>
    <t xml:space="preserve">10 day peaking service from Cove Point, max daily withdrawal is 36,000/day.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</si>
  <si>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</si>
  <si>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</si>
  <si>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</si>
  <si>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</si>
  <si>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</si>
  <si>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</si>
  <si>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</si>
  <si>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</si>
  <si>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Est demand</t>
  </si>
  <si>
    <t xml:space="preserve">Act demand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</si>
  <si>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</si>
  <si>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</si>
  <si>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</si>
  <si>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</si>
  <si>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</si>
  <si>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</si>
  <si>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B00693-026471</t>
  </si>
  <si>
    <t xml:space="preserve">Demand charge billed on receipt volume</t>
  </si>
  <si>
    <t xml:space="preserve">???</t>
  </si>
  <si>
    <t xml:space="preserve">Nat Fuel will bill ENA $.125 x 1,000,000 total, this charge will be split up over 3 months.</t>
  </si>
  <si>
    <t xml:space="preserve">tennessee</t>
  </si>
  <si>
    <t xml:space="preserve">Z5 - Wright</t>
  </si>
  <si>
    <t xml:space="preserve">Z6 - Various</t>
  </si>
  <si>
    <t xml:space="preserve">y</t>
  </si>
  <si>
    <t xml:space="preserve">13.36, see deal 224102</t>
  </si>
  <si>
    <t xml:space="preserve">Energynorth</t>
  </si>
  <si>
    <t xml:space="preserve">TGP</t>
  </si>
  <si>
    <t xml:space="preserve">Zone 6</t>
  </si>
  <si>
    <t xml:space="preserve">Zone 5</t>
  </si>
  <si>
    <t xml:space="preserve">Segment</t>
  </si>
  <si>
    <t xml:space="preserve">Z5 </t>
  </si>
  <si>
    <t xml:space="preserve">Z6 </t>
  </si>
  <si>
    <t xml:space="preserve">From 33141</t>
  </si>
  <si>
    <t xml:space="preserve">Zone 4</t>
  </si>
  <si>
    <t xml:space="preserve">From 33148</t>
  </si>
  <si>
    <t xml:space="preserve">Zone 0</t>
  </si>
  <si>
    <t xml:space="preserve">  </t>
  </si>
  <si>
    <t xml:space="preserve">fuel $</t>
  </si>
  <si>
    <t xml:space="preserve">Trco</t>
  </si>
  <si>
    <t xml:space="preserve">PSE&amp;G</t>
  </si>
  <si>
    <t xml:space="preserve">6161 Leidy</t>
  </si>
  <si>
    <t xml:space="preserve">6386 PSE&amp;G</t>
  </si>
  <si>
    <t xml:space="preserve">3.4522 / 3.4367</t>
  </si>
  <si>
    <t xml:space="preserve">#019123 schedule on k#3.4367</t>
  </si>
  <si>
    <t xml:space="preserve">3.5318 / 3.4367</t>
  </si>
  <si>
    <t xml:space="preserve">#019885-3 schedule on k#3.4367</t>
  </si>
  <si>
    <t xml:space="preserve">Total Market East Demand</t>
  </si>
  <si>
    <t xml:space="preserve">Tot Reimbursements</t>
  </si>
  <si>
    <t xml:space="preserve">East Desk Transportation Capacity for July, 2000</t>
  </si>
  <si>
    <t xml:space="preserve">Onshore</t>
  </si>
  <si>
    <t xml:space="preserve">Mainline</t>
  </si>
  <si>
    <t xml:space="preserve">Term=yr to yr, evergreen with 6 month termination notice.  ENA acquired this from Access Energy in 1993</t>
  </si>
  <si>
    <t xml:space="preserve">Onshore - authorized overrun</t>
  </si>
  <si>
    <t xml:space="preserve">FFT, Trco, &amp; Lig</t>
  </si>
  <si>
    <t xml:space="preserve">Brazos 105</t>
  </si>
  <si>
    <t xml:space="preserve">Trco St 30</t>
  </si>
  <si>
    <t xml:space="preserve">Central Texas</t>
  </si>
  <si>
    <t xml:space="preserve">ENA acquired this from Access Energy in 1993</t>
  </si>
  <si>
    <t xml:space="preserve">Venice</t>
  </si>
  <si>
    <t xml:space="preserve">Onshore capacity - 20,000 day Venice receipt, CES has exclusive right of termination.</t>
  </si>
  <si>
    <t xml:space="preserve">Mainline capacity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</si>
  <si>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</si>
  <si>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</si>
  <si>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</si>
  <si>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</si>
  <si>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Onshore capacity - 5,395 venice capacity.</t>
  </si>
  <si>
    <t xml:space="preserve">WC560</t>
  </si>
  <si>
    <t xml:space="preserve">WC537</t>
  </si>
  <si>
    <t xml:space="preserve">WC537/560 Discounted offshore FT transortation, reimbursed full IT rate by Pennzoil, volumetric demand charge.  CES pays $.0648 for all Pennzoil production from this block.</t>
  </si>
  <si>
    <t xml:space="preserve">3/24/2000 Veronica with CGLF will try to find the contract terms for this deal.</t>
  </si>
  <si>
    <t xml:space="preserve">270010 Rayne</t>
  </si>
  <si>
    <t xml:space="preserve">#26785, Penn Fuel</t>
  </si>
  <si>
    <t xml:space="preserve">Retail Release</t>
  </si>
  <si>
    <t xml:space="preserve">CES </t>
  </si>
  <si>
    <t xml:space="preserve">Egan Hub Partners, LP</t>
  </si>
  <si>
    <t xml:space="preserve">FSS</t>
  </si>
  <si>
    <t xml:space="preserve">FSS-001</t>
  </si>
  <si>
    <t xml:space="preserve">Egan storage, John Hodge is the dealmaker, interconnects with Trunk, Tenn, TGT, CGLF, TGT, ANR.  No withdrawal charges, Injection = $.005 and 1.5% fuel</t>
  </si>
  <si>
    <t xml:space="preserve">MidCoast</t>
  </si>
  <si>
    <t xml:space="preserve">Sheffield</t>
  </si>
  <si>
    <t xml:space="preserve">Russellville</t>
  </si>
  <si>
    <t xml:space="preserve">Cherokee</t>
  </si>
  <si>
    <t xml:space="preserve">Decatur</t>
  </si>
  <si>
    <t xml:space="preserve">Huntsville</t>
  </si>
  <si>
    <t xml:space="preserve">col gas</t>
  </si>
  <si>
    <t xml:space="preserve">Northern Natural</t>
  </si>
  <si>
    <t xml:space="preserve">Brazos Blk133b</t>
  </si>
  <si>
    <t xml:space="preserve">St 30</t>
  </si>
  <si>
    <t xml:space="preserve">CTGS Capacity</t>
  </si>
  <si>
    <t xml:space="preserve">Reliant - Entex</t>
  </si>
  <si>
    <t xml:space="preserve">zone 1</t>
  </si>
  <si>
    <t xml:space="preserve">3996/4004</t>
  </si>
  <si>
    <t xml:space="preserve">reimbursed</t>
  </si>
  <si>
    <t xml:space="preserve">FS-MA</t>
  </si>
  <si>
    <t xml:space="preserve">entex strg</t>
  </si>
  <si>
    <t xml:space="preserve">Louisiana Gas Service. Co</t>
  </si>
  <si>
    <t xml:space="preserve">LGS strg</t>
  </si>
  <si>
    <t xml:space="preserve">LGS </t>
  </si>
  <si>
    <t xml:space="preserve">Nicor</t>
  </si>
  <si>
    <t xml:space="preserve">Zone l 800</t>
  </si>
  <si>
    <t xml:space="preserve">MGT - Portland</t>
  </si>
  <si>
    <t xml:space="preserve">Segment from 32715</t>
  </si>
  <si>
    <t xml:space="preserve">ConED</t>
  </si>
  <si>
    <t xml:space="preserve">0/1</t>
  </si>
  <si>
    <t xml:space="preserve">Park/Loan</t>
  </si>
  <si>
    <t xml:space="preserve">zl-800/ZL-500</t>
  </si>
  <si>
    <t xml:space="preserve">Fixed Rate</t>
  </si>
  <si>
    <t xml:space="preserve">33139/33137/33138</t>
  </si>
  <si>
    <t xml:space="preserve">Park</t>
  </si>
  <si>
    <t xml:space="preserve">Midcoast</t>
  </si>
  <si>
    <t xml:space="preserve">Russelvile</t>
  </si>
  <si>
    <t xml:space="preserve">FT-G </t>
  </si>
  <si>
    <t xml:space="preserve">Rel. to Proliance</t>
  </si>
  <si>
    <t xml:space="preserve">FT-GS</t>
  </si>
  <si>
    <t xml:space="preserve">Caladonia</t>
  </si>
  <si>
    <t xml:space="preserve">6/30/010</t>
  </si>
  <si>
    <t xml:space="preserve">Nashville</t>
  </si>
  <si>
    <t xml:space="preserve">Zone 1</t>
  </si>
  <si>
    <t xml:space="preserve">Midwestern</t>
  </si>
  <si>
    <t xml:space="preserve">NGPL</t>
  </si>
  <si>
    <t xml:space="preserve">FGT, Trco, &amp; Lig</t>
  </si>
  <si>
    <t xml:space="preserve">Tetco</t>
  </si>
  <si>
    <t xml:space="preserve">Access</t>
  </si>
  <si>
    <t xml:space="preserve">M3</t>
  </si>
  <si>
    <t xml:space="preserve">FT-1</t>
  </si>
  <si>
    <t xml:space="preserve">Killed deal 155389 setup as FTS.</t>
  </si>
  <si>
    <t xml:space="preserve">158412  232999</t>
  </si>
  <si>
    <t xml:space="preserve">155385  233003</t>
  </si>
  <si>
    <t xml:space="preserve">Stx</t>
  </si>
  <si>
    <t xml:space="preserve">#16319</t>
  </si>
  <si>
    <t xml:space="preserve"> 252056 / 252057</t>
  </si>
  <si>
    <t xml:space="preserve">Con Ed</t>
  </si>
  <si>
    <t xml:space="preserve">#16179</t>
  </si>
  <si>
    <t xml:space="preserve">229611 / 229628</t>
  </si>
  <si>
    <t xml:space="preserve">Clinton</t>
  </si>
  <si>
    <t xml:space="preserve">Ela</t>
  </si>
  <si>
    <t xml:space="preserve">#16697</t>
  </si>
  <si>
    <t xml:space="preserve">Nyseg</t>
  </si>
  <si>
    <t xml:space="preserve">M2</t>
  </si>
  <si>
    <t xml:space="preserve">#16168</t>
  </si>
  <si>
    <t xml:space="preserve">229644 / 229715</t>
  </si>
  <si>
    <t xml:space="preserve">Texas Gas</t>
  </si>
  <si>
    <t xml:space="preserve">marcon</t>
  </si>
  <si>
    <t xml:space="preserve">850 Mainline</t>
  </si>
  <si>
    <t xml:space="preserve">8046 Mamou</t>
  </si>
  <si>
    <t xml:space="preserve">T016285</t>
  </si>
  <si>
    <t xml:space="preserve">Innovative</t>
  </si>
  <si>
    <t xml:space="preserve">1494 Lafourche</t>
  </si>
  <si>
    <t xml:space="preserve">T016302</t>
  </si>
  <si>
    <t xml:space="preserve">200004000096</t>
  </si>
  <si>
    <t xml:space="preserve">851 Mainline</t>
  </si>
  <si>
    <t xml:space="preserve">1495 Lafourche</t>
  </si>
  <si>
    <t xml:space="preserve">T016336</t>
  </si>
  <si>
    <t xml:space="preserve">200004000076</t>
  </si>
  <si>
    <t xml:space="preserve">Z6</t>
  </si>
  <si>
    <t xml:space="preserve">Z1</t>
  </si>
  <si>
    <t xml:space="preserve">Purchased from Transco, demand and commodity will be billed on k#</t>
  </si>
  <si>
    <t xml:space="preserve">Buy as EADM</t>
  </si>
  <si>
    <t xml:space="preserve">Con ED</t>
  </si>
  <si>
    <t xml:space="preserve">Station 62</t>
  </si>
  <si>
    <t xml:space="preserve">6571 Con Ed</t>
  </si>
  <si>
    <t xml:space="preserve">#20324, Released Month to Month May thru October</t>
  </si>
  <si>
    <t xml:space="preserve">Sell as EADM</t>
  </si>
  <si>
    <t xml:space="preserve">#20457</t>
  </si>
  <si>
    <t xml:space="preserve">Buy as ENA</t>
  </si>
  <si>
    <t xml:space="preserve"> 3.5664 / .7537</t>
  </si>
  <si>
    <t xml:space="preserve">Verify</t>
  </si>
  <si>
    <t xml:space="preserve">Station 65</t>
  </si>
  <si>
    <t xml:space="preserve">3.4358 / .7537</t>
  </si>
  <si>
    <t xml:space="preserve">#18972</t>
  </si>
  <si>
    <t xml:space="preserve">3.5049 / .7537</t>
  </si>
  <si>
    <t xml:space="preserve">#19486; term is 5/3/2000 - 9/30/2000</t>
  </si>
  <si>
    <t xml:space="preserve">Bug</t>
  </si>
  <si>
    <t xml:space="preserve">Telescoped</t>
  </si>
  <si>
    <t xml:space="preserve">6558 BUG</t>
  </si>
  <si>
    <t xml:space="preserve">3.4708 / .7537</t>
  </si>
  <si>
    <t xml:space="preserve">#19328</t>
  </si>
  <si>
    <t xml:space="preserve">3.5115 / .7537</t>
  </si>
  <si>
    <t xml:space="preserve">#19799</t>
  </si>
  <si>
    <t xml:space="preserve">Lilco</t>
  </si>
  <si>
    <t xml:space="preserve">6382 Lilco</t>
  </si>
  <si>
    <t xml:space="preserve">3.5116 / .7537</t>
  </si>
  <si>
    <t xml:space="preserve">#19800</t>
  </si>
  <si>
    <t xml:space="preserve">Utos</t>
  </si>
  <si>
    <t xml:space="preserve">St 65</t>
  </si>
  <si>
    <t xml:space="preserve">3.4271 / .7537</t>
  </si>
  <si>
    <t xml:space="preserve">#18944</t>
  </si>
  <si>
    <t xml:space="preserve">PPL</t>
  </si>
  <si>
    <t xml:space="preserve">#6563 PPL</t>
  </si>
  <si>
    <t xml:space="preserve">3.5814 / .7537</t>
  </si>
  <si>
    <t xml:space="preserve">#20642</t>
  </si>
  <si>
    <t xml:space="preserve">Released month to month</t>
  </si>
  <si>
    <t xml:space="preserve">Month to month</t>
  </si>
  <si>
    <t xml:space="preserve">MGAG</t>
  </si>
  <si>
    <t xml:space="preserve">Z3</t>
  </si>
  <si>
    <t xml:space="preserve">Z4</t>
  </si>
  <si>
    <t xml:space="preserve">3.5262 / .7537</t>
  </si>
  <si>
    <t xml:space="preserve">#19902, Madison</t>
  </si>
  <si>
    <t xml:space="preserve">3.5263 / .7537</t>
  </si>
  <si>
    <t xml:space="preserve">#19901, Winder</t>
  </si>
  <si>
    <t xml:space="preserve">3.5264 / .7537</t>
  </si>
  <si>
    <t xml:space="preserve">#19900, Toccoa</t>
  </si>
  <si>
    <t xml:space="preserve">3.5265 / .7537</t>
  </si>
  <si>
    <t xml:space="preserve">#19899, Sugar</t>
  </si>
  <si>
    <t xml:space="preserve">3.5266 / .7537</t>
  </si>
  <si>
    <t xml:space="preserve">#19898, Social Sugar</t>
  </si>
  <si>
    <t xml:space="preserve">3.5267 / .7537</t>
  </si>
  <si>
    <t xml:space="preserve">#19897, Monroe</t>
  </si>
  <si>
    <t xml:space="preserve">3.5268 / .7537</t>
  </si>
  <si>
    <t xml:space="preserve">#19896, Lawrenceville</t>
  </si>
  <si>
    <t xml:space="preserve">3.5269 / .7537</t>
  </si>
  <si>
    <t xml:space="preserve">#19895, Elberton</t>
  </si>
  <si>
    <t xml:space="preserve">3.5270 / .7537</t>
  </si>
  <si>
    <t xml:space="preserve">#19894, E Cent Alabama</t>
  </si>
  <si>
    <t xml:space="preserve">3.5271 / .7537</t>
  </si>
  <si>
    <t xml:space="preserve">#19893, Covington</t>
  </si>
  <si>
    <t xml:space="preserve">3.5272 / .7537</t>
  </si>
  <si>
    <t xml:space="preserve">#19891, Buford</t>
  </si>
  <si>
    <t xml:space="preserve">4123 T-Bone</t>
  </si>
  <si>
    <t xml:space="preserve">6677 St James</t>
  </si>
  <si>
    <t xml:space="preserve">3.4371/.7537</t>
  </si>
  <si>
    <t xml:space="preserve">#019092</t>
  </si>
  <si>
    <t xml:space="preserve">No Sitara/Segment</t>
  </si>
  <si>
    <t xml:space="preserve">6268 -St. James Faust</t>
  </si>
  <si>
    <t xml:space="preserve">3.4372/.7537</t>
  </si>
  <si>
    <t xml:space="preserve">#019093</t>
  </si>
  <si>
    <t xml:space="preserve">6268-St James Faust</t>
  </si>
  <si>
    <t xml:space="preserve">7164 Zen</t>
  </si>
  <si>
    <t xml:space="preserve">3.4373/.7537</t>
  </si>
  <si>
    <t xml:space="preserve">#019094</t>
  </si>
  <si>
    <t xml:space="preserve">Stingray</t>
  </si>
  <si>
    <t xml:space="preserve">Devon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</si>
  <si>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</si>
  <si>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</si>
  <si>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</si>
  <si>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</si>
  <si>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</si>
  <si>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</si>
  <si>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Tenn Net 284</t>
  </si>
  <si>
    <t xml:space="preserve">INCLUDES GRI ($0.0072) and Great Plains Surcharge ($0.0131)</t>
  </si>
  <si>
    <t xml:space="preserve">Iroq -GRI</t>
  </si>
  <si>
    <t xml:space="preserve">   TETCO </t>
  </si>
  <si>
    <t xml:space="preserve">to:  St. 65</t>
  </si>
  <si>
    <t xml:space="preserve">STX</t>
  </si>
  <si>
    <t xml:space="preserve">WLA</t>
  </si>
  <si>
    <t xml:space="preserve">ELA</t>
  </si>
  <si>
    <t xml:space="preserve">Tenn +GRI</t>
  </si>
  <si>
    <t xml:space="preserve">Zn 3 - 65</t>
  </si>
  <si>
    <t xml:space="preserve">    "ELA Rate Assumes $0.0522 'IT'"</t>
  </si>
  <si>
    <t xml:space="preserve">Total</t>
  </si>
  <si>
    <t xml:space="preserve">Tenn FT Commodity</t>
  </si>
  <si>
    <t xml:space="preserve">Toca/Patt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</si>
  <si>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</si>
  <si>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</si>
  <si>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</si>
  <si>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</si>
  <si>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</si>
  <si>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</si>
  <si>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</si>
  <si>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</si>
  <si>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3</t>
  </si>
  <si>
    <t xml:space="preserve">0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</si>
  <si>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</si>
  <si>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</si>
  <si>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</si>
  <si>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</si>
  <si>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</si>
  <si>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</si>
  <si>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</si>
  <si>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</si>
  <si>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</si>
  <si>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</si>
  <si>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</si>
  <si>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</si>
  <si>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TET Stor.</t>
  </si>
  <si>
    <t xml:space="preserve">It to M2</t>
  </si>
  <si>
    <t xml:space="preserve">It to M3</t>
  </si>
  <si>
    <t xml:space="preserve">ETX</t>
  </si>
  <si>
    <t xml:space="preserve">M1</t>
  </si>
  <si>
    <t xml:space="preserve">             Texas Gas FT Commodity</t>
  </si>
  <si>
    <t xml:space="preserve">Sonat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</si>
  <si>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</si>
  <si>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</si>
  <si>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</si>
  <si>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</si>
  <si>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</si>
  <si>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</si>
  <si>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</si>
  <si>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</si>
  <si>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</si>
  <si>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Gulf Onshore IT-Mainline FT</t>
  </si>
  <si>
    <t xml:space="preserve">           Algonquin</t>
  </si>
  <si>
    <t xml:space="preserve">                 CNG June Fuel Waivers</t>
  </si>
  <si>
    <t xml:space="preserve">Off</t>
  </si>
  <si>
    <t xml:space="preserve">On</t>
  </si>
  <si>
    <t xml:space="preserve">    Commodity and Fuel</t>
  </si>
  <si>
    <t xml:space="preserve">Each</t>
  </si>
  <si>
    <t xml:space="preserve">Receipt</t>
  </si>
  <si>
    <t xml:space="preserve">to All</t>
  </si>
  <si>
    <t xml:space="preserve">Delivery</t>
  </si>
  <si>
    <t xml:space="preserve">AFT-1</t>
  </si>
  <si>
    <t xml:space="preserve">Canajoharie</t>
  </si>
  <si>
    <t xml:space="preserve">Nimo West</t>
  </si>
  <si>
    <t xml:space="preserve">Sabinsville (TGP)</t>
  </si>
  <si>
    <t xml:space="preserve">Nimo East</t>
  </si>
  <si>
    <t xml:space="preserve">ML</t>
  </si>
  <si>
    <t xml:space="preserve">Morrisville (TGP)</t>
  </si>
  <si>
    <t xml:space="preserve">RG&amp;E</t>
  </si>
  <si>
    <t xml:space="preserve">Offshore and Onshore are IT rates</t>
  </si>
  <si>
    <t xml:space="preserve">Brookview</t>
  </si>
  <si>
    <t xml:space="preserve">NYSEG</t>
  </si>
  <si>
    <t xml:space="preserve">Leidy (TRANSCO)</t>
  </si>
  <si>
    <t xml:space="preserve">Hanley &amp; Bird</t>
  </si>
  <si>
    <t xml:space="preserve">East Ohio</t>
  </si>
  <si>
    <t xml:space="preserve">Transport expense using Prices shown below</t>
  </si>
  <si>
    <t xml:space="preserve">Peoples</t>
  </si>
  <si>
    <t xml:space="preserve">Trco Z1</t>
  </si>
  <si>
    <t xml:space="preserve">CGLF On</t>
  </si>
  <si>
    <t xml:space="preserve">Trco Z2</t>
  </si>
  <si>
    <t xml:space="preserve">M/L</t>
  </si>
  <si>
    <t xml:space="preserve">Trco Z3</t>
  </si>
  <si>
    <t xml:space="preserve">TGT Sl</t>
  </si>
  <si>
    <t xml:space="preserve">Trco Z4</t>
  </si>
  <si>
    <t xml:space="preserve">Tenn 800</t>
  </si>
  <si>
    <t xml:space="preserve">Trco Z6</t>
  </si>
  <si>
    <t xml:space="preserve">TGP/NFG Niagara</t>
  </si>
  <si>
    <t xml:space="preserve">NFG</t>
  </si>
  <si>
    <t xml:space="preserve">Niagara Zone 3</t>
  </si>
  <si>
    <t xml:space="preserve">CNG SP</t>
  </si>
  <si>
    <t xml:space="preserve">Wla</t>
  </si>
  <si>
    <t xml:space="preserve">                                                                                                                                               </t>
  </si>
  <si>
    <t xml:space="preserve">Gas Daily </t>
  </si>
  <si>
    <t xml:space="preserve">Even</t>
  </si>
  <si>
    <t xml:space="preserve">formulas</t>
  </si>
  <si>
    <t xml:space="preserve">etx</t>
  </si>
  <si>
    <t xml:space="preserve">IROQ</t>
  </si>
  <si>
    <t xml:space="preserve">Formula</t>
  </si>
  <si>
    <t xml:space="preserve">st 85</t>
  </si>
  <si>
    <t xml:space="preserve">zn 0</t>
  </si>
  <si>
    <t xml:space="preserve">ela</t>
  </si>
  <si>
    <t xml:space="preserve">Sonat La</t>
  </si>
  <si>
    <t xml:space="preserve">On Price</t>
  </si>
  <si>
    <t xml:space="preserve">cng south</t>
  </si>
  <si>
    <t xml:space="preserve">TGT</t>
  </si>
  <si>
    <t xml:space="preserve">Wadd</t>
  </si>
  <si>
    <t xml:space="preserve">Tenn Z0</t>
  </si>
  <si>
    <t xml:space="preserve">st 65</t>
  </si>
  <si>
    <t xml:space="preserve">zn 1 800</t>
  </si>
  <si>
    <t xml:space="preserve">wla</t>
  </si>
  <si>
    <t xml:space="preserve">m/l</t>
  </si>
  <si>
    <t xml:space="preserve">Winter</t>
  </si>
  <si>
    <t xml:space="preserve">Summer</t>
  </si>
  <si>
    <t xml:space="preserve">st 45</t>
  </si>
  <si>
    <t xml:space="preserve">stx</t>
  </si>
  <si>
    <t xml:space="preserve">st 30</t>
  </si>
  <si>
    <t xml:space="preserve">m1</t>
  </si>
  <si>
    <t xml:space="preserve">Z6 NY</t>
  </si>
  <si>
    <t xml:space="preserve">Rates No 37.02</t>
  </si>
  <si>
    <t xml:space="preserve">Spring Fuel Apr - Oct</t>
  </si>
  <si>
    <t xml:space="preserve">Spring Fuel Apr-Nov</t>
  </si>
  <si>
    <t xml:space="preserve">Winter Fuel Dec-Mar</t>
  </si>
  <si>
    <t xml:space="preserve">Rates 18 &amp; 19</t>
  </si>
  <si>
    <t xml:space="preserve">Rates 25 &amp; 28</t>
  </si>
  <si>
    <t xml:space="preserve">Rates 32</t>
  </si>
  <si>
    <t xml:space="preserve">Winter Fuel</t>
  </si>
  <si>
    <t xml:space="preserve">Summer Fuel</t>
  </si>
  <si>
    <t xml:space="preserve">Rates No 4</t>
  </si>
  <si>
    <t xml:space="preserve">Rates No 5</t>
  </si>
  <si>
    <t xml:space="preserve">Rates No 8</t>
  </si>
  <si>
    <t xml:space="preserve">Fuel No 44</t>
  </si>
  <si>
    <t xml:space="preserve">Rates No 23A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</si>
  <si>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</si>
  <si>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</si>
  <si>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</si>
  <si>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</si>
  <si>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Dec - Mar</t>
  </si>
  <si>
    <t xml:space="preserve">Apr 1 - Oct 31</t>
  </si>
  <si>
    <t xml:space="preserve">Fuel changes each month</t>
  </si>
  <si>
    <t xml:space="preserve">Fuel No. 10</t>
  </si>
  <si>
    <t xml:space="preserve">Fuel No.8,</t>
  </si>
  <si>
    <t xml:space="preserve">Fuel No 29</t>
  </si>
  <si>
    <t xml:space="preserve">Fuel No 127,128, &amp; 129</t>
  </si>
  <si>
    <t xml:space="preserve">Fuel No 15</t>
  </si>
  <si>
    <t xml:space="preserve">EFFECTIVE 4/1/99</t>
  </si>
  <si>
    <t xml:space="preserve">PENDING Rates &amp; Fuel</t>
  </si>
  <si>
    <t xml:space="preserve">Updated 3/1/2000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</si>
  <si>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</si>
  <si>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</si>
  <si>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</si>
  <si>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</si>
  <si>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Rates Eff 5/1/99</t>
  </si>
  <si>
    <t xml:space="preserve">Updtd Rates 2/1/2000</t>
  </si>
  <si>
    <t xml:space="preserve">Updtd Rates 2/1/00</t>
  </si>
  <si>
    <t xml:space="preserve">Updtd Rates 3/1/00</t>
  </si>
  <si>
    <t xml:space="preserve">Eff 4/1/99</t>
  </si>
  <si>
    <t xml:space="preserve">Fuel No 40</t>
  </si>
  <si>
    <t xml:space="preserve">Fuel 14</t>
  </si>
  <si>
    <t xml:space="preserve">All Fuel is 0.02%</t>
  </si>
  <si>
    <t xml:space="preserve">Updated rates 4/1/2000</t>
  </si>
  <si>
    <t xml:space="preserve">IT Rates No 22</t>
  </si>
  <si>
    <t xml:space="preserve">Updtd Fuel 12/1/1999</t>
  </si>
  <si>
    <t xml:space="preserve">Need to check GSR &amp; SCRM</t>
  </si>
  <si>
    <t xml:space="preserve">Updated eff 3/1/2000</t>
  </si>
  <si>
    <t xml:space="preserve">Fuel Rev 8/1/99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</si>
  <si>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</si>
  <si>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</si>
  <si>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</si>
  <si>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</si>
  <si>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</si>
  <si>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</si>
  <si>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</si>
  <si>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(stx-m2)</t>
  </si>
  <si>
    <t xml:space="preserve">(0-0)FT</t>
  </si>
  <si>
    <t xml:space="preserve">Gulf</t>
  </si>
  <si>
    <t xml:space="preserve">(off-off)fts2</t>
  </si>
  <si>
    <t xml:space="preserve">TCO</t>
  </si>
  <si>
    <t xml:space="preserve">(fts)</t>
  </si>
  <si>
    <t xml:space="preserve">ft</t>
  </si>
  <si>
    <t xml:space="preserve">tgt sl-sl</t>
  </si>
  <si>
    <t xml:space="preserve">FT 1-1</t>
  </si>
  <si>
    <t xml:space="preserve">EQTR</t>
  </si>
  <si>
    <t xml:space="preserve">ITS</t>
  </si>
  <si>
    <t xml:space="preserve">UTOS</t>
  </si>
  <si>
    <t xml:space="preserve">NFGS</t>
  </si>
  <si>
    <t xml:space="preserve">FT-S</t>
  </si>
  <si>
    <t xml:space="preserve">Generic</t>
  </si>
  <si>
    <t xml:space="preserve">comm</t>
  </si>
  <si>
    <t xml:space="preserve">Comm</t>
  </si>
  <si>
    <t xml:space="preserve">ACA</t>
  </si>
  <si>
    <t xml:space="preserve">fuel(.35)</t>
  </si>
  <si>
    <t xml:space="preserve">fuel(0.84)</t>
  </si>
  <si>
    <t xml:space="preserve">fuel(2.42)</t>
  </si>
  <si>
    <t xml:space="preserve">fuel(7.04)</t>
  </si>
  <si>
    <t xml:space="preserve">fuel(1.50)</t>
  </si>
  <si>
    <t xml:space="preserve">fuel(.489)</t>
  </si>
  <si>
    <t xml:space="preserve">fuel(2.28)</t>
  </si>
  <si>
    <t xml:space="preserve">fuel(.22)</t>
  </si>
  <si>
    <t xml:space="preserve">fuel(0.01)</t>
  </si>
  <si>
    <t xml:space="preserve">fuel(3.00)</t>
  </si>
  <si>
    <t xml:space="preserve">fuel(0.0)</t>
  </si>
  <si>
    <t xml:space="preserve">fuel(2.00)</t>
  </si>
  <si>
    <t xml:space="preserve">GRI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</si>
  <si>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</si>
  <si>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</si>
  <si>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</si>
  <si>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</si>
  <si>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</si>
  <si>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(stx-m3)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</si>
  <si>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</si>
  <si>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</si>
  <si>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</si>
  <si>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</si>
  <si>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</si>
  <si>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</si>
  <si>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tgt sl-4</t>
  </si>
  <si>
    <t xml:space="preserve">FT 1-2</t>
  </si>
  <si>
    <t xml:space="preserve">Zn 1</t>
  </si>
  <si>
    <t xml:space="preserve">Variable</t>
  </si>
  <si>
    <t xml:space="preserve">Delivered</t>
  </si>
  <si>
    <t xml:space="preserve">.</t>
  </si>
  <si>
    <t xml:space="preserve">fuel(.81)</t>
  </si>
  <si>
    <t xml:space="preserve">fuel(2.44)</t>
  </si>
  <si>
    <t xml:space="preserve">fuel(2.57)</t>
  </si>
  <si>
    <t xml:space="preserve">fuel(7.97)</t>
  </si>
  <si>
    <t xml:space="preserve">fuel(.603)</t>
  </si>
  <si>
    <t xml:space="preserve">fuel(2.184)</t>
  </si>
  <si>
    <t xml:space="preserve">fuel(2.68)</t>
  </si>
  <si>
    <t xml:space="preserve">fuel(0.02)</t>
  </si>
  <si>
    <t xml:space="preserve">(1-3)</t>
  </si>
  <si>
    <t xml:space="preserve">(1-3)IT</t>
  </si>
  <si>
    <t xml:space="preserve">(0-2) FT</t>
  </si>
  <si>
    <t xml:space="preserve">(stx-ela)</t>
  </si>
  <si>
    <t xml:space="preserve">(wla-m2)</t>
  </si>
  <si>
    <t xml:space="preserve">(0-2)FT</t>
  </si>
  <si>
    <t xml:space="preserve">(ml-ml)fts1</t>
  </si>
  <si>
    <t xml:space="preserve">(winter)it</t>
  </si>
  <si>
    <t xml:space="preserve">Disc It</t>
  </si>
  <si>
    <t xml:space="preserve">tgt 1-4</t>
  </si>
  <si>
    <t xml:space="preserve">IT 1-2</t>
  </si>
  <si>
    <t xml:space="preserve">Zn 2</t>
  </si>
  <si>
    <t xml:space="preserve">fuel(1.26)</t>
  </si>
  <si>
    <t xml:space="preserve">fuel(4.43)</t>
  </si>
  <si>
    <t xml:space="preserve">fuel(3.32)</t>
  </si>
  <si>
    <t xml:space="preserve">fuel(6.40)</t>
  </si>
  <si>
    <t xml:space="preserve">fuel(2.30)</t>
  </si>
  <si>
    <t xml:space="preserve">fuel(2.82)</t>
  </si>
  <si>
    <t xml:space="preserve">Apr - Nov</t>
  </si>
  <si>
    <t xml:space="preserve">(1-4)</t>
  </si>
  <si>
    <t xml:space="preserve">(1-4) it</t>
  </si>
  <si>
    <t xml:space="preserve">(0-3) FT</t>
  </si>
  <si>
    <t xml:space="preserve">(stx-m1)</t>
  </si>
  <si>
    <t xml:space="preserve">(wla-m3)</t>
  </si>
  <si>
    <t xml:space="preserve">(0-3)FT</t>
  </si>
  <si>
    <t xml:space="preserve">(off-off)its2</t>
  </si>
  <si>
    <t xml:space="preserve">(gath)it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</si>
  <si>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</si>
  <si>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fuel(3.16)</t>
  </si>
  <si>
    <t xml:space="preserve">fuel(5.04)</t>
  </si>
  <si>
    <t xml:space="preserve">fuel(5.64)</t>
  </si>
  <si>
    <t xml:space="preserve">fuel(7.33)</t>
  </si>
  <si>
    <t xml:space="preserve">fuel(2.60)</t>
  </si>
  <si>
    <t xml:space="preserve">tgt SL-1</t>
  </si>
  <si>
    <t xml:space="preserve">Disc 1-2</t>
  </si>
  <si>
    <t xml:space="preserve">Zn 3</t>
  </si>
  <si>
    <t xml:space="preserve">(1-5)</t>
  </si>
  <si>
    <t xml:space="preserve">(2-2) it</t>
  </si>
  <si>
    <t xml:space="preserve">(0-4) FT</t>
  </si>
  <si>
    <t xml:space="preserve">(ela-m2)</t>
  </si>
  <si>
    <t xml:space="preserve">(on-on)its2</t>
  </si>
  <si>
    <t xml:space="preserve">Disc IT</t>
  </si>
  <si>
    <t xml:space="preserve">fuel(1.69)</t>
  </si>
  <si>
    <t xml:space="preserve">fuel(4.69)</t>
  </si>
  <si>
    <t xml:space="preserve">fuel(.46)</t>
  </si>
  <si>
    <t xml:space="preserve">fuel(5.8)</t>
  </si>
  <si>
    <t xml:space="preserve">fuel(6.12)</t>
  </si>
  <si>
    <t xml:space="preserve">tgt 1-SL (Backhaul)</t>
  </si>
  <si>
    <t xml:space="preserve">Disc 1-1</t>
  </si>
  <si>
    <t xml:space="preserve">(1-6)</t>
  </si>
  <si>
    <t xml:space="preserve">(2-3)IT</t>
  </si>
  <si>
    <t xml:space="preserve">(0-5) FT</t>
  </si>
  <si>
    <t xml:space="preserve">(ela-m3)</t>
  </si>
  <si>
    <t xml:space="preserve">(ml-ml)its1</t>
  </si>
  <si>
    <t xml:space="preserve">fuel(5.53)</t>
  </si>
  <si>
    <t xml:space="preserve">fuel(0.91)</t>
  </si>
  <si>
    <t xml:space="preserve">fuel(6.72)</t>
  </si>
  <si>
    <t xml:space="preserve">fuel(7.05)</t>
  </si>
  <si>
    <t xml:space="preserve">(2-2)</t>
  </si>
  <si>
    <t xml:space="preserve">(2-4) it</t>
  </si>
  <si>
    <t xml:space="preserve">(0-6) FT</t>
  </si>
  <si>
    <t xml:space="preserve">(wla-wla)</t>
  </si>
  <si>
    <t xml:space="preserve">(m1-m2)</t>
  </si>
  <si>
    <t xml:space="preserve">Iroq Fuel</t>
  </si>
  <si>
    <t xml:space="preserve">(on-on)DISC</t>
  </si>
  <si>
    <t xml:space="preserve">fuel(2.81)</t>
  </si>
  <si>
    <t xml:space="preserve">fuel(7.42)</t>
  </si>
  <si>
    <t xml:space="preserve">fuel(1.91)</t>
  </si>
  <si>
    <t xml:space="preserve">fuel(3.72)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</si>
  <si>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</si>
  <si>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</si>
  <si>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</si>
  <si>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</si>
  <si>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</si>
  <si>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</si>
  <si>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(m1-m3)</t>
  </si>
  <si>
    <t xml:space="preserve">Z2 - Z2</t>
  </si>
  <si>
    <t xml:space="preserve">(rn-lch)Disc</t>
  </si>
  <si>
    <t xml:space="preserve">fuel(.91)</t>
  </si>
  <si>
    <t xml:space="preserve">fuel(0.45)</t>
  </si>
  <si>
    <t xml:space="preserve">fuel(.95)</t>
  </si>
  <si>
    <t xml:space="preserve">fuel(4.65)</t>
  </si>
  <si>
    <t xml:space="preserve">(2-4)</t>
  </si>
  <si>
    <t xml:space="preserve">(3-4) it</t>
  </si>
  <si>
    <t xml:space="preserve">(1-1) FT</t>
  </si>
  <si>
    <t xml:space="preserve">(wla-m1)</t>
  </si>
  <si>
    <t xml:space="preserve">(m2-m3)</t>
  </si>
  <si>
    <t xml:space="preserve">fuel(2.35)</t>
  </si>
  <si>
    <t xml:space="preserve">fuel(1.70)</t>
  </si>
  <si>
    <t xml:space="preserve">fuel(5.00)</t>
  </si>
  <si>
    <t xml:space="preserve">fuel(3.99)</t>
  </si>
  <si>
    <t xml:space="preserve">(2-5)</t>
  </si>
  <si>
    <t xml:space="preserve">(3-6) it</t>
  </si>
  <si>
    <t xml:space="preserve">(1-2) FT</t>
  </si>
  <si>
    <t xml:space="preserve">(m3-m3)</t>
  </si>
  <si>
    <t xml:space="preserve">fuel(4.34)</t>
  </si>
  <si>
    <t xml:space="preserve">fuel(4.72)</t>
  </si>
  <si>
    <t xml:space="preserve">fuel(3.69)</t>
  </si>
  <si>
    <t xml:space="preserve">(2-6)</t>
  </si>
  <si>
    <t xml:space="preserve">(4-4) it</t>
  </si>
  <si>
    <t xml:space="preserve">(1-3) FT</t>
  </si>
  <si>
    <t xml:space="preserve">fuel(5.18)</t>
  </si>
  <si>
    <t xml:space="preserve">fuel(1.90)</t>
  </si>
  <si>
    <t xml:space="preserve">fuel(4.29)</t>
  </si>
  <si>
    <t xml:space="preserve">(3-3)</t>
  </si>
  <si>
    <t xml:space="preserve">Transco  </t>
  </si>
  <si>
    <t xml:space="preserve">(4a-4a) it</t>
  </si>
  <si>
    <t xml:space="preserve">(1-4) FT</t>
  </si>
  <si>
    <t xml:space="preserve">(etx-stx)</t>
  </si>
  <si>
    <t xml:space="preserve">fuel (.45)</t>
  </si>
  <si>
    <t xml:space="preserve">fuel(0.59)</t>
  </si>
  <si>
    <t xml:space="preserve">fuel(5.06)</t>
  </si>
  <si>
    <t xml:space="preserve">(3-4) </t>
  </si>
  <si>
    <t xml:space="preserve">(1-5) FT</t>
  </si>
  <si>
    <t xml:space="preserve">(etx-wla)</t>
  </si>
  <si>
    <t xml:space="preserve">Transco it</t>
  </si>
  <si>
    <t xml:space="preserve">(6-6) it</t>
  </si>
  <si>
    <t xml:space="preserve">fuel(5.97)</t>
  </si>
  <si>
    <t xml:space="preserve">fuel(2.40)</t>
  </si>
  <si>
    <t xml:space="preserve">(3-5)</t>
  </si>
  <si>
    <t xml:space="preserve">(1-6) FT</t>
  </si>
  <si>
    <t xml:space="preserve">(etx-etx)</t>
  </si>
  <si>
    <t xml:space="preserve">Transco IT Backhaul</t>
  </si>
  <si>
    <t xml:space="preserve">fuel(3.88)</t>
  </si>
  <si>
    <t xml:space="preserve">fuel(6.67)</t>
  </si>
  <si>
    <t xml:space="preserve">(3-6)</t>
  </si>
  <si>
    <t xml:space="preserve">(2-5) FT</t>
  </si>
  <si>
    <t xml:space="preserve">(etx-ela )</t>
  </si>
  <si>
    <t xml:space="preserve">fuel(3.58)</t>
  </si>
  <si>
    <t xml:space="preserve">(4-4) </t>
  </si>
  <si>
    <t xml:space="preserve">(4-4) FT</t>
  </si>
  <si>
    <t xml:space="preserve">(etx-M1 )</t>
  </si>
  <si>
    <t xml:space="preserve">fuel(1.01)</t>
  </si>
  <si>
    <t xml:space="preserve">(4-5) </t>
  </si>
  <si>
    <t xml:space="preserve">(4-6) FT</t>
  </si>
  <si>
    <t xml:space="preserve">(etx-M2 )</t>
  </si>
  <si>
    <t xml:space="preserve">fuel(3.43)</t>
  </si>
  <si>
    <t xml:space="preserve">fuel(1.92)</t>
  </si>
  <si>
    <t xml:space="preserve">(4-6) </t>
  </si>
  <si>
    <t xml:space="preserve">(5-5) FT</t>
  </si>
  <si>
    <t xml:space="preserve">(etx-M3 )</t>
  </si>
  <si>
    <t xml:space="preserve">fuel(4.27)</t>
  </si>
  <si>
    <t xml:space="preserve">fuel(1.17)</t>
  </si>
  <si>
    <t xml:space="preserve">(4a-4a)</t>
  </si>
  <si>
    <t xml:space="preserve">TGP Backhaul</t>
  </si>
  <si>
    <t xml:space="preserve">      (5-5) FT</t>
  </si>
  <si>
    <t xml:space="preserve">(ela-ela)</t>
  </si>
  <si>
    <t xml:space="preserve">fuel(0.005)</t>
  </si>
  <si>
    <t xml:space="preserve">(5-5)</t>
  </si>
  <si>
    <t xml:space="preserve">(5-6)  FT</t>
  </si>
  <si>
    <t xml:space="preserve">(ela-m1)</t>
  </si>
  <si>
    <t xml:space="preserve">fuel(1.53)</t>
  </si>
  <si>
    <t xml:space="preserve">fuel(1.86)</t>
  </si>
  <si>
    <t xml:space="preserve">(5-6)</t>
  </si>
  <si>
    <t xml:space="preserve">(6-5)  FT</t>
  </si>
  <si>
    <t xml:space="preserve">fuel(2.37)</t>
  </si>
  <si>
    <t xml:space="preserve">fuel(1.27%)</t>
  </si>
  <si>
    <t xml:space="preserve">(6-6)</t>
  </si>
  <si>
    <t xml:space="preserve">(6-6)  FT</t>
  </si>
  <si>
    <t xml:space="preserve">fuel(0.85)</t>
  </si>
  <si>
    <t xml:space="preserve">Need to Check rates for the following, fuel has been updated</t>
  </si>
  <si>
    <t xml:space="preserve">Tenn NET 284</t>
  </si>
  <si>
    <t xml:space="preserve">(m1-m1)</t>
  </si>
  <si>
    <t xml:space="preserve">Cherokee Expansion</t>
  </si>
  <si>
    <t xml:space="preserve">Sheet No. 37M</t>
  </si>
  <si>
    <t xml:space="preserve">fuel(1.31)</t>
  </si>
  <si>
    <t xml:space="preserve">fuel(2.32)</t>
  </si>
  <si>
    <t xml:space="preserve">(4-4)</t>
  </si>
  <si>
    <t xml:space="preserve">(5-4) FT</t>
  </si>
  <si>
    <t xml:space="preserve">fuel(1.07)</t>
  </si>
  <si>
    <t xml:space="preserve">(L-L)  IT</t>
  </si>
  <si>
    <t xml:space="preserve">Z6 to Z6 FTA K# 2.2173</t>
  </si>
  <si>
    <t xml:space="preserve">Sheet No. 37E</t>
  </si>
  <si>
    <t xml:space="preserve">(0-l)  IT</t>
  </si>
  <si>
    <t xml:space="preserve">(m2-m2)</t>
  </si>
  <si>
    <t xml:space="preserve">fuel(.84)</t>
  </si>
  <si>
    <t xml:space="preserve">fuel(3.04)</t>
  </si>
  <si>
    <t xml:space="preserve">Transco FT-NT</t>
  </si>
  <si>
    <t xml:space="preserve">Sheet 50 Summer Apr-Oct</t>
  </si>
  <si>
    <t xml:space="preserve">(l-2)  IT</t>
  </si>
  <si>
    <t xml:space="preserve">Fuel (7.06)</t>
  </si>
  <si>
    <t xml:space="preserve">Incremental Leidy 2.239</t>
  </si>
  <si>
    <t xml:space="preserve">(5-5) IT</t>
  </si>
  <si>
    <t xml:space="preserve">Sheet No. 37A</t>
  </si>
  <si>
    <t xml:space="preserve">Formula ==&gt;</t>
  </si>
  <si>
    <t xml:space="preserve">Winter Fuel Nov - Mar</t>
  </si>
  <si>
    <t xml:space="preserve">Summer Apr-Nov</t>
  </si>
  <si>
    <t xml:space="preserve">Updtd Rates 12/1/99</t>
  </si>
  <si>
    <t xml:space="preserve">CDS and FT-1</t>
  </si>
  <si>
    <t xml:space="preserve">Updtd Fuel 12/1/2000</t>
  </si>
  <si>
    <t xml:space="preserve">(0-0)</t>
  </si>
  <si>
    <t xml:space="preserve">fuel(0.89)</t>
  </si>
  <si>
    <t xml:space="preserve">fuel(9.26)</t>
  </si>
  <si>
    <t xml:space="preserve">fuel(.58)</t>
  </si>
  <si>
    <t xml:space="preserve">(0-1)</t>
  </si>
  <si>
    <t xml:space="preserve">fuel(2.79)</t>
  </si>
  <si>
    <t xml:space="preserve">fuel(2.93)</t>
  </si>
  <si>
    <t xml:space="preserve">fuel(10.89)</t>
  </si>
  <si>
    <t xml:space="preserve">(0-2)</t>
  </si>
  <si>
    <t xml:space="preserve">fuel(5.16)</t>
  </si>
  <si>
    <t xml:space="preserve">fuel(4.28)</t>
  </si>
  <si>
    <t xml:space="preserve">fuel(8.12)</t>
  </si>
  <si>
    <t xml:space="preserve">(0-3)</t>
  </si>
  <si>
    <t xml:space="preserve">fuel(5.88)</t>
  </si>
  <si>
    <t xml:space="preserve">fuel(6.77)</t>
  </si>
  <si>
    <t xml:space="preserve">fuel(9.75)</t>
  </si>
  <si>
    <t xml:space="preserve">(0-4)</t>
  </si>
  <si>
    <t xml:space="preserve">fuel(6.79)</t>
  </si>
  <si>
    <t xml:space="preserve">fuel(7.61)</t>
  </si>
  <si>
    <t xml:space="preserve">(0-5)</t>
  </si>
  <si>
    <t xml:space="preserve">fuel(7.88)</t>
  </si>
  <si>
    <t xml:space="preserve">fuel(9.24)</t>
  </si>
  <si>
    <t xml:space="preserve">(0-6)</t>
  </si>
  <si>
    <t xml:space="preserve">fuel(8.71)</t>
  </si>
  <si>
    <t xml:space="preserve">fuel(1.75)</t>
  </si>
  <si>
    <t xml:space="preserve">fuel(4.98)</t>
  </si>
  <si>
    <t xml:space="preserve">(L-L)</t>
  </si>
  <si>
    <t xml:space="preserve">fuel(3.14)</t>
  </si>
  <si>
    <t xml:space="preserve">fuel(6.61)</t>
  </si>
  <si>
    <t xml:space="preserve">fuel(5.63)</t>
  </si>
  <si>
    <t xml:space="preserve">fuel(5.45)</t>
  </si>
  <si>
    <t xml:space="preserve">fuel(2.99)</t>
  </si>
  <si>
    <t xml:space="preserve">fuel(4.99)</t>
  </si>
  <si>
    <t xml:space="preserve">fuel(5.96)</t>
  </si>
  <si>
    <t xml:space="preserve">fuel(6.99)</t>
  </si>
  <si>
    <t xml:space="preserve">fuel(2.63)</t>
  </si>
  <si>
    <t xml:space="preserve">fuel(7.82)</t>
  </si>
  <si>
    <t xml:space="preserve">fuel(4.15)</t>
  </si>
  <si>
    <t xml:space="preserve">fuel(1.09)</t>
  </si>
  <si>
    <t xml:space="preserve">(4-6)</t>
  </si>
  <si>
    <t xml:space="preserve">fuel(2.17)</t>
  </si>
  <si>
    <t xml:space="preserve">fuel(5.12)</t>
  </si>
  <si>
    <t xml:space="preserve">fuel(1.28)</t>
  </si>
  <si>
    <t xml:space="preserve">(5-6) </t>
  </si>
  <si>
    <t xml:space="preserve">fuel(2.09)</t>
  </si>
  <si>
    <t xml:space="preserve">fuel(1.16)</t>
  </si>
  <si>
    <t xml:space="preserve">fuel(2.49)</t>
  </si>
  <si>
    <t xml:space="preserve">Tenn (Z5 &amp; Z6 Net 284)</t>
  </si>
  <si>
    <t xml:space="preserve">fuel(3.78)</t>
  </si>
  <si>
    <t xml:space="preserve">Storage GSS Sheet 27</t>
  </si>
  <si>
    <t xml:space="preserve">Injection</t>
  </si>
  <si>
    <t xml:space="preserve">Index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</si>
  <si>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</si>
  <si>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</si>
  <si>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</si>
  <si>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</si>
  <si>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</si>
  <si>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</si>
  <si>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</si>
  <si>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</si>
  <si>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</si>
  <si>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</si>
  <si>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</si>
  <si>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</si>
  <si>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</si>
  <si>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</si>
  <si>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</si>
  <si>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</si>
  <si>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</si>
  <si>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</si>
  <si>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</si>
  <si>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</si>
  <si>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</si>
  <si>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</si>
  <si>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</si>
  <si>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</si>
  <si>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</si>
  <si>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Commodity</t>
  </si>
  <si>
    <t xml:space="preserve">January 1999 Demand Calculations</t>
  </si>
  <si>
    <t xml:space="preserve">Factor</t>
  </si>
  <si>
    <t xml:space="preserve">[Factor = (12/365) x # days in Month]</t>
  </si>
  <si>
    <t xml:space="preserve">Contract</t>
  </si>
  <si>
    <t xml:space="preserve">Rate</t>
  </si>
  <si>
    <t xml:space="preserve">Vol </t>
  </si>
  <si>
    <t xml:space="preserve">Amount</t>
  </si>
  <si>
    <t xml:space="preserve">Etx</t>
  </si>
  <si>
    <t xml:space="preserve">1-1</t>
  </si>
  <si>
    <t xml:space="preserve">2-2</t>
  </si>
  <si>
    <t xml:space="preserve">3-3</t>
  </si>
  <si>
    <t xml:space="preserve">1-3</t>
  </si>
  <si>
    <t xml:space="preserve">Surcharge</t>
  </si>
  <si>
    <t xml:space="preserve">M3 Vol</t>
  </si>
  <si>
    <t xml:space="preserve">Unit Rate</t>
  </si>
  <si>
    <t xml:space="preserve">CDS</t>
  </si>
  <si>
    <t xml:space="preserve">Demand charges effective 8/1/98</t>
  </si>
  <si>
    <t xml:space="preserve">Vol #8939</t>
  </si>
  <si>
    <t xml:space="preserve">Vol #9504</t>
  </si>
  <si>
    <t xml:space="preserve">Vol #11677</t>
  </si>
  <si>
    <t xml:space="preserve">Vol #</t>
  </si>
  <si>
    <t xml:space="preserve">1-2</t>
  </si>
  <si>
    <t xml:space="preserve">Vol #11671</t>
  </si>
  <si>
    <t xml:space="preserve">Vol</t>
  </si>
  <si>
    <t xml:space="preserve">Vol #8943</t>
  </si>
  <si>
    <t xml:space="preserve">Vol #9509</t>
  </si>
  <si>
    <t xml:space="preserve">M2 Vol</t>
  </si>
  <si>
    <t xml:space="preserve">Peoples Natural Gas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</si>
  <si>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</si>
  <si>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</si>
  <si>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</si>
  <si>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</si>
  <si>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</si>
  <si>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</si>
  <si>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</si>
  <si>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</si>
  <si>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</si>
  <si>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</si>
  <si>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</si>
  <si>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</si>
  <si>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</si>
  <si>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</si>
  <si>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</si>
  <si>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</si>
  <si>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</si>
  <si>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</si>
  <si>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</si>
  <si>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</si>
  <si>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</si>
  <si>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</si>
  <si>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</si>
  <si>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</si>
  <si>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</si>
  <si>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</si>
  <si>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</si>
  <si>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</si>
  <si>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</si>
  <si>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</si>
  <si>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</si>
  <si>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</si>
  <si>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</si>
  <si>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</si>
  <si>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</si>
  <si>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</si>
  <si>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</si>
  <si>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</si>
  <si>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STX - ELA</t>
  </si>
  <si>
    <t xml:space="preserve">ELA BID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</si>
  <si>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</si>
  <si>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</si>
  <si>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</si>
  <si>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</si>
  <si>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</si>
  <si>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</si>
  <si>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</si>
  <si>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</si>
  <si>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</si>
  <si>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</si>
  <si>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</si>
  <si>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</si>
  <si>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</si>
  <si>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</si>
  <si>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</si>
  <si>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</si>
  <si>
    <t xml:space="preserve">Cashout Deal Tickets</t>
  </si>
  <si>
    <t xml:space="preserve">Deal</t>
  </si>
  <si>
    <t xml:space="preserve">Tenn 500 L Sale</t>
  </si>
  <si>
    <t xml:space="preserve">Tetco Transport </t>
  </si>
  <si>
    <t xml:space="preserve">Supply</t>
  </si>
  <si>
    <t xml:space="preserve">Market</t>
  </si>
  <si>
    <t xml:space="preserve">Stx - M2</t>
  </si>
  <si>
    <t xml:space="preserve">Stx - Wla</t>
  </si>
  <si>
    <t xml:space="preserve">Stx - Ela</t>
  </si>
  <si>
    <t xml:space="preserve">Stx - Stx</t>
  </si>
  <si>
    <t xml:space="preserve">Wla - M2</t>
  </si>
  <si>
    <t xml:space="preserve">Wla - M3</t>
  </si>
  <si>
    <t xml:space="preserve">Wla - Wla</t>
  </si>
  <si>
    <t xml:space="preserve">Entergy</t>
  </si>
  <si>
    <t xml:space="preserve">Acadian</t>
  </si>
  <si>
    <t xml:space="preserve">Wla - Ela</t>
  </si>
  <si>
    <t xml:space="preserve">Wla - Transco</t>
  </si>
  <si>
    <t xml:space="preserve">Venice - Ela</t>
  </si>
  <si>
    <t xml:space="preserve">Ela - Ela</t>
  </si>
  <si>
    <t xml:space="preserve">Acadian Desk</t>
  </si>
  <si>
    <t xml:space="preserve">Iberville</t>
  </si>
  <si>
    <t xml:space="preserve">Capacity Summary for April 2000</t>
  </si>
  <si>
    <t xml:space="preserve">MDQ</t>
  </si>
  <si>
    <t xml:space="preserve">Receipt Point</t>
  </si>
  <si>
    <t xml:space="preserve">Delivery Point</t>
  </si>
  <si>
    <t xml:space="preserve">Term</t>
  </si>
  <si>
    <t xml:space="preserve">Comments</t>
  </si>
  <si>
    <t xml:space="preserve">Algon</t>
  </si>
  <si>
    <t xml:space="preserve">N/A</t>
  </si>
  <si>
    <t xml:space="preserve">4/1 - 10/31</t>
  </si>
  <si>
    <t xml:space="preserve">Non - recallable</t>
  </si>
  <si>
    <t xml:space="preserve">4/1 - 4/30</t>
  </si>
  <si>
    <t xml:space="preserve">ENA's portion of Penn Fuel capacity for April</t>
  </si>
  <si>
    <t xml:space="preserve">Broad Run</t>
  </si>
  <si>
    <t xml:space="preserve">CALP capacity</t>
  </si>
  <si>
    <t xml:space="preserve">CES Retail  capacity, includes 54,000 of SST</t>
  </si>
  <si>
    <t xml:space="preserve">&lt;== MDQ fluctuates on daily basis.  "Doggone near baseload for April"</t>
  </si>
  <si>
    <t xml:space="preserve">DP&amp;L SST capacity.</t>
  </si>
  <si>
    <t xml:space="preserve">11/1/93 - 10/31/09</t>
  </si>
  <si>
    <t xml:space="preserve">Access Energy capacity</t>
  </si>
  <si>
    <t xml:space="preserve">2/1/00 - 3/31/05</t>
  </si>
  <si>
    <t xml:space="preserve">CES wholesale capacity</t>
  </si>
  <si>
    <t xml:space="preserve">2/1/00 - 3/31/02</t>
  </si>
  <si>
    <t xml:space="preserve">11/1/93 - 5/31/01</t>
  </si>
  <si>
    <t xml:space="preserve">500 L deliveries to LIG (500 L)</t>
  </si>
  <si>
    <t xml:space="preserve">800 L to HPL Sabine (800 L)</t>
  </si>
  <si>
    <t xml:space="preserve">500 L to Hattiesburg (500 Z1) - need to include take-or-pay surcharge</t>
  </si>
  <si>
    <t xml:space="preserve">800 L to Varibus (500 L)</t>
  </si>
  <si>
    <t xml:space="preserve">800 L to Trco/Kinder (800 L)</t>
  </si>
  <si>
    <t xml:space="preserve">500 L to FGT (500 L)</t>
  </si>
  <si>
    <t xml:space="preserve">500 L to Trco/Kinder (500 L)</t>
  </si>
  <si>
    <t xml:space="preserve">Z0 to Z6</t>
  </si>
  <si>
    <t xml:space="preserve">Z5 to Z4</t>
  </si>
  <si>
    <t xml:space="preserve">Z5 to Z5</t>
  </si>
  <si>
    <t xml:space="preserve">Mr. Tim Brennan</t>
  </si>
  <si>
    <t xml:space="preserve">Williams Field Services</t>
  </si>
  <si>
    <t xml:space="preserve">P.O. Box 1396</t>
  </si>
  <si>
    <t xml:space="preserve">Houston, TX  77251-1396</t>
  </si>
  <si>
    <t xml:space="preserve">Re:  Egan C Receipts for October, 1998</t>
  </si>
  <si>
    <t xml:space="preserve">Dear Tim:</t>
  </si>
  <si>
    <t xml:space="preserve">Following is a  schedule of receipts at Transco/Columbia Gulf Egan C for October 1998.  The volumes</t>
  </si>
  <si>
    <t xml:space="preserve">flowed on the discounted rate of $.03 from Egan C to Station 65.</t>
  </si>
  <si>
    <t xml:space="preserve">Date</t>
  </si>
  <si>
    <t xml:space="preserve">Please call me with any questions.  </t>
  </si>
  <si>
    <t xml:space="preserve">   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</si>
</sst>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[$-409]#,##0_);[RED]\(#,##0\)"/>
    <numFmt numFmtId="166" formatCode="[$-409]m/d/yyyy"/>
    <numFmt numFmtId="167" formatCode="@"/>
    <numFmt numFmtId="168" formatCode="[$-409]d\-mmm"/>
    <numFmt numFmtId="169" formatCode="#,##0.00000"/>
    <numFmt numFmtId="170" formatCode="\$#,##0.0000_);[RED]&quot;($&quot;#,##0.0000\)"/>
    <numFmt numFmtId="171" formatCode="0.00%"/>
    <numFmt numFmtId="172" formatCode="0"/>
    <numFmt numFmtId="173" formatCode="0.000%"/>
    <numFmt numFmtId="174" formatCode="#,##0"/>
    <numFmt numFmtId="175" formatCode="_(\$* #,##0.00_);_(\$* \(#,##0.00\);_(\$* \-??_);_(@_)"/>
    <numFmt numFmtId="176" formatCode="_(\$* #,##0.000_);_(\$* \(#,##0.000\);_(\$* \-??_);_(@_)"/>
    <numFmt numFmtId="177" formatCode="_(\$* #,##0_);_(\$* \(#,##0\);_(\$* \-??_);_(@_)"/>
    <numFmt numFmtId="178" formatCode="#,##0.00"/>
    <numFmt numFmtId="179" formatCode="0.0000"/>
    <numFmt numFmtId="180" formatCode="_(\$* #,##0.0000_);_(\$* \(#,##0.0000\);_(\$* \-??_);_(@_)"/>
    <numFmt numFmtId="181" formatCode="#,##0.0000_);[RED]\(#,##0.0000\)"/>
    <numFmt numFmtId="182" formatCode="_(* #,##0.00_);_(* \(#,##0.00\);_(* \-??_);_(@_)"/>
    <numFmt numFmtId="183" formatCode="0_);\(0\)"/>
    <numFmt numFmtId="184" formatCode="[$-409]#,##0.00_);[RED]\(#,##0.00\)"/>
    <numFmt numFmtId="185" formatCode="_(* #,##0.000_);_(* \(#,##0.000\);_(* \-??_);_(@_)"/>
    <numFmt numFmtId="186" formatCode="_(* #,##0_);_(* \(#,##0\);_(* \-??_);_(@_)"/>
    <numFmt numFmtId="187" formatCode="_(* #,##0.0000_);_(* \(#,##0.0000\);_(* \-??_);_(@_)"/>
    <numFmt numFmtId="188" formatCode="0.000"/>
    <numFmt numFmtId="189" formatCode="[$-409]d\-mmm\-yy"/>
    <numFmt numFmtId="190" formatCode="\$#,##0.0000_);&quot;($&quot;#,##0.0000\)"/>
    <numFmt numFmtId="191" formatCode="\$#,##0.00_);&quot;($&quot;#,##0.00\)"/>
    <numFmt numFmtId="192" formatCode="\$#,##0.000_);[RED]&quot;($&quot;#,##0.000\)"/>
    <numFmt numFmtId="193" formatCode="\$#,##0.00_);[RED]&quot;($&quot;#,##0.00\)"/>
    <numFmt numFmtId="194" formatCode="0%"/>
    <numFmt numFmtId="195" formatCode="0.0000%"/>
    <numFmt numFmtId="196" formatCode="[$-409]mmm\-yy"/>
    <numFmt numFmtId="197" formatCode="\$#,##0.00000_);[RED]&quot;($&quot;#,##0.00000\)"/>
    <numFmt numFmtId="198" formatCode="0.00"/>
    <numFmt numFmtId="199" formatCode="_(\$* #,##0.00000_);_(\$* \(#,##0.00000\);_(\$* \-??_);_(@_)"/>
    <numFmt numFmtId="200" formatCode="\$#,##0.0000"/>
    <numFmt numFmtId="201" formatCode="\$#,##0.00"/>
    <numFmt numFmtId="202" formatCode="#,##0.000"/>
    <numFmt numFmtId="203" formatCode="\$#,##0.000_);&quot;($&quot;#,##0.000\)"/>
    <numFmt numFmtId="204" formatCode="# ?/?"/>
    <numFmt numFmtId="205" formatCode="m/d"/>
    <numFmt numFmtId="206" formatCode="_(* #,##0_);_(* \(#,##0\);_(* \-_);_(@_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0"/>
    </font>
    <font>
      <u val="single"/>
      <sz val="10"/>
      <name val="Arial"/>
      <family val="0"/>
    </font>
    <font>
      <u val="single"/>
      <sz val="9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CC99FF"/>
      </patternFill>
    </fill>
    <fill>
      <patternFill patternType="solid">
        <fgColor rgb="FFE3E3E3"/>
        <bgColor rgb="FFCCFFCC"/>
      </patternFill>
    </fill>
    <fill>
      <patternFill patternType="solid">
        <fgColor rgb="FFCC99FF"/>
        <bgColor rgb="FFCC9C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FF8080"/>
        <bgColor rgb="FFCC9C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double"/>
      <right/>
      <top style="dashed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94" fontId="0" fillId="0" borderId="0" applyFont="true" applyBorder="false" applyAlignment="false" applyProtection="false"/>
  </cellStyleXfs>
  <cellXfs count="5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6" fillId="7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6" fillId="0" borderId="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7" fillId="0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4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" fillId="0" borderId="1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4" fillId="0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4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13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1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16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1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1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4" fillId="1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7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3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CC9C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99"/>
    <col collapsed="false" customWidth="true" hidden="false" outlineLevel="0" max="3" min="3" style="2" width="11.28"/>
    <col collapsed="false" customWidth="true" hidden="false" outlineLevel="0" max="4" min="4" style="3" width="14.41"/>
    <col collapsed="false" customWidth="true" hidden="false" outlineLevel="0" max="5" min="5" style="3" width="3.7"/>
    <col collapsed="false" customWidth="true" hidden="false" outlineLevel="0" max="6" min="6" style="1" width="11.28"/>
    <col collapsed="false" customWidth="true" hidden="false" outlineLevel="0" max="7" min="7" style="4" width="15.56"/>
    <col collapsed="false" customWidth="true" hidden="false" outlineLevel="0" max="8" min="8" style="4" width="13.99"/>
    <col collapsed="false" customWidth="false" hidden="false" outlineLevel="0" max="9" min="9" style="1" width="9.14"/>
    <col collapsed="false" customWidth="true" hidden="false" outlineLevel="0" max="10" min="10" style="1" width="13.7"/>
    <col collapsed="false" customWidth="false" hidden="false" outlineLevel="0" max="11" min="11" style="1" width="9.14"/>
    <col collapsed="false" customWidth="true" hidden="false" outlineLevel="0" max="12" min="12" style="1" width="12.42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5" t="s">
        <v>0</v>
      </c>
      <c r="D1" s="2"/>
      <c r="E1" s="2"/>
      <c r="F1" s="6"/>
      <c r="G1" s="5"/>
      <c r="H1" s="5"/>
      <c r="I1" s="7"/>
      <c r="J1" s="8"/>
    </row>
    <row r="2" customFormat="false" ht="12.75" hidden="false" customHeight="false" outlineLevel="0" collapsed="false">
      <c r="A2" s="5"/>
      <c r="D2" s="9"/>
      <c r="E2" s="9"/>
      <c r="F2" s="6"/>
      <c r="G2" s="5"/>
      <c r="H2" s="5"/>
      <c r="I2" s="7"/>
      <c r="J2" s="8"/>
    </row>
    <row r="3" customFormat="false" ht="12.75" hidden="false" customHeight="false" outlineLevel="0" collapsed="false">
      <c r="A3" s="5"/>
      <c r="D3" s="9"/>
      <c r="E3" s="9"/>
      <c r="F3" s="6"/>
      <c r="G3" s="5" t="s">
        <v>1</v>
      </c>
      <c r="H3" s="5" t="s">
        <v>1</v>
      </c>
      <c r="I3" s="7"/>
      <c r="J3" s="8"/>
    </row>
    <row r="4" customFormat="false" ht="12.75" hidden="false" customHeight="false" outlineLevel="0" collapsed="false">
      <c r="A4" s="7"/>
      <c r="D4" s="2"/>
      <c r="E4" s="2"/>
      <c r="F4" s="6"/>
      <c r="G4" s="10"/>
      <c r="H4" s="5"/>
      <c r="I4" s="7"/>
      <c r="J4" s="8"/>
    </row>
    <row r="5" customFormat="false" ht="12.75" hidden="false" customHeight="false" outlineLevel="0" collapsed="false">
      <c r="A5" s="11" t="s">
        <v>2</v>
      </c>
      <c r="B5" s="12" t="s">
        <v>3</v>
      </c>
      <c r="C5" s="12" t="s">
        <v>4</v>
      </c>
      <c r="D5" s="12" t="s">
        <v>5</v>
      </c>
      <c r="E5" s="12"/>
      <c r="F5" s="13" t="s">
        <v>6</v>
      </c>
      <c r="G5" s="14" t="s">
        <v>7</v>
      </c>
      <c r="H5" s="14" t="s">
        <v>8</v>
      </c>
      <c r="I5" s="11" t="s">
        <v>6</v>
      </c>
      <c r="J5" s="14" t="s">
        <v>9</v>
      </c>
    </row>
    <row r="6" customFormat="false" ht="12.75" hidden="false" customHeight="false" outlineLevel="0" collapsed="false">
      <c r="A6" s="7" t="s">
        <v>10</v>
      </c>
      <c r="B6" s="2" t="n">
        <v>0.3051</v>
      </c>
      <c r="C6" s="2" t="n">
        <v>77177</v>
      </c>
      <c r="D6" s="2" t="s">
        <v>11</v>
      </c>
      <c r="E6" s="2"/>
      <c r="F6" s="6"/>
      <c r="G6" s="5" t="s">
        <v>12</v>
      </c>
      <c r="H6" s="5" t="s">
        <v>12</v>
      </c>
      <c r="I6" s="7" t="s">
        <v>13</v>
      </c>
      <c r="J6" s="5" t="s">
        <v>14</v>
      </c>
    </row>
    <row r="7" customFormat="false" ht="12.75" hidden="false" customHeight="false" outlineLevel="0" collapsed="false">
      <c r="A7" s="7" t="s">
        <v>10</v>
      </c>
      <c r="B7" s="2" t="n">
        <v>0.4983</v>
      </c>
      <c r="C7" s="2" t="n">
        <v>77169</v>
      </c>
      <c r="D7" s="2" t="s">
        <v>11</v>
      </c>
      <c r="E7" s="2"/>
      <c r="F7" s="6"/>
      <c r="G7" s="5" t="s">
        <v>12</v>
      </c>
      <c r="H7" s="5" t="s">
        <v>12</v>
      </c>
      <c r="I7" s="7" t="s">
        <v>13</v>
      </c>
      <c r="J7" s="5" t="s">
        <v>15</v>
      </c>
    </row>
    <row r="8" customFormat="false" ht="12.75" hidden="false" customHeight="false" outlineLevel="0" collapsed="false">
      <c r="A8" s="7" t="s">
        <v>10</v>
      </c>
      <c r="B8" s="2" t="n">
        <v>0.2999</v>
      </c>
      <c r="D8" s="2" t="s">
        <v>11</v>
      </c>
      <c r="E8" s="2"/>
      <c r="F8" s="6"/>
      <c r="G8" s="5" t="s">
        <v>12</v>
      </c>
      <c r="H8" s="5" t="s">
        <v>12</v>
      </c>
      <c r="I8" s="7" t="s">
        <v>13</v>
      </c>
      <c r="J8" s="5" t="s">
        <v>15</v>
      </c>
    </row>
    <row r="9" customFormat="false" ht="12.75" hidden="false" customHeight="false" outlineLevel="0" collapsed="false">
      <c r="A9" s="7" t="s">
        <v>10</v>
      </c>
      <c r="B9" s="2" t="n">
        <v>0.2774</v>
      </c>
      <c r="C9" s="2" t="n">
        <v>77175</v>
      </c>
      <c r="D9" s="2" t="s">
        <v>11</v>
      </c>
      <c r="E9" s="2"/>
      <c r="F9" s="6"/>
      <c r="G9" s="5" t="s">
        <v>12</v>
      </c>
      <c r="H9" s="5" t="s">
        <v>12</v>
      </c>
      <c r="I9" s="7" t="s">
        <v>13</v>
      </c>
      <c r="J9" s="5" t="s">
        <v>15</v>
      </c>
    </row>
    <row r="10" customFormat="false" ht="12.75" hidden="false" customHeight="false" outlineLevel="0" collapsed="false">
      <c r="A10" s="7" t="s">
        <v>10</v>
      </c>
      <c r="B10" s="2" t="n">
        <v>0.7537</v>
      </c>
      <c r="C10" s="2" t="n">
        <v>82420</v>
      </c>
      <c r="D10" s="2" t="s">
        <v>16</v>
      </c>
      <c r="E10" s="2"/>
      <c r="F10" s="6"/>
      <c r="G10" s="5" t="s">
        <v>12</v>
      </c>
      <c r="H10" s="5" t="s">
        <v>12</v>
      </c>
      <c r="I10" s="7" t="s">
        <v>13</v>
      </c>
      <c r="J10" s="5" t="s">
        <v>17</v>
      </c>
    </row>
    <row r="11" customFormat="false" ht="12.75" hidden="false" customHeight="false" outlineLevel="0" collapsed="false">
      <c r="A11" s="7" t="s">
        <v>10</v>
      </c>
      <c r="B11" s="2" t="n">
        <v>3.073</v>
      </c>
      <c r="C11" s="2" t="n">
        <v>96503</v>
      </c>
      <c r="D11" s="2" t="s">
        <v>18</v>
      </c>
      <c r="E11" s="2"/>
      <c r="F11" s="6"/>
      <c r="G11" s="5" t="s">
        <v>12</v>
      </c>
      <c r="H11" s="5" t="s">
        <v>12</v>
      </c>
      <c r="I11" s="7" t="s">
        <v>13</v>
      </c>
      <c r="J11" s="5" t="s">
        <v>19</v>
      </c>
    </row>
    <row r="12" customFormat="false" ht="12.75" hidden="false" customHeight="false" outlineLevel="0" collapsed="false">
      <c r="A12" s="7" t="s">
        <v>10</v>
      </c>
      <c r="B12" s="2" t="n">
        <v>1.8793</v>
      </c>
      <c r="C12" s="2" t="n">
        <v>104783</v>
      </c>
      <c r="D12" s="2" t="s">
        <v>20</v>
      </c>
      <c r="E12" s="2"/>
      <c r="F12" s="6"/>
      <c r="G12" s="5" t="s">
        <v>12</v>
      </c>
      <c r="H12" s="5" t="s">
        <v>12</v>
      </c>
      <c r="I12" s="7" t="s">
        <v>13</v>
      </c>
      <c r="J12" s="5" t="s">
        <v>21</v>
      </c>
    </row>
    <row r="13" customFormat="false" ht="12.75" hidden="false" customHeight="false" outlineLevel="0" collapsed="false">
      <c r="A13" s="7" t="s">
        <v>10</v>
      </c>
      <c r="B13" s="2" t="n">
        <v>0.9047</v>
      </c>
      <c r="C13" s="2" t="n">
        <v>168466</v>
      </c>
      <c r="D13" s="2" t="s">
        <v>22</v>
      </c>
      <c r="E13" s="2"/>
      <c r="F13" s="6"/>
      <c r="G13" s="5" t="s">
        <v>12</v>
      </c>
      <c r="H13" s="5" t="s">
        <v>12</v>
      </c>
      <c r="I13" s="7" t="s">
        <v>13</v>
      </c>
      <c r="J13" s="5" t="s">
        <v>23</v>
      </c>
    </row>
    <row r="15" customFormat="false" ht="12.75" hidden="false" customHeight="false" outlineLevel="0" collapsed="false">
      <c r="A15" s="1" t="s">
        <v>24</v>
      </c>
      <c r="B15" s="2" t="n">
        <v>2891</v>
      </c>
      <c r="D15" s="3" t="s">
        <v>11</v>
      </c>
      <c r="G15" s="4" t="s">
        <v>12</v>
      </c>
      <c r="H15" s="4" t="s">
        <v>12</v>
      </c>
    </row>
    <row r="16" customFormat="false" ht="12.75" hidden="false" customHeight="false" outlineLevel="0" collapsed="false">
      <c r="A16" s="1" t="s">
        <v>24</v>
      </c>
      <c r="B16" s="2" t="n">
        <v>80045</v>
      </c>
      <c r="D16" s="3" t="s">
        <v>13</v>
      </c>
    </row>
    <row r="18" customFormat="false" ht="12.75" hidden="false" customHeight="false" outlineLevel="0" collapsed="false">
      <c r="A18" s="1" t="s">
        <v>25</v>
      </c>
      <c r="B18" s="2" t="s">
        <v>26</v>
      </c>
      <c r="C18" s="2" t="n">
        <v>98243</v>
      </c>
      <c r="D18" s="3" t="s">
        <v>27</v>
      </c>
      <c r="G18" s="4" t="s">
        <v>12</v>
      </c>
      <c r="H18" s="4" t="s">
        <v>12</v>
      </c>
      <c r="J18" s="1" t="s">
        <v>28</v>
      </c>
    </row>
    <row r="19" customFormat="false" ht="12.75" hidden="false" customHeight="false" outlineLevel="0" collapsed="false">
      <c r="A19" s="1" t="s">
        <v>25</v>
      </c>
      <c r="B19" s="2" t="s">
        <v>26</v>
      </c>
      <c r="C19" s="2" t="n">
        <v>98567</v>
      </c>
      <c r="D19" s="3" t="s">
        <v>29</v>
      </c>
      <c r="G19" s="4" t="s">
        <v>12</v>
      </c>
      <c r="H19" s="4" t="s">
        <v>12</v>
      </c>
      <c r="J19" s="1" t="s">
        <v>30</v>
      </c>
    </row>
    <row r="20" customFormat="false" ht="12.75" hidden="false" customHeight="false" outlineLevel="0" collapsed="false">
      <c r="A20" s="1" t="s">
        <v>25</v>
      </c>
      <c r="B20" s="2" t="n">
        <v>600228</v>
      </c>
      <c r="C20" s="2" t="n">
        <v>77009</v>
      </c>
      <c r="D20" s="3" t="s">
        <v>31</v>
      </c>
      <c r="G20" s="4" t="s">
        <v>12</v>
      </c>
      <c r="H20" s="4" t="s">
        <v>12</v>
      </c>
      <c r="J20" s="1" t="s">
        <v>32</v>
      </c>
    </row>
    <row r="22" customFormat="false" ht="12.75" hidden="false" customHeight="false" outlineLevel="0" collapsed="false">
      <c r="A22" s="1" t="s">
        <v>33</v>
      </c>
      <c r="B22" s="2" t="s">
        <v>34</v>
      </c>
      <c r="C22" s="2" t="n">
        <v>168569</v>
      </c>
      <c r="D22" s="3" t="s">
        <v>35</v>
      </c>
      <c r="G22" s="4" t="s">
        <v>12</v>
      </c>
      <c r="H22" s="4" t="s">
        <v>12</v>
      </c>
      <c r="J22" s="1" t="s">
        <v>36</v>
      </c>
    </row>
    <row r="24" customFormat="false" ht="12.75" hidden="false" customHeight="false" outlineLevel="0" collapsed="false">
      <c r="A24" s="1" t="s">
        <v>37</v>
      </c>
      <c r="B24" s="2" t="n">
        <v>9310010</v>
      </c>
      <c r="D24" s="3" t="s">
        <v>38</v>
      </c>
    </row>
    <row r="26" customFormat="false" ht="12.75" hidden="false" customHeight="false" outlineLevel="0" collapsed="false">
      <c r="A26" s="1" t="s">
        <v>39</v>
      </c>
      <c r="B26" s="2" t="n">
        <v>38641</v>
      </c>
      <c r="C26" s="2" t="n">
        <v>93039</v>
      </c>
      <c r="D26" s="3" t="s">
        <v>40</v>
      </c>
      <c r="J26" s="1" t="s">
        <v>41</v>
      </c>
    </row>
    <row r="27" customFormat="false" ht="12.75" hidden="false" customHeight="false" outlineLevel="0" collapsed="false">
      <c r="A27" s="1" t="s">
        <v>39</v>
      </c>
      <c r="B27" s="2" t="n">
        <v>37556</v>
      </c>
      <c r="C27" s="2" t="n">
        <v>93037</v>
      </c>
      <c r="D27" s="3" t="s">
        <v>42</v>
      </c>
      <c r="J27" s="1" t="s">
        <v>43</v>
      </c>
    </row>
    <row r="28" customFormat="false" ht="12.75" hidden="false" customHeight="false" outlineLevel="0" collapsed="false">
      <c r="A28" s="1" t="s">
        <v>39</v>
      </c>
      <c r="B28" s="2" t="n">
        <v>39229</v>
      </c>
      <c r="C28" s="2" t="n">
        <v>93030</v>
      </c>
      <c r="D28" s="3" t="s">
        <v>44</v>
      </c>
      <c r="J28" s="1" t="s">
        <v>45</v>
      </c>
    </row>
    <row r="31" customFormat="false" ht="12.75" hidden="false" customHeight="false" outlineLevel="0" collapsed="false">
      <c r="A31" s="1" t="s">
        <v>46</v>
      </c>
      <c r="B31" s="2" t="n">
        <v>40998</v>
      </c>
      <c r="D31" s="3" t="s">
        <v>11</v>
      </c>
    </row>
    <row r="32" customFormat="false" ht="12.75" hidden="false" customHeight="false" outlineLevel="0" collapsed="false">
      <c r="A32" s="1" t="s">
        <v>46</v>
      </c>
      <c r="B32" s="2" t="n">
        <v>38021</v>
      </c>
      <c r="C32" s="2" t="n">
        <v>166118</v>
      </c>
      <c r="D32" s="3" t="s">
        <v>47</v>
      </c>
      <c r="G32" s="4" t="s">
        <v>12</v>
      </c>
      <c r="H32" s="4" t="s">
        <v>12</v>
      </c>
      <c r="J32" s="1" t="s">
        <v>36</v>
      </c>
    </row>
    <row r="34" customFormat="false" ht="12.75" hidden="false" customHeight="false" outlineLevel="0" collapsed="false">
      <c r="A34" s="1" t="s">
        <v>48</v>
      </c>
      <c r="B34" s="2" t="s">
        <v>49</v>
      </c>
      <c r="C34" s="2" t="n">
        <v>102637</v>
      </c>
      <c r="D34" s="3" t="s">
        <v>50</v>
      </c>
      <c r="F34" s="1" t="n">
        <v>60000</v>
      </c>
      <c r="J34" s="1" t="s">
        <v>51</v>
      </c>
    </row>
    <row r="35" customFormat="false" ht="13.5" hidden="false" customHeight="true" outlineLevel="0" collapsed="false">
      <c r="A35" s="15" t="s">
        <v>52</v>
      </c>
      <c r="B35" s="16" t="s">
        <v>48</v>
      </c>
      <c r="C35" s="16" t="s">
        <v>48</v>
      </c>
      <c r="D35" s="17" t="n">
        <v>35065</v>
      </c>
      <c r="E35" s="17"/>
      <c r="F35" s="17" t="s">
        <v>53</v>
      </c>
      <c r="G35" s="15" t="s">
        <v>54</v>
      </c>
      <c r="H35" s="18" t="n">
        <v>50000</v>
      </c>
      <c r="I35" s="16"/>
      <c r="J35" s="19" t="e">
        <f aca="false">0/#REF!</f>
        <v>#REF!</v>
      </c>
      <c r="K35" s="20" t="n">
        <v>0.198</v>
      </c>
      <c r="L35" s="20" t="n">
        <v>0</v>
      </c>
      <c r="M35" s="20" t="n">
        <v>0</v>
      </c>
      <c r="N35" s="20" t="n">
        <v>0.02</v>
      </c>
      <c r="O35" s="20" t="n">
        <f aca="false">+P35*2.2</f>
        <v>0.05016</v>
      </c>
      <c r="P35" s="21" t="n">
        <v>0.0228</v>
      </c>
      <c r="Q35" s="20" t="e">
        <f aca="false">SUM(J35:O35)</f>
        <v>#REF!</v>
      </c>
      <c r="R35" s="22" t="s">
        <v>55</v>
      </c>
      <c r="S35" s="16" t="n">
        <v>85315</v>
      </c>
      <c r="T35" s="15"/>
      <c r="U35" s="23" t="n">
        <v>0</v>
      </c>
      <c r="V35" s="23" t="n">
        <v>0</v>
      </c>
      <c r="W35" s="24" t="n">
        <v>77853</v>
      </c>
      <c r="X35" s="24"/>
    </row>
    <row r="36" customFormat="false" ht="13.5" hidden="false" customHeight="true" outlineLevel="0" collapsed="false">
      <c r="A36" s="15" t="s">
        <v>52</v>
      </c>
      <c r="B36" s="16" t="s">
        <v>48</v>
      </c>
      <c r="C36" s="16" t="s">
        <v>48</v>
      </c>
      <c r="D36" s="17" t="n">
        <v>35065</v>
      </c>
      <c r="E36" s="17"/>
      <c r="F36" s="17" t="s">
        <v>53</v>
      </c>
      <c r="G36" s="15" t="s">
        <v>56</v>
      </c>
      <c r="H36" s="18" t="n">
        <v>50001</v>
      </c>
      <c r="I36" s="16"/>
      <c r="J36" s="19" t="e">
        <f aca="false">0/#REF!</f>
        <v>#REF!</v>
      </c>
      <c r="K36" s="20" t="n">
        <v>0.198</v>
      </c>
      <c r="L36" s="20" t="n">
        <v>0</v>
      </c>
      <c r="M36" s="20" t="n">
        <v>0</v>
      </c>
      <c r="N36" s="20" t="n">
        <v>0.02</v>
      </c>
      <c r="O36" s="20" t="n">
        <f aca="false">+P36*2.2</f>
        <v>0.05016</v>
      </c>
      <c r="P36" s="21" t="n">
        <v>0.0228</v>
      </c>
      <c r="Q36" s="20" t="e">
        <f aca="false">SUM(J36:O36)</f>
        <v>#REF!</v>
      </c>
      <c r="R36" s="22" t="s">
        <v>57</v>
      </c>
      <c r="S36" s="16" t="n">
        <v>78123</v>
      </c>
      <c r="T36" s="15"/>
      <c r="U36" s="23" t="n">
        <v>0</v>
      </c>
      <c r="V36" s="23" t="n">
        <v>0</v>
      </c>
      <c r="W36" s="24" t="n">
        <v>77860</v>
      </c>
      <c r="X36" s="24"/>
    </row>
    <row r="37" customFormat="false" ht="13.5" hidden="false" customHeight="true" outlineLevel="0" collapsed="false">
      <c r="A37" s="15" t="s">
        <v>52</v>
      </c>
      <c r="B37" s="16" t="s">
        <v>48</v>
      </c>
      <c r="C37" s="16" t="s">
        <v>48</v>
      </c>
      <c r="D37" s="17" t="n">
        <v>35065</v>
      </c>
      <c r="E37" s="17"/>
      <c r="F37" s="17" t="s">
        <v>53</v>
      </c>
      <c r="G37" s="15" t="s">
        <v>58</v>
      </c>
      <c r="H37" s="18" t="n">
        <v>50002</v>
      </c>
      <c r="I37" s="16"/>
      <c r="J37" s="19" t="e">
        <f aca="false">0/#REF!</f>
        <v>#REF!</v>
      </c>
      <c r="K37" s="20" t="n">
        <v>0.198</v>
      </c>
      <c r="L37" s="20" t="n">
        <v>0</v>
      </c>
      <c r="M37" s="20" t="n">
        <v>0</v>
      </c>
      <c r="N37" s="20" t="n">
        <v>0.02</v>
      </c>
      <c r="O37" s="20" t="n">
        <f aca="false">+P37*2.2</f>
        <v>0.05016</v>
      </c>
      <c r="P37" s="21" t="n">
        <v>0.0228</v>
      </c>
      <c r="Q37" s="20" t="e">
        <f aca="false">SUM(J37:O37)</f>
        <v>#REF!</v>
      </c>
      <c r="R37" s="22" t="s">
        <v>59</v>
      </c>
      <c r="S37" s="16" t="n">
        <v>77922</v>
      </c>
      <c r="T37" s="15"/>
      <c r="U37" s="23" t="n">
        <v>0</v>
      </c>
      <c r="V37" s="23" t="n">
        <v>0</v>
      </c>
      <c r="W37" s="24" t="n">
        <v>80517</v>
      </c>
      <c r="X37" s="24"/>
    </row>
    <row r="38" customFormat="false" ht="13.5" hidden="false" customHeight="true" outlineLevel="0" collapsed="false">
      <c r="A38" s="15" t="s">
        <v>52</v>
      </c>
      <c r="B38" s="16" t="s">
        <v>48</v>
      </c>
      <c r="C38" s="16" t="s">
        <v>48</v>
      </c>
      <c r="D38" s="17" t="n">
        <v>35065</v>
      </c>
      <c r="E38" s="17"/>
      <c r="F38" s="17" t="s">
        <v>53</v>
      </c>
      <c r="G38" s="15" t="s">
        <v>60</v>
      </c>
      <c r="H38" s="18" t="n">
        <v>50003</v>
      </c>
      <c r="I38" s="16"/>
      <c r="J38" s="19" t="e">
        <f aca="false">0/#REF!</f>
        <v>#REF!</v>
      </c>
      <c r="K38" s="20" t="n">
        <v>0.198</v>
      </c>
      <c r="L38" s="20" t="n">
        <v>0</v>
      </c>
      <c r="M38" s="20" t="n">
        <v>0</v>
      </c>
      <c r="N38" s="20" t="n">
        <v>0.02</v>
      </c>
      <c r="O38" s="20" t="n">
        <f aca="false">+P38*2.2</f>
        <v>0.05016</v>
      </c>
      <c r="P38" s="21" t="n">
        <v>0.0228</v>
      </c>
      <c r="Q38" s="20" t="e">
        <f aca="false">SUM(J38:O38)</f>
        <v>#REF!</v>
      </c>
      <c r="R38" s="22" t="s">
        <v>61</v>
      </c>
      <c r="S38" s="16" t="n">
        <v>35087</v>
      </c>
      <c r="T38" s="15"/>
      <c r="U38" s="23" t="n">
        <v>0</v>
      </c>
      <c r="V38" s="23" t="n">
        <v>0</v>
      </c>
      <c r="W38" s="24" t="n">
        <v>80537</v>
      </c>
      <c r="X38" s="24"/>
    </row>
    <row r="39" customFormat="false" ht="13.5" hidden="false" customHeight="true" outlineLevel="0" collapsed="false">
      <c r="A39" s="15" t="s">
        <v>52</v>
      </c>
      <c r="B39" s="16" t="s">
        <v>48</v>
      </c>
      <c r="C39" s="16" t="s">
        <v>48</v>
      </c>
      <c r="D39" s="17" t="n">
        <v>35065</v>
      </c>
      <c r="E39" s="17"/>
      <c r="F39" s="17" t="s">
        <v>53</v>
      </c>
      <c r="G39" s="15" t="s">
        <v>62</v>
      </c>
      <c r="H39" s="18" t="n">
        <v>50004</v>
      </c>
      <c r="I39" s="16"/>
      <c r="J39" s="19" t="e">
        <f aca="false">0/#REF!</f>
        <v>#REF!</v>
      </c>
      <c r="K39" s="20" t="n">
        <v>0.198</v>
      </c>
      <c r="L39" s="20" t="n">
        <v>0</v>
      </c>
      <c r="M39" s="20" t="n">
        <v>0</v>
      </c>
      <c r="N39" s="20" t="n">
        <v>0.02</v>
      </c>
      <c r="O39" s="20" t="n">
        <f aca="false">+P39*2.2</f>
        <v>0.05016</v>
      </c>
      <c r="P39" s="21" t="n">
        <v>0.0228</v>
      </c>
      <c r="Q39" s="20" t="e">
        <f aca="false">SUM(J39:O39)</f>
        <v>#REF!</v>
      </c>
      <c r="R39" s="22" t="s">
        <v>63</v>
      </c>
      <c r="S39" s="16" t="n">
        <v>39194</v>
      </c>
      <c r="T39" s="15"/>
      <c r="U39" s="23" t="n">
        <v>0</v>
      </c>
      <c r="V39" s="23" t="n">
        <v>0</v>
      </c>
      <c r="W39" s="24" t="n">
        <v>80538</v>
      </c>
      <c r="X39" s="24"/>
    </row>
    <row r="40" customFormat="false" ht="13.5" hidden="false" customHeight="true" outlineLevel="0" collapsed="false">
      <c r="A40" s="15" t="s">
        <v>52</v>
      </c>
      <c r="B40" s="16" t="s">
        <v>48</v>
      </c>
      <c r="C40" s="16" t="s">
        <v>48</v>
      </c>
      <c r="D40" s="17" t="n">
        <v>35065</v>
      </c>
      <c r="E40" s="17"/>
      <c r="F40" s="17" t="s">
        <v>53</v>
      </c>
      <c r="G40" s="15" t="s">
        <v>64</v>
      </c>
      <c r="H40" s="18" t="n">
        <v>50000</v>
      </c>
      <c r="I40" s="16"/>
      <c r="J40" s="19" t="e">
        <f aca="false">0/#REF!</f>
        <v>#REF!</v>
      </c>
      <c r="K40" s="20" t="n">
        <v>0</v>
      </c>
      <c r="L40" s="20" t="n">
        <v>0</v>
      </c>
      <c r="M40" s="20" t="n">
        <v>0</v>
      </c>
      <c r="N40" s="20" t="n">
        <v>0.02</v>
      </c>
      <c r="O40" s="20" t="n">
        <f aca="false">+P40*2.2</f>
        <v>0</v>
      </c>
      <c r="P40" s="21" t="n">
        <v>0</v>
      </c>
      <c r="Q40" s="20" t="e">
        <f aca="false">SUM(J40:O40)</f>
        <v>#REF!</v>
      </c>
      <c r="R40" s="22" t="s">
        <v>65</v>
      </c>
      <c r="S40" s="16" t="n">
        <v>9185</v>
      </c>
      <c r="T40" s="15"/>
      <c r="U40" s="23" t="n">
        <v>0</v>
      </c>
      <c r="V40" s="23" t="n">
        <v>0</v>
      </c>
      <c r="W40" s="24" t="n">
        <v>77852</v>
      </c>
      <c r="X40" s="24"/>
    </row>
    <row r="41" customFormat="false" ht="13.5" hidden="false" customHeight="true" outlineLevel="0" collapsed="false">
      <c r="A41" s="15" t="s">
        <v>52</v>
      </c>
      <c r="B41" s="16" t="s">
        <v>48</v>
      </c>
      <c r="C41" s="16" t="s">
        <v>48</v>
      </c>
      <c r="D41" s="17" t="n">
        <v>35065</v>
      </c>
      <c r="E41" s="17"/>
      <c r="F41" s="17" t="s">
        <v>53</v>
      </c>
      <c r="G41" s="15" t="s">
        <v>66</v>
      </c>
      <c r="H41" s="18" t="n">
        <v>50001</v>
      </c>
      <c r="I41" s="16"/>
      <c r="J41" s="19" t="e">
        <f aca="false">0/#REF!</f>
        <v>#REF!</v>
      </c>
      <c r="K41" s="20" t="n">
        <v>0</v>
      </c>
      <c r="L41" s="20" t="n">
        <v>0</v>
      </c>
      <c r="M41" s="20" t="n">
        <v>0</v>
      </c>
      <c r="N41" s="20" t="n">
        <v>0.02</v>
      </c>
      <c r="O41" s="20" t="n">
        <f aca="false">+P41*2.2</f>
        <v>0</v>
      </c>
      <c r="P41" s="21" t="n">
        <v>0</v>
      </c>
      <c r="Q41" s="20" t="e">
        <f aca="false">SUM(J41:O41)</f>
        <v>#REF!</v>
      </c>
      <c r="R41" s="22" t="s">
        <v>67</v>
      </c>
      <c r="S41" s="16" t="n">
        <v>16377</v>
      </c>
      <c r="T41" s="15"/>
      <c r="U41" s="23" t="n">
        <v>0</v>
      </c>
      <c r="V41" s="23" t="n">
        <v>0</v>
      </c>
      <c r="W41" s="24" t="n">
        <v>77858</v>
      </c>
      <c r="X41" s="24"/>
    </row>
    <row r="42" customFormat="false" ht="13.5" hidden="false" customHeight="true" outlineLevel="0" collapsed="false">
      <c r="A42" s="15" t="s">
        <v>52</v>
      </c>
      <c r="B42" s="16" t="s">
        <v>48</v>
      </c>
      <c r="C42" s="16" t="s">
        <v>48</v>
      </c>
      <c r="D42" s="17" t="n">
        <v>35065</v>
      </c>
      <c r="E42" s="17"/>
      <c r="F42" s="17" t="s">
        <v>53</v>
      </c>
      <c r="G42" s="15" t="s">
        <v>68</v>
      </c>
      <c r="H42" s="18" t="n">
        <v>50002</v>
      </c>
      <c r="I42" s="16"/>
      <c r="J42" s="19" t="e">
        <f aca="false">0/#REF!</f>
        <v>#REF!</v>
      </c>
      <c r="K42" s="20" t="n">
        <v>0</v>
      </c>
      <c r="L42" s="20" t="n">
        <v>0</v>
      </c>
      <c r="M42" s="20" t="n">
        <v>0</v>
      </c>
      <c r="N42" s="20" t="n">
        <v>0.02</v>
      </c>
      <c r="O42" s="20" t="n">
        <f aca="false">+P42*2.2</f>
        <v>0</v>
      </c>
      <c r="P42" s="21" t="n">
        <v>0</v>
      </c>
      <c r="Q42" s="20" t="e">
        <f aca="false">SUM(J42:O42)</f>
        <v>#REF!</v>
      </c>
      <c r="R42" s="22" t="s">
        <v>69</v>
      </c>
      <c r="S42" s="16" t="n">
        <v>3578</v>
      </c>
      <c r="T42" s="15"/>
      <c r="U42" s="23" t="n">
        <v>0</v>
      </c>
      <c r="V42" s="23" t="n">
        <v>0</v>
      </c>
      <c r="W42" s="24" t="n">
        <v>77845</v>
      </c>
      <c r="X42" s="24"/>
    </row>
    <row r="43" customFormat="false" ht="13.5" hidden="false" customHeight="true" outlineLevel="0" collapsed="false">
      <c r="A43" s="15" t="s">
        <v>52</v>
      </c>
      <c r="B43" s="16" t="s">
        <v>48</v>
      </c>
      <c r="C43" s="16" t="s">
        <v>48</v>
      </c>
      <c r="D43" s="17" t="n">
        <v>35065</v>
      </c>
      <c r="E43" s="17"/>
      <c r="F43" s="17" t="s">
        <v>53</v>
      </c>
      <c r="G43" s="15" t="s">
        <v>70</v>
      </c>
      <c r="H43" s="18" t="n">
        <v>50003</v>
      </c>
      <c r="I43" s="16"/>
      <c r="J43" s="19" t="e">
        <f aca="false">0/#REF!</f>
        <v>#REF!</v>
      </c>
      <c r="K43" s="20" t="n">
        <v>0</v>
      </c>
      <c r="L43" s="20" t="n">
        <v>0</v>
      </c>
      <c r="M43" s="20" t="n">
        <v>0</v>
      </c>
      <c r="N43" s="20" t="n">
        <v>0.02</v>
      </c>
      <c r="O43" s="20" t="n">
        <f aca="false">+P43*2.2</f>
        <v>0</v>
      </c>
      <c r="P43" s="21" t="n">
        <v>0</v>
      </c>
      <c r="Q43" s="20" t="e">
        <f aca="false">SUM(J43:O43)</f>
        <v>#REF!</v>
      </c>
      <c r="R43" s="22" t="s">
        <v>71</v>
      </c>
      <c r="S43" s="16" t="n">
        <v>6913</v>
      </c>
      <c r="T43" s="15"/>
      <c r="U43" s="23" t="n">
        <v>0</v>
      </c>
      <c r="V43" s="23" t="n">
        <v>0</v>
      </c>
      <c r="W43" s="24" t="n">
        <v>77848</v>
      </c>
      <c r="X43" s="24"/>
    </row>
    <row r="44" customFormat="false" ht="13.5" hidden="false" customHeight="true" outlineLevel="0" collapsed="false">
      <c r="A44" s="15" t="s">
        <v>52</v>
      </c>
      <c r="B44" s="16" t="s">
        <v>48</v>
      </c>
      <c r="C44" s="16" t="s">
        <v>48</v>
      </c>
      <c r="D44" s="17" t="n">
        <v>35065</v>
      </c>
      <c r="E44" s="17"/>
      <c r="F44" s="17" t="s">
        <v>53</v>
      </c>
      <c r="G44" s="15" t="s">
        <v>72</v>
      </c>
      <c r="H44" s="18" t="n">
        <v>50004</v>
      </c>
      <c r="I44" s="16"/>
      <c r="J44" s="19" t="e">
        <f aca="false">0/#REF!</f>
        <v>#REF!</v>
      </c>
      <c r="K44" s="20" t="n">
        <v>0</v>
      </c>
      <c r="L44" s="20" t="n">
        <v>0</v>
      </c>
      <c r="M44" s="20" t="n">
        <v>0</v>
      </c>
      <c r="N44" s="20" t="n">
        <v>0.02</v>
      </c>
      <c r="O44" s="20" t="n">
        <f aca="false">+P44*2.2</f>
        <v>0</v>
      </c>
      <c r="P44" s="21" t="n">
        <v>0</v>
      </c>
      <c r="Q44" s="20" t="e">
        <f aca="false">SUM(J44:O44)</f>
        <v>#REF!</v>
      </c>
      <c r="R44" s="22" t="s">
        <v>73</v>
      </c>
      <c r="S44" s="16" t="n">
        <v>18556</v>
      </c>
      <c r="T44" s="15"/>
      <c r="U44" s="23" t="n">
        <v>0</v>
      </c>
      <c r="V44" s="23" t="n">
        <v>0</v>
      </c>
      <c r="W44" s="24" t="n">
        <v>77850</v>
      </c>
      <c r="X44" s="24"/>
    </row>
    <row r="46" customFormat="false" ht="12.75" hidden="false" customHeight="false" outlineLevel="0" collapsed="false">
      <c r="A46" s="1" t="s">
        <v>74</v>
      </c>
      <c r="B46" s="2" t="s">
        <v>75</v>
      </c>
      <c r="C46" s="2" t="n">
        <v>104749</v>
      </c>
      <c r="D46" s="3" t="s">
        <v>76</v>
      </c>
      <c r="G46" s="4" t="s">
        <v>77</v>
      </c>
      <c r="J46" s="1" t="s">
        <v>78</v>
      </c>
    </row>
    <row r="47" customFormat="false" ht="12.75" hidden="false" customHeight="false" outlineLevel="0" collapsed="false">
      <c r="A47" s="1" t="s">
        <v>74</v>
      </c>
      <c r="B47" s="2" t="s">
        <v>79</v>
      </c>
      <c r="C47" s="2" t="n">
        <v>82026</v>
      </c>
      <c r="D47" s="3" t="s">
        <v>11</v>
      </c>
      <c r="G47" s="4" t="s">
        <v>12</v>
      </c>
      <c r="H47" s="4" t="s">
        <v>12</v>
      </c>
    </row>
    <row r="49" customFormat="false" ht="12.75" hidden="false" customHeight="false" outlineLevel="0" collapsed="false">
      <c r="A49" s="1" t="s">
        <v>80</v>
      </c>
      <c r="B49" s="2" t="s">
        <v>81</v>
      </c>
      <c r="C49" s="2" t="n">
        <v>117510</v>
      </c>
      <c r="D49" s="3" t="s">
        <v>11</v>
      </c>
      <c r="J49" s="1" t="s">
        <v>82</v>
      </c>
    </row>
    <row r="51" customFormat="false" ht="12.75" hidden="false" customHeight="false" outlineLevel="0" collapsed="false">
      <c r="A51" s="1" t="s">
        <v>83</v>
      </c>
      <c r="B51" s="2" t="n">
        <v>15</v>
      </c>
      <c r="C51" s="2" t="n">
        <v>125711</v>
      </c>
      <c r="D51" s="3" t="s">
        <v>11</v>
      </c>
    </row>
    <row r="53" customFormat="false" ht="12.75" hidden="false" customHeight="false" outlineLevel="0" collapsed="false">
      <c r="A53" s="1" t="s">
        <v>84</v>
      </c>
      <c r="B53" s="2" t="s">
        <v>85</v>
      </c>
      <c r="C53" s="2" t="n">
        <v>124109</v>
      </c>
      <c r="D53" s="3" t="s">
        <v>86</v>
      </c>
    </row>
    <row r="54" customFormat="false" ht="12.75" hidden="false" customHeight="false" outlineLevel="0" collapsed="false">
      <c r="A54" s="1" t="s">
        <v>84</v>
      </c>
      <c r="B54" s="2" t="s">
        <v>87</v>
      </c>
      <c r="C54" s="2" t="n">
        <v>77753</v>
      </c>
      <c r="D54" s="3" t="s">
        <v>11</v>
      </c>
    </row>
    <row r="56" customFormat="false" ht="12.75" hidden="false" customHeight="false" outlineLevel="0" collapsed="false">
      <c r="A56" s="1" t="s">
        <v>88</v>
      </c>
      <c r="B56" s="2" t="s">
        <v>89</v>
      </c>
      <c r="C56" s="2" t="n">
        <v>220796</v>
      </c>
      <c r="D56" s="3" t="s">
        <v>11</v>
      </c>
      <c r="F56" s="1" t="s">
        <v>90</v>
      </c>
      <c r="J56" s="1" t="s">
        <v>91</v>
      </c>
    </row>
    <row r="59" customFormat="false" ht="12.75" hidden="false" customHeight="false" outlineLevel="0" collapsed="false">
      <c r="A59" s="15" t="s">
        <v>92</v>
      </c>
      <c r="B59" s="16" t="s">
        <v>93</v>
      </c>
      <c r="C59" s="16" t="s">
        <v>93</v>
      </c>
      <c r="D59" s="17" t="s">
        <v>90</v>
      </c>
      <c r="E59" s="17" t="s">
        <v>90</v>
      </c>
      <c r="F59" s="15" t="s">
        <v>94</v>
      </c>
      <c r="G59" s="15" t="s">
        <v>94</v>
      </c>
      <c r="H59" s="16" t="s">
        <v>11</v>
      </c>
      <c r="I59" s="19" t="n">
        <v>0</v>
      </c>
      <c r="J59" s="20" t="n">
        <v>0</v>
      </c>
      <c r="K59" s="20" t="n">
        <v>0.0022</v>
      </c>
      <c r="L59" s="20" t="n">
        <v>0.0072</v>
      </c>
      <c r="M59" s="20" t="n">
        <v>0.0131</v>
      </c>
      <c r="N59" s="25" t="n">
        <v>0</v>
      </c>
      <c r="O59" s="20" t="n">
        <f aca="false">SUM(I59:M59)</f>
        <v>0.0225</v>
      </c>
      <c r="P59" s="22" t="s">
        <v>95</v>
      </c>
      <c r="Q59" s="22" t="s">
        <v>95</v>
      </c>
      <c r="R59" s="16" t="n">
        <v>0</v>
      </c>
      <c r="S59" s="15" t="s">
        <v>96</v>
      </c>
      <c r="T59" s="23" t="n">
        <f aca="false">I59*I$1*R59</f>
        <v>0</v>
      </c>
      <c r="U59" s="23"/>
      <c r="V59" s="26"/>
      <c r="W59" s="26" t="n">
        <v>145336</v>
      </c>
      <c r="X59" s="24"/>
      <c r="Y59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F41" activeCellId="0" sqref="F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14" min="12" style="526" width="9.14"/>
  </cols>
  <sheetData>
    <row r="1" customFormat="false" ht="12.75" hidden="false" customHeight="false" outlineLevel="0" collapsed="false">
      <c r="A1" s="527"/>
      <c r="B1" s="527"/>
      <c r="C1" s="527"/>
      <c r="D1" s="527"/>
      <c r="E1" s="527"/>
      <c r="F1" s="527"/>
      <c r="G1" s="527"/>
      <c r="H1" s="527"/>
      <c r="I1" s="527"/>
      <c r="J1" s="527"/>
    </row>
    <row r="2" customFormat="false" ht="12.75" hidden="false" customHeight="false" outlineLevel="0" collapsed="false">
      <c r="A2" s="527"/>
      <c r="B2" s="527"/>
      <c r="C2" s="527"/>
      <c r="D2" s="527"/>
      <c r="E2" s="527"/>
      <c r="F2" s="527"/>
      <c r="G2" s="527"/>
      <c r="H2" s="527"/>
      <c r="I2" s="527"/>
      <c r="J2" s="527"/>
    </row>
    <row r="3" customFormat="false" ht="12.75" hidden="false" customHeight="false" outlineLevel="0" collapsed="false">
      <c r="A3" s="527"/>
      <c r="B3" s="527"/>
      <c r="C3" s="527"/>
      <c r="D3" s="527"/>
      <c r="E3" s="527"/>
      <c r="F3" s="527"/>
      <c r="G3" s="527"/>
      <c r="H3" s="527"/>
      <c r="I3" s="527"/>
      <c r="J3" s="527"/>
    </row>
    <row r="4" customFormat="false" ht="12.75" hidden="false" customHeight="false" outlineLevel="0" collapsed="false">
      <c r="A4" s="527"/>
      <c r="B4" s="527"/>
      <c r="C4" s="527"/>
      <c r="D4" s="527"/>
      <c r="E4" s="527"/>
      <c r="F4" s="527"/>
      <c r="G4" s="527"/>
      <c r="H4" s="527"/>
      <c r="I4" s="527"/>
      <c r="J4" s="527"/>
    </row>
    <row r="5" customFormat="false" ht="12.75" hidden="false" customHeight="false" outlineLevel="0" collapsed="false">
      <c r="A5" s="527"/>
      <c r="B5" s="527"/>
      <c r="C5" s="527"/>
      <c r="D5" s="527"/>
      <c r="E5" s="527"/>
      <c r="F5" s="527"/>
      <c r="G5" s="527"/>
      <c r="H5" s="527"/>
      <c r="I5" s="527"/>
      <c r="J5" s="527"/>
    </row>
    <row r="6" customFormat="false" ht="12.75" hidden="false" customHeight="false" outlineLevel="0" collapsed="false">
      <c r="A6" s="527"/>
      <c r="B6" s="527"/>
      <c r="C6" s="527"/>
      <c r="D6" s="527"/>
      <c r="E6" s="527"/>
      <c r="F6" s="527"/>
      <c r="G6" s="527"/>
      <c r="H6" s="527"/>
      <c r="I6" s="527"/>
      <c r="J6" s="527"/>
    </row>
    <row r="7" customFormat="false" ht="12.75" hidden="false" customHeight="false" outlineLevel="0" collapsed="false">
      <c r="A7" s="527"/>
      <c r="B7" s="527"/>
      <c r="C7" s="527"/>
      <c r="D7" s="527"/>
      <c r="E7" s="527"/>
      <c r="F7" s="527"/>
      <c r="G7" s="527"/>
      <c r="H7" s="527"/>
      <c r="I7" s="527"/>
      <c r="J7" s="527"/>
    </row>
    <row r="8" customFormat="false" ht="12.75" hidden="false" customHeight="false" outlineLevel="0" collapsed="false">
      <c r="A8" s="527"/>
      <c r="B8" s="527"/>
      <c r="C8" s="527"/>
      <c r="D8" s="527"/>
      <c r="E8" s="527"/>
      <c r="F8" s="527"/>
      <c r="G8" s="527"/>
      <c r="H8" s="527"/>
      <c r="I8" s="527"/>
      <c r="J8" s="527"/>
    </row>
    <row r="9" customFormat="false" ht="12.75" hidden="false" customHeight="false" outlineLevel="0" collapsed="false">
      <c r="A9" s="527"/>
      <c r="B9" s="527" t="s">
        <v>25</v>
      </c>
      <c r="C9" s="527"/>
      <c r="D9" s="527"/>
      <c r="E9" s="527"/>
      <c r="F9" s="527"/>
      <c r="G9" s="527"/>
      <c r="H9" s="527"/>
      <c r="I9" s="527"/>
      <c r="J9" s="527"/>
    </row>
    <row r="10" customFormat="false" ht="12.75" hidden="false" customHeight="false" outlineLevel="0" collapsed="false">
      <c r="A10" s="527"/>
      <c r="B10" s="527"/>
      <c r="C10" s="527"/>
      <c r="D10" s="527"/>
      <c r="E10" s="527" t="s">
        <v>999</v>
      </c>
      <c r="F10" s="527" t="s">
        <v>1000</v>
      </c>
      <c r="G10" s="527"/>
      <c r="H10" s="527" t="s">
        <v>1000</v>
      </c>
      <c r="I10" s="527"/>
      <c r="J10" s="527"/>
    </row>
    <row r="11" customFormat="false" ht="12.75" hidden="false" customHeight="false" outlineLevel="0" collapsed="false">
      <c r="A11" s="527"/>
      <c r="B11" s="528" t="s">
        <v>1001</v>
      </c>
      <c r="C11" s="528" t="s">
        <v>1002</v>
      </c>
      <c r="D11" s="528" t="s">
        <v>1003</v>
      </c>
      <c r="E11" s="528" t="s">
        <v>1004</v>
      </c>
      <c r="F11" s="528" t="s">
        <v>1005</v>
      </c>
      <c r="G11" s="528" t="s">
        <v>1006</v>
      </c>
      <c r="H11" s="528" t="s">
        <v>1006</v>
      </c>
      <c r="I11" s="528" t="s">
        <v>1007</v>
      </c>
      <c r="J11" s="527"/>
    </row>
    <row r="12" customFormat="false" ht="12.75" hidden="false" customHeight="false" outlineLevel="0" collapsed="false">
      <c r="A12" s="527"/>
      <c r="B12" s="529" t="s">
        <v>1008</v>
      </c>
      <c r="C12" s="530" t="n">
        <v>5000</v>
      </c>
      <c r="D12" s="531" t="n">
        <f aca="false">+C12/C17</f>
        <v>0.333333333333333</v>
      </c>
      <c r="E12" s="531" t="n">
        <f aca="false">+'Offseason Rate'!E42</f>
        <v>0.452756705195825</v>
      </c>
      <c r="F12" s="531" t="n">
        <f aca="false">+D12*E12</f>
        <v>0.150918901731942</v>
      </c>
      <c r="G12" s="531" t="n">
        <v>-0.0825</v>
      </c>
      <c r="H12" s="531" t="n">
        <f aca="false">+G12*D12</f>
        <v>-0.0275</v>
      </c>
      <c r="I12" s="531" t="n">
        <f aca="false">+F12+H12</f>
        <v>0.123418901731942</v>
      </c>
      <c r="J12" s="527"/>
    </row>
    <row r="13" customFormat="false" ht="12.75" hidden="false" customHeight="false" outlineLevel="0" collapsed="false">
      <c r="A13" s="527"/>
      <c r="B13" s="529" t="s">
        <v>1009</v>
      </c>
      <c r="C13" s="530" t="n">
        <v>5000</v>
      </c>
      <c r="D13" s="531" t="n">
        <f aca="false">+C13/C17</f>
        <v>0.333333333333333</v>
      </c>
      <c r="E13" s="531" t="n">
        <f aca="false">+'Offseason Rate'!E67</f>
        <v>0.346291966759003</v>
      </c>
      <c r="F13" s="531" t="n">
        <f aca="false">+D13*E13</f>
        <v>0.115430655586334</v>
      </c>
      <c r="G13" s="531" t="n">
        <v>-0.0575</v>
      </c>
      <c r="H13" s="531" t="n">
        <f aca="false">+G13*D13</f>
        <v>-0.0191666666666667</v>
      </c>
      <c r="I13" s="531" t="n">
        <f aca="false">+F13+H13</f>
        <v>0.0962639889196676</v>
      </c>
      <c r="J13" s="527"/>
    </row>
    <row r="14" customFormat="false" ht="12.75" hidden="false" customHeight="false" outlineLevel="0" collapsed="false">
      <c r="A14" s="527"/>
      <c r="B14" s="529" t="s">
        <v>1010</v>
      </c>
      <c r="C14" s="530" t="n">
        <v>5000</v>
      </c>
      <c r="D14" s="531" t="n">
        <f aca="false">+C14/C17</f>
        <v>0.333333333333333</v>
      </c>
      <c r="E14" s="531" t="n">
        <f aca="false">+'Offseason Rate'!E107</f>
        <v>0.365117408550022</v>
      </c>
      <c r="F14" s="531" t="n">
        <f aca="false">+D14*E14</f>
        <v>0.121705802850007</v>
      </c>
      <c r="G14" s="531" t="n">
        <v>-0.045</v>
      </c>
      <c r="H14" s="531" t="n">
        <f aca="false">+G14*D14</f>
        <v>-0.015</v>
      </c>
      <c r="I14" s="531" t="n">
        <f aca="false">+F14+H14</f>
        <v>0.106705802850007</v>
      </c>
      <c r="J14" s="527"/>
    </row>
    <row r="15" customFormat="false" ht="12.75" hidden="false" customHeight="false" outlineLevel="0" collapsed="false">
      <c r="A15" s="527"/>
      <c r="B15" s="529" t="s">
        <v>1011</v>
      </c>
      <c r="C15" s="530" t="n">
        <v>0</v>
      </c>
      <c r="D15" s="531" t="n">
        <f aca="false">+C15/C17</f>
        <v>0</v>
      </c>
      <c r="E15" s="531" t="n">
        <f aca="false">+'Offseason Rate'!E122</f>
        <v>0.276923985437413</v>
      </c>
      <c r="F15" s="531" t="n">
        <f aca="false">+D15*E15</f>
        <v>0</v>
      </c>
      <c r="G15" s="531" t="n">
        <v>0</v>
      </c>
      <c r="H15" s="531" t="n">
        <f aca="false">+G15*D15</f>
        <v>0</v>
      </c>
      <c r="I15" s="531" t="n">
        <f aca="false">+F15+H15</f>
        <v>0</v>
      </c>
      <c r="J15" s="527"/>
    </row>
    <row r="16" customFormat="false" ht="12.75" hidden="false" customHeight="false" outlineLevel="0" collapsed="false">
      <c r="A16" s="527"/>
      <c r="B16" s="529" t="s">
        <v>1012</v>
      </c>
      <c r="C16" s="532" t="n">
        <v>0</v>
      </c>
      <c r="D16" s="533" t="n">
        <f aca="false">+C16/C17</f>
        <v>0</v>
      </c>
      <c r="E16" s="531" t="n">
        <f aca="false">+'Offseason Rate'!E107</f>
        <v>0.365117408550022</v>
      </c>
      <c r="F16" s="533" t="n">
        <f aca="false">+D16*E16</f>
        <v>0</v>
      </c>
      <c r="G16" s="531" t="n">
        <v>0</v>
      </c>
      <c r="H16" s="531" t="n">
        <f aca="false">+G16*D16</f>
        <v>0</v>
      </c>
      <c r="I16" s="533" t="n">
        <f aca="false">+F16+H16</f>
        <v>0</v>
      </c>
      <c r="J16" s="527"/>
    </row>
    <row r="17" customFormat="false" ht="12.75" hidden="false" customHeight="false" outlineLevel="0" collapsed="false">
      <c r="A17" s="527"/>
      <c r="B17" s="527"/>
      <c r="C17" s="530" t="n">
        <f aca="false">SUM(C12:C16)</f>
        <v>15000</v>
      </c>
      <c r="D17" s="531" t="n">
        <f aca="false">SUM(D12:D16)</f>
        <v>1</v>
      </c>
      <c r="E17" s="527"/>
      <c r="F17" s="531" t="n">
        <f aca="false">SUM(F12:F16)</f>
        <v>0.388055360168283</v>
      </c>
      <c r="G17" s="527"/>
      <c r="H17" s="527"/>
      <c r="I17" s="534" t="n">
        <f aca="false">SUM(I12:I16)</f>
        <v>0.326388693501617</v>
      </c>
      <c r="J17" s="527"/>
    </row>
    <row r="18" customFormat="false" ht="12.75" hidden="false" customHeight="false" outlineLevel="0" collapsed="false">
      <c r="A18" s="527"/>
      <c r="B18" s="527"/>
      <c r="C18" s="527"/>
      <c r="D18" s="527"/>
      <c r="E18" s="527"/>
      <c r="F18" s="527"/>
      <c r="G18" s="527"/>
      <c r="H18" s="527" t="s">
        <v>1013</v>
      </c>
      <c r="I18" s="535" t="n">
        <v>0.215</v>
      </c>
      <c r="J18" s="527"/>
    </row>
    <row r="19" customFormat="false" ht="13.5" hidden="false" customHeight="false" outlineLevel="0" collapsed="false">
      <c r="A19" s="527"/>
      <c r="B19" s="527"/>
      <c r="C19" s="527"/>
      <c r="D19" s="527"/>
      <c r="E19" s="527"/>
      <c r="F19" s="527"/>
      <c r="G19" s="527"/>
      <c r="H19" s="536" t="s">
        <v>1014</v>
      </c>
      <c r="I19" s="537" t="n">
        <f aca="false">+I18-I17</f>
        <v>-0.111388693501617</v>
      </c>
      <c r="J19" s="527"/>
    </row>
    <row r="20" customFormat="false" ht="13.5" hidden="false" customHeight="false" outlineLevel="0" collapsed="false">
      <c r="A20" s="527"/>
      <c r="B20" s="527"/>
      <c r="C20" s="527"/>
      <c r="D20" s="527"/>
      <c r="E20" s="527"/>
      <c r="F20" s="527"/>
      <c r="G20" s="527"/>
      <c r="H20" s="527"/>
      <c r="I20" s="531"/>
      <c r="J20" s="527"/>
    </row>
    <row r="21" customFormat="false" ht="12.75" hidden="false" customHeight="false" outlineLevel="0" collapsed="false">
      <c r="A21" s="527"/>
      <c r="B21" s="527"/>
      <c r="C21" s="527"/>
      <c r="D21" s="527"/>
      <c r="E21" s="527"/>
      <c r="F21" s="527"/>
      <c r="G21" s="527"/>
      <c r="H21" s="527"/>
      <c r="I21" s="527"/>
      <c r="J21" s="527"/>
    </row>
    <row r="22" customFormat="false" ht="12.75" hidden="false" customHeight="false" outlineLevel="0" collapsed="false">
      <c r="A22" s="527"/>
      <c r="B22" s="527"/>
      <c r="C22" s="527"/>
      <c r="D22" s="527"/>
      <c r="E22" s="527"/>
      <c r="F22" s="527"/>
      <c r="G22" s="527"/>
      <c r="H22" s="527"/>
      <c r="I22" s="527"/>
      <c r="J22" s="527"/>
    </row>
    <row r="23" customFormat="false" ht="12.75" hidden="false" customHeight="false" outlineLevel="0" collapsed="false">
      <c r="A23" s="527"/>
      <c r="B23" s="527"/>
      <c r="C23" s="527"/>
      <c r="D23" s="527"/>
      <c r="E23" s="527"/>
      <c r="F23" s="527" t="s">
        <v>1000</v>
      </c>
      <c r="G23" s="527"/>
      <c r="H23" s="527" t="s">
        <v>1000</v>
      </c>
      <c r="I23" s="527"/>
      <c r="J23" s="527"/>
    </row>
    <row r="24" customFormat="false" ht="12.75" hidden="false" customHeight="false" outlineLevel="0" collapsed="false">
      <c r="A24" s="527"/>
      <c r="B24" s="528" t="s">
        <v>1001</v>
      </c>
      <c r="C24" s="528" t="s">
        <v>1002</v>
      </c>
      <c r="D24" s="528" t="s">
        <v>1003</v>
      </c>
      <c r="E24" s="528" t="s">
        <v>1004</v>
      </c>
      <c r="F24" s="528" t="s">
        <v>1005</v>
      </c>
      <c r="G24" s="528" t="s">
        <v>1006</v>
      </c>
      <c r="H24" s="528" t="s">
        <v>1006</v>
      </c>
      <c r="I24" s="528" t="s">
        <v>1007</v>
      </c>
      <c r="J24" s="527"/>
    </row>
    <row r="25" customFormat="false" ht="12.75" hidden="false" customHeight="false" outlineLevel="0" collapsed="false">
      <c r="A25" s="527"/>
      <c r="B25" s="529" t="s">
        <v>1015</v>
      </c>
      <c r="C25" s="530" t="n">
        <v>0</v>
      </c>
      <c r="D25" s="531" t="n">
        <f aca="false">+C25/C30</f>
        <v>0</v>
      </c>
      <c r="E25" s="531" t="e">
        <f aca="false">+#REF!</f>
        <v>#REF!</v>
      </c>
      <c r="F25" s="531" t="e">
        <f aca="false">+D25*E25</f>
        <v>#REF!</v>
      </c>
      <c r="G25" s="531" t="n">
        <v>-0.07</v>
      </c>
      <c r="H25" s="531" t="n">
        <f aca="false">+G25*D25</f>
        <v>-0</v>
      </c>
      <c r="I25" s="531" t="e">
        <f aca="false">+F25+H25</f>
        <v>#REF!</v>
      </c>
      <c r="J25" s="527"/>
    </row>
    <row r="26" customFormat="false" ht="12.75" hidden="false" customHeight="false" outlineLevel="0" collapsed="false">
      <c r="A26" s="527"/>
      <c r="B26" s="529" t="s">
        <v>1016</v>
      </c>
      <c r="C26" s="530" t="n">
        <v>0</v>
      </c>
      <c r="D26" s="531" t="n">
        <f aca="false">+C26/C30</f>
        <v>0</v>
      </c>
      <c r="E26" s="531" t="e">
        <f aca="false">+#REF!</f>
        <v>#REF!</v>
      </c>
      <c r="F26" s="531" t="e">
        <f aca="false">+D26*E26</f>
        <v>#REF!</v>
      </c>
      <c r="G26" s="531" t="n">
        <v>-0.05</v>
      </c>
      <c r="H26" s="531" t="n">
        <f aca="false">+G26*D26</f>
        <v>-0</v>
      </c>
      <c r="I26" s="531" t="e">
        <f aca="false">+F26+H26</f>
        <v>#REF!</v>
      </c>
      <c r="J26" s="527"/>
    </row>
    <row r="27" customFormat="false" ht="12.75" hidden="false" customHeight="false" outlineLevel="0" collapsed="false">
      <c r="A27" s="527"/>
      <c r="B27" s="529" t="s">
        <v>1017</v>
      </c>
      <c r="C27" s="530" t="n">
        <v>5000</v>
      </c>
      <c r="D27" s="531" t="n">
        <f aca="false">+C27/C30</f>
        <v>1</v>
      </c>
      <c r="E27" s="531" t="e">
        <f aca="false">+#REF!</f>
        <v>#REF!</v>
      </c>
      <c r="F27" s="531" t="e">
        <f aca="false">+D27*E27</f>
        <v>#REF!</v>
      </c>
      <c r="G27" s="531" t="n">
        <v>-0.035</v>
      </c>
      <c r="H27" s="531" t="n">
        <f aca="false">+G27*D27</f>
        <v>-0.035</v>
      </c>
      <c r="I27" s="531" t="e">
        <f aca="false">+F27+H27</f>
        <v>#REF!</v>
      </c>
      <c r="J27" s="527"/>
    </row>
    <row r="28" customFormat="false" ht="12.75" hidden="false" customHeight="false" outlineLevel="0" collapsed="false">
      <c r="A28" s="527"/>
      <c r="B28" s="529" t="s">
        <v>1018</v>
      </c>
      <c r="C28" s="530" t="n">
        <v>0</v>
      </c>
      <c r="D28" s="531" t="n">
        <f aca="false">+C28/C30</f>
        <v>0</v>
      </c>
      <c r="E28" s="531" t="e">
        <f aca="false">+#REF!</f>
        <v>#REF!</v>
      </c>
      <c r="F28" s="531" t="e">
        <f aca="false">+D28*E28</f>
        <v>#REF!</v>
      </c>
      <c r="G28" s="531" t="n">
        <v>-0.01</v>
      </c>
      <c r="H28" s="531" t="n">
        <f aca="false">+G28*D28</f>
        <v>-0</v>
      </c>
      <c r="I28" s="531" t="e">
        <f aca="false">+F28+H28</f>
        <v>#REF!</v>
      </c>
      <c r="J28" s="527"/>
    </row>
    <row r="29" customFormat="false" ht="12.75" hidden="false" customHeight="false" outlineLevel="0" collapsed="false">
      <c r="A29" s="527"/>
      <c r="B29" s="529" t="s">
        <v>1019</v>
      </c>
      <c r="C29" s="532" t="n">
        <v>0</v>
      </c>
      <c r="D29" s="533" t="n">
        <f aca="false">+C29/C30</f>
        <v>0</v>
      </c>
      <c r="E29" s="531" t="e">
        <f aca="false">+#REF!</f>
        <v>#REF!</v>
      </c>
      <c r="F29" s="533" t="e">
        <f aca="false">+D29*E29</f>
        <v>#REF!</v>
      </c>
      <c r="G29" s="531" t="n">
        <v>-0.0725</v>
      </c>
      <c r="H29" s="531" t="n">
        <f aca="false">+G29*D29</f>
        <v>-0</v>
      </c>
      <c r="I29" s="533" t="e">
        <f aca="false">+F29+H29</f>
        <v>#REF!</v>
      </c>
      <c r="J29" s="527"/>
    </row>
    <row r="30" customFormat="false" ht="12.75" hidden="false" customHeight="false" outlineLevel="0" collapsed="false">
      <c r="A30" s="527"/>
      <c r="B30" s="527"/>
      <c r="C30" s="530" t="n">
        <f aca="false">SUM(C25:C29)</f>
        <v>5000</v>
      </c>
      <c r="D30" s="531" t="n">
        <f aca="false">SUM(D25:D29)</f>
        <v>1</v>
      </c>
      <c r="E30" s="527"/>
      <c r="F30" s="531" t="e">
        <f aca="false">SUM(F25:F29)</f>
        <v>#REF!</v>
      </c>
      <c r="G30" s="527"/>
      <c r="H30" s="527"/>
      <c r="I30" s="534" t="e">
        <f aca="false">SUM(I25:I29)</f>
        <v>#REF!</v>
      </c>
      <c r="J30" s="527"/>
    </row>
    <row r="31" customFormat="false" ht="12.75" hidden="false" customHeight="false" outlineLevel="0" collapsed="false">
      <c r="A31" s="527"/>
      <c r="B31" s="527"/>
      <c r="C31" s="527"/>
      <c r="D31" s="527"/>
      <c r="E31" s="527"/>
      <c r="F31" s="527"/>
      <c r="G31" s="527"/>
      <c r="H31" s="538" t="s">
        <v>1020</v>
      </c>
      <c r="I31" s="535" t="n">
        <v>0.1525</v>
      </c>
      <c r="J31" s="527"/>
    </row>
    <row r="32" customFormat="false" ht="13.5" hidden="false" customHeight="false" outlineLevel="0" collapsed="false">
      <c r="A32" s="527"/>
      <c r="B32" s="527"/>
      <c r="C32" s="527"/>
      <c r="D32" s="527"/>
      <c r="E32" s="527"/>
      <c r="F32" s="527"/>
      <c r="G32" s="527"/>
      <c r="H32" s="536" t="s">
        <v>1014</v>
      </c>
      <c r="I32" s="539" t="e">
        <f aca="false">+I31-I30</f>
        <v>#REF!</v>
      </c>
      <c r="J32" s="527"/>
    </row>
    <row r="33" customFormat="false" ht="13.5" hidden="false" customHeight="false" outlineLevel="0" collapsed="false">
      <c r="A33" s="527"/>
      <c r="B33" s="527"/>
      <c r="C33" s="527"/>
      <c r="D33" s="527"/>
      <c r="E33" s="527"/>
      <c r="F33" s="527"/>
      <c r="G33" s="527"/>
      <c r="H33" s="527"/>
      <c r="I33" s="531"/>
      <c r="J33" s="527"/>
    </row>
    <row r="34" customFormat="false" ht="12.75" hidden="false" customHeight="false" outlineLevel="0" collapsed="false">
      <c r="A34" s="527"/>
      <c r="B34" s="536" t="s">
        <v>93</v>
      </c>
      <c r="C34" s="527"/>
      <c r="D34" s="527"/>
      <c r="E34" s="527"/>
      <c r="F34" s="527" t="s">
        <v>1000</v>
      </c>
      <c r="G34" s="527"/>
      <c r="H34" s="527" t="s">
        <v>1000</v>
      </c>
      <c r="I34" s="527"/>
      <c r="J34" s="527"/>
    </row>
    <row r="35" customFormat="false" ht="12.75" hidden="false" customHeight="false" outlineLevel="0" collapsed="false">
      <c r="A35" s="527"/>
      <c r="B35" s="528" t="s">
        <v>1001</v>
      </c>
      <c r="C35" s="528" t="s">
        <v>1002</v>
      </c>
      <c r="D35" s="528" t="s">
        <v>1003</v>
      </c>
      <c r="E35" s="528" t="s">
        <v>1004</v>
      </c>
      <c r="F35" s="528" t="s">
        <v>1005</v>
      </c>
      <c r="G35" s="528" t="s">
        <v>1006</v>
      </c>
      <c r="H35" s="528" t="s">
        <v>1006</v>
      </c>
      <c r="I35" s="528" t="s">
        <v>1007</v>
      </c>
      <c r="J35" s="527"/>
    </row>
    <row r="36" customFormat="false" ht="12.75" hidden="false" customHeight="false" outlineLevel="0" collapsed="false">
      <c r="A36" s="527"/>
      <c r="B36" s="527" t="s">
        <v>1021</v>
      </c>
      <c r="C36" s="530" t="n">
        <v>17</v>
      </c>
      <c r="D36" s="531" t="n">
        <f aca="false">+C36/C39</f>
        <v>0.17</v>
      </c>
      <c r="E36" s="531" t="n">
        <f aca="false">+Rates!B42</f>
        <v>0.32786826505769</v>
      </c>
      <c r="F36" s="531" t="n">
        <f aca="false">+D36*E36</f>
        <v>0.0557376050598073</v>
      </c>
      <c r="G36" s="531" t="n">
        <v>-0.06</v>
      </c>
      <c r="H36" s="531" t="n">
        <f aca="false">+G36*D36</f>
        <v>-0.0102</v>
      </c>
      <c r="I36" s="531" t="n">
        <f aca="false">+F36+H36</f>
        <v>0.0455376050598073</v>
      </c>
      <c r="J36" s="527"/>
    </row>
    <row r="37" customFormat="false" ht="12.75" hidden="false" customHeight="false" outlineLevel="0" collapsed="false">
      <c r="A37" s="527"/>
      <c r="B37" s="527" t="s">
        <v>1022</v>
      </c>
      <c r="C37" s="530" t="n">
        <v>25</v>
      </c>
      <c r="D37" s="531" t="n">
        <f aca="false">+C37/C39</f>
        <v>0.25</v>
      </c>
      <c r="E37" s="531" t="n">
        <f aca="false">+Rates!B67</f>
        <v>0.30926017717781</v>
      </c>
      <c r="F37" s="531" t="n">
        <f aca="false">+D37*E37</f>
        <v>0.0773150442944525</v>
      </c>
      <c r="G37" s="531" t="n">
        <v>-0.015</v>
      </c>
      <c r="H37" s="531" t="n">
        <f aca="false">+G37*D37</f>
        <v>-0.00375</v>
      </c>
      <c r="I37" s="531" t="n">
        <f aca="false">+F37+H37</f>
        <v>0.0735650442944525</v>
      </c>
      <c r="J37" s="527"/>
    </row>
    <row r="38" customFormat="false" ht="12.75" hidden="false" customHeight="false" outlineLevel="0" collapsed="false">
      <c r="A38" s="527"/>
      <c r="B38" s="527" t="s">
        <v>1023</v>
      </c>
      <c r="C38" s="532" t="n">
        <v>58</v>
      </c>
      <c r="D38" s="533" t="n">
        <f aca="false">+C38/C39</f>
        <v>0.58</v>
      </c>
      <c r="E38" s="531" t="n">
        <f aca="false">+Rates!B87</f>
        <v>0.277280352644836</v>
      </c>
      <c r="F38" s="533" t="n">
        <f aca="false">+D38*E38</f>
        <v>0.160822604534005</v>
      </c>
      <c r="G38" s="531" t="n">
        <v>0.0175</v>
      </c>
      <c r="H38" s="531" t="n">
        <f aca="false">+G38*D38</f>
        <v>0.01015</v>
      </c>
      <c r="I38" s="531" t="n">
        <f aca="false">+F38+H38</f>
        <v>0.170972604534005</v>
      </c>
      <c r="J38" s="527"/>
    </row>
    <row r="39" customFormat="false" ht="12.75" hidden="false" customHeight="false" outlineLevel="0" collapsed="false">
      <c r="A39" s="527"/>
      <c r="B39" s="527"/>
      <c r="C39" s="530" t="n">
        <f aca="false">SUM(C36:C38)</f>
        <v>100</v>
      </c>
      <c r="D39" s="531" t="n">
        <f aca="false">SUM(D36:D38)</f>
        <v>1</v>
      </c>
      <c r="E39" s="527"/>
      <c r="F39" s="531" t="n">
        <f aca="false">SUM(F36:F38)</f>
        <v>0.293875253888265</v>
      </c>
      <c r="G39" s="527"/>
      <c r="H39" s="531" t="n">
        <f aca="false">SUM(H36:H38)</f>
        <v>-0.0038</v>
      </c>
      <c r="I39" s="534" t="n">
        <f aca="false">SUM(I36:I38)</f>
        <v>0.290075253888265</v>
      </c>
      <c r="J39" s="527"/>
    </row>
    <row r="40" customFormat="false" ht="12.75" hidden="false" customHeight="false" outlineLevel="0" collapsed="false">
      <c r="A40" s="527"/>
      <c r="B40" s="527"/>
      <c r="C40" s="527"/>
      <c r="D40" s="527"/>
      <c r="E40" s="527"/>
      <c r="F40" s="527"/>
      <c r="G40" s="527"/>
      <c r="H40" s="527" t="s">
        <v>1024</v>
      </c>
      <c r="I40" s="535" t="n">
        <v>0.55</v>
      </c>
      <c r="J40" s="527"/>
    </row>
    <row r="41" customFormat="false" ht="13.5" hidden="false" customHeight="false" outlineLevel="0" collapsed="false">
      <c r="A41" s="527"/>
      <c r="B41" s="527"/>
      <c r="C41" s="527"/>
      <c r="D41" s="527"/>
      <c r="E41" s="527"/>
      <c r="F41" s="527"/>
      <c r="G41" s="527"/>
      <c r="H41" s="536" t="s">
        <v>1014</v>
      </c>
      <c r="I41" s="537" t="n">
        <f aca="false">+I40-I39</f>
        <v>0.259924746111735</v>
      </c>
      <c r="J41" s="527"/>
      <c r="K41" s="540"/>
    </row>
    <row r="42" customFormat="false" ht="13.5" hidden="false" customHeight="false" outlineLevel="0" collapsed="false">
      <c r="A42" s="527"/>
      <c r="B42" s="527"/>
      <c r="C42" s="527"/>
      <c r="D42" s="527"/>
      <c r="E42" s="527"/>
      <c r="F42" s="527"/>
      <c r="G42" s="527"/>
      <c r="H42" s="527"/>
      <c r="I42" s="527"/>
      <c r="J42" s="527"/>
      <c r="K42" s="540"/>
    </row>
    <row r="43" customFormat="false" ht="12.75" hidden="false" customHeight="false" outlineLevel="0" collapsed="false">
      <c r="A43" s="527"/>
      <c r="B43" s="527"/>
      <c r="C43" s="527"/>
      <c r="D43" s="527"/>
      <c r="E43" s="527"/>
      <c r="F43" s="527"/>
      <c r="G43" s="527"/>
      <c r="H43" s="527"/>
      <c r="I43" s="527"/>
      <c r="J43" s="527"/>
      <c r="K43" s="541"/>
    </row>
    <row r="44" customFormat="false" ht="12.75" hidden="false" customHeight="false" outlineLevel="0" collapsed="false">
      <c r="A44" s="527"/>
      <c r="B44" s="536" t="s">
        <v>39</v>
      </c>
      <c r="C44" s="527" t="s">
        <v>284</v>
      </c>
      <c r="D44" s="527" t="s">
        <v>554</v>
      </c>
      <c r="E44" s="527" t="s">
        <v>484</v>
      </c>
      <c r="F44" s="527" t="s">
        <v>1025</v>
      </c>
      <c r="G44" s="527" t="s">
        <v>1026</v>
      </c>
      <c r="H44" s="527" t="s">
        <v>1027</v>
      </c>
      <c r="I44" s="536" t="s">
        <v>1014</v>
      </c>
      <c r="J44" s="527"/>
    </row>
    <row r="45" customFormat="false" ht="12.75" hidden="false" customHeight="false" outlineLevel="0" collapsed="false">
      <c r="A45" s="527"/>
      <c r="B45" s="527" t="s">
        <v>1028</v>
      </c>
      <c r="C45" s="535" t="e">
        <f aca="false">+#REF!</f>
        <v>#REF!</v>
      </c>
      <c r="D45" s="535" t="e">
        <f aca="false">+#REF!</f>
        <v>#REF!</v>
      </c>
      <c r="E45" s="535" t="e">
        <f aca="false">+D45+C45</f>
        <v>#REF!</v>
      </c>
      <c r="F45" s="535" t="n">
        <v>0</v>
      </c>
      <c r="G45" s="535" t="n">
        <v>-0.0225</v>
      </c>
      <c r="H45" s="535" t="n">
        <v>0.1325</v>
      </c>
      <c r="I45" s="535" t="e">
        <f aca="false">+H45-G45-F45-E45</f>
        <v>#REF!</v>
      </c>
      <c r="J45" s="527"/>
    </row>
    <row r="46" customFormat="false" ht="12.75" hidden="false" customHeight="false" outlineLevel="0" collapsed="false">
      <c r="A46" s="527"/>
      <c r="B46" s="527" t="s">
        <v>1029</v>
      </c>
      <c r="C46" s="535" t="e">
        <f aca="false">+#REF!</f>
        <v>#REF!</v>
      </c>
      <c r="D46" s="535" t="e">
        <f aca="false">+#REF!</f>
        <v>#REF!</v>
      </c>
      <c r="E46" s="535" t="e">
        <f aca="false">+D46+C46</f>
        <v>#REF!</v>
      </c>
      <c r="F46" s="535" t="n">
        <v>0</v>
      </c>
      <c r="G46" s="535" t="n">
        <v>-0.0225</v>
      </c>
      <c r="H46" s="535" t="n">
        <v>0.1325</v>
      </c>
      <c r="I46" s="542" t="e">
        <f aca="false">+H46-G46-F46-E46</f>
        <v>#REF!</v>
      </c>
      <c r="J46" s="527"/>
    </row>
    <row r="47" customFormat="false" ht="12.75" hidden="false" customHeight="false" outlineLevel="0" collapsed="false">
      <c r="A47" s="527"/>
      <c r="B47" s="527"/>
      <c r="C47" s="527"/>
      <c r="D47" s="527"/>
      <c r="E47" s="527"/>
      <c r="F47" s="527"/>
      <c r="G47" s="527"/>
      <c r="H47" s="527"/>
      <c r="I47" s="527"/>
      <c r="J47" s="527"/>
    </row>
    <row r="48" customFormat="false" ht="12.75" hidden="false" customHeight="false" outlineLevel="0" collapsed="false">
      <c r="A48" s="527"/>
      <c r="B48" s="527"/>
      <c r="C48" s="527"/>
      <c r="D48" s="527"/>
      <c r="E48" s="527"/>
      <c r="F48" s="527"/>
      <c r="G48" s="527"/>
      <c r="H48" s="527"/>
      <c r="I48" s="527"/>
      <c r="J48" s="527"/>
    </row>
    <row r="49" customFormat="false" ht="12.75" hidden="false" customHeight="false" outlineLevel="0" collapsed="false">
      <c r="A49" s="527"/>
      <c r="B49" s="536" t="s">
        <v>642</v>
      </c>
      <c r="C49" s="527" t="s">
        <v>975</v>
      </c>
      <c r="D49" s="527" t="s">
        <v>1030</v>
      </c>
      <c r="E49" s="527" t="s">
        <v>1025</v>
      </c>
      <c r="F49" s="527" t="s">
        <v>1031</v>
      </c>
      <c r="H49" s="527"/>
      <c r="I49" s="536" t="s">
        <v>1014</v>
      </c>
      <c r="J49" s="527"/>
    </row>
    <row r="50" customFormat="false" ht="12.75" hidden="false" customHeight="false" outlineLevel="0" collapsed="false">
      <c r="A50" s="527"/>
      <c r="B50" s="527" t="s">
        <v>1032</v>
      </c>
      <c r="C50" s="535" t="e">
        <f aca="false">+#REF!</f>
        <v>#REF!</v>
      </c>
      <c r="D50" s="543" t="n">
        <v>-0.0725</v>
      </c>
      <c r="E50" s="535" t="n">
        <v>0</v>
      </c>
      <c r="F50" s="535" t="n">
        <v>0.2175</v>
      </c>
      <c r="H50" s="527"/>
      <c r="I50" s="542" t="e">
        <f aca="false">+F50-D50-E50-C50</f>
        <v>#REF!</v>
      </c>
      <c r="J50" s="527"/>
    </row>
    <row r="51" customFormat="false" ht="12.75" hidden="false" customHeight="false" outlineLevel="0" collapsed="false">
      <c r="A51" s="527"/>
      <c r="B51" s="527" t="s">
        <v>1033</v>
      </c>
      <c r="C51" s="535" t="e">
        <f aca="false">+#REF!</f>
        <v>#REF!</v>
      </c>
      <c r="D51" s="543" t="n">
        <v>-0.06</v>
      </c>
      <c r="E51" s="535" t="n">
        <v>0</v>
      </c>
      <c r="F51" s="535" t="n">
        <v>0.2175</v>
      </c>
      <c r="H51" s="527"/>
      <c r="I51" s="542" t="e">
        <f aca="false">+F51-D51-E51-C51</f>
        <v>#REF!</v>
      </c>
      <c r="J51" s="527"/>
    </row>
    <row r="52" customFormat="false" ht="12.75" hidden="false" customHeight="false" outlineLevel="0" collapsed="false">
      <c r="A52" s="527"/>
      <c r="B52" s="527"/>
      <c r="C52" s="535"/>
      <c r="D52" s="543"/>
      <c r="E52" s="535"/>
      <c r="F52" s="535"/>
      <c r="H52" s="527"/>
      <c r="I52" s="542"/>
      <c r="J52" s="527"/>
    </row>
    <row r="53" customFormat="false" ht="12.75" hidden="false" customHeight="false" outlineLevel="0" collapsed="false">
      <c r="A53" s="527"/>
      <c r="B53" s="527"/>
      <c r="C53" s="535"/>
      <c r="D53" s="543"/>
      <c r="E53" s="535"/>
      <c r="F53" s="535"/>
      <c r="H53" s="527"/>
      <c r="I53" s="542"/>
      <c r="J53" s="527"/>
    </row>
    <row r="54" customFormat="false" ht="12.75" hidden="false" customHeight="false" outlineLevel="0" collapsed="false">
      <c r="A54" s="527"/>
      <c r="B54" s="527"/>
      <c r="C54" s="535"/>
      <c r="D54" s="543"/>
      <c r="E54" s="535"/>
      <c r="F54" s="535"/>
      <c r="H54" s="527"/>
      <c r="I54" s="542"/>
      <c r="J54" s="527"/>
    </row>
    <row r="55" customFormat="false" ht="12.75" hidden="false" customHeight="false" outlineLevel="0" collapsed="false">
      <c r="A55" s="527"/>
      <c r="B55" s="527" t="s">
        <v>1034</v>
      </c>
      <c r="C55" s="535" t="e">
        <f aca="false">+#REF!</f>
        <v>#REF!</v>
      </c>
      <c r="D55" s="543" t="n">
        <v>-0.0725</v>
      </c>
      <c r="E55" s="535" t="n">
        <v>0</v>
      </c>
      <c r="F55" s="535" t="n">
        <v>0.2525</v>
      </c>
      <c r="H55" s="527"/>
      <c r="I55" s="542" t="e">
        <f aca="false">+F55-D55-E55-C55</f>
        <v>#REF!</v>
      </c>
      <c r="J55" s="527"/>
    </row>
    <row r="56" customFormat="false" ht="12.75" hidden="false" customHeight="false" outlineLevel="0" collapsed="false">
      <c r="A56" s="527"/>
      <c r="B56" s="527" t="s">
        <v>1035</v>
      </c>
      <c r="C56" s="535" t="e">
        <f aca="false">+#REF!</f>
        <v>#REF!</v>
      </c>
      <c r="D56" s="543" t="n">
        <v>-0.06</v>
      </c>
      <c r="E56" s="535" t="n">
        <v>0</v>
      </c>
      <c r="F56" s="535" t="n">
        <v>0.2525</v>
      </c>
      <c r="H56" s="527"/>
      <c r="I56" s="542" t="e">
        <f aca="false">+F56-D56-E56-C56</f>
        <v>#REF!</v>
      </c>
      <c r="J56" s="527"/>
    </row>
    <row r="57" customFormat="false" ht="12.75" hidden="false" customHeight="false" outlineLevel="0" collapsed="false">
      <c r="A57" s="527" t="s">
        <v>1036</v>
      </c>
      <c r="B57" s="527" t="s">
        <v>1035</v>
      </c>
      <c r="C57" s="535" t="e">
        <f aca="false">+#REF!</f>
        <v>#REF!</v>
      </c>
      <c r="D57" s="543" t="n">
        <v>-0.05</v>
      </c>
      <c r="E57" s="535" t="n">
        <v>0.021</v>
      </c>
      <c r="F57" s="535" t="n">
        <v>0</v>
      </c>
      <c r="H57" s="527"/>
      <c r="I57" s="542" t="e">
        <f aca="false">+F57-D57-E57-C57</f>
        <v>#REF!</v>
      </c>
      <c r="J57" s="527"/>
    </row>
    <row r="58" customFormat="false" ht="12.75" hidden="false" customHeight="false" outlineLevel="0" collapsed="false">
      <c r="A58" s="527"/>
      <c r="B58" s="527"/>
      <c r="C58" s="527"/>
      <c r="D58" s="527"/>
      <c r="E58" s="527"/>
      <c r="F58" s="527"/>
      <c r="G58" s="527"/>
      <c r="H58" s="527"/>
      <c r="I58" s="527"/>
      <c r="J58" s="527"/>
    </row>
    <row r="59" customFormat="false" ht="12.75" hidden="false" customHeight="false" outlineLevel="0" collapsed="false">
      <c r="A59" s="527"/>
      <c r="B59" s="527"/>
      <c r="C59" s="527"/>
      <c r="D59" s="527"/>
      <c r="E59" s="527"/>
      <c r="F59" s="527"/>
      <c r="G59" s="527"/>
      <c r="H59" s="527"/>
      <c r="I59" s="527"/>
      <c r="J59" s="527"/>
    </row>
    <row r="60" customFormat="false" ht="12.75" hidden="false" customHeight="false" outlineLevel="0" collapsed="false">
      <c r="A60" s="527"/>
      <c r="B60" s="527"/>
      <c r="C60" s="527"/>
      <c r="D60" s="527"/>
      <c r="E60" s="527"/>
      <c r="F60" s="527"/>
      <c r="G60" s="527"/>
      <c r="H60" s="527"/>
      <c r="I60" s="527"/>
      <c r="J60" s="527"/>
    </row>
    <row r="61" customFormat="false" ht="12.75" hidden="false" customHeight="false" outlineLevel="0" collapsed="false">
      <c r="A61" s="527"/>
      <c r="B61" s="536" t="s">
        <v>642</v>
      </c>
      <c r="C61" s="527" t="s">
        <v>975</v>
      </c>
      <c r="D61" s="527" t="s">
        <v>1030</v>
      </c>
      <c r="E61" s="527" t="s">
        <v>1025</v>
      </c>
      <c r="F61" s="527" t="s">
        <v>1031</v>
      </c>
      <c r="H61" s="527"/>
      <c r="I61" s="536" t="s">
        <v>1014</v>
      </c>
      <c r="J61" s="527"/>
    </row>
    <row r="62" customFormat="false" ht="12.75" hidden="false" customHeight="false" outlineLevel="0" collapsed="false">
      <c r="A62" s="527"/>
      <c r="B62" s="527" t="s">
        <v>1032</v>
      </c>
      <c r="C62" s="535" t="n">
        <f aca="false">+Rates!H32</f>
        <v>0.328487784330245</v>
      </c>
      <c r="D62" s="543" t="n">
        <v>-0.0725</v>
      </c>
      <c r="E62" s="535" t="n">
        <v>0</v>
      </c>
      <c r="F62" s="535" t="n">
        <v>0.2175</v>
      </c>
      <c r="H62" s="527"/>
      <c r="I62" s="542" t="n">
        <f aca="false">+F62-D62-E62-C62</f>
        <v>-0.0384877843302446</v>
      </c>
      <c r="J62" s="527"/>
    </row>
    <row r="63" customFormat="false" ht="12.75" hidden="false" customHeight="false" outlineLevel="0" collapsed="false">
      <c r="A63" s="527"/>
      <c r="B63" s="527" t="s">
        <v>1033</v>
      </c>
      <c r="C63" s="535" t="n">
        <f aca="false">+Rates!H67</f>
        <v>0.284131396928221</v>
      </c>
      <c r="D63" s="543" t="n">
        <v>-0.06</v>
      </c>
      <c r="E63" s="535" t="n">
        <v>0</v>
      </c>
      <c r="F63" s="535" t="n">
        <v>0.2175</v>
      </c>
      <c r="H63" s="527"/>
      <c r="I63" s="542" t="n">
        <f aca="false">+F63-D63-E63-C63</f>
        <v>-0.00663139692822057</v>
      </c>
      <c r="J63" s="527"/>
    </row>
    <row r="64" customFormat="false" ht="12.75" hidden="false" customHeight="false" outlineLevel="0" collapsed="false">
      <c r="A64" s="527"/>
      <c r="B64" s="527" t="s">
        <v>1034</v>
      </c>
      <c r="C64" s="535" t="n">
        <f aca="false">+Rates!H37</f>
        <v>0.386263694267516</v>
      </c>
      <c r="D64" s="543" t="n">
        <v>-0.0725</v>
      </c>
      <c r="E64" s="535" t="n">
        <v>0</v>
      </c>
      <c r="F64" s="535" t="n">
        <v>0.2525</v>
      </c>
      <c r="H64" s="527"/>
      <c r="I64" s="542" t="n">
        <f aca="false">+F64-D64-E64-C64</f>
        <v>-0.0612636942675159</v>
      </c>
      <c r="J64" s="527"/>
    </row>
    <row r="65" customFormat="false" ht="12.75" hidden="false" customHeight="false" outlineLevel="0" collapsed="false">
      <c r="A65" s="527"/>
      <c r="B65" s="527" t="s">
        <v>1035</v>
      </c>
      <c r="C65" s="535" t="n">
        <f aca="false">+Rates!H72</f>
        <v>0.342108194649252</v>
      </c>
      <c r="D65" s="543" t="n">
        <v>-0.06</v>
      </c>
      <c r="E65" s="535" t="n">
        <v>0</v>
      </c>
      <c r="F65" s="535" t="n">
        <v>0.2525</v>
      </c>
      <c r="H65" s="527"/>
      <c r="I65" s="542" t="n">
        <f aca="false">+F65-D65-E65-C65</f>
        <v>-0.0296081946492517</v>
      </c>
      <c r="J65" s="527"/>
    </row>
    <row r="66" customFormat="false" ht="12.75" hidden="false" customHeight="false" outlineLevel="0" collapsed="false">
      <c r="A66" s="527"/>
      <c r="B66" s="527"/>
      <c r="C66" s="527"/>
      <c r="D66" s="527"/>
      <c r="E66" s="527"/>
      <c r="F66" s="527"/>
      <c r="G66" s="527"/>
      <c r="H66" s="527"/>
      <c r="I66" s="527"/>
      <c r="J66" s="527"/>
    </row>
    <row r="67" customFormat="false" ht="12.75" hidden="false" customHeight="false" outlineLevel="0" collapsed="false">
      <c r="A67" s="527"/>
      <c r="B67" s="527"/>
      <c r="C67" s="527"/>
      <c r="D67" s="527"/>
      <c r="E67" s="527"/>
      <c r="F67" s="527"/>
      <c r="G67" s="527"/>
      <c r="H67" s="527"/>
      <c r="I67" s="527"/>
      <c r="J67" s="527"/>
    </row>
    <row r="68" customFormat="false" ht="12.75" hidden="false" customHeight="false" outlineLevel="0" collapsed="false">
      <c r="A68" s="527"/>
      <c r="B68" s="527"/>
      <c r="C68" s="527"/>
      <c r="D68" s="527"/>
      <c r="E68" s="527"/>
      <c r="F68" s="527"/>
      <c r="G68" s="527"/>
      <c r="H68" s="527"/>
      <c r="I68" s="527"/>
      <c r="J68" s="527"/>
    </row>
    <row r="69" customFormat="false" ht="12.75" hidden="false" customHeight="false" outlineLevel="0" collapsed="false">
      <c r="A69" s="527"/>
      <c r="B69" s="527"/>
      <c r="C69" s="527"/>
      <c r="D69" s="527"/>
      <c r="E69" s="527"/>
      <c r="F69" s="527"/>
      <c r="G69" s="527"/>
      <c r="H69" s="527"/>
      <c r="I69" s="527"/>
      <c r="J69" s="527"/>
    </row>
    <row r="70" customFormat="false" ht="12.75" hidden="false" customHeight="false" outlineLevel="0" collapsed="false">
      <c r="A70" s="527"/>
      <c r="B70" s="527"/>
      <c r="C70" s="527"/>
      <c r="D70" s="527"/>
      <c r="E70" s="527"/>
      <c r="F70" s="527"/>
      <c r="G70" s="527"/>
      <c r="H70" s="527"/>
      <c r="I70" s="527"/>
      <c r="J70" s="527"/>
    </row>
    <row r="71" customFormat="false" ht="12.75" hidden="false" customHeight="false" outlineLevel="0" collapsed="false">
      <c r="A71" s="527"/>
      <c r="B71" s="527" t="s">
        <v>25</v>
      </c>
      <c r="C71" s="527"/>
      <c r="D71" s="527"/>
      <c r="E71" s="527"/>
      <c r="F71" s="527"/>
      <c r="G71" s="527"/>
      <c r="H71" s="527"/>
      <c r="I71" s="527"/>
      <c r="J71" s="527"/>
    </row>
    <row r="72" customFormat="false" ht="12.75" hidden="false" customHeight="false" outlineLevel="0" collapsed="false">
      <c r="A72" s="527"/>
      <c r="B72" s="527"/>
      <c r="C72" s="527"/>
      <c r="D72" s="527"/>
      <c r="E72" s="527"/>
      <c r="F72" s="527" t="s">
        <v>1000</v>
      </c>
      <c r="G72" s="527"/>
      <c r="H72" s="527" t="s">
        <v>1000</v>
      </c>
      <c r="I72" s="527"/>
      <c r="J72" s="527"/>
    </row>
    <row r="73" customFormat="false" ht="12.75" hidden="false" customHeight="false" outlineLevel="0" collapsed="false">
      <c r="A73" s="527"/>
      <c r="B73" s="528" t="s">
        <v>1001</v>
      </c>
      <c r="C73" s="528" t="s">
        <v>1002</v>
      </c>
      <c r="D73" s="528" t="s">
        <v>1003</v>
      </c>
      <c r="E73" s="528" t="s">
        <v>1004</v>
      </c>
      <c r="F73" s="528" t="s">
        <v>1005</v>
      </c>
      <c r="G73" s="528" t="s">
        <v>1006</v>
      </c>
      <c r="H73" s="528" t="s">
        <v>1006</v>
      </c>
      <c r="I73" s="528" t="s">
        <v>1007</v>
      </c>
      <c r="J73" s="527"/>
    </row>
    <row r="74" customFormat="false" ht="12.75" hidden="false" customHeight="false" outlineLevel="0" collapsed="false">
      <c r="A74" s="527"/>
      <c r="B74" s="529" t="s">
        <v>1037</v>
      </c>
      <c r="C74" s="530" t="n">
        <v>5000</v>
      </c>
      <c r="D74" s="531" t="n">
        <f aca="false">+C74/C74</f>
        <v>1</v>
      </c>
      <c r="E74" s="531" t="e">
        <f aca="false">+#REF!</f>
        <v>#REF!</v>
      </c>
      <c r="F74" s="531" t="e">
        <f aca="false">+D74*E74</f>
        <v>#REF!</v>
      </c>
      <c r="G74" s="531" t="n">
        <v>-0.23</v>
      </c>
      <c r="H74" s="531" t="n">
        <f aca="false">+G74*D74</f>
        <v>-0.23</v>
      </c>
      <c r="I74" s="531" t="e">
        <f aca="false">+F74+H74</f>
        <v>#REF!</v>
      </c>
      <c r="J74" s="527"/>
    </row>
    <row r="75" customFormat="false" ht="12.75" hidden="false" customHeight="false" outlineLevel="0" collapsed="false">
      <c r="A75" s="527"/>
      <c r="B75" s="529" t="s">
        <v>1038</v>
      </c>
      <c r="C75" s="530" t="s">
        <v>1</v>
      </c>
      <c r="D75" s="531" t="s">
        <v>1</v>
      </c>
      <c r="E75" s="531" t="s">
        <v>1</v>
      </c>
      <c r="F75" s="531" t="s">
        <v>271</v>
      </c>
      <c r="G75" s="531" t="s">
        <v>1</v>
      </c>
      <c r="H75" s="531" t="s">
        <v>1</v>
      </c>
      <c r="I75" s="531" t="n">
        <v>-0.05</v>
      </c>
      <c r="J75" s="527"/>
    </row>
    <row r="76" customFormat="false" ht="12.75" hidden="false" customHeight="false" outlineLevel="0" collapsed="false">
      <c r="A76" s="527"/>
      <c r="B76" s="527"/>
      <c r="C76" s="527"/>
      <c r="D76" s="527"/>
      <c r="E76" s="527"/>
      <c r="F76" s="527"/>
      <c r="G76" s="527"/>
      <c r="H76" s="527"/>
      <c r="I76" s="527"/>
      <c r="J76" s="527"/>
    </row>
    <row r="77" customFormat="false" ht="12.75" hidden="false" customHeight="false" outlineLevel="0" collapsed="false">
      <c r="A77" s="527"/>
      <c r="B77" s="527"/>
      <c r="C77" s="527"/>
      <c r="D77" s="527"/>
      <c r="E77" s="527"/>
      <c r="F77" s="527"/>
      <c r="G77" s="527"/>
      <c r="H77" s="527"/>
      <c r="I77" s="527"/>
      <c r="J77" s="527"/>
    </row>
    <row r="78" customFormat="false" ht="12.75" hidden="false" customHeight="false" outlineLevel="0" collapsed="false">
      <c r="A78" s="527"/>
      <c r="B78" s="529" t="s">
        <v>1009</v>
      </c>
      <c r="C78" s="530" t="n">
        <v>0</v>
      </c>
      <c r="D78" s="531" t="e">
        <f aca="false">+C78/C82</f>
        <v>#DIV/0!</v>
      </c>
      <c r="E78" s="531" t="e">
        <f aca="false">+#REF!</f>
        <v>#REF!</v>
      </c>
      <c r="F78" s="531" t="e">
        <f aca="false">+D78*E78</f>
        <v>#REF!</v>
      </c>
      <c r="G78" s="531" t="n">
        <v>-0.07</v>
      </c>
      <c r="H78" s="531" t="e">
        <f aca="false">+G78*D78</f>
        <v>#DIV/0!</v>
      </c>
      <c r="I78" s="531" t="e">
        <f aca="false">+F78+H78</f>
        <v>#DIV/0!</v>
      </c>
      <c r="J78" s="527"/>
    </row>
    <row r="79" customFormat="false" ht="12.75" hidden="false" customHeight="false" outlineLevel="0" collapsed="false">
      <c r="A79" s="527"/>
      <c r="B79" s="527"/>
      <c r="C79" s="527"/>
      <c r="D79" s="527"/>
      <c r="E79" s="527"/>
      <c r="F79" s="527"/>
      <c r="G79" s="527"/>
      <c r="H79" s="527"/>
      <c r="I79" s="527"/>
      <c r="J79" s="527"/>
    </row>
    <row r="80" customFormat="false" ht="12.75" hidden="false" customHeight="false" outlineLevel="0" collapsed="false">
      <c r="A80" s="527"/>
      <c r="B80" s="527"/>
      <c r="C80" s="527"/>
      <c r="D80" s="527"/>
      <c r="E80" s="527"/>
      <c r="F80" s="527"/>
      <c r="G80" s="527"/>
      <c r="H80" s="527"/>
      <c r="I80" s="527"/>
      <c r="J80" s="527"/>
    </row>
    <row r="81" customFormat="false" ht="12.75" hidden="false" customHeight="false" outlineLevel="0" collapsed="false">
      <c r="A81" s="527"/>
      <c r="B81" s="527"/>
      <c r="C81" s="527"/>
      <c r="D81" s="527"/>
      <c r="E81" s="527"/>
      <c r="F81" s="527"/>
      <c r="G81" s="527"/>
      <c r="H81" s="527"/>
      <c r="I81" s="527"/>
      <c r="J81" s="527"/>
    </row>
    <row r="100" customFormat="false" ht="12.75" hidden="false" customHeight="false" outlineLevel="0" collapsed="false">
      <c r="M100" s="526" t="s">
        <v>1039</v>
      </c>
      <c r="N100" s="526" t="s">
        <v>1040</v>
      </c>
    </row>
    <row r="101" customFormat="false" ht="12.75" hidden="false" customHeight="false" outlineLevel="0" collapsed="false">
      <c r="B101" s="536" t="s">
        <v>642</v>
      </c>
      <c r="C101" s="528" t="s">
        <v>1002</v>
      </c>
      <c r="D101" s="528" t="s">
        <v>1003</v>
      </c>
      <c r="E101" s="527" t="s">
        <v>975</v>
      </c>
      <c r="F101" s="527" t="s">
        <v>1030</v>
      </c>
      <c r="G101" s="527" t="s">
        <v>1041</v>
      </c>
      <c r="H101" s="527" t="s">
        <v>1042</v>
      </c>
      <c r="I101" s="527" t="s">
        <v>1031</v>
      </c>
      <c r="J101" s="527"/>
      <c r="K101" s="536" t="s">
        <v>1014</v>
      </c>
      <c r="L101" s="526" t="s">
        <v>1043</v>
      </c>
      <c r="M101" s="526" t="s">
        <v>1044</v>
      </c>
      <c r="N101" s="526" t="s">
        <v>1045</v>
      </c>
    </row>
    <row r="102" customFormat="false" ht="12.75" hidden="false" customHeight="false" outlineLevel="0" collapsed="false">
      <c r="B102" s="527" t="s">
        <v>1032</v>
      </c>
      <c r="C102" s="530" t="n">
        <v>1163</v>
      </c>
      <c r="D102" s="531" t="n">
        <f aca="false">+C102/C105</f>
        <v>0.358397534668721</v>
      </c>
      <c r="E102" s="535" t="e">
        <f aca="false">+#REF!</f>
        <v>#REF!</v>
      </c>
      <c r="F102" s="543" t="n">
        <v>-0.0725</v>
      </c>
      <c r="G102" s="544" t="e">
        <f aca="false">+D102*E102</f>
        <v>#REF!</v>
      </c>
      <c r="H102" s="535" t="n">
        <f aca="false">+F102*D102</f>
        <v>-0.0259838212634823</v>
      </c>
      <c r="I102" s="535" t="n">
        <v>0.2175</v>
      </c>
      <c r="J102" s="527"/>
      <c r="K102" s="545" t="e">
        <f aca="false">(+G102*H102)</f>
        <v>#REF!</v>
      </c>
      <c r="L102" s="526" t="n">
        <f aca="false">+I102-F102</f>
        <v>0.29</v>
      </c>
      <c r="M102" s="526" t="e">
        <f aca="false">+L102-E102</f>
        <v>#REF!</v>
      </c>
      <c r="N102" s="526" t="e">
        <f aca="false">+M102*5</f>
        <v>#REF!</v>
      </c>
      <c r="O102" s="0" t="e">
        <f aca="false">+N102*D102</f>
        <v>#REF!</v>
      </c>
    </row>
    <row r="103" customFormat="false" ht="12.75" hidden="false" customHeight="false" outlineLevel="0" collapsed="false">
      <c r="B103" s="527" t="s">
        <v>1033</v>
      </c>
      <c r="C103" s="530" t="n">
        <v>2082</v>
      </c>
      <c r="D103" s="531" t="n">
        <f aca="false">+C103/C105</f>
        <v>0.641602465331279</v>
      </c>
      <c r="E103" s="535" t="e">
        <f aca="false">+#REF!</f>
        <v>#REF!</v>
      </c>
      <c r="F103" s="543" t="n">
        <v>-0.06</v>
      </c>
      <c r="G103" s="544" t="e">
        <f aca="false">+D103*E103</f>
        <v>#REF!</v>
      </c>
      <c r="H103" s="535" t="n">
        <f aca="false">+F103*D103</f>
        <v>-0.0384961479198767</v>
      </c>
      <c r="I103" s="535" t="n">
        <v>0.2175</v>
      </c>
      <c r="J103" s="527"/>
      <c r="K103" s="545" t="e">
        <f aca="false">(+G103*H103)</f>
        <v>#REF!</v>
      </c>
      <c r="L103" s="526" t="n">
        <f aca="false">+I103-F103</f>
        <v>0.2775</v>
      </c>
      <c r="M103" s="526" t="e">
        <f aca="false">+L103-E103</f>
        <v>#REF!</v>
      </c>
      <c r="N103" s="526" t="e">
        <f aca="false">+M103*5</f>
        <v>#REF!</v>
      </c>
      <c r="O103" s="0" t="e">
        <f aca="false">+N103*D103</f>
        <v>#REF!</v>
      </c>
    </row>
    <row r="104" customFormat="false" ht="12.75" hidden="false" customHeight="false" outlineLevel="0" collapsed="false">
      <c r="C104" s="532" t="n">
        <v>0</v>
      </c>
      <c r="D104" s="533" t="n">
        <f aca="false">+C104/C105</f>
        <v>0</v>
      </c>
      <c r="O104" s="0" t="e">
        <f aca="false">SUM(O102:O103)</f>
        <v>#REF!</v>
      </c>
    </row>
    <row r="105" customFormat="false" ht="12.75" hidden="false" customHeight="false" outlineLevel="0" collapsed="false">
      <c r="C105" s="530" t="n">
        <f aca="false">SUM(C102:C104)</f>
        <v>3245</v>
      </c>
      <c r="D105" s="531" t="n">
        <f aca="false">SUM(D102:D104)</f>
        <v>1</v>
      </c>
    </row>
    <row r="106" customFormat="false" ht="12.75" hidden="false" customHeight="false" outlineLevel="0" collapsed="false">
      <c r="C106" s="541" t="n">
        <f aca="false">+C102*F102</f>
        <v>-84.3175</v>
      </c>
    </row>
    <row r="107" customFormat="false" ht="12.75" hidden="false" customHeight="false" outlineLevel="0" collapsed="false">
      <c r="C107" s="541" t="n">
        <f aca="false">+C103*F103</f>
        <v>-124.92</v>
      </c>
    </row>
    <row r="108" customFormat="false" ht="12.75" hidden="false" customHeight="false" outlineLevel="0" collapsed="false">
      <c r="C108" s="541" t="n">
        <f aca="false">+C107+C106</f>
        <v>-209.2375</v>
      </c>
      <c r="D108" s="0" t="n">
        <f aca="false">+C108/C105</f>
        <v>-0.064479969183359</v>
      </c>
      <c r="I108" s="0" t="s">
        <v>1</v>
      </c>
    </row>
    <row r="109" customFormat="false" ht="12.75" hidden="false" customHeight="false" outlineLevel="0" collapsed="false">
      <c r="A109" s="527"/>
      <c r="B109" s="536" t="s">
        <v>642</v>
      </c>
      <c r="C109" s="527" t="s">
        <v>1</v>
      </c>
      <c r="D109" s="528" t="s">
        <v>1003</v>
      </c>
      <c r="E109" s="527" t="s">
        <v>1046</v>
      </c>
      <c r="F109" s="527" t="s">
        <v>1047</v>
      </c>
      <c r="G109" s="0" t="s">
        <v>1041</v>
      </c>
      <c r="H109" s="527" t="s">
        <v>1042</v>
      </c>
      <c r="I109" s="527" t="s">
        <v>1031</v>
      </c>
      <c r="J109" s="527"/>
      <c r="K109" s="536" t="s">
        <v>1014</v>
      </c>
    </row>
    <row r="110" customFormat="false" ht="12.75" hidden="false" customHeight="false" outlineLevel="0" collapsed="false">
      <c r="A110" s="527"/>
      <c r="B110" s="527" t="s">
        <v>1032</v>
      </c>
      <c r="C110" s="530" t="n">
        <v>1163</v>
      </c>
      <c r="D110" s="531" t="n">
        <f aca="false">+C110/C113</f>
        <v>0.358397534668721</v>
      </c>
      <c r="E110" s="535" t="n">
        <f aca="false">+Rates!H32</f>
        <v>0.328487784330245</v>
      </c>
      <c r="F110" s="543" t="n">
        <v>-0.0725</v>
      </c>
      <c r="G110" s="544" t="n">
        <f aca="false">+D110*E110</f>
        <v>0.11772921207275</v>
      </c>
      <c r="H110" s="535" t="n">
        <f aca="false">+F110*D110</f>
        <v>-0.0259838212634823</v>
      </c>
      <c r="I110" s="535" t="n">
        <v>0.2175</v>
      </c>
      <c r="J110" s="527"/>
      <c r="K110" s="545" t="n">
        <f aca="false">(+G110*H110)</f>
        <v>-0.00305905480398894</v>
      </c>
      <c r="L110" s="526" t="n">
        <f aca="false">+I110-F110</f>
        <v>0.29</v>
      </c>
      <c r="M110" s="526" t="n">
        <f aca="false">+L110-E110</f>
        <v>-0.0384877843302446</v>
      </c>
      <c r="N110" s="526" t="n">
        <f aca="false">+M110*7</f>
        <v>-0.269414490311712</v>
      </c>
      <c r="O110" s="0" t="n">
        <f aca="false">+N110*D110</f>
        <v>-0.0965574891317478</v>
      </c>
    </row>
    <row r="111" customFormat="false" ht="12.75" hidden="false" customHeight="false" outlineLevel="0" collapsed="false">
      <c r="A111" s="527"/>
      <c r="B111" s="527" t="s">
        <v>1048</v>
      </c>
      <c r="C111" s="530" t="n">
        <v>2082</v>
      </c>
      <c r="D111" s="531" t="n">
        <f aca="false">+C111/C113</f>
        <v>0.641602465331279</v>
      </c>
      <c r="E111" s="535" t="n">
        <f aca="false">+Rates!H67</f>
        <v>0.284131396928221</v>
      </c>
      <c r="F111" s="535" t="n">
        <v>-0.06</v>
      </c>
      <c r="G111" s="544" t="n">
        <f aca="false">+D111*E111</f>
        <v>0.182299404747166</v>
      </c>
      <c r="H111" s="535" t="n">
        <f aca="false">+F111*D111</f>
        <v>-0.0384961479198767</v>
      </c>
      <c r="I111" s="535" t="n">
        <v>0.2175</v>
      </c>
      <c r="J111" s="527"/>
      <c r="K111" s="545" t="n">
        <f aca="false">(+G111*H111)</f>
        <v>-0.0070178248508524</v>
      </c>
      <c r="L111" s="526" t="n">
        <f aca="false">+I111-F111</f>
        <v>0.2775</v>
      </c>
      <c r="M111" s="526" t="n">
        <f aca="false">+L111-E111</f>
        <v>-0.00663139692822057</v>
      </c>
      <c r="N111" s="526" t="n">
        <f aca="false">+M111*7</f>
        <v>-0.046419778497544</v>
      </c>
      <c r="O111" s="0" t="n">
        <f aca="false">+N111*D111</f>
        <v>-0.0297830443241561</v>
      </c>
    </row>
    <row r="112" customFormat="false" ht="12.75" hidden="false" customHeight="false" outlineLevel="0" collapsed="false">
      <c r="A112" s="527"/>
      <c r="B112" s="527"/>
      <c r="C112" s="535" t="n">
        <v>0</v>
      </c>
      <c r="D112" s="533" t="n">
        <f aca="false">+C112/C113</f>
        <v>0</v>
      </c>
      <c r="E112" s="535"/>
      <c r="F112" s="535" t="s">
        <v>1</v>
      </c>
      <c r="H112" s="527"/>
      <c r="I112" s="542"/>
      <c r="J112" s="527"/>
      <c r="O112" s="0" t="n">
        <f aca="false">SUM(O110:O111)</f>
        <v>-0.126340533455904</v>
      </c>
    </row>
    <row r="113" customFormat="false" ht="12.75" hidden="false" customHeight="false" outlineLevel="0" collapsed="false">
      <c r="C113" s="530" t="n">
        <f aca="false">SUM(C110:C112)</f>
        <v>3245</v>
      </c>
      <c r="D113" s="531" t="n">
        <f aca="false">SUM(D110:D112)</f>
        <v>1</v>
      </c>
      <c r="M113" s="526" t="n">
        <f aca="false">AVERAGE(M110:M111)</f>
        <v>-0.0225595906292326</v>
      </c>
    </row>
    <row r="114" customFormat="false" ht="12.75" hidden="false" customHeight="false" outlineLevel="0" collapsed="false">
      <c r="O114" s="0" t="e">
        <f aca="false">+O112+O104</f>
        <v>#REF!</v>
      </c>
    </row>
    <row r="115" customFormat="false" ht="12.75" hidden="false" customHeight="false" outlineLevel="0" collapsed="false">
      <c r="O115" s="0" t="e">
        <f aca="false">+O114/12</f>
        <v>#REF!</v>
      </c>
    </row>
    <row r="116" customFormat="false" ht="12.75" hidden="false" customHeight="false" outlineLevel="0" collapsed="false">
      <c r="M116" s="526" t="n">
        <f aca="false">+M113+M105</f>
        <v>-0.0225595906292326</v>
      </c>
    </row>
    <row r="131" customFormat="false" ht="12.75" hidden="false" customHeight="false" outlineLevel="0" collapsed="false">
      <c r="B131" s="536" t="s">
        <v>642</v>
      </c>
      <c r="C131" s="528" t="s">
        <v>1002</v>
      </c>
      <c r="D131" s="528" t="s">
        <v>1003</v>
      </c>
      <c r="E131" s="527" t="s">
        <v>975</v>
      </c>
      <c r="F131" s="527" t="s">
        <v>1030</v>
      </c>
      <c r="G131" s="527" t="s">
        <v>1041</v>
      </c>
      <c r="H131" s="527" t="s">
        <v>1042</v>
      </c>
      <c r="I131" s="527" t="s">
        <v>1049</v>
      </c>
      <c r="J131" s="527"/>
      <c r="K131" s="536" t="s">
        <v>1</v>
      </c>
      <c r="L131" s="526" t="s">
        <v>1043</v>
      </c>
      <c r="M131" s="526" t="s">
        <v>1044</v>
      </c>
      <c r="N131" s="526" t="s">
        <v>1045</v>
      </c>
    </row>
    <row r="132" customFormat="false" ht="12.75" hidden="false" customHeight="false" outlineLevel="0" collapsed="false">
      <c r="B132" s="527" t="s">
        <v>1034</v>
      </c>
      <c r="C132" s="530" t="n">
        <v>1163</v>
      </c>
      <c r="D132" s="531" t="n">
        <f aca="false">+C132/C135</f>
        <v>0.358397534668721</v>
      </c>
      <c r="E132" s="535" t="e">
        <f aca="false">+#REF!</f>
        <v>#REF!</v>
      </c>
      <c r="F132" s="543" t="n">
        <v>-0.0725</v>
      </c>
      <c r="G132" s="544" t="e">
        <f aca="false">+D132*E132</f>
        <v>#REF!</v>
      </c>
      <c r="H132" s="535" t="n">
        <f aca="false">+F132*D132</f>
        <v>-0.0259838212634823</v>
      </c>
      <c r="I132" s="535" t="n">
        <v>0.2525</v>
      </c>
      <c r="J132" s="527"/>
      <c r="K132" s="545" t="s">
        <v>1</v>
      </c>
      <c r="L132" s="526" t="n">
        <f aca="false">+I132-F132</f>
        <v>0.325</v>
      </c>
      <c r="M132" s="526" t="e">
        <f aca="false">+L132-E132</f>
        <v>#REF!</v>
      </c>
      <c r="N132" s="526" t="e">
        <f aca="false">+M132*5</f>
        <v>#REF!</v>
      </c>
      <c r="O132" s="0" t="e">
        <f aca="false">+N132*D132</f>
        <v>#REF!</v>
      </c>
    </row>
    <row r="133" customFormat="false" ht="12.75" hidden="false" customHeight="false" outlineLevel="0" collapsed="false">
      <c r="B133" s="527" t="s">
        <v>1035</v>
      </c>
      <c r="C133" s="530" t="n">
        <v>2082</v>
      </c>
      <c r="D133" s="531" t="n">
        <f aca="false">+C133/C135</f>
        <v>0.641602465331279</v>
      </c>
      <c r="E133" s="535" t="e">
        <f aca="false">+#REF!</f>
        <v>#REF!</v>
      </c>
      <c r="F133" s="543" t="n">
        <v>-0.06</v>
      </c>
      <c r="G133" s="544" t="e">
        <f aca="false">+D133*E133</f>
        <v>#REF!</v>
      </c>
      <c r="H133" s="535" t="n">
        <f aca="false">+F133*D133</f>
        <v>-0.0384961479198767</v>
      </c>
      <c r="I133" s="535" t="n">
        <v>0.2525</v>
      </c>
      <c r="J133" s="527"/>
      <c r="K133" s="545" t="s">
        <v>1</v>
      </c>
      <c r="L133" s="526" t="n">
        <f aca="false">+I133-F133</f>
        <v>0.3125</v>
      </c>
      <c r="M133" s="526" t="e">
        <f aca="false">+L133-E133</f>
        <v>#REF!</v>
      </c>
      <c r="N133" s="526" t="e">
        <f aca="false">+M133*5</f>
        <v>#REF!</v>
      </c>
      <c r="O133" s="0" t="e">
        <f aca="false">+N133*D133</f>
        <v>#REF!</v>
      </c>
    </row>
    <row r="134" customFormat="false" ht="12.75" hidden="false" customHeight="false" outlineLevel="0" collapsed="false">
      <c r="C134" s="532" t="n">
        <v>0</v>
      </c>
      <c r="D134" s="533" t="n">
        <f aca="false">+C134/C135</f>
        <v>0</v>
      </c>
      <c r="O134" s="0" t="e">
        <f aca="false">SUM(O132:O133)</f>
        <v>#REF!</v>
      </c>
    </row>
    <row r="135" customFormat="false" ht="12.75" hidden="false" customHeight="false" outlineLevel="0" collapsed="false">
      <c r="C135" s="530" t="n">
        <f aca="false">SUM(C132:C134)</f>
        <v>3245</v>
      </c>
      <c r="D135" s="531" t="n">
        <f aca="false">SUM(D132:D134)</f>
        <v>1</v>
      </c>
    </row>
    <row r="136" customFormat="false" ht="12.75" hidden="false" customHeight="false" outlineLevel="0" collapsed="false">
      <c r="C136" s="541" t="n">
        <f aca="false">+C132*F132</f>
        <v>-84.3175</v>
      </c>
    </row>
    <row r="137" customFormat="false" ht="12.75" hidden="false" customHeight="false" outlineLevel="0" collapsed="false">
      <c r="C137" s="541" t="n">
        <f aca="false">+C133*F133</f>
        <v>-124.92</v>
      </c>
    </row>
    <row r="138" customFormat="false" ht="12.75" hidden="false" customHeight="false" outlineLevel="0" collapsed="false">
      <c r="C138" s="541" t="n">
        <f aca="false">+C137+C136</f>
        <v>-209.2375</v>
      </c>
      <c r="D138" s="0" t="n">
        <f aca="false">+C138/C135</f>
        <v>-0.064479969183359</v>
      </c>
      <c r="I138" s="0" t="s">
        <v>1</v>
      </c>
    </row>
    <row r="139" customFormat="false" ht="12.75" hidden="false" customHeight="false" outlineLevel="0" collapsed="false">
      <c r="A139" s="527"/>
      <c r="B139" s="536" t="s">
        <v>642</v>
      </c>
      <c r="C139" s="527" t="s">
        <v>1</v>
      </c>
      <c r="D139" s="528" t="s">
        <v>1003</v>
      </c>
      <c r="E139" s="527" t="s">
        <v>1046</v>
      </c>
      <c r="F139" s="527" t="s">
        <v>1047</v>
      </c>
      <c r="G139" s="0" t="s">
        <v>1041</v>
      </c>
      <c r="H139" s="527" t="s">
        <v>1042</v>
      </c>
      <c r="I139" s="527" t="s">
        <v>1031</v>
      </c>
      <c r="J139" s="527"/>
      <c r="K139" s="536" t="s">
        <v>1</v>
      </c>
    </row>
    <row r="140" customFormat="false" ht="12.75" hidden="false" customHeight="false" outlineLevel="0" collapsed="false">
      <c r="A140" s="527"/>
      <c r="B140" s="527" t="s">
        <v>1034</v>
      </c>
      <c r="C140" s="530" t="n">
        <v>1163</v>
      </c>
      <c r="D140" s="531" t="n">
        <f aca="false">+C140/C143</f>
        <v>0.358397534668721</v>
      </c>
      <c r="E140" s="535" t="n">
        <f aca="false">+Rates!H37</f>
        <v>0.386263694267516</v>
      </c>
      <c r="F140" s="543" t="n">
        <v>-0.0725</v>
      </c>
      <c r="G140" s="544" t="n">
        <f aca="false">+D140*E140</f>
        <v>0.13843595575751</v>
      </c>
      <c r="H140" s="535" t="n">
        <f aca="false">+F140*D140</f>
        <v>-0.0259838212634823</v>
      </c>
      <c r="I140" s="535" t="n">
        <v>0.2525</v>
      </c>
      <c r="J140" s="527"/>
      <c r="K140" s="545" t="s">
        <v>1</v>
      </c>
      <c r="L140" s="526" t="n">
        <f aca="false">+I140-F140</f>
        <v>0.325</v>
      </c>
      <c r="M140" s="526" t="n">
        <f aca="false">+L140-E140</f>
        <v>-0.0612636942675159</v>
      </c>
      <c r="N140" s="526" t="n">
        <f aca="false">+M140*7</f>
        <v>-0.428845859872612</v>
      </c>
      <c r="O140" s="0" t="n">
        <f aca="false">+N140*D140</f>
        <v>-0.153697298931232</v>
      </c>
    </row>
    <row r="141" customFormat="false" ht="12.75" hidden="false" customHeight="false" outlineLevel="0" collapsed="false">
      <c r="A141" s="527"/>
      <c r="B141" s="527" t="s">
        <v>1050</v>
      </c>
      <c r="C141" s="530" t="n">
        <v>2082</v>
      </c>
      <c r="D141" s="531" t="n">
        <f aca="false">+C141/C143</f>
        <v>0.641602465331279</v>
      </c>
      <c r="E141" s="535" t="n">
        <f aca="false">+Rates!H72</f>
        <v>0.342108194649252</v>
      </c>
      <c r="F141" s="535" t="n">
        <v>-0.06</v>
      </c>
      <c r="G141" s="544" t="n">
        <f aca="false">+D141*E141</f>
        <v>0.219497461096993</v>
      </c>
      <c r="H141" s="535" t="n">
        <f aca="false">+F141*D141</f>
        <v>-0.0384961479198767</v>
      </c>
      <c r="I141" s="535" t="n">
        <v>0.2525</v>
      </c>
      <c r="J141" s="527"/>
      <c r="K141" s="545" t="s">
        <v>1</v>
      </c>
      <c r="L141" s="526" t="n">
        <f aca="false">+I141-F141</f>
        <v>0.3125</v>
      </c>
      <c r="M141" s="526" t="n">
        <f aca="false">+L141-E141</f>
        <v>-0.0296081946492517</v>
      </c>
      <c r="N141" s="526" t="n">
        <f aca="false">+M141*7</f>
        <v>-0.207257362544762</v>
      </c>
      <c r="O141" s="0" t="n">
        <f aca="false">+N141*D141</f>
        <v>-0.132976834766778</v>
      </c>
    </row>
    <row r="142" customFormat="false" ht="12.75" hidden="false" customHeight="false" outlineLevel="0" collapsed="false">
      <c r="A142" s="527"/>
      <c r="B142" s="527"/>
      <c r="C142" s="535" t="n">
        <v>0</v>
      </c>
      <c r="D142" s="533" t="n">
        <f aca="false">+C142/C143</f>
        <v>0</v>
      </c>
      <c r="E142" s="535"/>
      <c r="F142" s="535" t="s">
        <v>1</v>
      </c>
      <c r="H142" s="527"/>
      <c r="I142" s="542"/>
      <c r="J142" s="527"/>
      <c r="O142" s="0" t="n">
        <f aca="false">SUM(O140:O141)</f>
        <v>-0.28667413369801</v>
      </c>
    </row>
    <row r="143" customFormat="false" ht="12.75" hidden="false" customHeight="false" outlineLevel="0" collapsed="false">
      <c r="C143" s="530" t="n">
        <f aca="false">SUM(C140:C142)</f>
        <v>3245</v>
      </c>
      <c r="D143" s="531" t="n">
        <f aca="false">SUM(D140:D142)</f>
        <v>1</v>
      </c>
      <c r="M143" s="526" t="n">
        <f aca="false">AVERAGE(M140:M141)</f>
        <v>-0.0454359444583838</v>
      </c>
    </row>
    <row r="144" customFormat="false" ht="12.75" hidden="false" customHeight="false" outlineLevel="0" collapsed="false">
      <c r="O144" s="0" t="e">
        <f aca="false">+O142+O134</f>
        <v>#REF!</v>
      </c>
    </row>
    <row r="145" customFormat="false" ht="12.75" hidden="false" customHeight="false" outlineLevel="0" collapsed="false">
      <c r="O145" s="0" t="e">
        <f aca="false">+O144/12</f>
        <v>#REF!</v>
      </c>
    </row>
    <row r="146" customFormat="false" ht="12.75" hidden="false" customHeight="false" outlineLevel="0" collapsed="false">
      <c r="M146" s="526" t="n">
        <f aca="false">+M143+M135</f>
        <v>-0.0454359444583838</v>
      </c>
    </row>
    <row r="151" customFormat="false" ht="12.75" hidden="false" customHeight="false" outlineLevel="0" collapsed="false">
      <c r="B151" s="536" t="s">
        <v>642</v>
      </c>
      <c r="C151" s="528" t="s">
        <v>1002</v>
      </c>
      <c r="D151" s="528" t="s">
        <v>1003</v>
      </c>
      <c r="E151" s="527" t="s">
        <v>975</v>
      </c>
      <c r="F151" s="527" t="s">
        <v>1030</v>
      </c>
      <c r="G151" s="527" t="s">
        <v>1041</v>
      </c>
      <c r="H151" s="527" t="s">
        <v>1042</v>
      </c>
      <c r="I151" s="527" t="s">
        <v>1051</v>
      </c>
      <c r="J151" s="527"/>
      <c r="K151" s="536" t="s">
        <v>1</v>
      </c>
      <c r="L151" s="526" t="s">
        <v>1043</v>
      </c>
      <c r="M151" s="526" t="s">
        <v>1044</v>
      </c>
      <c r="N151" s="526" t="s">
        <v>1045</v>
      </c>
    </row>
    <row r="152" customFormat="false" ht="12.75" hidden="false" customHeight="false" outlineLevel="0" collapsed="false">
      <c r="B152" s="527" t="s">
        <v>1052</v>
      </c>
      <c r="C152" s="530" t="n">
        <v>1163</v>
      </c>
      <c r="D152" s="531" t="n">
        <f aca="false">+C152/C155</f>
        <v>0.358397534668721</v>
      </c>
      <c r="E152" s="535" t="e">
        <f aca="false">+#REF!</f>
        <v>#REF!</v>
      </c>
      <c r="F152" s="543" t="n">
        <v>-0.0725</v>
      </c>
      <c r="G152" s="544" t="e">
        <f aca="false">+D152*E152</f>
        <v>#REF!</v>
      </c>
      <c r="H152" s="535" t="n">
        <f aca="false">+F152*D152</f>
        <v>-0.0259838212634823</v>
      </c>
      <c r="I152" s="535" t="n">
        <v>0.285</v>
      </c>
      <c r="J152" s="527"/>
      <c r="K152" s="545" t="s">
        <v>1</v>
      </c>
      <c r="L152" s="526" t="n">
        <f aca="false">+I152-F152</f>
        <v>0.3575</v>
      </c>
      <c r="M152" s="526" t="e">
        <f aca="false">+L152-E152</f>
        <v>#REF!</v>
      </c>
      <c r="N152" s="526" t="e">
        <f aca="false">+M152*5</f>
        <v>#REF!</v>
      </c>
      <c r="O152" s="0" t="e">
        <f aca="false">+N152*D152</f>
        <v>#REF!</v>
      </c>
    </row>
    <row r="153" customFormat="false" ht="12.75" hidden="false" customHeight="false" outlineLevel="0" collapsed="false">
      <c r="B153" s="527" t="s">
        <v>1053</v>
      </c>
      <c r="C153" s="530" t="n">
        <v>2082</v>
      </c>
      <c r="D153" s="531" t="n">
        <f aca="false">+C153/C155</f>
        <v>0.641602465331279</v>
      </c>
      <c r="E153" s="535" t="e">
        <f aca="false">+#REF!</f>
        <v>#REF!</v>
      </c>
      <c r="F153" s="543" t="n">
        <v>-0.06</v>
      </c>
      <c r="G153" s="544" t="e">
        <f aca="false">+D153*E153</f>
        <v>#REF!</v>
      </c>
      <c r="H153" s="535" t="n">
        <f aca="false">+F153*D153</f>
        <v>-0.0384961479198767</v>
      </c>
      <c r="I153" s="535" t="n">
        <v>0.285</v>
      </c>
      <c r="J153" s="527"/>
      <c r="K153" s="545" t="s">
        <v>1</v>
      </c>
      <c r="L153" s="526" t="n">
        <f aca="false">+I153-F153</f>
        <v>0.345</v>
      </c>
      <c r="M153" s="526" t="e">
        <f aca="false">+L153-E153</f>
        <v>#REF!</v>
      </c>
      <c r="N153" s="526" t="e">
        <f aca="false">+M153*5</f>
        <v>#REF!</v>
      </c>
      <c r="O153" s="0" t="e">
        <f aca="false">+N153*D153</f>
        <v>#REF!</v>
      </c>
    </row>
    <row r="154" customFormat="false" ht="12.75" hidden="false" customHeight="false" outlineLevel="0" collapsed="false">
      <c r="C154" s="532" t="n">
        <v>0</v>
      </c>
      <c r="D154" s="533" t="n">
        <f aca="false">+C154/C155</f>
        <v>0</v>
      </c>
      <c r="O154" s="0" t="e">
        <f aca="false">SUM(O152:O153)</f>
        <v>#REF!</v>
      </c>
    </row>
    <row r="155" customFormat="false" ht="12.75" hidden="false" customHeight="false" outlineLevel="0" collapsed="false">
      <c r="C155" s="530" t="n">
        <f aca="false">SUM(C152:C154)</f>
        <v>3245</v>
      </c>
      <c r="D155" s="531" t="n">
        <f aca="false">SUM(D152:D154)</f>
        <v>1</v>
      </c>
    </row>
    <row r="156" customFormat="false" ht="12.75" hidden="false" customHeight="false" outlineLevel="0" collapsed="false">
      <c r="C156" s="541" t="n">
        <f aca="false">+C152*F152</f>
        <v>-84.3175</v>
      </c>
    </row>
    <row r="157" customFormat="false" ht="12.75" hidden="false" customHeight="false" outlineLevel="0" collapsed="false">
      <c r="C157" s="541" t="n">
        <f aca="false">+C153*F153</f>
        <v>-124.92</v>
      </c>
    </row>
    <row r="158" customFormat="false" ht="12.75" hidden="false" customHeight="false" outlineLevel="0" collapsed="false">
      <c r="C158" s="541" t="n">
        <f aca="false">+C157+C156</f>
        <v>-209.2375</v>
      </c>
      <c r="D158" s="0" t="n">
        <f aca="false">+C158/C155</f>
        <v>-0.064479969183359</v>
      </c>
      <c r="I158" s="0" t="s">
        <v>1</v>
      </c>
    </row>
    <row r="159" customFormat="false" ht="12.75" hidden="false" customHeight="false" outlineLevel="0" collapsed="false">
      <c r="B159" s="536" t="s">
        <v>642</v>
      </c>
      <c r="C159" s="527" t="s">
        <v>1</v>
      </c>
      <c r="D159" s="528" t="s">
        <v>1003</v>
      </c>
      <c r="E159" s="527" t="s">
        <v>1046</v>
      </c>
      <c r="F159" s="527" t="s">
        <v>1047</v>
      </c>
      <c r="G159" s="0" t="s">
        <v>1041</v>
      </c>
      <c r="H159" s="527" t="s">
        <v>1042</v>
      </c>
      <c r="I159" s="527" t="s">
        <v>1051</v>
      </c>
      <c r="J159" s="527"/>
      <c r="K159" s="536" t="s">
        <v>1</v>
      </c>
    </row>
    <row r="160" customFormat="false" ht="12.75" hidden="false" customHeight="false" outlineLevel="0" collapsed="false">
      <c r="B160" s="527" t="s">
        <v>1052</v>
      </c>
      <c r="C160" s="530" t="n">
        <v>1163</v>
      </c>
      <c r="D160" s="531" t="n">
        <f aca="false">+C160/C163</f>
        <v>0.358397534668721</v>
      </c>
      <c r="E160" s="535" t="n">
        <f aca="false">+Rates!H42</f>
        <v>0.442637221269297</v>
      </c>
      <c r="F160" s="543" t="n">
        <v>-0.0725</v>
      </c>
      <c r="G160" s="544" t="n">
        <f aca="false">+D160*E160</f>
        <v>0.158640088855529</v>
      </c>
      <c r="H160" s="535" t="n">
        <f aca="false">+F160*D160</f>
        <v>-0.0259838212634823</v>
      </c>
      <c r="I160" s="535" t="n">
        <v>0.285</v>
      </c>
      <c r="J160" s="527"/>
      <c r="K160" s="545" t="s">
        <v>1</v>
      </c>
      <c r="L160" s="526" t="n">
        <f aca="false">+I160-F160</f>
        <v>0.3575</v>
      </c>
      <c r="M160" s="526" t="n">
        <f aca="false">+L160-E160</f>
        <v>-0.0851372212692972</v>
      </c>
      <c r="N160" s="526" t="n">
        <f aca="false">+M160*7</f>
        <v>-0.595960548885081</v>
      </c>
      <c r="O160" s="0" t="n">
        <f aca="false">+N160*D160</f>
        <v>-0.213590791480231</v>
      </c>
    </row>
    <row r="161" customFormat="false" ht="12.75" hidden="false" customHeight="false" outlineLevel="0" collapsed="false">
      <c r="B161" s="527" t="s">
        <v>1054</v>
      </c>
      <c r="C161" s="530" t="n">
        <v>2082</v>
      </c>
      <c r="D161" s="531" t="n">
        <f aca="false">+C161/C163</f>
        <v>0.641602465331279</v>
      </c>
      <c r="E161" s="535" t="n">
        <f aca="false">+Rates!H77</f>
        <v>0.397548229288525</v>
      </c>
      <c r="F161" s="535" t="n">
        <v>-0.06</v>
      </c>
      <c r="G161" s="544" t="n">
        <f aca="false">+D161*E161</f>
        <v>0.255067923999602</v>
      </c>
      <c r="H161" s="535" t="n">
        <f aca="false">+F161*D161</f>
        <v>-0.0384961479198767</v>
      </c>
      <c r="I161" s="535" t="n">
        <v>0.285</v>
      </c>
      <c r="J161" s="527"/>
      <c r="K161" s="545" t="s">
        <v>1</v>
      </c>
      <c r="L161" s="526" t="n">
        <f aca="false">+I161-F161</f>
        <v>0.345</v>
      </c>
      <c r="M161" s="526" t="n">
        <f aca="false">+L161-E161</f>
        <v>-0.0525482292885248</v>
      </c>
      <c r="N161" s="526" t="n">
        <f aca="false">+M161*7</f>
        <v>-0.367837605019673</v>
      </c>
      <c r="O161" s="0" t="n">
        <f aca="false">+N161*D161</f>
        <v>-0.236005514222176</v>
      </c>
    </row>
    <row r="162" customFormat="false" ht="12.75" hidden="false" customHeight="false" outlineLevel="0" collapsed="false">
      <c r="B162" s="527"/>
      <c r="C162" s="535" t="n">
        <v>0</v>
      </c>
      <c r="D162" s="533" t="n">
        <f aca="false">+C162/C163</f>
        <v>0</v>
      </c>
      <c r="E162" s="535"/>
      <c r="F162" s="535" t="s">
        <v>1</v>
      </c>
      <c r="H162" s="527"/>
      <c r="I162" s="542"/>
      <c r="J162" s="527"/>
      <c r="O162" s="0" t="n">
        <f aca="false">SUM(O160:O161)</f>
        <v>-0.449596305702406</v>
      </c>
    </row>
    <row r="163" customFormat="false" ht="12.75" hidden="false" customHeight="false" outlineLevel="0" collapsed="false">
      <c r="C163" s="530" t="n">
        <f aca="false">SUM(C160:C162)</f>
        <v>3245</v>
      </c>
      <c r="D163" s="531" t="n">
        <f aca="false">SUM(D160:D162)</f>
        <v>1</v>
      </c>
      <c r="M163" s="526" t="n">
        <f aca="false">AVERAGE(M160:M161)</f>
        <v>-0.068842725278911</v>
      </c>
    </row>
    <row r="164" customFormat="false" ht="12.75" hidden="false" customHeight="false" outlineLevel="0" collapsed="false">
      <c r="O164" s="0" t="e">
        <f aca="false">+O162+O154</f>
        <v>#REF!</v>
      </c>
    </row>
    <row r="165" customFormat="false" ht="12.75" hidden="false" customHeight="false" outlineLevel="0" collapsed="false">
      <c r="O165" s="0" t="e">
        <f aca="false">+O164/12</f>
        <v>#REF!</v>
      </c>
    </row>
    <row r="166" customFormat="false" ht="12.75" hidden="false" customHeight="false" outlineLevel="0" collapsed="false">
      <c r="M166" s="526" t="n">
        <f aca="false">+M163+M155</f>
        <v>-0.068842725278911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13"/>
    <col collapsed="false" customWidth="true" hidden="false" outlineLevel="0" max="4" min="4" style="0" width="3.7"/>
    <col collapsed="false" customWidth="true" hidden="false" outlineLevel="0" max="6" min="6" style="0" width="3.28"/>
  </cols>
  <sheetData>
    <row r="1" customFormat="false" ht="12.75" hidden="false" customHeight="false" outlineLevel="0" collapsed="false">
      <c r="A1" s="0" t="s">
        <v>1055</v>
      </c>
    </row>
    <row r="2" customFormat="false" ht="12.75" hidden="false" customHeight="false" outlineLevel="0" collapsed="false">
      <c r="C2" s="0" t="s">
        <v>1056</v>
      </c>
      <c r="E2" s="0" t="s">
        <v>639</v>
      </c>
    </row>
    <row r="3" customFormat="false" ht="12.75" hidden="false" customHeight="false" outlineLevel="0" collapsed="false">
      <c r="A3" s="0" t="s">
        <v>1057</v>
      </c>
      <c r="C3" s="0" t="n">
        <v>307497</v>
      </c>
      <c r="E3" s="506" t="n">
        <v>1.6</v>
      </c>
    </row>
    <row r="8" customFormat="false" ht="12.75" hidden="false" customHeight="false" outlineLevel="0" collapsed="false">
      <c r="A8" s="0" t="s">
        <v>1058</v>
      </c>
    </row>
    <row r="9" customFormat="false" ht="12.75" hidden="false" customHeight="false" outlineLevel="0" collapsed="false">
      <c r="B9" s="546" t="s">
        <v>478</v>
      </c>
      <c r="C9" s="546"/>
      <c r="D9" s="546"/>
      <c r="E9" s="546"/>
      <c r="F9" s="546"/>
      <c r="G9" s="546"/>
    </row>
    <row r="10" customFormat="false" ht="12.75" hidden="false" customHeight="false" outlineLevel="0" collapsed="false">
      <c r="B10" s="0" t="s">
        <v>1056</v>
      </c>
      <c r="C10" s="0" t="s">
        <v>9</v>
      </c>
      <c r="E10" s="0" t="s">
        <v>1059</v>
      </c>
      <c r="G10" s="0" t="s">
        <v>1060</v>
      </c>
    </row>
    <row r="11" customFormat="false" ht="12.75" hidden="false" customHeight="false" outlineLevel="0" collapsed="false">
      <c r="B11" s="0" t="n">
        <v>68900</v>
      </c>
      <c r="C11" s="0" t="s">
        <v>1061</v>
      </c>
    </row>
    <row r="12" customFormat="false" ht="12.75" hidden="false" customHeight="false" outlineLevel="0" collapsed="false">
      <c r="B12" s="0" t="n">
        <v>79139</v>
      </c>
      <c r="C12" s="0" t="s">
        <v>1062</v>
      </c>
    </row>
    <row r="13" customFormat="false" ht="12.75" hidden="false" customHeight="false" outlineLevel="0" collapsed="false">
      <c r="B13" s="0" t="n">
        <v>82058</v>
      </c>
      <c r="C13" s="0" t="s">
        <v>1063</v>
      </c>
    </row>
    <row r="14" customFormat="false" ht="12.75" hidden="false" customHeight="false" outlineLevel="0" collapsed="false">
      <c r="B14" s="0" t="n">
        <v>83440</v>
      </c>
      <c r="C14" s="0" t="s">
        <v>1063</v>
      </c>
    </row>
    <row r="15" customFormat="false" ht="12.75" hidden="false" customHeight="false" outlineLevel="0" collapsed="false">
      <c r="B15" s="0" t="n">
        <v>35535</v>
      </c>
      <c r="C15" s="0" t="s">
        <v>1064</v>
      </c>
    </row>
    <row r="20" customFormat="false" ht="12.75" hidden="false" customHeight="false" outlineLevel="0" collapsed="false">
      <c r="B20" s="546" t="s">
        <v>479</v>
      </c>
      <c r="C20" s="546"/>
      <c r="D20" s="546"/>
      <c r="E20" s="546"/>
      <c r="F20" s="546"/>
      <c r="G20" s="546"/>
    </row>
    <row r="21" customFormat="false" ht="12.75" hidden="false" customHeight="false" outlineLevel="0" collapsed="false">
      <c r="B21" s="0" t="s">
        <v>1056</v>
      </c>
      <c r="C21" s="0" t="s">
        <v>9</v>
      </c>
      <c r="E21" s="0" t="s">
        <v>1059</v>
      </c>
      <c r="G21" s="0" t="s">
        <v>1060</v>
      </c>
    </row>
    <row r="22" customFormat="false" ht="12.75" hidden="false" customHeight="false" outlineLevel="0" collapsed="false">
      <c r="B22" s="0" t="n">
        <v>68903</v>
      </c>
      <c r="C22" s="0" t="s">
        <v>1065</v>
      </c>
    </row>
    <row r="23" customFormat="false" ht="12.75" hidden="false" customHeight="false" outlineLevel="0" collapsed="false">
      <c r="B23" s="0" t="n">
        <v>68904</v>
      </c>
      <c r="C23" s="0" t="s">
        <v>1066</v>
      </c>
    </row>
    <row r="24" customFormat="false" ht="12.75" hidden="false" customHeight="false" outlineLevel="0" collapsed="false">
      <c r="B24" s="0" t="n">
        <v>79798</v>
      </c>
      <c r="C24" s="0" t="s">
        <v>1067</v>
      </c>
    </row>
    <row r="25" customFormat="false" ht="12.75" hidden="false" customHeight="false" outlineLevel="0" collapsed="false">
      <c r="C25" s="0" t="s">
        <v>1068</v>
      </c>
    </row>
    <row r="26" customFormat="false" ht="12.75" hidden="false" customHeight="false" outlineLevel="0" collapsed="false">
      <c r="B26" s="0" t="n">
        <v>79801</v>
      </c>
      <c r="C26" s="0" t="s">
        <v>1063</v>
      </c>
    </row>
    <row r="27" customFormat="false" ht="12.75" hidden="false" customHeight="false" outlineLevel="0" collapsed="false">
      <c r="C27" s="0" t="s">
        <v>1069</v>
      </c>
    </row>
    <row r="28" customFormat="false" ht="12.75" hidden="false" customHeight="false" outlineLevel="0" collapsed="false">
      <c r="B28" s="0" t="n">
        <v>83404</v>
      </c>
      <c r="C28" s="0" t="s">
        <v>1070</v>
      </c>
    </row>
    <row r="29" customFormat="false" ht="12.75" hidden="false" customHeight="false" outlineLevel="0" collapsed="false">
      <c r="C29" s="0" t="s">
        <v>1068</v>
      </c>
    </row>
    <row r="30" customFormat="false" ht="12.75" hidden="false" customHeight="false" outlineLevel="0" collapsed="false">
      <c r="B30" s="0" t="n">
        <v>79141</v>
      </c>
      <c r="C30" s="0" t="s">
        <v>1067</v>
      </c>
    </row>
    <row r="31" customFormat="false" ht="12.75" hidden="false" customHeight="false" outlineLevel="0" collapsed="false">
      <c r="B31" s="0" t="n">
        <v>79139</v>
      </c>
      <c r="C31" s="0" t="s">
        <v>1062</v>
      </c>
    </row>
    <row r="32" customFormat="false" ht="12.75" hidden="false" customHeight="false" outlineLevel="0" collapsed="false">
      <c r="B32" s="0" t="n">
        <v>79136</v>
      </c>
      <c r="C32" s="0" t="s">
        <v>1071</v>
      </c>
    </row>
    <row r="35" customFormat="false" ht="12.75" hidden="false" customHeight="false" outlineLevel="0" collapsed="false">
      <c r="B35" s="546" t="s">
        <v>370</v>
      </c>
      <c r="C35" s="546"/>
      <c r="D35" s="546"/>
      <c r="E35" s="546"/>
      <c r="F35" s="546"/>
      <c r="G35" s="546"/>
    </row>
    <row r="36" customFormat="false" ht="12.75" hidden="false" customHeight="false" outlineLevel="0" collapsed="false">
      <c r="B36" s="0" t="s">
        <v>1056</v>
      </c>
      <c r="C36" s="0" t="s">
        <v>9</v>
      </c>
      <c r="E36" s="0" t="s">
        <v>1059</v>
      </c>
      <c r="G36" s="0" t="s">
        <v>1060</v>
      </c>
    </row>
    <row r="37" customFormat="false" ht="12.75" hidden="false" customHeight="false" outlineLevel="0" collapsed="false">
      <c r="B37" s="0" t="n">
        <v>75839</v>
      </c>
      <c r="C37" s="0" t="s">
        <v>1072</v>
      </c>
    </row>
    <row r="38" customFormat="false" ht="12.75" hidden="false" customHeight="false" outlineLevel="0" collapsed="false">
      <c r="B38" s="0" t="n">
        <v>79811</v>
      </c>
      <c r="C38" s="0" t="s">
        <v>1073</v>
      </c>
    </row>
    <row r="39" customFormat="false" ht="12.75" hidden="false" customHeight="false" outlineLevel="0" collapsed="false">
      <c r="C39" s="0" t="s">
        <v>1074</v>
      </c>
    </row>
    <row r="40" customFormat="false" ht="12.75" hidden="false" customHeight="false" outlineLevel="0" collapsed="false">
      <c r="B40" s="0" t="n">
        <v>83404</v>
      </c>
      <c r="C40" s="0" t="s">
        <v>1070</v>
      </c>
    </row>
    <row r="41" customFormat="false" ht="12.75" hidden="false" customHeight="false" outlineLevel="0" collapsed="false">
      <c r="B41" s="0" t="n">
        <v>81129</v>
      </c>
      <c r="C41" s="0" t="s">
        <v>1073</v>
      </c>
    </row>
    <row r="42" customFormat="false" ht="12.75" hidden="false" customHeight="false" outlineLevel="0" collapsed="false">
      <c r="B42" s="0" t="n">
        <v>82058</v>
      </c>
      <c r="C42" s="0" t="s">
        <v>1063</v>
      </c>
    </row>
    <row r="43" customFormat="false" ht="12.75" hidden="false" customHeight="false" outlineLevel="0" collapsed="false">
      <c r="C43" s="0" t="s">
        <v>1075</v>
      </c>
    </row>
    <row r="44" customFormat="false" ht="12.75" hidden="false" customHeight="false" outlineLevel="0" collapsed="false">
      <c r="B44" s="0" t="n">
        <v>83440</v>
      </c>
      <c r="C44" s="0" t="s">
        <v>1063</v>
      </c>
    </row>
    <row r="45" customFormat="false" ht="12.75" hidden="false" customHeight="false" outlineLevel="0" collapsed="false">
      <c r="C45" s="0" t="s">
        <v>1069</v>
      </c>
    </row>
  </sheetData>
  <mergeCells count="3">
    <mergeCell ref="B9:G9"/>
    <mergeCell ref="B20:G20"/>
    <mergeCell ref="B35:G35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41"/>
    <col collapsed="false" customWidth="true" hidden="false" outlineLevel="0" max="3" min="3" style="547" width="10.28"/>
    <col collapsed="false" customWidth="true" hidden="false" outlineLevel="0" max="4" min="4" style="0" width="3.28"/>
    <col collapsed="false" customWidth="true" hidden="false" outlineLevel="0" max="6" min="6" style="0" width="3.14"/>
  </cols>
  <sheetData>
    <row r="1" customFormat="false" ht="12.75" hidden="false" customHeight="false" outlineLevel="0" collapsed="false">
      <c r="A1" s="505" t="s">
        <v>1076</v>
      </c>
    </row>
    <row r="4" customFormat="false" ht="12.75" hidden="false" customHeight="false" outlineLevel="0" collapsed="false">
      <c r="A4" s="548" t="s">
        <v>2</v>
      </c>
      <c r="C4" s="251" t="s">
        <v>1077</v>
      </c>
      <c r="E4" s="0" t="s">
        <v>974</v>
      </c>
      <c r="G4" s="0" t="s">
        <v>1078</v>
      </c>
      <c r="I4" s="0" t="s">
        <v>1079</v>
      </c>
      <c r="K4" s="0" t="s">
        <v>1080</v>
      </c>
      <c r="M4" s="0" t="s">
        <v>1081</v>
      </c>
    </row>
    <row r="5" customFormat="false" ht="12.75" hidden="false" customHeight="false" outlineLevel="0" collapsed="false">
      <c r="A5" s="0" t="s">
        <v>1082</v>
      </c>
      <c r="C5" s="547" t="s">
        <v>1083</v>
      </c>
    </row>
    <row r="7" customFormat="false" ht="12.75" hidden="false" customHeight="false" outlineLevel="0" collapsed="false">
      <c r="A7" s="0" t="s">
        <v>48</v>
      </c>
      <c r="C7" s="547" t="n">
        <v>15000</v>
      </c>
      <c r="E7" s="0" t="s">
        <v>171</v>
      </c>
      <c r="G7" s="0" t="s">
        <v>169</v>
      </c>
      <c r="I7" s="0" t="s">
        <v>168</v>
      </c>
      <c r="K7" s="0" t="s">
        <v>1084</v>
      </c>
      <c r="M7" s="0" t="s">
        <v>1085</v>
      </c>
    </row>
    <row r="8" customFormat="false" ht="12.75" hidden="false" customHeight="false" outlineLevel="0" collapsed="false">
      <c r="C8" s="547" t="n">
        <v>3947</v>
      </c>
      <c r="E8" s="0" t="s">
        <v>178</v>
      </c>
      <c r="G8" s="0" t="s">
        <v>173</v>
      </c>
      <c r="I8" s="0" t="s">
        <v>177</v>
      </c>
      <c r="K8" s="0" t="s">
        <v>1084</v>
      </c>
      <c r="M8" s="0" t="s">
        <v>1085</v>
      </c>
    </row>
    <row r="10" customFormat="false" ht="12.75" hidden="false" customHeight="false" outlineLevel="0" collapsed="false">
      <c r="A10" s="0" t="s">
        <v>134</v>
      </c>
      <c r="C10" s="547" t="n">
        <v>4000</v>
      </c>
      <c r="E10" s="0" t="n">
        <v>66930</v>
      </c>
    </row>
    <row r="11" customFormat="false" ht="12.75" hidden="false" customHeight="false" outlineLevel="0" collapsed="false">
      <c r="C11" s="547" t="n">
        <v>4000</v>
      </c>
      <c r="E11" s="0" t="n">
        <v>66931</v>
      </c>
    </row>
    <row r="12" customFormat="false" ht="12.75" hidden="false" customHeight="false" outlineLevel="0" collapsed="false">
      <c r="C12" s="547" t="n">
        <v>4000</v>
      </c>
      <c r="E12" s="0" t="n">
        <v>66932</v>
      </c>
    </row>
    <row r="13" customFormat="false" ht="12.75" hidden="false" customHeight="false" outlineLevel="0" collapsed="false">
      <c r="C13" s="547" t="n">
        <v>20000</v>
      </c>
      <c r="E13" s="0" t="n">
        <v>66965</v>
      </c>
    </row>
    <row r="15" customFormat="false" ht="12.75" hidden="false" customHeight="false" outlineLevel="0" collapsed="false">
      <c r="C15" s="547" t="n">
        <v>2329</v>
      </c>
      <c r="E15" s="0" t="n">
        <v>65071</v>
      </c>
      <c r="G15" s="0" t="s">
        <v>220</v>
      </c>
      <c r="I15" s="0" t="s">
        <v>200</v>
      </c>
      <c r="K15" s="0" t="s">
        <v>1086</v>
      </c>
      <c r="M15" s="0" t="s">
        <v>1087</v>
      </c>
    </row>
    <row r="16" customFormat="false" ht="12.75" hidden="false" customHeight="false" outlineLevel="0" collapsed="false">
      <c r="C16" s="547" t="n">
        <v>40000</v>
      </c>
      <c r="E16" s="0" t="n">
        <v>64231</v>
      </c>
      <c r="G16" s="0" t="s">
        <v>1088</v>
      </c>
      <c r="M16" s="0" t="s">
        <v>1089</v>
      </c>
    </row>
    <row r="18" customFormat="false" ht="12.75" hidden="false" customHeight="false" outlineLevel="0" collapsed="false">
      <c r="C18" s="547" t="n">
        <v>134000</v>
      </c>
      <c r="E18" s="0" t="s">
        <v>187</v>
      </c>
      <c r="G18" s="0" t="s">
        <v>187</v>
      </c>
      <c r="M18" s="0" t="s">
        <v>1090</v>
      </c>
    </row>
    <row r="20" customFormat="false" ht="12.75" hidden="false" customHeight="false" outlineLevel="0" collapsed="false">
      <c r="C20" s="547" t="n">
        <v>80000</v>
      </c>
      <c r="E20" s="0" t="s">
        <v>1091</v>
      </c>
      <c r="M20" s="0" t="s">
        <v>1092</v>
      </c>
    </row>
    <row r="22" customFormat="false" ht="12.75" hidden="false" customHeight="false" outlineLevel="0" collapsed="false">
      <c r="A22" s="0" t="s">
        <v>128</v>
      </c>
      <c r="C22" s="547" t="n">
        <v>15000</v>
      </c>
      <c r="E22" s="0" t="n">
        <v>37861</v>
      </c>
      <c r="G22" s="0" t="s">
        <v>285</v>
      </c>
      <c r="I22" s="0" t="s">
        <v>220</v>
      </c>
      <c r="K22" s="0" t="s">
        <v>1093</v>
      </c>
      <c r="M22" s="0" t="s">
        <v>1094</v>
      </c>
    </row>
    <row r="23" customFormat="false" ht="12.75" hidden="false" customHeight="false" outlineLevel="0" collapsed="false">
      <c r="C23" s="547" t="n">
        <v>15000</v>
      </c>
      <c r="E23" s="0" t="n">
        <v>58654</v>
      </c>
      <c r="G23" s="0" t="s">
        <v>285</v>
      </c>
      <c r="I23" s="0" t="s">
        <v>220</v>
      </c>
      <c r="K23" s="0" t="s">
        <v>1095</v>
      </c>
      <c r="M23" s="0" t="s">
        <v>1096</v>
      </c>
    </row>
    <row r="24" customFormat="false" ht="12.75" hidden="false" customHeight="false" outlineLevel="0" collapsed="false">
      <c r="C24" s="547" t="n">
        <v>30000</v>
      </c>
      <c r="E24" s="0" t="n">
        <v>63115</v>
      </c>
      <c r="G24" s="0" t="s">
        <v>285</v>
      </c>
      <c r="I24" s="0" t="s">
        <v>220</v>
      </c>
      <c r="K24" s="0" t="s">
        <v>1097</v>
      </c>
      <c r="M24" s="0" t="s">
        <v>1096</v>
      </c>
    </row>
    <row r="26" customFormat="false" ht="12.75" hidden="false" customHeight="false" outlineLevel="0" collapsed="false">
      <c r="C26" s="547" t="n">
        <v>20000</v>
      </c>
      <c r="E26" s="0" t="n">
        <v>37393</v>
      </c>
      <c r="G26" s="0" t="s">
        <v>284</v>
      </c>
      <c r="I26" s="0" t="s">
        <v>285</v>
      </c>
      <c r="K26" s="0" t="s">
        <v>1098</v>
      </c>
      <c r="M26" s="0" t="s">
        <v>1094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C9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527" width="10.13"/>
    <col collapsed="false" customWidth="true" hidden="false" outlineLevel="0" max="2" min="2" style="530" width="1.85"/>
    <col collapsed="false" customWidth="false" hidden="false" outlineLevel="0" max="3" min="3" style="527" width="9.14"/>
    <col collapsed="false" customWidth="true" hidden="false" outlineLevel="0" max="4" min="4" style="527" width="12.7"/>
    <col collapsed="false" customWidth="false" hidden="false" outlineLevel="0" max="5" min="5" style="527" width="9.14"/>
    <col collapsed="false" customWidth="true" hidden="false" outlineLevel="0" max="6" min="6" style="527" width="12.7"/>
    <col collapsed="false" customWidth="false" hidden="false" outlineLevel="0" max="257" min="7" style="527" width="9.14"/>
  </cols>
  <sheetData>
    <row r="1" customFormat="false" ht="12.75" hidden="false" customHeight="false" outlineLevel="0" collapsed="false">
      <c r="A1" s="0"/>
      <c r="B1" s="549"/>
    </row>
    <row r="2" customFormat="false" ht="12" hidden="false" customHeight="false" outlineLevel="0" collapsed="false">
      <c r="A2" s="527" t="s">
        <v>24</v>
      </c>
    </row>
    <row r="3" customFormat="false" ht="12" hidden="false" customHeight="false" outlineLevel="0" collapsed="false">
      <c r="A3" s="527" t="n">
        <v>26964</v>
      </c>
      <c r="C3" s="527" t="s">
        <v>1099</v>
      </c>
    </row>
    <row r="4" customFormat="false" ht="12" hidden="false" customHeight="false" outlineLevel="0" collapsed="false">
      <c r="A4" s="527" t="n">
        <v>26586</v>
      </c>
      <c r="C4" s="527" t="s">
        <v>1100</v>
      </c>
    </row>
    <row r="5" customFormat="false" ht="12" hidden="false" customHeight="false" outlineLevel="0" collapsed="false">
      <c r="A5" s="527" t="n">
        <v>26070</v>
      </c>
      <c r="C5" s="550" t="s">
        <v>1101</v>
      </c>
    </row>
    <row r="6" customFormat="false" ht="12" hidden="false" customHeight="false" outlineLevel="0" collapsed="false">
      <c r="A6" s="527" t="n">
        <v>26901</v>
      </c>
      <c r="C6" s="550" t="s">
        <v>1102</v>
      </c>
    </row>
    <row r="7" customFormat="false" ht="12" hidden="false" customHeight="false" outlineLevel="0" collapsed="false">
      <c r="A7" s="527" t="n">
        <v>24787</v>
      </c>
      <c r="C7" s="527" t="s">
        <v>1103</v>
      </c>
    </row>
    <row r="8" customFormat="false" ht="12" hidden="false" customHeight="false" outlineLevel="0" collapsed="false">
      <c r="A8" s="527" t="n">
        <v>25431</v>
      </c>
      <c r="C8" s="527" t="s">
        <v>1104</v>
      </c>
    </row>
    <row r="9" customFormat="false" ht="12" hidden="false" customHeight="false" outlineLevel="0" collapsed="false">
      <c r="A9" s="527" t="n">
        <v>24976</v>
      </c>
      <c r="C9" s="527" t="s">
        <v>1105</v>
      </c>
    </row>
    <row r="10" customFormat="false" ht="12" hidden="false" customHeight="false" outlineLevel="0" collapsed="false">
      <c r="A10" s="527" t="n">
        <v>25635</v>
      </c>
      <c r="C10" s="527" t="s">
        <v>1106</v>
      </c>
    </row>
    <row r="11" customFormat="false" ht="12" hidden="false" customHeight="false" outlineLevel="0" collapsed="false">
      <c r="A11" s="527" t="n">
        <v>24530</v>
      </c>
      <c r="C11" s="527" t="s">
        <v>1107</v>
      </c>
    </row>
    <row r="12" customFormat="false" ht="12" hidden="false" customHeight="false" outlineLevel="0" collapsed="false">
      <c r="A12" s="527" t="n">
        <v>24566</v>
      </c>
      <c r="C12" s="527" t="s">
        <v>1108</v>
      </c>
    </row>
    <row r="15" customFormat="false" ht="12" hidden="false" customHeight="false" outlineLevel="0" collapsed="false">
      <c r="A15" s="527" t="s">
        <v>1109</v>
      </c>
    </row>
    <row r="16" customFormat="false" ht="12" hidden="false" customHeight="false" outlineLevel="0" collapsed="false">
      <c r="A16" s="527" t="s">
        <v>1110</v>
      </c>
    </row>
    <row r="17" customFormat="false" ht="12" hidden="false" customHeight="false" outlineLevel="0" collapsed="false">
      <c r="A17" s="527" t="s">
        <v>1111</v>
      </c>
    </row>
    <row r="18" customFormat="false" ht="12" hidden="false" customHeight="false" outlineLevel="0" collapsed="false">
      <c r="A18" s="551" t="s">
        <v>1112</v>
      </c>
      <c r="C18" s="535"/>
      <c r="E18" s="535"/>
    </row>
    <row r="19" customFormat="false" ht="12" hidden="false" customHeight="false" outlineLevel="0" collapsed="false">
      <c r="A19" s="551"/>
      <c r="C19" s="535"/>
      <c r="E19" s="535"/>
    </row>
    <row r="20" customFormat="false" ht="12" hidden="false" customHeight="false" outlineLevel="0" collapsed="false">
      <c r="A20" s="551" t="s">
        <v>1113</v>
      </c>
      <c r="C20" s="535"/>
      <c r="E20" s="535"/>
    </row>
    <row r="21" customFormat="false" ht="12" hidden="false" customHeight="false" outlineLevel="0" collapsed="false">
      <c r="A21" s="551"/>
      <c r="C21" s="535"/>
      <c r="E21" s="535"/>
    </row>
    <row r="22" customFormat="false" ht="12" hidden="false" customHeight="false" outlineLevel="0" collapsed="false">
      <c r="A22" s="551" t="s">
        <v>1114</v>
      </c>
      <c r="C22" s="535"/>
      <c r="E22" s="535"/>
    </row>
    <row r="23" customFormat="false" ht="12" hidden="false" customHeight="false" outlineLevel="0" collapsed="false">
      <c r="A23" s="551"/>
      <c r="C23" s="535"/>
      <c r="E23" s="535"/>
    </row>
    <row r="24" customFormat="false" ht="12" hidden="false" customHeight="false" outlineLevel="0" collapsed="false">
      <c r="A24" s="551" t="s">
        <v>1115</v>
      </c>
      <c r="C24" s="535"/>
      <c r="E24" s="535"/>
    </row>
    <row r="25" customFormat="false" ht="12" hidden="false" customHeight="false" outlineLevel="0" collapsed="false">
      <c r="A25" s="551" t="s">
        <v>1116</v>
      </c>
      <c r="C25" s="535"/>
      <c r="E25" s="535"/>
    </row>
    <row r="26" customFormat="false" ht="12" hidden="false" customHeight="false" outlineLevel="0" collapsed="false">
      <c r="A26" s="551"/>
      <c r="C26" s="535"/>
      <c r="E26" s="535"/>
      <c r="M26" s="535" t="s">
        <v>1117</v>
      </c>
      <c r="N26" s="527" t="s">
        <v>6</v>
      </c>
    </row>
    <row r="27" customFormat="false" ht="12" hidden="false" customHeight="false" outlineLevel="0" collapsed="false">
      <c r="A27" s="551"/>
      <c r="C27" s="535" t="s">
        <v>1117</v>
      </c>
      <c r="D27" s="527" t="s">
        <v>6</v>
      </c>
      <c r="E27" s="535"/>
      <c r="M27" s="535"/>
    </row>
    <row r="28" customFormat="false" ht="12" hidden="false" customHeight="false" outlineLevel="0" collapsed="false">
      <c r="A28" s="551"/>
      <c r="C28" s="535"/>
      <c r="E28" s="535"/>
      <c r="M28" s="552" t="n">
        <v>36070</v>
      </c>
      <c r="N28" s="553" t="n">
        <v>22766</v>
      </c>
    </row>
    <row r="29" customFormat="false" ht="12" hidden="false" customHeight="false" outlineLevel="0" collapsed="false">
      <c r="A29" s="551"/>
      <c r="C29" s="552" t="n">
        <v>36070</v>
      </c>
      <c r="D29" s="553" t="n">
        <v>23000</v>
      </c>
      <c r="E29" s="535"/>
      <c r="M29" s="552" t="n">
        <v>36071</v>
      </c>
      <c r="N29" s="553" t="n">
        <v>258</v>
      </c>
    </row>
    <row r="30" customFormat="false" ht="12" hidden="false" customHeight="false" outlineLevel="0" collapsed="false">
      <c r="A30" s="551"/>
      <c r="C30" s="552" t="n">
        <v>36079</v>
      </c>
      <c r="D30" s="553" t="n">
        <v>60000</v>
      </c>
      <c r="E30" s="535"/>
      <c r="M30" s="552" t="n">
        <v>36079</v>
      </c>
      <c r="N30" s="553" t="n">
        <v>66349</v>
      </c>
    </row>
    <row r="31" customFormat="false" ht="12" hidden="false" customHeight="false" outlineLevel="0" collapsed="false">
      <c r="A31" s="551"/>
      <c r="C31" s="552" t="n">
        <v>36080</v>
      </c>
      <c r="D31" s="553" t="n">
        <v>72000</v>
      </c>
      <c r="E31" s="535"/>
      <c r="M31" s="552" t="n">
        <v>36080</v>
      </c>
      <c r="N31" s="553" t="n">
        <v>80468</v>
      </c>
    </row>
    <row r="32" customFormat="false" ht="12" hidden="false" customHeight="false" outlineLevel="0" collapsed="false">
      <c r="A32" s="551"/>
      <c r="C32" s="552" t="n">
        <v>36081</v>
      </c>
      <c r="D32" s="553" t="n">
        <v>27000</v>
      </c>
      <c r="E32" s="535"/>
      <c r="M32" s="552" t="n">
        <v>36081</v>
      </c>
      <c r="N32" s="553" t="n">
        <v>27726</v>
      </c>
    </row>
    <row r="33" customFormat="false" ht="12" hidden="false" customHeight="false" outlineLevel="0" collapsed="false">
      <c r="A33" s="551"/>
      <c r="C33" s="552" t="n">
        <v>36082</v>
      </c>
      <c r="D33" s="553" t="n">
        <v>53000</v>
      </c>
      <c r="E33" s="535"/>
      <c r="M33" s="552" t="n">
        <v>36082</v>
      </c>
      <c r="N33" s="553" t="n">
        <v>52469</v>
      </c>
    </row>
    <row r="34" customFormat="false" ht="12" hidden="false" customHeight="false" outlineLevel="0" collapsed="false">
      <c r="A34" s="551"/>
      <c r="C34" s="552" t="n">
        <v>36085</v>
      </c>
      <c r="D34" s="553" t="n">
        <v>51000</v>
      </c>
      <c r="E34" s="535"/>
      <c r="M34" s="552" t="n">
        <v>36083</v>
      </c>
      <c r="N34" s="553" t="n">
        <v>1497</v>
      </c>
    </row>
    <row r="35" customFormat="false" ht="12" hidden="false" customHeight="false" outlineLevel="0" collapsed="false">
      <c r="A35" s="551"/>
      <c r="C35" s="552" t="n">
        <v>36086</v>
      </c>
      <c r="D35" s="553" t="n">
        <v>51000</v>
      </c>
      <c r="E35" s="535"/>
      <c r="M35" s="552" t="n">
        <v>36084</v>
      </c>
      <c r="N35" s="553" t="n">
        <f aca="false">2083+75</f>
        <v>2158</v>
      </c>
    </row>
    <row r="36" customFormat="false" ht="12" hidden="false" customHeight="false" outlineLevel="0" collapsed="false">
      <c r="A36" s="551"/>
      <c r="C36" s="552" t="n">
        <v>36087</v>
      </c>
      <c r="D36" s="553" t="n">
        <v>63730</v>
      </c>
      <c r="M36" s="552" t="n">
        <v>36085</v>
      </c>
      <c r="N36" s="553" t="n">
        <f aca="false">9365+175+9+9759+16833+13341+1513</f>
        <v>50995</v>
      </c>
    </row>
    <row r="37" customFormat="false" ht="12" hidden="false" customHeight="false" outlineLevel="0" collapsed="false">
      <c r="A37" s="551"/>
      <c r="C37" s="552" t="n">
        <v>36092</v>
      </c>
      <c r="D37" s="553" t="n">
        <v>25000</v>
      </c>
      <c r="M37" s="552" t="n">
        <v>36086</v>
      </c>
      <c r="N37" s="553" t="n">
        <f aca="false">9365+175+9+9759+16833+13341+1513</f>
        <v>50995</v>
      </c>
    </row>
    <row r="38" customFormat="false" ht="12" hidden="false" customHeight="false" outlineLevel="0" collapsed="false">
      <c r="A38" s="551"/>
      <c r="C38" s="552" t="n">
        <v>36093</v>
      </c>
      <c r="D38" s="553" t="n">
        <v>25000</v>
      </c>
      <c r="M38" s="552" t="n">
        <v>36087</v>
      </c>
      <c r="N38" s="553" t="n">
        <f aca="false">28107+9305+175+8+13256+9696+1502+1219</f>
        <v>63268</v>
      </c>
    </row>
    <row r="39" customFormat="false" ht="14.25" hidden="false" customHeight="false" outlineLevel="0" collapsed="false">
      <c r="A39" s="551"/>
      <c r="C39" s="552" t="n">
        <v>36094</v>
      </c>
      <c r="D39" s="554" t="n">
        <v>25000</v>
      </c>
      <c r="M39" s="552" t="n">
        <v>36088</v>
      </c>
      <c r="N39" s="553" t="n">
        <f aca="false">2088+175</f>
        <v>2263</v>
      </c>
    </row>
    <row r="40" customFormat="false" ht="12.75" hidden="false" customHeight="false" outlineLevel="0" collapsed="false">
      <c r="A40" s="551"/>
      <c r="C40" s="552" t="s">
        <v>1</v>
      </c>
      <c r="D40" s="553" t="n">
        <f aca="false">SUM(D23:D39)</f>
        <v>475730</v>
      </c>
      <c r="M40" s="552" t="n">
        <v>36089</v>
      </c>
      <c r="N40" s="553" t="n">
        <v>175</v>
      </c>
    </row>
    <row r="41" customFormat="false" ht="12" hidden="false" customHeight="false" outlineLevel="0" collapsed="false">
      <c r="A41" s="551"/>
      <c r="C41" s="552" t="s">
        <v>1</v>
      </c>
      <c r="D41" s="553" t="s">
        <v>1</v>
      </c>
      <c r="F41" s="555"/>
      <c r="M41" s="552" t="n">
        <v>36092</v>
      </c>
      <c r="N41" s="553" t="n">
        <f aca="false">15001+10001</f>
        <v>25002</v>
      </c>
    </row>
    <row r="42" customFormat="false" ht="12" hidden="false" customHeight="false" outlineLevel="0" collapsed="false">
      <c r="A42" s="551"/>
      <c r="C42" s="552" t="s">
        <v>1</v>
      </c>
      <c r="D42" s="553" t="s">
        <v>1</v>
      </c>
      <c r="M42" s="552" t="n">
        <v>36093</v>
      </c>
      <c r="N42" s="553" t="n">
        <f aca="false">15001+10001</f>
        <v>25002</v>
      </c>
    </row>
    <row r="43" customFormat="false" ht="12" hidden="false" customHeight="false" outlineLevel="0" collapsed="false">
      <c r="A43" s="551"/>
      <c r="C43" s="552" t="s">
        <v>1</v>
      </c>
      <c r="D43" s="553" t="s">
        <v>1</v>
      </c>
      <c r="M43" s="552" t="n">
        <v>36094</v>
      </c>
      <c r="N43" s="553" t="n">
        <f aca="false">15001+10001</f>
        <v>25002</v>
      </c>
    </row>
    <row r="44" customFormat="false" ht="14.25" hidden="false" customHeight="false" outlineLevel="0" collapsed="false">
      <c r="A44" s="551"/>
      <c r="C44" s="552" t="s">
        <v>271</v>
      </c>
      <c r="D44" s="553" t="s">
        <v>1</v>
      </c>
      <c r="M44" s="552" t="n">
        <v>36095</v>
      </c>
      <c r="N44" s="554" t="n">
        <v>1908</v>
      </c>
    </row>
    <row r="45" customFormat="false" ht="12" hidden="false" customHeight="false" outlineLevel="0" collapsed="false">
      <c r="A45" s="551"/>
      <c r="C45" s="552" t="s">
        <v>1</v>
      </c>
      <c r="D45" s="556" t="s">
        <v>1</v>
      </c>
      <c r="M45" s="552" t="s">
        <v>1</v>
      </c>
      <c r="N45" s="553" t="n">
        <f aca="false">SUM(N28:N44)</f>
        <v>498301</v>
      </c>
    </row>
    <row r="46" customFormat="false" ht="12" hidden="false" customHeight="false" outlineLevel="0" collapsed="false">
      <c r="A46" s="551"/>
      <c r="C46" s="552" t="s">
        <v>1</v>
      </c>
      <c r="D46" s="553" t="s">
        <v>1</v>
      </c>
      <c r="M46" s="552" t="s">
        <v>1</v>
      </c>
    </row>
    <row r="47" customFormat="false" ht="12" hidden="false" customHeight="false" outlineLevel="0" collapsed="false">
      <c r="A47" s="551"/>
      <c r="C47" s="552" t="s">
        <v>1</v>
      </c>
    </row>
    <row r="48" customFormat="false" ht="12" hidden="false" customHeight="false" outlineLevel="0" collapsed="false">
      <c r="A48" s="551"/>
      <c r="C48" s="552" t="s">
        <v>1</v>
      </c>
    </row>
    <row r="49" customFormat="false" ht="12" hidden="false" customHeight="false" outlineLevel="0" collapsed="false">
      <c r="A49" s="551" t="s">
        <v>1118</v>
      </c>
      <c r="C49" s="552"/>
    </row>
    <row r="50" customFormat="false" ht="12" hidden="false" customHeight="false" outlineLevel="0" collapsed="false">
      <c r="A50" s="551" t="s">
        <v>1</v>
      </c>
      <c r="C50" s="552" t="s">
        <v>1</v>
      </c>
    </row>
    <row r="51" customFormat="false" ht="12" hidden="false" customHeight="false" outlineLevel="0" collapsed="false">
      <c r="A51" s="551" t="s">
        <v>1</v>
      </c>
      <c r="C51" s="552" t="s">
        <v>1</v>
      </c>
    </row>
    <row r="52" customFormat="false" ht="12" hidden="false" customHeight="false" outlineLevel="0" collapsed="false">
      <c r="A52" s="551" t="s">
        <v>1</v>
      </c>
      <c r="C52" s="552" t="s">
        <v>1</v>
      </c>
    </row>
    <row r="53" customFormat="false" ht="12" hidden="false" customHeight="false" outlineLevel="0" collapsed="false">
      <c r="A53" s="551" t="s">
        <v>1</v>
      </c>
      <c r="C53" s="552" t="s">
        <v>1</v>
      </c>
    </row>
    <row r="54" customFormat="false" ht="12" hidden="false" customHeight="false" outlineLevel="0" collapsed="false">
      <c r="A54" s="551" t="s">
        <v>1</v>
      </c>
      <c r="C54" s="552" t="s">
        <v>1</v>
      </c>
    </row>
    <row r="55" customFormat="false" ht="12" hidden="false" customHeight="false" outlineLevel="0" collapsed="false">
      <c r="A55" s="551" t="s">
        <v>1</v>
      </c>
      <c r="C55" s="552" t="s">
        <v>1</v>
      </c>
    </row>
    <row r="56" customFormat="false" ht="12" hidden="false" customHeight="false" outlineLevel="0" collapsed="false">
      <c r="A56" s="551" t="s">
        <v>1</v>
      </c>
      <c r="C56" s="552" t="s">
        <v>271</v>
      </c>
    </row>
    <row r="57" customFormat="false" ht="12" hidden="false" customHeight="false" outlineLevel="0" collapsed="false">
      <c r="A57" s="551" t="s">
        <v>1</v>
      </c>
      <c r="C57" s="552" t="s">
        <v>1</v>
      </c>
    </row>
    <row r="58" customFormat="false" ht="12" hidden="false" customHeight="false" outlineLevel="0" collapsed="false">
      <c r="A58" s="551" t="s">
        <v>1</v>
      </c>
      <c r="C58" s="552" t="s">
        <v>1</v>
      </c>
    </row>
    <row r="59" customFormat="false" ht="12" hidden="false" customHeight="false" outlineLevel="0" collapsed="false">
      <c r="A59" s="551" t="s">
        <v>1</v>
      </c>
      <c r="C59" s="552" t="s">
        <v>1</v>
      </c>
    </row>
    <row r="60" customFormat="false" ht="12" hidden="false" customHeight="false" outlineLevel="0" collapsed="false">
      <c r="A60" s="551" t="s">
        <v>1</v>
      </c>
      <c r="C60" s="552" t="s">
        <v>1</v>
      </c>
    </row>
    <row r="61" customFormat="false" ht="12" hidden="false" customHeight="false" outlineLevel="0" collapsed="false">
      <c r="A61" s="551" t="s">
        <v>1</v>
      </c>
      <c r="C61" s="552" t="s">
        <v>1</v>
      </c>
    </row>
    <row r="62" customFormat="false" ht="12" hidden="false" customHeight="false" outlineLevel="0" collapsed="false">
      <c r="A62" s="551" t="s">
        <v>1</v>
      </c>
      <c r="C62" s="552" t="s">
        <v>271</v>
      </c>
    </row>
    <row r="63" customFormat="false" ht="12" hidden="false" customHeight="false" outlineLevel="0" collapsed="false">
      <c r="A63" s="551" t="s">
        <v>1</v>
      </c>
      <c r="C63" s="552" t="s">
        <v>1</v>
      </c>
    </row>
    <row r="64" customFormat="false" ht="12" hidden="false" customHeight="false" outlineLevel="0" collapsed="false">
      <c r="A64" s="551" t="s">
        <v>1</v>
      </c>
      <c r="C64" s="552" t="s">
        <v>1</v>
      </c>
    </row>
    <row r="65" customFormat="false" ht="12" hidden="false" customHeight="false" outlineLevel="0" collapsed="false">
      <c r="A65" s="551" t="s">
        <v>1</v>
      </c>
      <c r="C65" s="552" t="s">
        <v>1</v>
      </c>
    </row>
    <row r="66" customFormat="false" ht="12" hidden="false" customHeight="false" outlineLevel="0" collapsed="false">
      <c r="A66" s="551" t="s">
        <v>1</v>
      </c>
      <c r="C66" s="552" t="s">
        <v>1</v>
      </c>
    </row>
    <row r="67" customFormat="false" ht="12" hidden="false" customHeight="false" outlineLevel="0" collapsed="false">
      <c r="A67" s="551" t="s">
        <v>1</v>
      </c>
      <c r="C67" s="552" t="s">
        <v>271</v>
      </c>
    </row>
    <row r="68" customFormat="false" ht="12" hidden="false" customHeight="false" outlineLevel="0" collapsed="false">
      <c r="A68" s="551" t="s">
        <v>1</v>
      </c>
      <c r="C68" s="552" t="s">
        <v>1</v>
      </c>
    </row>
    <row r="69" customFormat="false" ht="12" hidden="false" customHeight="false" outlineLevel="0" collapsed="false">
      <c r="A69" s="551" t="s">
        <v>1</v>
      </c>
    </row>
    <row r="70" customFormat="false" ht="12" hidden="false" customHeight="false" outlineLevel="0" collapsed="false">
      <c r="A70" s="551" t="s">
        <v>1</v>
      </c>
    </row>
    <row r="71" customFormat="false" ht="12" hidden="false" customHeight="false" outlineLevel="0" collapsed="false">
      <c r="A71" s="551" t="s">
        <v>1</v>
      </c>
    </row>
    <row r="72" customFormat="false" ht="12" hidden="false" customHeight="false" outlineLevel="0" collapsed="false">
      <c r="A72" s="551" t="s">
        <v>1</v>
      </c>
    </row>
    <row r="73" customFormat="false" ht="12" hidden="false" customHeight="false" outlineLevel="0" collapsed="false">
      <c r="A73" s="551" t="s">
        <v>1</v>
      </c>
    </row>
    <row r="74" customFormat="false" ht="12" hidden="false" customHeight="false" outlineLevel="0" collapsed="false">
      <c r="A74" s="551" t="s">
        <v>1</v>
      </c>
    </row>
    <row r="75" customFormat="false" ht="12" hidden="false" customHeight="false" outlineLevel="0" collapsed="false">
      <c r="A75" s="551" t="s">
        <v>1</v>
      </c>
    </row>
    <row r="76" customFormat="false" ht="12" hidden="false" customHeight="false" outlineLevel="0" collapsed="false">
      <c r="A76" s="551" t="s">
        <v>1</v>
      </c>
    </row>
    <row r="77" customFormat="false" ht="12" hidden="false" customHeight="false" outlineLevel="0" collapsed="false">
      <c r="A77" s="551" t="s">
        <v>1</v>
      </c>
    </row>
    <row r="78" customFormat="false" ht="12" hidden="false" customHeight="false" outlineLevel="0" collapsed="false">
      <c r="A78" s="551" t="s">
        <v>1</v>
      </c>
    </row>
    <row r="79" customFormat="false" ht="12" hidden="false" customHeight="false" outlineLevel="0" collapsed="false">
      <c r="A79" s="551" t="s">
        <v>1</v>
      </c>
    </row>
    <row r="80" customFormat="false" ht="12" hidden="false" customHeight="false" outlineLevel="0" collapsed="false">
      <c r="A80" s="551" t="s">
        <v>1</v>
      </c>
    </row>
    <row r="81" customFormat="false" ht="12" hidden="false" customHeight="false" outlineLevel="0" collapsed="false">
      <c r="A81" s="551" t="s">
        <v>1</v>
      </c>
    </row>
    <row r="82" customFormat="false" ht="12" hidden="false" customHeight="false" outlineLevel="0" collapsed="false">
      <c r="A82" s="551" t="s">
        <v>1</v>
      </c>
    </row>
    <row r="83" customFormat="false" ht="12" hidden="false" customHeight="false" outlineLevel="0" collapsed="false">
      <c r="A83" s="551" t="s">
        <v>1</v>
      </c>
    </row>
    <row r="84" customFormat="false" ht="12" hidden="false" customHeight="false" outlineLevel="0" collapsed="false">
      <c r="A84" s="551" t="s">
        <v>1</v>
      </c>
    </row>
    <row r="85" customFormat="false" ht="12" hidden="false" customHeight="false" outlineLevel="0" collapsed="false">
      <c r="A85" s="551" t="s">
        <v>1</v>
      </c>
    </row>
    <row r="86" customFormat="false" ht="12" hidden="false" customHeight="false" outlineLevel="0" collapsed="false">
      <c r="A86" s="551" t="s">
        <v>1</v>
      </c>
    </row>
    <row r="87" customFormat="false" ht="12" hidden="false" customHeight="false" outlineLevel="0" collapsed="false">
      <c r="A87" s="551" t="s">
        <v>1</v>
      </c>
    </row>
    <row r="88" customFormat="false" ht="12" hidden="false" customHeight="false" outlineLevel="0" collapsed="false">
      <c r="A88" s="551" t="s">
        <v>1</v>
      </c>
    </row>
    <row r="89" customFormat="false" ht="12" hidden="false" customHeight="false" outlineLevel="0" collapsed="false">
      <c r="A89" s="551" t="s">
        <v>1</v>
      </c>
    </row>
    <row r="90" customFormat="false" ht="12" hidden="false" customHeight="false" outlineLevel="0" collapsed="false">
      <c r="A90" s="551" t="s">
        <v>1</v>
      </c>
    </row>
    <row r="91" customFormat="false" ht="12" hidden="false" customHeight="false" outlineLevel="0" collapsed="false">
      <c r="A91" s="551" t="s">
        <v>1</v>
      </c>
    </row>
    <row r="92" customFormat="false" ht="12" hidden="false" customHeight="false" outlineLevel="0" collapsed="false">
      <c r="A92" s="551" t="s">
        <v>1</v>
      </c>
    </row>
    <row r="93" customFormat="false" ht="12" hidden="false" customHeight="false" outlineLevel="0" collapsed="false">
      <c r="A93" s="551" t="s">
        <v>1</v>
      </c>
    </row>
    <row r="94" customFormat="false" ht="12" hidden="false" customHeight="false" outlineLevel="0" collapsed="false">
      <c r="A94" s="551" t="s">
        <v>1</v>
      </c>
    </row>
    <row r="95" customFormat="false" ht="12" hidden="false" customHeight="false" outlineLevel="0" collapsed="false">
      <c r="A95" s="551" t="s">
        <v>1</v>
      </c>
    </row>
    <row r="96" customFormat="false" ht="12" hidden="false" customHeight="false" outlineLevel="0" collapsed="false">
      <c r="A96" s="551" t="s">
        <v>1</v>
      </c>
    </row>
    <row r="97" customFormat="false" ht="12" hidden="false" customHeight="false" outlineLevel="0" collapsed="false">
      <c r="A97" s="551" t="s">
        <v>1</v>
      </c>
    </row>
    <row r="98" customFormat="false" ht="12" hidden="false" customHeight="false" outlineLevel="0" collapsed="false">
      <c r="A98" s="551" t="s">
        <v>1</v>
      </c>
    </row>
    <row r="99" customFormat="false" ht="12" hidden="false" customHeight="false" outlineLevel="0" collapsed="false">
      <c r="A99" s="551" t="s">
        <v>1</v>
      </c>
    </row>
    <row r="100" customFormat="false" ht="12" hidden="false" customHeight="false" outlineLevel="0" collapsed="false">
      <c r="A100" s="551" t="s">
        <v>1</v>
      </c>
    </row>
    <row r="101" customFormat="false" ht="12" hidden="false" customHeight="false" outlineLevel="0" collapsed="false">
      <c r="A101" s="551" t="s">
        <v>1</v>
      </c>
    </row>
    <row r="102" customFormat="false" ht="12" hidden="false" customHeight="false" outlineLevel="0" collapsed="false">
      <c r="A102" s="551" t="s">
        <v>1</v>
      </c>
    </row>
    <row r="103" customFormat="false" ht="12" hidden="false" customHeight="false" outlineLevel="0" collapsed="false">
      <c r="A103" s="551" t="s">
        <v>1</v>
      </c>
    </row>
    <row r="104" customFormat="false" ht="12" hidden="false" customHeight="false" outlineLevel="0" collapsed="false">
      <c r="A104" s="551" t="s">
        <v>1</v>
      </c>
    </row>
    <row r="105" customFormat="false" ht="12" hidden="false" customHeight="false" outlineLevel="0" collapsed="false">
      <c r="A105" s="551" t="s">
        <v>1</v>
      </c>
    </row>
    <row r="106" customFormat="false" ht="12" hidden="false" customHeight="false" outlineLevel="0" collapsed="false">
      <c r="A106" s="551" t="s">
        <v>1</v>
      </c>
    </row>
    <row r="107" customFormat="false" ht="12" hidden="false" customHeight="false" outlineLevel="0" collapsed="false">
      <c r="A107" s="551" t="s">
        <v>1</v>
      </c>
    </row>
    <row r="108" customFormat="false" ht="12" hidden="false" customHeight="false" outlineLevel="0" collapsed="false">
      <c r="A108" s="551" t="s">
        <v>1</v>
      </c>
    </row>
    <row r="109" customFormat="false" ht="12" hidden="false" customHeight="false" outlineLevel="0" collapsed="false">
      <c r="A109" s="551" t="s">
        <v>1</v>
      </c>
    </row>
    <row r="110" customFormat="false" ht="12" hidden="false" customHeight="false" outlineLevel="0" collapsed="false">
      <c r="A110" s="551" t="s">
        <v>1</v>
      </c>
    </row>
    <row r="111" customFormat="false" ht="12" hidden="false" customHeight="false" outlineLevel="0" collapsed="false">
      <c r="A111" s="551" t="s">
        <v>1</v>
      </c>
    </row>
    <row r="112" customFormat="false" ht="12" hidden="false" customHeight="false" outlineLevel="0" collapsed="false">
      <c r="A112" s="551" t="s">
        <v>1</v>
      </c>
    </row>
    <row r="113" customFormat="false" ht="12" hidden="false" customHeight="false" outlineLevel="0" collapsed="false">
      <c r="A113" s="551" t="s">
        <v>1</v>
      </c>
    </row>
    <row r="114" customFormat="false" ht="12" hidden="false" customHeight="false" outlineLevel="0" collapsed="false">
      <c r="A114" s="551" t="s">
        <v>1</v>
      </c>
    </row>
    <row r="115" customFormat="false" ht="12" hidden="false" customHeight="false" outlineLevel="0" collapsed="false">
      <c r="A115" s="551" t="s">
        <v>271</v>
      </c>
    </row>
    <row r="116" customFormat="false" ht="12" hidden="false" customHeight="false" outlineLevel="0" collapsed="false">
      <c r="A116" s="551" t="s">
        <v>1</v>
      </c>
    </row>
    <row r="117" customFormat="false" ht="12" hidden="false" customHeight="false" outlineLevel="0" collapsed="false">
      <c r="A117" s="551" t="s">
        <v>271</v>
      </c>
    </row>
    <row r="118" customFormat="false" ht="12" hidden="false" customHeight="false" outlineLevel="0" collapsed="false">
      <c r="A118" s="551" t="s">
        <v>1</v>
      </c>
    </row>
    <row r="119" customFormat="false" ht="12" hidden="false" customHeight="false" outlineLevel="0" collapsed="false">
      <c r="A119" s="551" t="s">
        <v>1</v>
      </c>
    </row>
    <row r="120" customFormat="false" ht="12" hidden="false" customHeight="false" outlineLevel="0" collapsed="false">
      <c r="A120" s="551" t="s">
        <v>1</v>
      </c>
    </row>
    <row r="121" customFormat="false" ht="12" hidden="false" customHeight="false" outlineLevel="0" collapsed="false">
      <c r="A121" s="551" t="s">
        <v>1</v>
      </c>
    </row>
    <row r="122" customFormat="false" ht="12" hidden="false" customHeight="false" outlineLevel="0" collapsed="false">
      <c r="A122" s="551" t="s">
        <v>1</v>
      </c>
    </row>
    <row r="123" customFormat="false" ht="12" hidden="false" customHeight="false" outlineLevel="0" collapsed="false">
      <c r="A123" s="551" t="s">
        <v>1</v>
      </c>
    </row>
    <row r="124" customFormat="false" ht="12" hidden="false" customHeight="false" outlineLevel="0" collapsed="false">
      <c r="A124" s="551" t="s">
        <v>1</v>
      </c>
    </row>
    <row r="125" customFormat="false" ht="12" hidden="false" customHeight="false" outlineLevel="0" collapsed="false">
      <c r="A125" s="551" t="s">
        <v>1</v>
      </c>
    </row>
    <row r="126" customFormat="false" ht="12" hidden="false" customHeight="false" outlineLevel="0" collapsed="false">
      <c r="A126" s="551" t="s">
        <v>1119</v>
      </c>
    </row>
    <row r="127" customFormat="false" ht="12" hidden="false" customHeight="false" outlineLevel="0" collapsed="false">
      <c r="A127" s="551" t="s">
        <v>1</v>
      </c>
    </row>
    <row r="128" customFormat="false" ht="12" hidden="false" customHeight="false" outlineLevel="0" collapsed="false">
      <c r="A128" s="551" t="s">
        <v>1</v>
      </c>
    </row>
    <row r="129" customFormat="false" ht="12" hidden="false" customHeight="false" outlineLevel="0" collapsed="false">
      <c r="A129" s="551" t="s">
        <v>1</v>
      </c>
    </row>
    <row r="130" customFormat="false" ht="12" hidden="false" customHeight="false" outlineLevel="0" collapsed="false">
      <c r="A130" s="551" t="s">
        <v>1</v>
      </c>
    </row>
    <row r="131" customFormat="false" ht="12" hidden="false" customHeight="false" outlineLevel="0" collapsed="false">
      <c r="A131" s="551" t="s">
        <v>1</v>
      </c>
    </row>
    <row r="132" customFormat="false" ht="12" hidden="false" customHeight="false" outlineLevel="0" collapsed="false">
      <c r="A132" s="551" t="s">
        <v>1</v>
      </c>
    </row>
    <row r="133" customFormat="false" ht="12" hidden="false" customHeight="false" outlineLevel="0" collapsed="false">
      <c r="A133" s="551" t="s">
        <v>1</v>
      </c>
    </row>
    <row r="134" customFormat="false" ht="12" hidden="false" customHeight="false" outlineLevel="0" collapsed="false">
      <c r="A134" s="551" t="s">
        <v>1</v>
      </c>
    </row>
    <row r="135" customFormat="false" ht="12" hidden="false" customHeight="false" outlineLevel="0" collapsed="false">
      <c r="A135" s="551" t="s">
        <v>1</v>
      </c>
    </row>
    <row r="136" customFormat="false" ht="12" hidden="false" customHeight="false" outlineLevel="0" collapsed="false">
      <c r="A136" s="551" t="s">
        <v>1</v>
      </c>
    </row>
    <row r="137" customFormat="false" ht="12" hidden="false" customHeight="false" outlineLevel="0" collapsed="false">
      <c r="A137" s="551" t="s">
        <v>1</v>
      </c>
    </row>
    <row r="138" customFormat="false" ht="12" hidden="false" customHeight="false" outlineLevel="0" collapsed="false">
      <c r="A138" s="551" t="s">
        <v>1</v>
      </c>
    </row>
    <row r="139" customFormat="false" ht="12" hidden="false" customHeight="false" outlineLevel="0" collapsed="false">
      <c r="A139" s="551" t="s">
        <v>1</v>
      </c>
    </row>
    <row r="140" customFormat="false" ht="12" hidden="false" customHeight="false" outlineLevel="0" collapsed="false">
      <c r="A140" s="551" t="s">
        <v>1</v>
      </c>
    </row>
    <row r="141" customFormat="false" ht="12" hidden="false" customHeight="false" outlineLevel="0" collapsed="false">
      <c r="A141" s="551" t="s">
        <v>1</v>
      </c>
    </row>
    <row r="142" customFormat="false" ht="12" hidden="false" customHeight="false" outlineLevel="0" collapsed="false">
      <c r="A142" s="551" t="s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tru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30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false" hidden="false" outlineLevel="0" max="20" min="19" style="27" width="9.14"/>
    <col collapsed="false" customWidth="true" hidden="false" outlineLevel="0" max="21" min="21" style="30" width="13.56"/>
    <col collapsed="false" customWidth="true" hidden="false" outlineLevel="0" max="22" min="22" style="27" width="42.28"/>
    <col collapsed="false" customWidth="false" hidden="false" outlineLevel="0" max="24" min="23" style="30" width="9.14"/>
    <col collapsed="false" customWidth="true" hidden="false" outlineLevel="0" max="25" min="25" style="27" width="12.42"/>
    <col collapsed="false" customWidth="false" hidden="false" outlineLevel="0" max="257" min="26" style="27" width="9.14"/>
  </cols>
  <sheetData>
    <row r="1" customFormat="false" ht="12.75" hidden="false" customHeight="false" outlineLevel="0" collapsed="false">
      <c r="A1" s="31" t="s">
        <v>97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4"/>
      <c r="Q1" s="34"/>
      <c r="R1" s="35"/>
      <c r="S1" s="35"/>
      <c r="T1" s="35"/>
      <c r="U1" s="36"/>
      <c r="V1" s="35"/>
      <c r="W1" s="37"/>
      <c r="X1" s="37"/>
    </row>
    <row r="2" customFormat="false" ht="12.75" hidden="false" customHeight="false" outlineLevel="0" collapsed="false">
      <c r="A2" s="38" t="s">
        <v>100</v>
      </c>
      <c r="B2" s="38"/>
      <c r="C2" s="38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4"/>
      <c r="Q2" s="34"/>
      <c r="R2" s="35"/>
      <c r="S2" s="35"/>
      <c r="T2" s="35"/>
      <c r="U2" s="36"/>
      <c r="V2" s="35"/>
      <c r="W2" s="37"/>
      <c r="X2" s="37"/>
    </row>
    <row r="3" customFormat="false" ht="12.75" hidden="false" customHeight="false" outlineLevel="0" collapsed="false">
      <c r="A3" s="39" t="s">
        <v>102</v>
      </c>
      <c r="B3" s="39"/>
      <c r="C3" s="39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4"/>
      <c r="Q3" s="34"/>
      <c r="R3" s="35"/>
      <c r="S3" s="35"/>
      <c r="T3" s="35"/>
      <c r="U3" s="36"/>
      <c r="V3" s="35"/>
      <c r="W3" s="37"/>
      <c r="X3" s="37"/>
    </row>
    <row r="4" customFormat="false" ht="12.75" hidden="false" customHeight="false" outlineLevel="0" collapsed="false">
      <c r="A4" s="42" t="s">
        <v>103</v>
      </c>
      <c r="B4" s="43"/>
      <c r="C4" s="43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4"/>
      <c r="Q4" s="34"/>
      <c r="R4" s="35"/>
      <c r="S4" s="45"/>
      <c r="T4" s="45"/>
      <c r="U4" s="46"/>
      <c r="V4" s="35"/>
      <c r="W4" s="37"/>
      <c r="X4" s="37"/>
    </row>
    <row r="5" customFormat="false" ht="12.75" hidden="false" customHeight="false" outlineLevel="0" collapsed="false">
      <c r="A5" s="15" t="s">
        <v>104</v>
      </c>
      <c r="B5" s="16"/>
      <c r="C5" s="47" t="s">
        <v>105</v>
      </c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4"/>
      <c r="Q5" s="34"/>
      <c r="R5" s="35"/>
      <c r="S5" s="45"/>
      <c r="T5" s="45"/>
      <c r="U5" s="46"/>
      <c r="V5" s="35"/>
      <c r="W5" s="37"/>
      <c r="X5" s="37"/>
    </row>
    <row r="6" customFormat="false" ht="12.75" hidden="false" customHeight="false" outlineLevel="0" collapsed="false">
      <c r="A6" s="15"/>
      <c r="B6" s="16"/>
      <c r="C6" s="47" t="s">
        <v>106</v>
      </c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4"/>
      <c r="Q6" s="34"/>
      <c r="R6" s="35"/>
      <c r="S6" s="45"/>
      <c r="T6" s="45"/>
      <c r="U6" s="46"/>
      <c r="V6" s="35"/>
      <c r="W6" s="37"/>
      <c r="X6" s="37"/>
    </row>
    <row r="7" customFormat="false" ht="12.75" hidden="false" customHeight="false" outlineLevel="0" collapsed="false">
      <c r="A7" s="15"/>
      <c r="B7" s="16"/>
      <c r="C7" s="47" t="s">
        <v>107</v>
      </c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4"/>
      <c r="Q7" s="34"/>
      <c r="R7" s="35"/>
      <c r="S7" s="45"/>
      <c r="T7" s="45"/>
      <c r="U7" s="46"/>
      <c r="V7" s="35"/>
      <c r="W7" s="37"/>
      <c r="X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4"/>
      <c r="Q8" s="34"/>
      <c r="R8" s="35"/>
      <c r="S8" s="45"/>
      <c r="T8" s="45"/>
      <c r="U8" s="46"/>
      <c r="V8" s="35"/>
      <c r="W8" s="37"/>
      <c r="X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4"/>
      <c r="Q9" s="34"/>
      <c r="R9" s="35"/>
      <c r="S9" s="45"/>
      <c r="T9" s="45"/>
      <c r="U9" s="46"/>
      <c r="V9" s="35"/>
      <c r="W9" s="37"/>
      <c r="X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4"/>
      <c r="Q10" s="34"/>
      <c r="R10" s="35"/>
      <c r="S10" s="45"/>
      <c r="T10" s="45"/>
      <c r="U10" s="46"/>
      <c r="V10" s="35"/>
      <c r="W10" s="37"/>
      <c r="X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53" t="s">
        <v>122</v>
      </c>
      <c r="Q11" s="49" t="s">
        <v>123</v>
      </c>
      <c r="R11" s="48" t="s">
        <v>124</v>
      </c>
      <c r="S11" s="54" t="s">
        <v>125</v>
      </c>
      <c r="T11" s="54" t="s">
        <v>126</v>
      </c>
      <c r="U11" s="55" t="s">
        <v>4</v>
      </c>
      <c r="V11" s="54" t="s">
        <v>127</v>
      </c>
      <c r="W11" s="24"/>
      <c r="X11" s="24"/>
    </row>
    <row r="12" customFormat="false" ht="12.75" hidden="false" customHeight="false" outlineLevel="0" collapsed="false">
      <c r="A12" s="15" t="s">
        <v>92</v>
      </c>
      <c r="B12" s="16" t="s">
        <v>128</v>
      </c>
      <c r="C12" s="16" t="s">
        <v>129</v>
      </c>
      <c r="D12" s="17" t="n">
        <v>36526</v>
      </c>
      <c r="E12" s="17" t="n">
        <v>36830</v>
      </c>
      <c r="F12" s="15" t="s">
        <v>130</v>
      </c>
      <c r="G12" s="15" t="s">
        <v>131</v>
      </c>
      <c r="H12" s="16"/>
      <c r="I12" s="19" t="n">
        <f aca="false">1.0603/I$1</f>
        <v>0.0342032258064516</v>
      </c>
      <c r="J12" s="20" t="n">
        <v>0.0017</v>
      </c>
      <c r="K12" s="20" t="n">
        <v>0.0022</v>
      </c>
      <c r="L12" s="20" t="n">
        <v>0</v>
      </c>
      <c r="M12" s="20" t="n">
        <v>0</v>
      </c>
      <c r="N12" s="25" t="n">
        <v>0.00593</v>
      </c>
      <c r="O12" s="20" t="n">
        <f aca="false">SUM(I12:M12)</f>
        <v>0.0381032258064516</v>
      </c>
      <c r="P12" s="24" t="n">
        <v>42789</v>
      </c>
      <c r="Q12" s="16" t="n">
        <v>30000</v>
      </c>
      <c r="R12" s="15" t="s">
        <v>132</v>
      </c>
      <c r="S12" s="23" t="n">
        <f aca="false">I12*I$1*Q12</f>
        <v>31809</v>
      </c>
      <c r="T12" s="23"/>
      <c r="U12" s="26" t="n">
        <v>140447</v>
      </c>
      <c r="V12" s="15"/>
      <c r="W12" s="24"/>
      <c r="X12" s="2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56" t="s">
        <v>1</v>
      </c>
      <c r="B13" s="57" t="s">
        <v>1</v>
      </c>
      <c r="C13" s="58" t="s">
        <v>1</v>
      </c>
      <c r="D13" s="59" t="s">
        <v>1</v>
      </c>
      <c r="E13" s="59"/>
      <c r="F13" s="56" t="s">
        <v>1</v>
      </c>
      <c r="G13" s="60" t="s">
        <v>1</v>
      </c>
      <c r="H13" s="57" t="s">
        <v>1</v>
      </c>
      <c r="I13" s="61"/>
      <c r="J13" s="62"/>
      <c r="K13" s="62"/>
      <c r="L13" s="62"/>
      <c r="M13" s="62"/>
      <c r="N13" s="63"/>
      <c r="O13" s="62"/>
      <c r="P13" s="64" t="s">
        <v>1</v>
      </c>
      <c r="Q13" s="57" t="n">
        <f aca="false">SUM(Q12)</f>
        <v>30000</v>
      </c>
      <c r="R13" s="56" t="s">
        <v>1</v>
      </c>
      <c r="S13" s="65" t="n">
        <f aca="false">SUM(S12)</f>
        <v>31809</v>
      </c>
      <c r="T13" s="65" t="n">
        <f aca="false">SUM(T12)</f>
        <v>0</v>
      </c>
      <c r="U13" s="66"/>
      <c r="V13" s="67"/>
      <c r="W13" s="24"/>
      <c r="X13" s="24"/>
    </row>
    <row r="14" customFormat="false" ht="12.75" hidden="false" customHeight="false" outlineLevel="0" collapsed="false">
      <c r="A14" s="48" t="s">
        <v>108</v>
      </c>
      <c r="B14" s="49" t="s">
        <v>109</v>
      </c>
      <c r="C14" s="49" t="s">
        <v>110</v>
      </c>
      <c r="D14" s="50" t="s">
        <v>111</v>
      </c>
      <c r="E14" s="50"/>
      <c r="F14" s="48" t="s">
        <v>112</v>
      </c>
      <c r="G14" s="48" t="s">
        <v>113</v>
      </c>
      <c r="H14" s="49" t="s">
        <v>114</v>
      </c>
      <c r="I14" s="51" t="s">
        <v>115</v>
      </c>
      <c r="J14" s="49" t="s">
        <v>116</v>
      </c>
      <c r="K14" s="49" t="s">
        <v>117</v>
      </c>
      <c r="L14" s="49" t="s">
        <v>118</v>
      </c>
      <c r="M14" s="49" t="s">
        <v>119</v>
      </c>
      <c r="N14" s="52" t="s">
        <v>120</v>
      </c>
      <c r="O14" s="49" t="s">
        <v>121</v>
      </c>
      <c r="P14" s="53" t="s">
        <v>122</v>
      </c>
      <c r="Q14" s="49" t="s">
        <v>123</v>
      </c>
      <c r="R14" s="48" t="s">
        <v>124</v>
      </c>
      <c r="S14" s="54" t="s">
        <v>133</v>
      </c>
      <c r="T14" s="54" t="s">
        <v>133</v>
      </c>
      <c r="U14" s="55"/>
      <c r="V14" s="54" t="str">
        <f aca="false">+V11</f>
        <v>Questions</v>
      </c>
      <c r="W14" s="24"/>
      <c r="X14" s="24"/>
    </row>
    <row r="15" customFormat="false" ht="12.75" hidden="false" customHeight="false" outlineLevel="0" collapsed="false">
      <c r="A15" s="15" t="s">
        <v>92</v>
      </c>
      <c r="B15" s="16" t="s">
        <v>134</v>
      </c>
      <c r="C15" s="16" t="s">
        <v>129</v>
      </c>
      <c r="D15" s="17" t="n">
        <v>36526</v>
      </c>
      <c r="E15" s="17" t="s">
        <v>90</v>
      </c>
      <c r="F15" s="15" t="s">
        <v>135</v>
      </c>
      <c r="G15" s="15" t="s">
        <v>135</v>
      </c>
      <c r="H15" s="16"/>
      <c r="I15" s="19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5" t="n">
        <v>0</v>
      </c>
      <c r="O15" s="20" t="n">
        <f aca="false">SUM(I15:M15)</f>
        <v>0</v>
      </c>
      <c r="P15" s="24" t="n">
        <v>36907</v>
      </c>
      <c r="Q15" s="16" t="n">
        <v>0</v>
      </c>
      <c r="R15" s="15" t="s">
        <v>136</v>
      </c>
      <c r="S15" s="23" t="n">
        <f aca="false">I15*I$1*Q15</f>
        <v>0</v>
      </c>
      <c r="T15" s="23"/>
      <c r="U15" s="26" t="n">
        <v>148659</v>
      </c>
      <c r="V15" s="23"/>
      <c r="W15" s="24"/>
      <c r="X15" s="2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137</v>
      </c>
      <c r="B16" s="16" t="s">
        <v>134</v>
      </c>
      <c r="C16" s="16" t="s">
        <v>138</v>
      </c>
      <c r="D16" s="17" t="n">
        <v>36526</v>
      </c>
      <c r="E16" s="17" t="s">
        <v>90</v>
      </c>
      <c r="F16" s="15" t="s">
        <v>135</v>
      </c>
      <c r="G16" s="15" t="s">
        <v>135</v>
      </c>
      <c r="H16" s="16"/>
      <c r="I16" s="19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5" t="n">
        <v>0</v>
      </c>
      <c r="O16" s="20" t="n">
        <f aca="false">SUM(I16:M16)</f>
        <v>0</v>
      </c>
      <c r="P16" s="24" t="n">
        <v>48049</v>
      </c>
      <c r="Q16" s="16" t="n">
        <v>0</v>
      </c>
      <c r="R16" s="15" t="s">
        <v>136</v>
      </c>
      <c r="S16" s="23" t="n">
        <f aca="false">I16*I$1*Q16</f>
        <v>0</v>
      </c>
      <c r="T16" s="23"/>
      <c r="U16" s="26" t="n">
        <v>149173</v>
      </c>
      <c r="V16" s="23"/>
      <c r="W16" s="24"/>
      <c r="X16" s="2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92</v>
      </c>
      <c r="B17" s="16" t="s">
        <v>134</v>
      </c>
      <c r="C17" s="16" t="s">
        <v>129</v>
      </c>
      <c r="D17" s="17" t="n">
        <v>36526</v>
      </c>
      <c r="E17" s="17" t="s">
        <v>90</v>
      </c>
      <c r="F17" s="15" t="s">
        <v>135</v>
      </c>
      <c r="G17" s="15" t="s">
        <v>135</v>
      </c>
      <c r="H17" s="16"/>
      <c r="I17" s="19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5" t="n">
        <v>0</v>
      </c>
      <c r="O17" s="20" t="n">
        <f aca="false">SUM(I17:M17)</f>
        <v>0</v>
      </c>
      <c r="P17" s="24" t="n">
        <v>39999</v>
      </c>
      <c r="Q17" s="16" t="n">
        <v>0</v>
      </c>
      <c r="R17" s="15" t="s">
        <v>139</v>
      </c>
      <c r="S17" s="23" t="n">
        <f aca="false">I17*I$1*Q17</f>
        <v>0</v>
      </c>
      <c r="T17" s="23"/>
      <c r="U17" s="26" t="n">
        <v>149337</v>
      </c>
      <c r="V17" s="23"/>
      <c r="W17" s="24"/>
      <c r="X17" s="2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137</v>
      </c>
      <c r="B18" s="16" t="s">
        <v>134</v>
      </c>
      <c r="C18" s="16" t="s">
        <v>138</v>
      </c>
      <c r="D18" s="17" t="n">
        <v>36526</v>
      </c>
      <c r="E18" s="17" t="s">
        <v>90</v>
      </c>
      <c r="F18" s="15" t="s">
        <v>135</v>
      </c>
      <c r="G18" s="15" t="s">
        <v>135</v>
      </c>
      <c r="H18" s="16"/>
      <c r="I18" s="19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5" t="n">
        <v>0</v>
      </c>
      <c r="O18" s="20" t="n">
        <f aca="false">SUM(I18:M18)</f>
        <v>0</v>
      </c>
      <c r="P18" s="24" t="n">
        <v>48050</v>
      </c>
      <c r="Q18" s="16" t="n">
        <v>0</v>
      </c>
      <c r="R18" s="15" t="s">
        <v>139</v>
      </c>
      <c r="S18" s="23" t="n">
        <f aca="false">I18*I$1*Q18</f>
        <v>0</v>
      </c>
      <c r="T18" s="23"/>
      <c r="U18" s="26" t="n">
        <v>149338</v>
      </c>
      <c r="V18" s="23"/>
      <c r="W18" s="24"/>
      <c r="X18" s="2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/>
      <c r="B19" s="16"/>
      <c r="C19" s="16"/>
      <c r="D19" s="17" t="s">
        <v>1</v>
      </c>
      <c r="E19" s="17"/>
      <c r="F19" s="15"/>
      <c r="G19" s="15"/>
      <c r="H19" s="16"/>
      <c r="I19" s="19"/>
      <c r="J19" s="20"/>
      <c r="K19" s="68"/>
      <c r="L19" s="20"/>
      <c r="M19" s="20"/>
      <c r="N19" s="25"/>
      <c r="O19" s="20"/>
      <c r="P19" s="37"/>
      <c r="Q19" s="45"/>
      <c r="R19" s="69"/>
      <c r="S19" s="70"/>
      <c r="T19" s="35"/>
      <c r="U19" s="36"/>
      <c r="V19" s="35"/>
      <c r="W19" s="37"/>
      <c r="X19" s="37"/>
    </row>
    <row r="20" customFormat="false" ht="12.75" hidden="false" customHeight="false" outlineLevel="0" collapsed="false">
      <c r="A20" s="48" t="s">
        <v>108</v>
      </c>
      <c r="B20" s="49" t="s">
        <v>109</v>
      </c>
      <c r="C20" s="49" t="s">
        <v>110</v>
      </c>
      <c r="D20" s="50" t="s">
        <v>111</v>
      </c>
      <c r="E20" s="50"/>
      <c r="F20" s="48" t="s">
        <v>112</v>
      </c>
      <c r="G20" s="48" t="s">
        <v>113</v>
      </c>
      <c r="H20" s="49" t="s">
        <v>114</v>
      </c>
      <c r="I20" s="51" t="s">
        <v>115</v>
      </c>
      <c r="J20" s="49" t="s">
        <v>116</v>
      </c>
      <c r="K20" s="49" t="s">
        <v>117</v>
      </c>
      <c r="L20" s="49" t="s">
        <v>118</v>
      </c>
      <c r="M20" s="49" t="s">
        <v>119</v>
      </c>
      <c r="N20" s="52" t="s">
        <v>120</v>
      </c>
      <c r="O20" s="49" t="s">
        <v>121</v>
      </c>
      <c r="P20" s="53" t="s">
        <v>122</v>
      </c>
      <c r="Q20" s="49" t="s">
        <v>123</v>
      </c>
      <c r="R20" s="48" t="s">
        <v>124</v>
      </c>
      <c r="S20" s="54" t="s">
        <v>125</v>
      </c>
      <c r="T20" s="54" t="s">
        <v>126</v>
      </c>
      <c r="U20" s="55" t="s">
        <v>4</v>
      </c>
      <c r="V20" s="54" t="s">
        <v>127</v>
      </c>
      <c r="W20" s="24"/>
      <c r="X20" s="24"/>
    </row>
    <row r="21" customFormat="false" ht="12.75" hidden="false" customHeight="false" outlineLevel="0" collapsed="false">
      <c r="A21" s="15" t="s">
        <v>92</v>
      </c>
      <c r="B21" s="16" t="s">
        <v>140</v>
      </c>
      <c r="C21" s="16" t="s">
        <v>129</v>
      </c>
      <c r="D21" s="17" t="n">
        <v>36526</v>
      </c>
      <c r="E21" s="17" t="s">
        <v>90</v>
      </c>
      <c r="F21" s="15" t="s">
        <v>94</v>
      </c>
      <c r="G21" s="15" t="s">
        <v>94</v>
      </c>
      <c r="H21" s="16" t="s">
        <v>11</v>
      </c>
      <c r="I21" s="19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5" t="n">
        <v>0</v>
      </c>
      <c r="O21" s="20" t="n">
        <f aca="false">SUM(I21:M21)</f>
        <v>0</v>
      </c>
      <c r="P21" s="24" t="n">
        <v>238</v>
      </c>
      <c r="Q21" s="16" t="n">
        <v>0</v>
      </c>
      <c r="R21" s="15" t="s">
        <v>141</v>
      </c>
      <c r="S21" s="23" t="n">
        <f aca="false">I21*I$1*Q21</f>
        <v>0</v>
      </c>
      <c r="T21" s="23"/>
      <c r="U21" s="26" t="n">
        <v>149902</v>
      </c>
      <c r="V21" s="15"/>
      <c r="W21" s="24"/>
      <c r="X21" s="2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56" t="s">
        <v>1</v>
      </c>
      <c r="B22" s="57" t="s">
        <v>1</v>
      </c>
      <c r="C22" s="58" t="s">
        <v>1</v>
      </c>
      <c r="D22" s="59" t="s">
        <v>1</v>
      </c>
      <c r="E22" s="59"/>
      <c r="F22" s="56" t="s">
        <v>1</v>
      </c>
      <c r="G22" s="60" t="s">
        <v>1</v>
      </c>
      <c r="H22" s="57" t="s">
        <v>1</v>
      </c>
      <c r="I22" s="61"/>
      <c r="J22" s="62"/>
      <c r="K22" s="62"/>
      <c r="L22" s="62"/>
      <c r="M22" s="62"/>
      <c r="N22" s="63"/>
      <c r="O22" s="62"/>
      <c r="P22" s="64" t="s">
        <v>1</v>
      </c>
      <c r="Q22" s="57" t="n">
        <f aca="false">SUM(Q21)</f>
        <v>0</v>
      </c>
      <c r="R22" s="56" t="s">
        <v>1</v>
      </c>
      <c r="S22" s="65" t="n">
        <f aca="false">SUM(S21)</f>
        <v>0</v>
      </c>
      <c r="T22" s="65" t="n">
        <f aca="false">SUM(T21)</f>
        <v>0</v>
      </c>
      <c r="U22" s="66"/>
      <c r="V22" s="67"/>
      <c r="W22" s="24"/>
      <c r="X22" s="24"/>
    </row>
    <row r="23" customFormat="false" ht="12.75" hidden="false" customHeight="false" outlineLevel="0" collapsed="false">
      <c r="A23" s="48" t="s">
        <v>108</v>
      </c>
      <c r="B23" s="49" t="s">
        <v>109</v>
      </c>
      <c r="C23" s="49" t="s">
        <v>110</v>
      </c>
      <c r="D23" s="50" t="s">
        <v>111</v>
      </c>
      <c r="E23" s="50"/>
      <c r="F23" s="48" t="s">
        <v>112</v>
      </c>
      <c r="G23" s="48" t="s">
        <v>113</v>
      </c>
      <c r="H23" s="49" t="s">
        <v>114</v>
      </c>
      <c r="I23" s="51" t="s">
        <v>115</v>
      </c>
      <c r="J23" s="49" t="s">
        <v>116</v>
      </c>
      <c r="K23" s="49" t="s">
        <v>117</v>
      </c>
      <c r="L23" s="49" t="s">
        <v>118</v>
      </c>
      <c r="M23" s="49" t="s">
        <v>119</v>
      </c>
      <c r="N23" s="52" t="s">
        <v>120</v>
      </c>
      <c r="O23" s="49" t="s">
        <v>121</v>
      </c>
      <c r="P23" s="53" t="s">
        <v>122</v>
      </c>
      <c r="Q23" s="49" t="s">
        <v>123</v>
      </c>
      <c r="R23" s="48" t="s">
        <v>124</v>
      </c>
      <c r="S23" s="54" t="s">
        <v>125</v>
      </c>
      <c r="T23" s="54" t="s">
        <v>126</v>
      </c>
      <c r="U23" s="55" t="s">
        <v>4</v>
      </c>
      <c r="V23" s="54" t="s">
        <v>127</v>
      </c>
      <c r="W23" s="24"/>
      <c r="X23" s="24"/>
    </row>
    <row r="24" customFormat="false" ht="12.75" hidden="false" customHeight="false" outlineLevel="0" collapsed="false">
      <c r="A24" s="15" t="s">
        <v>92</v>
      </c>
      <c r="B24" s="16" t="s">
        <v>93</v>
      </c>
      <c r="C24" s="16" t="s">
        <v>129</v>
      </c>
      <c r="D24" s="17" t="n">
        <v>36526</v>
      </c>
      <c r="E24" s="17" t="s">
        <v>90</v>
      </c>
      <c r="F24" s="15" t="s">
        <v>94</v>
      </c>
      <c r="G24" s="15" t="s">
        <v>94</v>
      </c>
      <c r="H24" s="16" t="s">
        <v>11</v>
      </c>
      <c r="I24" s="19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5" t="n">
        <v>0</v>
      </c>
      <c r="O24" s="20" t="n">
        <f aca="false">SUM(I24:M24)</f>
        <v>0</v>
      </c>
      <c r="P24" s="24" t="n">
        <v>3.2846</v>
      </c>
      <c r="Q24" s="16" t="n">
        <v>0</v>
      </c>
      <c r="R24" s="15" t="s">
        <v>141</v>
      </c>
      <c r="S24" s="23" t="n">
        <f aca="false">I24*I$1*Q24</f>
        <v>0</v>
      </c>
      <c r="T24" s="23"/>
      <c r="U24" s="26" t="n">
        <v>149876</v>
      </c>
      <c r="V24" s="15"/>
      <c r="W24" s="24"/>
      <c r="X24" s="2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56" t="s">
        <v>1</v>
      </c>
      <c r="B25" s="57" t="s">
        <v>1</v>
      </c>
      <c r="C25" s="58" t="s">
        <v>1</v>
      </c>
      <c r="D25" s="59" t="s">
        <v>1</v>
      </c>
      <c r="E25" s="59"/>
      <c r="F25" s="56" t="s">
        <v>1</v>
      </c>
      <c r="G25" s="60" t="s">
        <v>1</v>
      </c>
      <c r="H25" s="57" t="s">
        <v>1</v>
      </c>
      <c r="I25" s="61"/>
      <c r="J25" s="62"/>
      <c r="K25" s="62"/>
      <c r="L25" s="62"/>
      <c r="M25" s="62"/>
      <c r="N25" s="63"/>
      <c r="O25" s="62"/>
      <c r="P25" s="64" t="s">
        <v>1</v>
      </c>
      <c r="Q25" s="57" t="n">
        <f aca="false">SUM(Q24)</f>
        <v>0</v>
      </c>
      <c r="R25" s="56" t="s">
        <v>1</v>
      </c>
      <c r="S25" s="65" t="n">
        <f aca="false">SUM(S24)</f>
        <v>0</v>
      </c>
      <c r="T25" s="65" t="n">
        <f aca="false">SUM(T24)</f>
        <v>0</v>
      </c>
      <c r="U25" s="66"/>
      <c r="V25" s="67"/>
      <c r="W25" s="24"/>
      <c r="X25" s="24"/>
    </row>
    <row r="26" customFormat="false" ht="12.75" hidden="false" customHeight="false" outlineLevel="0" collapsed="false">
      <c r="A26" s="28"/>
      <c r="B26" s="16"/>
      <c r="C26" s="16"/>
      <c r="D26" s="17"/>
      <c r="E26" s="17"/>
      <c r="F26" s="15"/>
      <c r="G26" s="15"/>
      <c r="H26" s="16"/>
      <c r="I26" s="19"/>
      <c r="J26" s="20"/>
      <c r="K26" s="20"/>
      <c r="L26" s="20"/>
      <c r="M26" s="20"/>
      <c r="N26" s="25"/>
      <c r="O26" s="20"/>
      <c r="P26" s="37"/>
      <c r="Q26" s="71"/>
      <c r="R26" s="69"/>
      <c r="S26" s="35"/>
      <c r="T26" s="35"/>
      <c r="U26" s="36"/>
      <c r="V26" s="35"/>
      <c r="W26" s="37"/>
      <c r="X26" s="37"/>
    </row>
    <row r="27" customFormat="false" ht="12.75" hidden="false" customHeight="false" outlineLevel="0" collapsed="false">
      <c r="A27" s="28"/>
      <c r="B27" s="16"/>
      <c r="C27" s="16"/>
      <c r="D27" s="17"/>
      <c r="E27" s="17"/>
      <c r="F27" s="15"/>
      <c r="G27" s="15"/>
      <c r="H27" s="16"/>
      <c r="I27" s="20"/>
      <c r="J27" s="20"/>
      <c r="K27" s="20"/>
      <c r="L27" s="20"/>
      <c r="M27" s="20"/>
      <c r="N27" s="25"/>
      <c r="O27" s="20"/>
      <c r="P27" s="37"/>
      <c r="Q27" s="71"/>
      <c r="R27" s="35"/>
      <c r="S27" s="35"/>
      <c r="T27" s="35"/>
      <c r="U27" s="36"/>
      <c r="V27" s="35"/>
      <c r="W27" s="37"/>
      <c r="X27" s="37"/>
    </row>
    <row r="28" customFormat="false" ht="12.75" hidden="false" customHeight="false" outlineLevel="0" collapsed="false">
      <c r="A28" s="28"/>
      <c r="B28" s="16"/>
      <c r="C28" s="16"/>
      <c r="D28" s="17"/>
      <c r="E28" s="17"/>
      <c r="F28" s="15"/>
      <c r="G28" s="15"/>
      <c r="H28" s="16"/>
      <c r="I28" s="19"/>
      <c r="J28" s="20"/>
      <c r="K28" s="20"/>
      <c r="L28" s="20"/>
      <c r="M28" s="20"/>
      <c r="N28" s="25"/>
      <c r="O28" s="20"/>
      <c r="P28" s="37"/>
      <c r="Q28" s="71"/>
      <c r="R28" s="35"/>
      <c r="S28" s="35"/>
      <c r="T28" s="35"/>
      <c r="U28" s="36"/>
      <c r="V28" s="35"/>
      <c r="W28" s="37"/>
      <c r="X28" s="37"/>
    </row>
    <row r="29" customFormat="false" ht="12.75" hidden="false" customHeight="false" outlineLevel="0" collapsed="false">
      <c r="A29" s="28" t="s">
        <v>142</v>
      </c>
      <c r="B29" s="16"/>
      <c r="C29" s="16"/>
      <c r="D29" s="17"/>
      <c r="E29" s="17"/>
      <c r="F29" s="15"/>
      <c r="G29" s="15"/>
      <c r="H29" s="16"/>
      <c r="I29" s="20"/>
      <c r="J29" s="20"/>
      <c r="K29" s="20"/>
      <c r="L29" s="20"/>
      <c r="M29" s="20"/>
      <c r="N29" s="25"/>
      <c r="O29" s="20"/>
      <c r="P29" s="37"/>
      <c r="Q29" s="71"/>
      <c r="R29" s="35"/>
      <c r="S29" s="35"/>
      <c r="T29" s="35"/>
      <c r="U29" s="36"/>
      <c r="V29" s="35"/>
      <c r="W29" s="37"/>
      <c r="X29" s="37"/>
    </row>
    <row r="30" customFormat="false" ht="12.75" hidden="false" customHeight="false" outlineLevel="0" collapsed="false">
      <c r="A30" s="28"/>
      <c r="B30" s="15" t="s">
        <v>143</v>
      </c>
      <c r="C30" s="16"/>
      <c r="D30" s="17"/>
      <c r="E30" s="17"/>
      <c r="F30" s="15"/>
      <c r="G30" s="15"/>
      <c r="H30" s="16"/>
      <c r="I30" s="19"/>
      <c r="J30" s="20"/>
      <c r="K30" s="20"/>
      <c r="L30" s="20"/>
      <c r="M30" s="20"/>
      <c r="N30" s="25"/>
      <c r="O30" s="20"/>
      <c r="P30" s="37"/>
      <c r="Q30" s="71"/>
      <c r="R30" s="35"/>
      <c r="S30" s="35"/>
      <c r="T30" s="35"/>
      <c r="U30" s="36"/>
      <c r="V30" s="35"/>
      <c r="W30" s="37"/>
      <c r="X30" s="37"/>
    </row>
    <row r="31" customFormat="false" ht="12.75" hidden="false" customHeight="false" outlineLevel="0" collapsed="false">
      <c r="A31" s="28"/>
      <c r="B31" s="16" t="s">
        <v>144</v>
      </c>
      <c r="C31" s="24" t="n">
        <v>149776</v>
      </c>
      <c r="D31" s="17"/>
      <c r="E31" s="17"/>
      <c r="F31" s="15"/>
      <c r="G31" s="15"/>
      <c r="H31" s="16"/>
      <c r="I31" s="20"/>
      <c r="J31" s="20"/>
      <c r="K31" s="20"/>
      <c r="L31" s="20"/>
      <c r="M31" s="20"/>
      <c r="N31" s="25"/>
      <c r="O31" s="20"/>
      <c r="P31" s="37"/>
      <c r="Q31" s="71"/>
      <c r="R31" s="35"/>
      <c r="S31" s="35"/>
      <c r="T31" s="35"/>
      <c r="U31" s="36"/>
      <c r="V31" s="35"/>
      <c r="W31" s="37"/>
      <c r="X31" s="37"/>
    </row>
    <row r="32" customFormat="false" ht="12.75" hidden="false" customHeight="false" outlineLevel="0" collapsed="false">
      <c r="A32" s="28"/>
      <c r="B32" s="16" t="s">
        <v>145</v>
      </c>
      <c r="C32" s="24" t="n">
        <v>149775</v>
      </c>
      <c r="D32" s="17"/>
      <c r="E32" s="17"/>
      <c r="F32" s="15"/>
      <c r="G32" s="15"/>
      <c r="H32" s="16"/>
      <c r="I32" s="20"/>
      <c r="J32" s="20"/>
      <c r="K32" s="20"/>
      <c r="L32" s="20"/>
      <c r="M32" s="20"/>
      <c r="N32" s="25"/>
      <c r="O32" s="20"/>
      <c r="P32" s="37"/>
      <c r="Q32" s="71"/>
      <c r="R32" s="35"/>
      <c r="S32" s="35"/>
      <c r="T32" s="35"/>
      <c r="U32" s="36"/>
      <c r="V32" s="35"/>
      <c r="W32" s="69"/>
      <c r="X32" s="37"/>
    </row>
    <row r="33" customFormat="false" ht="12.75" hidden="false" customHeight="false" outlineLevel="0" collapsed="false">
      <c r="A33" s="28"/>
      <c r="B33" s="16"/>
      <c r="C33" s="16"/>
      <c r="D33" s="17"/>
      <c r="E33" s="17"/>
      <c r="F33" s="15"/>
      <c r="G33" s="15"/>
      <c r="H33" s="16"/>
      <c r="I33" s="20"/>
      <c r="J33" s="20"/>
      <c r="K33" s="20"/>
      <c r="L33" s="20"/>
      <c r="M33" s="20"/>
      <c r="N33" s="25"/>
      <c r="O33" s="20"/>
      <c r="P33" s="37"/>
      <c r="Q33" s="71"/>
      <c r="R33" s="35"/>
      <c r="S33" s="35"/>
      <c r="T33" s="35"/>
      <c r="U33" s="36"/>
      <c r="V33" s="35"/>
      <c r="W33" s="37"/>
      <c r="X33" s="37"/>
    </row>
    <row r="34" customFormat="false" ht="12.75" hidden="false" customHeight="false" outlineLevel="0" collapsed="false">
      <c r="A34" s="28"/>
      <c r="B34" s="16"/>
      <c r="C34" s="16"/>
      <c r="D34" s="17"/>
      <c r="E34" s="17"/>
      <c r="F34" s="15"/>
      <c r="G34" s="15"/>
      <c r="H34" s="16"/>
      <c r="I34" s="20"/>
      <c r="J34" s="20"/>
      <c r="K34" s="20"/>
      <c r="L34" s="20"/>
      <c r="M34" s="20"/>
      <c r="N34" s="25"/>
      <c r="O34" s="20"/>
      <c r="P34" s="37"/>
      <c r="Q34" s="71"/>
      <c r="R34" s="35"/>
      <c r="S34" s="35"/>
      <c r="T34" s="35"/>
      <c r="U34" s="36"/>
      <c r="V34" s="35"/>
      <c r="W34" s="37"/>
      <c r="X34" s="37"/>
    </row>
    <row r="35" customFormat="false" ht="12.75" hidden="false" customHeight="false" outlineLevel="0" collapsed="false">
      <c r="A35" s="28"/>
      <c r="B35" s="16"/>
      <c r="C35" s="16"/>
      <c r="D35" s="17"/>
      <c r="E35" s="17"/>
      <c r="F35" s="15"/>
      <c r="G35" s="15"/>
      <c r="H35" s="16"/>
      <c r="I35" s="19"/>
      <c r="J35" s="20"/>
      <c r="K35" s="20"/>
      <c r="L35" s="20"/>
      <c r="M35" s="20"/>
      <c r="N35" s="25"/>
      <c r="O35" s="20"/>
      <c r="P35" s="37"/>
      <c r="Q35" s="71"/>
      <c r="R35" s="69"/>
      <c r="S35" s="35"/>
      <c r="T35" s="35"/>
      <c r="U35" s="36"/>
      <c r="V35" s="35"/>
      <c r="W35" s="37"/>
      <c r="X35" s="37"/>
    </row>
    <row r="36" customFormat="false" ht="12.75" hidden="false" customHeight="false" outlineLevel="0" collapsed="false">
      <c r="A36" s="28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25"/>
      <c r="O36" s="20"/>
      <c r="P36" s="37"/>
      <c r="Q36" s="71"/>
      <c r="R36" s="69"/>
      <c r="S36" s="35"/>
      <c r="T36" s="35"/>
      <c r="U36" s="36"/>
      <c r="V36" s="35"/>
      <c r="W36" s="37"/>
      <c r="X36" s="37"/>
    </row>
    <row r="37" customFormat="false" ht="12.75" hidden="false" customHeight="false" outlineLevel="0" collapsed="false">
      <c r="P37" s="72"/>
      <c r="Q37" s="73"/>
      <c r="R37" s="73"/>
      <c r="S37" s="73"/>
      <c r="T37" s="73"/>
      <c r="U37" s="72"/>
      <c r="V37" s="73"/>
      <c r="W37" s="72"/>
    </row>
    <row r="38" customFormat="false" ht="12.75" hidden="false" customHeight="false" outlineLevel="0" collapsed="false">
      <c r="P38" s="72"/>
      <c r="Q38" s="73"/>
      <c r="R38" s="73"/>
      <c r="S38" s="73"/>
      <c r="T38" s="73"/>
      <c r="U38" s="72"/>
      <c r="V38" s="73"/>
      <c r="W3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8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R29" activeCellId="0" sqref="R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27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true" hidden="false" outlineLevel="0" max="19" min="19" style="1" width="12.85"/>
    <col collapsed="false" customWidth="false" hidden="false" outlineLevel="0" max="20" min="20" style="27" width="9.14"/>
    <col collapsed="false" customWidth="true" hidden="false" outlineLevel="0" max="21" min="21" style="30" width="13.56"/>
    <col collapsed="false" customWidth="false" hidden="false" outlineLevel="0" max="23" min="22" style="30" width="9.14"/>
    <col collapsed="false" customWidth="true" hidden="false" outlineLevel="0" max="24" min="24" style="27" width="12.42"/>
    <col collapsed="false" customWidth="false" hidden="false" outlineLevel="0" max="257" min="25" style="27" width="9.14"/>
  </cols>
  <sheetData>
    <row r="1" customFormat="false" ht="12.75" hidden="false" customHeight="false" outlineLevel="0" collapsed="false">
      <c r="A1" s="31" t="s">
        <v>146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2"/>
      <c r="Q1" s="34"/>
      <c r="R1" s="35"/>
      <c r="S1" s="35"/>
      <c r="T1" s="35"/>
      <c r="U1" s="36"/>
      <c r="V1" s="37"/>
      <c r="W1" s="37"/>
    </row>
    <row r="2" customFormat="false" ht="12.75" hidden="false" customHeight="false" outlineLevel="0" collapsed="false">
      <c r="A2" s="15" t="s">
        <v>100</v>
      </c>
      <c r="B2" s="15"/>
      <c r="C2" s="15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2"/>
      <c r="Q2" s="34"/>
      <c r="R2" s="35"/>
      <c r="S2" s="35"/>
      <c r="T2" s="35"/>
      <c r="U2" s="36"/>
      <c r="V2" s="37"/>
      <c r="W2" s="37"/>
    </row>
    <row r="3" customFormat="false" ht="12.75" hidden="false" customHeight="false" outlineLevel="0" collapsed="false">
      <c r="A3" s="15"/>
      <c r="B3" s="15"/>
      <c r="C3" s="15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2"/>
      <c r="Q3" s="34"/>
      <c r="R3" s="35"/>
      <c r="S3" s="35"/>
      <c r="T3" s="35"/>
      <c r="U3" s="36"/>
      <c r="V3" s="37"/>
      <c r="W3" s="37"/>
    </row>
    <row r="4" customFormat="false" ht="12.75" hidden="false" customHeight="false" outlineLevel="0" collapsed="false">
      <c r="A4" s="15"/>
      <c r="B4" s="16"/>
      <c r="C4" s="16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2"/>
      <c r="Q4" s="34"/>
      <c r="R4" s="35"/>
      <c r="S4" s="35"/>
      <c r="T4" s="45"/>
      <c r="U4" s="46"/>
      <c r="V4" s="37"/>
      <c r="W4" s="37"/>
    </row>
    <row r="5" customFormat="false" ht="12.75" hidden="false" customHeight="false" outlineLevel="0" collapsed="false">
      <c r="A5" s="15"/>
      <c r="B5" s="16"/>
      <c r="C5" s="47"/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2"/>
      <c r="Q5" s="34"/>
      <c r="R5" s="35"/>
      <c r="S5" s="35"/>
      <c r="T5" s="45"/>
      <c r="U5" s="46"/>
      <c r="V5" s="37"/>
      <c r="W5" s="37"/>
    </row>
    <row r="6" customFormat="false" ht="12.75" hidden="false" customHeight="false" outlineLevel="0" collapsed="false">
      <c r="A6" s="15"/>
      <c r="B6" s="16"/>
      <c r="C6" s="47"/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2"/>
      <c r="Q6" s="34"/>
      <c r="R6" s="35"/>
      <c r="S6" s="35"/>
      <c r="T6" s="45"/>
      <c r="U6" s="46"/>
      <c r="V6" s="37"/>
      <c r="W6" s="37"/>
    </row>
    <row r="7" customFormat="false" ht="12.75" hidden="false" customHeight="false" outlineLevel="0" collapsed="false">
      <c r="A7" s="15"/>
      <c r="B7" s="16"/>
      <c r="C7" s="47"/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2"/>
      <c r="Q7" s="34"/>
      <c r="R7" s="35"/>
      <c r="S7" s="35"/>
      <c r="T7" s="45"/>
      <c r="U7" s="46"/>
      <c r="V7" s="37"/>
      <c r="W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2"/>
      <c r="Q8" s="34"/>
      <c r="R8" s="35"/>
      <c r="S8" s="35"/>
      <c r="T8" s="45"/>
      <c r="U8" s="46"/>
      <c r="V8" s="37"/>
      <c r="W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2"/>
      <c r="Q9" s="34"/>
      <c r="R9" s="35"/>
      <c r="S9" s="35"/>
      <c r="T9" s="45"/>
      <c r="U9" s="46"/>
      <c r="V9" s="37"/>
      <c r="W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2"/>
      <c r="Q10" s="34"/>
      <c r="R10" s="35"/>
      <c r="S10" s="35"/>
      <c r="T10" s="45"/>
      <c r="U10" s="46"/>
      <c r="V10" s="37"/>
      <c r="W10" s="37"/>
    </row>
    <row r="11" customFormat="false" ht="12.75" hidden="false" customHeight="false" outlineLevel="0" collapsed="false">
      <c r="A11" s="48" t="s">
        <v>108</v>
      </c>
      <c r="B11" s="49" t="s">
        <v>109</v>
      </c>
      <c r="C11" s="49" t="s">
        <v>110</v>
      </c>
      <c r="D11" s="50" t="s">
        <v>111</v>
      </c>
      <c r="E11" s="50"/>
      <c r="F11" s="48" t="s">
        <v>112</v>
      </c>
      <c r="G11" s="48" t="s">
        <v>113</v>
      </c>
      <c r="H11" s="49" t="s">
        <v>114</v>
      </c>
      <c r="I11" s="51" t="s">
        <v>115</v>
      </c>
      <c r="J11" s="49" t="s">
        <v>116</v>
      </c>
      <c r="K11" s="49" t="s">
        <v>117</v>
      </c>
      <c r="L11" s="49" t="s">
        <v>118</v>
      </c>
      <c r="M11" s="49" t="s">
        <v>119</v>
      </c>
      <c r="N11" s="52" t="s">
        <v>120</v>
      </c>
      <c r="O11" s="49" t="s">
        <v>121</v>
      </c>
      <c r="P11" s="74" t="s">
        <v>147</v>
      </c>
      <c r="Q11" s="49" t="s">
        <v>123</v>
      </c>
      <c r="R11" s="48" t="s">
        <v>124</v>
      </c>
      <c r="S11" s="75" t="s">
        <v>125</v>
      </c>
      <c r="T11" s="54" t="s">
        <v>126</v>
      </c>
      <c r="U11" s="55" t="s">
        <v>148</v>
      </c>
      <c r="V11" s="24"/>
      <c r="W11" s="24"/>
    </row>
    <row r="12" customFormat="false" ht="12.75" hidden="false" customHeight="false" outlineLevel="0" collapsed="false">
      <c r="A12" s="38" t="s">
        <v>149</v>
      </c>
      <c r="B12" s="76" t="s">
        <v>150</v>
      </c>
      <c r="C12" s="76" t="s">
        <v>151</v>
      </c>
      <c r="D12" s="77" t="n">
        <v>36647</v>
      </c>
      <c r="E12" s="77" t="n">
        <v>36830</v>
      </c>
      <c r="F12" s="38" t="s">
        <v>152</v>
      </c>
      <c r="G12" s="38" t="s">
        <v>153</v>
      </c>
      <c r="H12" s="76" t="s">
        <v>154</v>
      </c>
      <c r="I12" s="78" t="n">
        <f aca="false">0.6*0.0328767</f>
        <v>0.01972602</v>
      </c>
      <c r="J12" s="79" t="n">
        <v>0</v>
      </c>
      <c r="K12" s="79" t="n">
        <v>0</v>
      </c>
      <c r="L12" s="79" t="n">
        <v>0</v>
      </c>
      <c r="M12" s="79" t="n">
        <v>0</v>
      </c>
      <c r="N12" s="80" t="n">
        <v>0</v>
      </c>
      <c r="O12" s="79" t="n">
        <f aca="false">SUM(I12:M12)</f>
        <v>0.01972602</v>
      </c>
      <c r="P12" s="81" t="n">
        <v>771169</v>
      </c>
      <c r="Q12" s="76" t="n">
        <v>5690</v>
      </c>
      <c r="R12" s="38" t="s">
        <v>155</v>
      </c>
      <c r="S12" s="82" t="n">
        <f aca="false">I12*I$1*Q12</f>
        <v>3479.4726678</v>
      </c>
      <c r="T12" s="82"/>
      <c r="U12" s="83" t="n">
        <v>247184</v>
      </c>
      <c r="V12" s="84"/>
      <c r="W12" s="84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</row>
    <row r="13" customFormat="false" ht="12.75" hidden="false" customHeight="false" outlineLevel="0" collapsed="false">
      <c r="A13" s="38" t="s">
        <v>149</v>
      </c>
      <c r="B13" s="76" t="s">
        <v>150</v>
      </c>
      <c r="C13" s="76" t="s">
        <v>151</v>
      </c>
      <c r="D13" s="77" t="n">
        <v>36647</v>
      </c>
      <c r="E13" s="77" t="n">
        <v>36830</v>
      </c>
      <c r="F13" s="38" t="s">
        <v>152</v>
      </c>
      <c r="G13" s="38" t="s">
        <v>153</v>
      </c>
      <c r="H13" s="76" t="s">
        <v>154</v>
      </c>
      <c r="I13" s="78" t="n">
        <f aca="false">0.3*0.0328767</f>
        <v>0.00986301</v>
      </c>
      <c r="J13" s="79" t="n">
        <v>0</v>
      </c>
      <c r="K13" s="79" t="n">
        <v>0</v>
      </c>
      <c r="L13" s="79" t="n">
        <v>0</v>
      </c>
      <c r="M13" s="79" t="n">
        <v>0</v>
      </c>
      <c r="N13" s="80" t="n">
        <v>0</v>
      </c>
      <c r="O13" s="79" t="n">
        <f aca="false">SUM(I13:M13)</f>
        <v>0.00986301</v>
      </c>
      <c r="P13" s="81" t="n">
        <v>771168</v>
      </c>
      <c r="Q13" s="76" t="n">
        <v>965</v>
      </c>
      <c r="R13" s="38" t="s">
        <v>156</v>
      </c>
      <c r="S13" s="82" t="n">
        <f aca="false">I13*I$1*Q13</f>
        <v>295.05194415</v>
      </c>
      <c r="T13" s="82"/>
      <c r="U13" s="83" t="n">
        <v>236735</v>
      </c>
      <c r="V13" s="84"/>
      <c r="W13" s="84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</row>
    <row r="14" customFormat="false" ht="12.75" hidden="false" customHeight="false" outlineLevel="0" collapsed="false">
      <c r="A14" s="38" t="s">
        <v>149</v>
      </c>
      <c r="B14" s="76" t="s">
        <v>150</v>
      </c>
      <c r="C14" s="76" t="s">
        <v>151</v>
      </c>
      <c r="D14" s="77" t="n">
        <v>36647</v>
      </c>
      <c r="E14" s="77" t="n">
        <v>36830</v>
      </c>
      <c r="F14" s="38" t="s">
        <v>157</v>
      </c>
      <c r="G14" s="38" t="s">
        <v>153</v>
      </c>
      <c r="H14" s="76" t="s">
        <v>154</v>
      </c>
      <c r="I14" s="78" t="n">
        <f aca="false">0.3*0.0328767</f>
        <v>0.00986301</v>
      </c>
      <c r="J14" s="79" t="n">
        <v>0</v>
      </c>
      <c r="K14" s="79" t="n">
        <v>0</v>
      </c>
      <c r="L14" s="79" t="n">
        <v>0</v>
      </c>
      <c r="M14" s="79" t="n">
        <v>0</v>
      </c>
      <c r="N14" s="80" t="n">
        <v>0</v>
      </c>
      <c r="O14" s="79" t="n">
        <f aca="false">SUM(I14:M14)</f>
        <v>0.00986301</v>
      </c>
      <c r="P14" s="81" t="n">
        <v>771168</v>
      </c>
      <c r="Q14" s="76" t="n">
        <v>286</v>
      </c>
      <c r="R14" s="38" t="s">
        <v>156</v>
      </c>
      <c r="S14" s="82" t="n">
        <f aca="false">I14*I$1*Q14</f>
        <v>87.44544666</v>
      </c>
      <c r="T14" s="82"/>
      <c r="U14" s="83" t="n">
        <v>236735</v>
      </c>
      <c r="V14" s="84"/>
      <c r="W14" s="84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</row>
    <row r="15" customFormat="false" ht="12.75" hidden="false" customHeight="false" outlineLevel="0" collapsed="false">
      <c r="A15" s="38" t="s">
        <v>149</v>
      </c>
      <c r="B15" s="76" t="s">
        <v>150</v>
      </c>
      <c r="C15" s="76" t="s">
        <v>158</v>
      </c>
      <c r="D15" s="77" t="n">
        <v>36647</v>
      </c>
      <c r="E15" s="77" t="n">
        <v>36799</v>
      </c>
      <c r="F15" s="38" t="s">
        <v>152</v>
      </c>
      <c r="G15" s="38" t="s">
        <v>159</v>
      </c>
      <c r="H15" s="76" t="s">
        <v>160</v>
      </c>
      <c r="I15" s="78" t="n">
        <f aca="false">0.61*0.0328767</f>
        <v>0.020054787</v>
      </c>
      <c r="J15" s="79" t="n">
        <v>0</v>
      </c>
      <c r="K15" s="79" t="n">
        <v>0</v>
      </c>
      <c r="L15" s="79" t="n">
        <v>0</v>
      </c>
      <c r="M15" s="79" t="n">
        <v>0</v>
      </c>
      <c r="N15" s="80" t="n">
        <v>0</v>
      </c>
      <c r="O15" s="79" t="n">
        <f aca="false">SUM(I15:M15)</f>
        <v>0.020054787</v>
      </c>
      <c r="P15" s="81" t="n">
        <v>771199</v>
      </c>
      <c r="Q15" s="76" t="n">
        <v>5000</v>
      </c>
      <c r="R15" s="38" t="s">
        <v>161</v>
      </c>
      <c r="S15" s="82" t="n">
        <f aca="false">I15*I$1*Q15</f>
        <v>3108.491985</v>
      </c>
      <c r="T15" s="82"/>
      <c r="U15" s="83" t="n">
        <v>255854</v>
      </c>
      <c r="V15" s="84"/>
      <c r="W15" s="84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</row>
    <row r="16" customFormat="false" ht="12.75" hidden="false" customHeight="false" outlineLevel="0" collapsed="false">
      <c r="A16" s="42" t="s">
        <v>149</v>
      </c>
      <c r="B16" s="43" t="s">
        <v>150</v>
      </c>
      <c r="C16" s="43" t="s">
        <v>158</v>
      </c>
      <c r="D16" s="86" t="n">
        <v>36800</v>
      </c>
      <c r="E16" s="86" t="n">
        <v>36830</v>
      </c>
      <c r="F16" s="42" t="s">
        <v>152</v>
      </c>
      <c r="G16" s="42" t="s">
        <v>159</v>
      </c>
      <c r="H16" s="43" t="s">
        <v>160</v>
      </c>
      <c r="I16" s="87" t="n">
        <f aca="false">0.61*0.0328767</f>
        <v>0.020054787</v>
      </c>
      <c r="J16" s="88" t="n">
        <v>0</v>
      </c>
      <c r="K16" s="88" t="n">
        <v>0</v>
      </c>
      <c r="L16" s="88" t="n">
        <v>0</v>
      </c>
      <c r="M16" s="88" t="n">
        <v>0</v>
      </c>
      <c r="N16" s="89" t="n">
        <v>0</v>
      </c>
      <c r="O16" s="88" t="n">
        <f aca="false">SUM(I16:M16)</f>
        <v>0.020054787</v>
      </c>
      <c r="P16" s="90" t="n">
        <v>771173</v>
      </c>
      <c r="Q16" s="43" t="n">
        <v>5000</v>
      </c>
      <c r="R16" s="42" t="s">
        <v>162</v>
      </c>
      <c r="S16" s="91" t="s">
        <v>163</v>
      </c>
      <c r="T16" s="91"/>
      <c r="U16" s="92" t="n">
        <v>253236</v>
      </c>
      <c r="V16" s="93"/>
      <c r="W16" s="93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12.75" hidden="false" customHeight="false" outlineLevel="0" collapsed="false">
      <c r="A17" s="15"/>
      <c r="B17" s="16"/>
      <c r="C17" s="16"/>
      <c r="D17" s="17"/>
      <c r="E17" s="17"/>
      <c r="F17" s="15"/>
      <c r="G17" s="15"/>
      <c r="H17" s="16"/>
      <c r="I17" s="19"/>
      <c r="J17" s="20"/>
      <c r="K17" s="20"/>
      <c r="L17" s="20"/>
      <c r="M17" s="20"/>
      <c r="N17" s="25"/>
      <c r="O17" s="20"/>
      <c r="P17" s="22"/>
      <c r="Q17" s="16"/>
      <c r="R17" s="15"/>
      <c r="S17" s="23"/>
      <c r="T17" s="23"/>
      <c r="U17" s="26"/>
      <c r="V17" s="24"/>
      <c r="W17" s="2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3.5" hidden="false" customHeight="true" outlineLevel="0" collapsed="false">
      <c r="A18" s="95" t="s">
        <v>1</v>
      </c>
      <c r="B18" s="71" t="s">
        <v>1</v>
      </c>
      <c r="C18" s="69" t="s">
        <v>1</v>
      </c>
      <c r="D18" s="96" t="s">
        <v>1</v>
      </c>
      <c r="E18" s="96"/>
      <c r="F18" s="95" t="s">
        <v>1</v>
      </c>
      <c r="G18" s="97" t="s">
        <v>1</v>
      </c>
      <c r="H18" s="71" t="s">
        <v>1</v>
      </c>
      <c r="I18" s="98"/>
      <c r="J18" s="68"/>
      <c r="K18" s="68"/>
      <c r="L18" s="68"/>
      <c r="M18" s="68"/>
      <c r="N18" s="99"/>
      <c r="O18" s="68"/>
      <c r="P18" s="100" t="s">
        <v>1</v>
      </c>
      <c r="Q18" s="71" t="n">
        <f aca="false">SUM(Q12:Q15)</f>
        <v>11941</v>
      </c>
      <c r="R18" s="95" t="s">
        <v>164</v>
      </c>
      <c r="S18" s="101" t="n">
        <f aca="false">SUM(S12:S17)</f>
        <v>6970.46204361</v>
      </c>
      <c r="T18" s="45" t="n">
        <f aca="false">SUM(T12:T16)</f>
        <v>0</v>
      </c>
      <c r="U18" s="46"/>
      <c r="V18" s="37"/>
      <c r="W18" s="37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</row>
    <row r="19" customFormat="false" ht="12.75" hidden="false" customHeight="false" outlineLevel="0" collapsed="false">
      <c r="A19" s="95"/>
      <c r="B19" s="71"/>
      <c r="C19" s="69"/>
      <c r="D19" s="96"/>
      <c r="E19" s="96"/>
      <c r="F19" s="95"/>
      <c r="G19" s="97"/>
      <c r="H19" s="71"/>
      <c r="I19" s="98"/>
      <c r="J19" s="68"/>
      <c r="K19" s="68"/>
      <c r="L19" s="68"/>
      <c r="M19" s="68"/>
      <c r="N19" s="99"/>
      <c r="O19" s="68"/>
      <c r="P19" s="100"/>
      <c r="Q19" s="71"/>
      <c r="R19" s="95" t="s">
        <v>165</v>
      </c>
      <c r="S19" s="101" t="n">
        <v>0</v>
      </c>
      <c r="T19" s="45"/>
      <c r="U19" s="46"/>
      <c r="V19" s="37"/>
      <c r="W19" s="37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  <c r="IW19" s="73"/>
    </row>
    <row r="20" customFormat="false" ht="13.5" hidden="false" customHeight="false" outlineLevel="0" collapsed="false">
      <c r="A20" s="95"/>
      <c r="B20" s="71"/>
      <c r="C20" s="69"/>
      <c r="D20" s="96"/>
      <c r="E20" s="96"/>
      <c r="F20" s="95"/>
      <c r="G20" s="97"/>
      <c r="H20" s="71"/>
      <c r="I20" s="98"/>
      <c r="J20" s="68"/>
      <c r="K20" s="68"/>
      <c r="L20" s="68"/>
      <c r="M20" s="68"/>
      <c r="N20" s="99"/>
      <c r="O20" s="68"/>
      <c r="P20" s="100"/>
      <c r="Q20" s="71"/>
      <c r="R20" s="95" t="s">
        <v>166</v>
      </c>
      <c r="S20" s="102" t="n">
        <f aca="false">+S18-S19</f>
        <v>6970.46204361</v>
      </c>
      <c r="T20" s="45"/>
      <c r="U20" s="46"/>
      <c r="V20" s="24"/>
      <c r="W20" s="24"/>
    </row>
    <row r="21" customFormat="false" ht="13.5" hidden="false" customHeight="false" outlineLevel="0" collapsed="false">
      <c r="A21" s="95"/>
      <c r="B21" s="71"/>
      <c r="C21" s="69"/>
      <c r="D21" s="96"/>
      <c r="E21" s="96"/>
      <c r="F21" s="95"/>
      <c r="G21" s="97"/>
      <c r="H21" s="71"/>
      <c r="I21" s="98"/>
      <c r="J21" s="68"/>
      <c r="K21" s="68"/>
      <c r="L21" s="68"/>
      <c r="M21" s="68"/>
      <c r="N21" s="99"/>
      <c r="O21" s="68"/>
      <c r="P21" s="100"/>
      <c r="Q21" s="71"/>
      <c r="R21" s="95"/>
      <c r="S21" s="35"/>
      <c r="T21" s="45"/>
      <c r="U21" s="46"/>
      <c r="V21" s="24"/>
      <c r="W21" s="24"/>
    </row>
    <row r="22" customFormat="false" ht="12.75" hidden="false" customHeight="false" outlineLevel="0" collapsed="false">
      <c r="A22" s="103" t="s">
        <v>108</v>
      </c>
      <c r="B22" s="104" t="s">
        <v>109</v>
      </c>
      <c r="C22" s="104" t="s">
        <v>110</v>
      </c>
      <c r="D22" s="105" t="s">
        <v>111</v>
      </c>
      <c r="E22" s="105"/>
      <c r="F22" s="103" t="s">
        <v>112</v>
      </c>
      <c r="G22" s="103" t="s">
        <v>113</v>
      </c>
      <c r="H22" s="104" t="s">
        <v>114</v>
      </c>
      <c r="I22" s="106" t="s">
        <v>115</v>
      </c>
      <c r="J22" s="104" t="s">
        <v>116</v>
      </c>
      <c r="K22" s="104" t="s">
        <v>117</v>
      </c>
      <c r="L22" s="104" t="s">
        <v>118</v>
      </c>
      <c r="M22" s="104" t="s">
        <v>119</v>
      </c>
      <c r="N22" s="107" t="s">
        <v>120</v>
      </c>
      <c r="O22" s="104" t="s">
        <v>121</v>
      </c>
      <c r="P22" s="108" t="s">
        <v>147</v>
      </c>
      <c r="Q22" s="104" t="s">
        <v>123</v>
      </c>
      <c r="R22" s="103" t="s">
        <v>124</v>
      </c>
      <c r="S22" s="109" t="s">
        <v>125</v>
      </c>
      <c r="T22" s="110" t="s">
        <v>126</v>
      </c>
      <c r="U22" s="111" t="s">
        <v>148</v>
      </c>
      <c r="V22" s="112"/>
      <c r="W22" s="112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</row>
    <row r="23" customFormat="false" ht="12.75" hidden="false" customHeight="false" outlineLevel="0" collapsed="false">
      <c r="A23" s="38" t="s">
        <v>167</v>
      </c>
      <c r="B23" s="76" t="s">
        <v>48</v>
      </c>
      <c r="C23" s="76" t="s">
        <v>168</v>
      </c>
      <c r="D23" s="77" t="n">
        <v>36617</v>
      </c>
      <c r="E23" s="77" t="n">
        <v>36830</v>
      </c>
      <c r="F23" s="38" t="s">
        <v>169</v>
      </c>
      <c r="G23" s="38" t="s">
        <v>168</v>
      </c>
      <c r="H23" s="76" t="s">
        <v>170</v>
      </c>
      <c r="I23" s="78" t="n">
        <v>0.0318709677419355</v>
      </c>
      <c r="J23" s="79" t="n">
        <v>0</v>
      </c>
      <c r="K23" s="79" t="n">
        <v>0</v>
      </c>
      <c r="L23" s="79" t="n">
        <v>0</v>
      </c>
      <c r="M23" s="79" t="n">
        <v>0</v>
      </c>
      <c r="N23" s="80" t="n">
        <v>0</v>
      </c>
      <c r="O23" s="79" t="n">
        <f aca="false">SUM(I23:M23)</f>
        <v>0.0318709677419355</v>
      </c>
      <c r="P23" s="81" t="s">
        <v>171</v>
      </c>
      <c r="Q23" s="76" t="n">
        <v>15000</v>
      </c>
      <c r="R23" s="38" t="s">
        <v>172</v>
      </c>
      <c r="S23" s="82" t="n">
        <f aca="false">I23*I$1*Q23</f>
        <v>14820</v>
      </c>
      <c r="T23" s="82"/>
      <c r="U23" s="83" t="n">
        <v>229957</v>
      </c>
      <c r="V23" s="84"/>
      <c r="W23" s="84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  <c r="IV23" s="85"/>
      <c r="IW23" s="85"/>
    </row>
    <row r="24" customFormat="false" ht="12.75" hidden="false" customHeight="false" outlineLevel="0" collapsed="false">
      <c r="A24" s="38" t="s">
        <v>167</v>
      </c>
      <c r="B24" s="76" t="s">
        <v>48</v>
      </c>
      <c r="C24" s="76" t="s">
        <v>168</v>
      </c>
      <c r="D24" s="77" t="n">
        <v>36617</v>
      </c>
      <c r="E24" s="77" t="n">
        <v>36830</v>
      </c>
      <c r="F24" s="38" t="s">
        <v>173</v>
      </c>
      <c r="G24" s="38" t="s">
        <v>168</v>
      </c>
      <c r="H24" s="76" t="s">
        <v>170</v>
      </c>
      <c r="I24" s="78" t="n">
        <v>0.0294193548387097</v>
      </c>
      <c r="J24" s="79" t="n">
        <v>0</v>
      </c>
      <c r="K24" s="79" t="n">
        <v>0</v>
      </c>
      <c r="L24" s="79" t="n">
        <v>0</v>
      </c>
      <c r="M24" s="79" t="n">
        <v>0</v>
      </c>
      <c r="N24" s="80" t="n">
        <v>0</v>
      </c>
      <c r="O24" s="79" t="n">
        <f aca="false">SUM(I24:M24)</f>
        <v>0.0294193548387097</v>
      </c>
      <c r="P24" s="81" t="s">
        <v>174</v>
      </c>
      <c r="Q24" s="76" t="n">
        <v>4003</v>
      </c>
      <c r="R24" s="38" t="s">
        <v>175</v>
      </c>
      <c r="S24" s="82" t="n">
        <f aca="false">I24*I$1*Q24</f>
        <v>3650.736</v>
      </c>
      <c r="T24" s="82"/>
      <c r="U24" s="83" t="n">
        <v>233047</v>
      </c>
      <c r="V24" s="84"/>
      <c r="W24" s="84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  <c r="IV24" s="85"/>
      <c r="IW24" s="85"/>
    </row>
    <row r="25" customFormat="false" ht="12.75" hidden="false" customHeight="false" outlineLevel="0" collapsed="false">
      <c r="A25" s="38" t="s">
        <v>167</v>
      </c>
      <c r="B25" s="76" t="s">
        <v>48</v>
      </c>
      <c r="C25" s="76" t="s">
        <v>168</v>
      </c>
      <c r="D25" s="77" t="n">
        <v>36617</v>
      </c>
      <c r="E25" s="77" t="n">
        <v>36830</v>
      </c>
      <c r="F25" s="38" t="s">
        <v>176</v>
      </c>
      <c r="G25" s="38" t="s">
        <v>168</v>
      </c>
      <c r="H25" s="76" t="s">
        <v>170</v>
      </c>
      <c r="I25" s="78" t="n">
        <v>0.0294193548387097</v>
      </c>
      <c r="J25" s="79" t="n">
        <v>0</v>
      </c>
      <c r="K25" s="79" t="n">
        <v>0</v>
      </c>
      <c r="L25" s="79" t="n">
        <v>0</v>
      </c>
      <c r="M25" s="79" t="n">
        <v>0</v>
      </c>
      <c r="N25" s="80" t="n">
        <v>0</v>
      </c>
      <c r="O25" s="79" t="n">
        <f aca="false">SUM(I25:M25)</f>
        <v>0.0294193548387097</v>
      </c>
      <c r="P25" s="81" t="s">
        <v>174</v>
      </c>
      <c r="Q25" s="76" t="n">
        <v>383</v>
      </c>
      <c r="R25" s="38" t="s">
        <v>175</v>
      </c>
      <c r="S25" s="82" t="n">
        <f aca="false">I25*I$1*Q25</f>
        <v>349.296</v>
      </c>
      <c r="T25" s="82"/>
      <c r="U25" s="83" t="n">
        <v>233047</v>
      </c>
      <c r="V25" s="84"/>
      <c r="W25" s="84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  <c r="IU25" s="85"/>
      <c r="IV25" s="85"/>
      <c r="IW25" s="85"/>
    </row>
    <row r="26" customFormat="false" ht="12.75" hidden="false" customHeight="false" outlineLevel="0" collapsed="false">
      <c r="A26" s="38" t="s">
        <v>167</v>
      </c>
      <c r="B26" s="76" t="s">
        <v>48</v>
      </c>
      <c r="C26" s="76" t="s">
        <v>158</v>
      </c>
      <c r="D26" s="77" t="n">
        <v>36617</v>
      </c>
      <c r="E26" s="77" t="n">
        <v>36799</v>
      </c>
      <c r="F26" s="38" t="s">
        <v>173</v>
      </c>
      <c r="G26" s="38" t="s">
        <v>177</v>
      </c>
      <c r="H26" s="76" t="s">
        <v>170</v>
      </c>
      <c r="I26" s="78" t="n">
        <v>0.0196129032258065</v>
      </c>
      <c r="J26" s="79" t="n">
        <v>0</v>
      </c>
      <c r="K26" s="79" t="n">
        <v>0</v>
      </c>
      <c r="L26" s="79" t="n">
        <v>0</v>
      </c>
      <c r="M26" s="79" t="n">
        <v>0</v>
      </c>
      <c r="N26" s="80" t="n">
        <v>0</v>
      </c>
      <c r="O26" s="79" t="n">
        <f aca="false">SUM(I26:M26)</f>
        <v>0.0196129032258065</v>
      </c>
      <c r="P26" s="81" t="s">
        <v>178</v>
      </c>
      <c r="Q26" s="76" t="n">
        <v>3947</v>
      </c>
      <c r="R26" s="38" t="s">
        <v>179</v>
      </c>
      <c r="S26" s="82" t="n">
        <f aca="false">I26*I$1*Q26</f>
        <v>2399.776</v>
      </c>
      <c r="T26" s="82"/>
      <c r="U26" s="83" t="n">
        <v>231229</v>
      </c>
      <c r="V26" s="84"/>
      <c r="W26" s="84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  <c r="IR26" s="85"/>
      <c r="IS26" s="85"/>
      <c r="IT26" s="85"/>
      <c r="IU26" s="85"/>
      <c r="IV26" s="85"/>
      <c r="IW26" s="85"/>
    </row>
    <row r="27" customFormat="false" ht="12.75" hidden="false" customHeight="false" outlineLevel="0" collapsed="false">
      <c r="A27" s="38" t="s">
        <v>167</v>
      </c>
      <c r="B27" s="76" t="s">
        <v>48</v>
      </c>
      <c r="C27" s="76" t="s">
        <v>180</v>
      </c>
      <c r="D27" s="77" t="n">
        <v>36708</v>
      </c>
      <c r="E27" s="77" t="n">
        <v>36738</v>
      </c>
      <c r="F27" s="38" t="s">
        <v>181</v>
      </c>
      <c r="G27" s="38" t="s">
        <v>182</v>
      </c>
      <c r="H27" s="76" t="s">
        <v>170</v>
      </c>
      <c r="I27" s="78" t="n">
        <f aca="false">0.3875/I$1</f>
        <v>0.0125</v>
      </c>
      <c r="J27" s="79" t="n">
        <v>0</v>
      </c>
      <c r="K27" s="79" t="n">
        <v>0</v>
      </c>
      <c r="L27" s="79" t="n">
        <v>0</v>
      </c>
      <c r="M27" s="79" t="n">
        <v>0</v>
      </c>
      <c r="N27" s="80" t="n">
        <v>0</v>
      </c>
      <c r="O27" s="79" t="n">
        <f aca="false">SUM(I27:M27)</f>
        <v>0.0125</v>
      </c>
      <c r="P27" s="81" t="n">
        <v>523448</v>
      </c>
      <c r="Q27" s="76" t="n">
        <v>2400</v>
      </c>
      <c r="R27" s="38" t="s">
        <v>183</v>
      </c>
      <c r="S27" s="82" t="n">
        <f aca="false">I27*8*Q27</f>
        <v>240</v>
      </c>
      <c r="T27" s="82"/>
      <c r="U27" s="83"/>
      <c r="V27" s="84"/>
      <c r="W27" s="84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  <c r="IP27" s="85"/>
      <c r="IQ27" s="85"/>
      <c r="IR27" s="85"/>
      <c r="IS27" s="85"/>
      <c r="IT27" s="85"/>
      <c r="IU27" s="85"/>
      <c r="IV27" s="85"/>
      <c r="IW27" s="85"/>
    </row>
    <row r="28" customFormat="false" ht="12.75" hidden="false" customHeight="false" outlineLevel="0" collapsed="false">
      <c r="A28" s="42" t="s">
        <v>167</v>
      </c>
      <c r="B28" s="43" t="s">
        <v>48</v>
      </c>
      <c r="C28" s="43" t="s">
        <v>180</v>
      </c>
      <c r="D28" s="86" t="n">
        <v>36739</v>
      </c>
      <c r="E28" s="86" t="n">
        <v>36830</v>
      </c>
      <c r="F28" s="42" t="s">
        <v>181</v>
      </c>
      <c r="G28" s="42" t="s">
        <v>182</v>
      </c>
      <c r="H28" s="43" t="s">
        <v>170</v>
      </c>
      <c r="I28" s="87" t="n">
        <f aca="false">0.3875/I$1</f>
        <v>0.0125</v>
      </c>
      <c r="J28" s="88" t="n">
        <v>0</v>
      </c>
      <c r="K28" s="88" t="n">
        <v>0</v>
      </c>
      <c r="L28" s="88" t="n">
        <v>0</v>
      </c>
      <c r="M28" s="88" t="n">
        <v>0</v>
      </c>
      <c r="N28" s="89" t="n">
        <v>0</v>
      </c>
      <c r="O28" s="88" t="n">
        <f aca="false">SUM(I28:M28)</f>
        <v>0.0125</v>
      </c>
      <c r="P28" s="90" t="n">
        <v>523448</v>
      </c>
      <c r="Q28" s="43" t="n">
        <v>2400</v>
      </c>
      <c r="R28" s="42" t="s">
        <v>184</v>
      </c>
      <c r="S28" s="91" t="s">
        <v>185</v>
      </c>
      <c r="T28" s="91"/>
      <c r="U28" s="92"/>
      <c r="V28" s="93"/>
      <c r="W28" s="93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</row>
    <row r="29" customFormat="false" ht="12.75" hidden="false" customHeight="false" outlineLevel="0" collapsed="false">
      <c r="A29" s="95" t="s">
        <v>1</v>
      </c>
      <c r="B29" s="71" t="s">
        <v>1</v>
      </c>
      <c r="C29" s="69" t="s">
        <v>1</v>
      </c>
      <c r="D29" s="96" t="s">
        <v>1</v>
      </c>
      <c r="E29" s="96"/>
      <c r="F29" s="95" t="s">
        <v>1</v>
      </c>
      <c r="G29" s="97" t="s">
        <v>1</v>
      </c>
      <c r="H29" s="71" t="s">
        <v>1</v>
      </c>
      <c r="I29" s="98"/>
      <c r="J29" s="68"/>
      <c r="K29" s="68"/>
      <c r="L29" s="68"/>
      <c r="M29" s="68"/>
      <c r="N29" s="99"/>
      <c r="O29" s="68"/>
      <c r="P29" s="100" t="s">
        <v>1</v>
      </c>
      <c r="Q29" s="73"/>
      <c r="R29" s="95" t="s">
        <v>1</v>
      </c>
      <c r="S29" s="35"/>
      <c r="T29" s="45" t="n">
        <f aca="false">SUM(T23:T28)</f>
        <v>0</v>
      </c>
      <c r="U29" s="46"/>
      <c r="V29" s="37"/>
      <c r="W29" s="37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</row>
    <row r="30" customFormat="false" ht="12.75" hidden="false" customHeight="false" outlineLevel="0" collapsed="false">
      <c r="A30" s="95"/>
      <c r="B30" s="71"/>
      <c r="C30" s="69"/>
      <c r="D30" s="96"/>
      <c r="E30" s="96"/>
      <c r="F30" s="95"/>
      <c r="G30" s="97"/>
      <c r="H30" s="71"/>
      <c r="I30" s="98"/>
      <c r="J30" s="68"/>
      <c r="K30" s="68"/>
      <c r="L30" s="68"/>
      <c r="M30" s="68"/>
      <c r="N30" s="99"/>
      <c r="O30" s="68"/>
      <c r="P30" s="100"/>
      <c r="Q30" s="69" t="n">
        <f aca="false">SUM(Q23:Q28)</f>
        <v>28133</v>
      </c>
      <c r="R30" s="95" t="s">
        <v>164</v>
      </c>
      <c r="S30" s="101" t="n">
        <f aca="false">SUM(S22:S29)</f>
        <v>21459.808</v>
      </c>
      <c r="T30" s="45"/>
      <c r="U30" s="46"/>
      <c r="V30" s="37"/>
      <c r="W30" s="37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</row>
    <row r="31" customFormat="false" ht="12.75" hidden="false" customHeight="false" outlineLevel="0" collapsed="false">
      <c r="A31" s="95"/>
      <c r="B31" s="71"/>
      <c r="C31" s="69"/>
      <c r="D31" s="96"/>
      <c r="E31" s="96"/>
      <c r="F31" s="95"/>
      <c r="G31" s="97"/>
      <c r="H31" s="71"/>
      <c r="I31" s="98"/>
      <c r="J31" s="68"/>
      <c r="K31" s="68"/>
      <c r="L31" s="68"/>
      <c r="M31" s="68"/>
      <c r="N31" s="99"/>
      <c r="O31" s="68"/>
      <c r="P31" s="100"/>
      <c r="Q31" s="71"/>
      <c r="R31" s="95" t="s">
        <v>165</v>
      </c>
      <c r="S31" s="101" t="n">
        <v>0</v>
      </c>
      <c r="T31" s="45"/>
      <c r="U31" s="46"/>
      <c r="V31" s="24"/>
      <c r="W31" s="24"/>
    </row>
    <row r="32" customFormat="false" ht="13.5" hidden="false" customHeight="false" outlineLevel="0" collapsed="false">
      <c r="A32" s="95"/>
      <c r="B32" s="71"/>
      <c r="C32" s="69"/>
      <c r="D32" s="96"/>
      <c r="E32" s="96"/>
      <c r="F32" s="95"/>
      <c r="G32" s="97"/>
      <c r="H32" s="71"/>
      <c r="I32" s="98"/>
      <c r="J32" s="68"/>
      <c r="K32" s="68"/>
      <c r="L32" s="68"/>
      <c r="M32" s="68"/>
      <c r="N32" s="99"/>
      <c r="O32" s="68"/>
      <c r="P32" s="100"/>
      <c r="Q32" s="71"/>
      <c r="R32" s="95" t="s">
        <v>166</v>
      </c>
      <c r="S32" s="102" t="n">
        <f aca="false">+S30-S31</f>
        <v>21459.808</v>
      </c>
      <c r="T32" s="45"/>
      <c r="U32" s="46"/>
      <c r="V32" s="24"/>
      <c r="W32" s="24"/>
    </row>
    <row r="33" customFormat="false" ht="13.5" hidden="false" customHeight="false" outlineLevel="0" collapsed="false">
      <c r="A33" s="95"/>
      <c r="B33" s="71"/>
      <c r="C33" s="69"/>
      <c r="D33" s="96"/>
      <c r="E33" s="96"/>
      <c r="F33" s="95"/>
      <c r="G33" s="97"/>
      <c r="H33" s="71"/>
      <c r="I33" s="98"/>
      <c r="J33" s="68"/>
      <c r="K33" s="68"/>
      <c r="L33" s="68"/>
      <c r="M33" s="68"/>
      <c r="N33" s="99"/>
      <c r="O33" s="68"/>
      <c r="P33" s="100"/>
      <c r="Q33" s="71"/>
      <c r="R33" s="95"/>
      <c r="S33" s="35"/>
      <c r="T33" s="45"/>
      <c r="U33" s="46"/>
      <c r="V33" s="24"/>
      <c r="W33" s="24"/>
    </row>
    <row r="34" customFormat="false" ht="12.75" hidden="false" customHeight="false" outlineLevel="0" collapsed="false">
      <c r="A34" s="103" t="s">
        <v>108</v>
      </c>
      <c r="B34" s="104" t="s">
        <v>109</v>
      </c>
      <c r="C34" s="104" t="s">
        <v>110</v>
      </c>
      <c r="D34" s="105" t="s">
        <v>111</v>
      </c>
      <c r="E34" s="105"/>
      <c r="F34" s="103" t="s">
        <v>112</v>
      </c>
      <c r="G34" s="103" t="s">
        <v>113</v>
      </c>
      <c r="H34" s="104" t="s">
        <v>114</v>
      </c>
      <c r="I34" s="106" t="s">
        <v>115</v>
      </c>
      <c r="J34" s="104" t="s">
        <v>116</v>
      </c>
      <c r="K34" s="104" t="s">
        <v>117</v>
      </c>
      <c r="L34" s="104" t="s">
        <v>118</v>
      </c>
      <c r="M34" s="104" t="s">
        <v>119</v>
      </c>
      <c r="N34" s="107" t="s">
        <v>120</v>
      </c>
      <c r="O34" s="104" t="s">
        <v>121</v>
      </c>
      <c r="P34" s="108" t="s">
        <v>147</v>
      </c>
      <c r="Q34" s="104" t="s">
        <v>123</v>
      </c>
      <c r="R34" s="103" t="s">
        <v>124</v>
      </c>
      <c r="S34" s="109" t="s">
        <v>133</v>
      </c>
      <c r="T34" s="110" t="s">
        <v>133</v>
      </c>
      <c r="U34" s="111"/>
      <c r="V34" s="112"/>
      <c r="W34" s="112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  <c r="IW34" s="113"/>
    </row>
    <row r="35" customFormat="false" ht="12.75" hidden="false" customHeight="false" outlineLevel="0" collapsed="false">
      <c r="A35" s="15" t="s">
        <v>149</v>
      </c>
      <c r="B35" s="16" t="s">
        <v>134</v>
      </c>
      <c r="C35" s="16" t="s">
        <v>134</v>
      </c>
      <c r="D35" s="17" t="s">
        <v>90</v>
      </c>
      <c r="E35" s="17" t="s">
        <v>90</v>
      </c>
      <c r="F35" s="15" t="s">
        <v>186</v>
      </c>
      <c r="G35" s="15"/>
      <c r="H35" s="16"/>
      <c r="I35" s="19" t="n">
        <v>0</v>
      </c>
      <c r="J35" s="20" t="n">
        <v>0</v>
      </c>
      <c r="K35" s="20" t="n">
        <v>0</v>
      </c>
      <c r="L35" s="20" t="n">
        <v>0</v>
      </c>
      <c r="M35" s="20" t="n">
        <v>0</v>
      </c>
      <c r="N35" s="25" t="n">
        <v>0</v>
      </c>
      <c r="O35" s="20" t="n">
        <f aca="false">SUM(I35:M35)</f>
        <v>0</v>
      </c>
      <c r="P35" s="22" t="s">
        <v>187</v>
      </c>
      <c r="Q35" s="16"/>
      <c r="R35" s="15"/>
      <c r="S35" s="23" t="n">
        <f aca="false">I35*I$1*Q35</f>
        <v>0</v>
      </c>
      <c r="T35" s="23"/>
      <c r="U35" s="26"/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5" t="s">
        <v>167</v>
      </c>
      <c r="B36" s="16" t="s">
        <v>134</v>
      </c>
      <c r="C36" s="16" t="s">
        <v>134</v>
      </c>
      <c r="D36" s="17" t="n">
        <v>36617</v>
      </c>
      <c r="E36" s="17" t="n">
        <v>36981</v>
      </c>
      <c r="F36" s="15" t="s">
        <v>188</v>
      </c>
      <c r="G36" s="15" t="n">
        <v>19</v>
      </c>
      <c r="H36" s="16" t="s">
        <v>170</v>
      </c>
      <c r="I36" s="19" t="n">
        <f aca="false">4.41/I$1</f>
        <v>0.142258064516129</v>
      </c>
      <c r="J36" s="20" t="n">
        <v>0</v>
      </c>
      <c r="K36" s="20" t="n">
        <v>0</v>
      </c>
      <c r="L36" s="20" t="n">
        <v>0</v>
      </c>
      <c r="M36" s="20" t="n">
        <v>0</v>
      </c>
      <c r="N36" s="25" t="n">
        <v>0</v>
      </c>
      <c r="O36" s="20" t="n">
        <f aca="false">SUM(I36:M36)</f>
        <v>0.142258064516129</v>
      </c>
      <c r="P36" s="22" t="n">
        <v>66930</v>
      </c>
      <c r="Q36" s="16" t="n">
        <v>4000</v>
      </c>
      <c r="R36" s="15" t="s">
        <v>189</v>
      </c>
      <c r="S36" s="23" t="n">
        <f aca="false">I36*I$1*Q36</f>
        <v>17640</v>
      </c>
      <c r="T36" s="23"/>
      <c r="U36" s="26" t="n">
        <v>227986</v>
      </c>
      <c r="V36" s="24"/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38" t="s">
        <v>167</v>
      </c>
      <c r="B37" s="76" t="s">
        <v>134</v>
      </c>
      <c r="C37" s="76" t="s">
        <v>134</v>
      </c>
      <c r="D37" s="77" t="n">
        <v>36617</v>
      </c>
      <c r="E37" s="77" t="n">
        <v>36981</v>
      </c>
      <c r="F37" s="38" t="s">
        <v>188</v>
      </c>
      <c r="G37" s="38" t="s">
        <v>190</v>
      </c>
      <c r="H37" s="76" t="s">
        <v>160</v>
      </c>
      <c r="I37" s="78" t="n">
        <f aca="false">4.41/I$1</f>
        <v>0.142258064516129</v>
      </c>
      <c r="J37" s="79" t="n">
        <v>0</v>
      </c>
      <c r="K37" s="79" t="n">
        <v>0</v>
      </c>
      <c r="L37" s="79" t="n">
        <v>0</v>
      </c>
      <c r="M37" s="79" t="n">
        <v>0</v>
      </c>
      <c r="N37" s="80" t="n">
        <v>0</v>
      </c>
      <c r="O37" s="79" t="n">
        <f aca="false">SUM(I37:M37)</f>
        <v>0.142258064516129</v>
      </c>
      <c r="P37" s="81" t="n">
        <v>66931</v>
      </c>
      <c r="Q37" s="76" t="n">
        <v>4000</v>
      </c>
      <c r="R37" s="38" t="s">
        <v>191</v>
      </c>
      <c r="S37" s="82" t="n">
        <f aca="false">I37*I$1*Q37</f>
        <v>17640</v>
      </c>
      <c r="T37" s="82"/>
      <c r="U37" s="83" t="n">
        <v>227996</v>
      </c>
      <c r="V37" s="84"/>
      <c r="W37" s="84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85"/>
      <c r="FU37" s="85"/>
      <c r="FV37" s="85"/>
      <c r="FW37" s="85"/>
      <c r="FX37" s="85"/>
      <c r="FY37" s="85"/>
      <c r="FZ37" s="85"/>
      <c r="GA37" s="85"/>
      <c r="GB37" s="85"/>
      <c r="GC37" s="85"/>
      <c r="GD37" s="85"/>
      <c r="GE37" s="85"/>
      <c r="GF37" s="85"/>
      <c r="GG37" s="85"/>
      <c r="GH37" s="85"/>
      <c r="GI37" s="85"/>
      <c r="GJ37" s="85"/>
      <c r="GK37" s="85"/>
      <c r="GL37" s="85"/>
      <c r="GM37" s="85"/>
      <c r="GN37" s="85"/>
      <c r="GO37" s="85"/>
      <c r="GP37" s="85"/>
      <c r="GQ37" s="85"/>
      <c r="GR37" s="85"/>
      <c r="GS37" s="85"/>
      <c r="GT37" s="85"/>
      <c r="GU37" s="85"/>
      <c r="GV37" s="85"/>
      <c r="GW37" s="85"/>
      <c r="GX37" s="85"/>
      <c r="GY37" s="85"/>
      <c r="GZ37" s="85"/>
      <c r="HA37" s="85"/>
      <c r="HB37" s="85"/>
      <c r="HC37" s="85"/>
      <c r="HD37" s="85"/>
      <c r="HE37" s="85"/>
      <c r="HF37" s="85"/>
      <c r="HG37" s="85"/>
      <c r="HH37" s="85"/>
      <c r="HI37" s="85"/>
      <c r="HJ37" s="85"/>
      <c r="HK37" s="85"/>
      <c r="HL37" s="85"/>
      <c r="HM37" s="85"/>
      <c r="HN37" s="85"/>
      <c r="HO37" s="85"/>
      <c r="HP37" s="85"/>
      <c r="HQ37" s="85"/>
      <c r="HR37" s="85"/>
      <c r="HS37" s="85"/>
      <c r="HT37" s="85"/>
      <c r="HU37" s="85"/>
      <c r="HV37" s="85"/>
      <c r="HW37" s="85"/>
      <c r="HX37" s="85"/>
      <c r="HY37" s="85"/>
      <c r="HZ37" s="85"/>
      <c r="IA37" s="85"/>
      <c r="IB37" s="85"/>
      <c r="IC37" s="85"/>
      <c r="ID37" s="85"/>
      <c r="IE37" s="85"/>
      <c r="IF37" s="85"/>
      <c r="IG37" s="85"/>
      <c r="IH37" s="85"/>
      <c r="II37" s="85"/>
      <c r="IJ37" s="85"/>
      <c r="IK37" s="85"/>
      <c r="IL37" s="85"/>
      <c r="IM37" s="85"/>
      <c r="IN37" s="85"/>
      <c r="IO37" s="85"/>
      <c r="IP37" s="85"/>
      <c r="IQ37" s="85"/>
      <c r="IR37" s="85"/>
      <c r="IS37" s="85"/>
      <c r="IT37" s="85"/>
      <c r="IU37" s="85"/>
      <c r="IV37" s="85"/>
      <c r="IW37" s="85"/>
    </row>
    <row r="38" customFormat="false" ht="12.75" hidden="false" customHeight="false" outlineLevel="0" collapsed="false">
      <c r="A38" s="38" t="s">
        <v>167</v>
      </c>
      <c r="B38" s="76" t="s">
        <v>134</v>
      </c>
      <c r="C38" s="76" t="s">
        <v>134</v>
      </c>
      <c r="D38" s="77" t="n">
        <v>36617</v>
      </c>
      <c r="E38" s="77" t="n">
        <v>36981</v>
      </c>
      <c r="F38" s="38" t="s">
        <v>188</v>
      </c>
      <c r="G38" s="38" t="s">
        <v>192</v>
      </c>
      <c r="H38" s="76" t="s">
        <v>170</v>
      </c>
      <c r="I38" s="78" t="n">
        <f aca="false">6.201/I$1</f>
        <v>0.200032258064516</v>
      </c>
      <c r="J38" s="79" t="n">
        <v>0</v>
      </c>
      <c r="K38" s="79" t="n">
        <v>0</v>
      </c>
      <c r="L38" s="79" t="n">
        <v>0</v>
      </c>
      <c r="M38" s="79" t="n">
        <v>0</v>
      </c>
      <c r="N38" s="80" t="n">
        <v>0</v>
      </c>
      <c r="O38" s="79" t="n">
        <f aca="false">SUM(I38:M38)</f>
        <v>0.200032258064516</v>
      </c>
      <c r="P38" s="81" t="n">
        <v>66932</v>
      </c>
      <c r="Q38" s="76" t="n">
        <v>4000</v>
      </c>
      <c r="R38" s="38" t="s">
        <v>191</v>
      </c>
      <c r="S38" s="82" t="n">
        <f aca="false">I38*I$1*Q38</f>
        <v>24804</v>
      </c>
      <c r="T38" s="82"/>
      <c r="U38" s="83" t="n">
        <v>228003</v>
      </c>
      <c r="V38" s="84"/>
      <c r="W38" s="84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85"/>
      <c r="GI38" s="85"/>
      <c r="GJ38" s="85"/>
      <c r="GK38" s="85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85"/>
      <c r="GW38" s="85"/>
      <c r="GX38" s="85"/>
      <c r="GY38" s="85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85"/>
      <c r="HK38" s="85"/>
      <c r="HL38" s="85"/>
      <c r="HM38" s="85"/>
      <c r="HN38" s="85"/>
      <c r="HO38" s="85"/>
      <c r="HP38" s="85"/>
      <c r="HQ38" s="85"/>
      <c r="HR38" s="85"/>
      <c r="HS38" s="85"/>
      <c r="HT38" s="85"/>
      <c r="HU38" s="85"/>
      <c r="HV38" s="85"/>
      <c r="HW38" s="85"/>
      <c r="HX38" s="85"/>
      <c r="HY38" s="85"/>
      <c r="HZ38" s="85"/>
      <c r="IA38" s="85"/>
      <c r="IB38" s="85"/>
      <c r="IC38" s="85"/>
      <c r="ID38" s="85"/>
      <c r="IE38" s="85"/>
      <c r="IF38" s="85"/>
      <c r="IG38" s="85"/>
      <c r="IH38" s="85"/>
      <c r="II38" s="85"/>
      <c r="IJ38" s="85"/>
      <c r="IK38" s="85"/>
      <c r="IL38" s="85"/>
      <c r="IM38" s="85"/>
      <c r="IN38" s="85"/>
      <c r="IO38" s="85"/>
      <c r="IP38" s="85"/>
      <c r="IQ38" s="85"/>
      <c r="IR38" s="85"/>
      <c r="IS38" s="85"/>
      <c r="IT38" s="85"/>
      <c r="IU38" s="85"/>
      <c r="IV38" s="85"/>
      <c r="IW38" s="85"/>
    </row>
    <row r="39" customFormat="false" ht="12.75" hidden="false" customHeight="false" outlineLevel="0" collapsed="false">
      <c r="A39" s="38" t="s">
        <v>167</v>
      </c>
      <c r="B39" s="76" t="s">
        <v>134</v>
      </c>
      <c r="C39" s="76" t="s">
        <v>134</v>
      </c>
      <c r="D39" s="77" t="n">
        <v>36617</v>
      </c>
      <c r="E39" s="77" t="n">
        <v>36830</v>
      </c>
      <c r="F39" s="38" t="s">
        <v>193</v>
      </c>
      <c r="G39" s="38" t="s">
        <v>194</v>
      </c>
      <c r="H39" s="76" t="s">
        <v>170</v>
      </c>
      <c r="I39" s="78" t="n">
        <f aca="false">1.5286/I$1</f>
        <v>0.0493096774193548</v>
      </c>
      <c r="J39" s="79" t="n">
        <v>0</v>
      </c>
      <c r="K39" s="79" t="n">
        <v>0</v>
      </c>
      <c r="L39" s="79" t="n">
        <v>0</v>
      </c>
      <c r="M39" s="79" t="n">
        <v>0</v>
      </c>
      <c r="N39" s="80" t="n">
        <v>0</v>
      </c>
      <c r="O39" s="79" t="n">
        <f aca="false">SUM(I39:M39)</f>
        <v>0.0493096774193548</v>
      </c>
      <c r="P39" s="81" t="n">
        <v>66965</v>
      </c>
      <c r="Q39" s="76" t="n">
        <v>20000</v>
      </c>
      <c r="R39" s="38" t="s">
        <v>195</v>
      </c>
      <c r="S39" s="82" t="n">
        <f aca="false">I39*I$1*Q39</f>
        <v>30572</v>
      </c>
      <c r="T39" s="82"/>
      <c r="U39" s="83" t="n">
        <v>229727</v>
      </c>
      <c r="V39" s="84"/>
      <c r="W39" s="84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85"/>
      <c r="FG39" s="85"/>
      <c r="FH39" s="85"/>
      <c r="FI39" s="85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85"/>
      <c r="FU39" s="85"/>
      <c r="FV39" s="85"/>
      <c r="FW39" s="85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85"/>
      <c r="GI39" s="85"/>
      <c r="GJ39" s="85"/>
      <c r="GK39" s="85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85"/>
      <c r="GW39" s="85"/>
      <c r="GX39" s="85"/>
      <c r="GY39" s="85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85"/>
      <c r="HK39" s="85"/>
      <c r="HL39" s="85"/>
      <c r="HM39" s="85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85"/>
      <c r="HY39" s="85"/>
      <c r="HZ39" s="85"/>
      <c r="IA39" s="85"/>
      <c r="IB39" s="85"/>
      <c r="IC39" s="85"/>
      <c r="ID39" s="85"/>
      <c r="IE39" s="85"/>
      <c r="IF39" s="85"/>
      <c r="IG39" s="85"/>
      <c r="IH39" s="85"/>
      <c r="II39" s="85"/>
      <c r="IJ39" s="85"/>
      <c r="IK39" s="85"/>
      <c r="IL39" s="85"/>
      <c r="IM39" s="85"/>
      <c r="IN39" s="85"/>
      <c r="IO39" s="85"/>
      <c r="IP39" s="85"/>
      <c r="IQ39" s="85"/>
      <c r="IR39" s="85"/>
      <c r="IS39" s="85"/>
      <c r="IT39" s="85"/>
      <c r="IU39" s="85"/>
      <c r="IV39" s="85"/>
      <c r="IW39" s="85"/>
    </row>
    <row r="40" customFormat="false" ht="12.75" hidden="false" customHeight="false" outlineLevel="0" collapsed="false">
      <c r="A40" s="38" t="s">
        <v>167</v>
      </c>
      <c r="B40" s="76" t="s">
        <v>134</v>
      </c>
      <c r="C40" s="76" t="s">
        <v>134</v>
      </c>
      <c r="D40" s="77" t="n">
        <v>36678</v>
      </c>
      <c r="E40" s="77" t="n">
        <v>36707</v>
      </c>
      <c r="F40" s="38" t="s">
        <v>188</v>
      </c>
      <c r="G40" s="38" t="s">
        <v>196</v>
      </c>
      <c r="H40" s="76" t="s">
        <v>170</v>
      </c>
      <c r="I40" s="78" t="n">
        <f aca="false">2.4/I$1</f>
        <v>0.0774193548387097</v>
      </c>
      <c r="J40" s="79" t="n">
        <v>0</v>
      </c>
      <c r="K40" s="79" t="n">
        <v>0</v>
      </c>
      <c r="L40" s="79" t="n">
        <v>0</v>
      </c>
      <c r="M40" s="79" t="n">
        <v>0</v>
      </c>
      <c r="N40" s="80" t="n">
        <v>0</v>
      </c>
      <c r="O40" s="79" t="n">
        <f aca="false">SUM(I40:M40)</f>
        <v>0.0774193548387097</v>
      </c>
      <c r="P40" s="81" t="n">
        <v>68447</v>
      </c>
      <c r="Q40" s="76" t="n">
        <v>7500</v>
      </c>
      <c r="R40" s="38" t="s">
        <v>197</v>
      </c>
      <c r="S40" s="82" t="n">
        <f aca="false">I40*I$1*Q40</f>
        <v>18000</v>
      </c>
      <c r="T40" s="82"/>
      <c r="U40" s="83" t="n">
        <v>281706</v>
      </c>
      <c r="V40" s="84"/>
      <c r="W40" s="84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85"/>
      <c r="FG40" s="85"/>
      <c r="FH40" s="85"/>
      <c r="FI40" s="85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85"/>
      <c r="FU40" s="85"/>
      <c r="FV40" s="85"/>
      <c r="FW40" s="85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85"/>
      <c r="GI40" s="85"/>
      <c r="GJ40" s="85"/>
      <c r="GK40" s="85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85"/>
      <c r="GW40" s="85"/>
      <c r="GX40" s="85"/>
      <c r="GY40" s="85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85"/>
      <c r="HK40" s="85"/>
      <c r="HL40" s="85"/>
      <c r="HM40" s="85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85"/>
      <c r="HY40" s="85"/>
      <c r="HZ40" s="85"/>
      <c r="IA40" s="85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85"/>
      <c r="IM40" s="85"/>
      <c r="IN40" s="85"/>
      <c r="IO40" s="85"/>
      <c r="IP40" s="85"/>
      <c r="IQ40" s="85"/>
      <c r="IR40" s="85"/>
      <c r="IS40" s="85"/>
      <c r="IT40" s="85"/>
      <c r="IU40" s="85"/>
      <c r="IV40" s="85"/>
      <c r="IW40" s="85"/>
    </row>
    <row r="41" customFormat="false" ht="12.75" hidden="false" customHeight="false" outlineLevel="0" collapsed="false">
      <c r="A41" s="114" t="s">
        <v>167</v>
      </c>
      <c r="B41" s="115" t="s">
        <v>134</v>
      </c>
      <c r="C41" s="115" t="s">
        <v>134</v>
      </c>
      <c r="D41" s="116" t="n">
        <v>36678</v>
      </c>
      <c r="E41" s="116" t="n">
        <v>36830</v>
      </c>
      <c r="F41" s="114" t="s">
        <v>188</v>
      </c>
      <c r="G41" s="114" t="s">
        <v>196</v>
      </c>
      <c r="H41" s="115" t="s">
        <v>170</v>
      </c>
      <c r="I41" s="117" t="n">
        <f aca="false">2.48/I$1</f>
        <v>0.08</v>
      </c>
      <c r="J41" s="118" t="n">
        <v>0</v>
      </c>
      <c r="K41" s="118" t="n">
        <v>0</v>
      </c>
      <c r="L41" s="118" t="n">
        <v>0</v>
      </c>
      <c r="M41" s="118" t="n">
        <v>0</v>
      </c>
      <c r="N41" s="119" t="n">
        <v>0</v>
      </c>
      <c r="O41" s="118" t="n">
        <f aca="false">SUM(I41:M41)</f>
        <v>0.08</v>
      </c>
      <c r="P41" s="120" t="s">
        <v>198</v>
      </c>
      <c r="Q41" s="115"/>
      <c r="R41" s="114"/>
      <c r="S41" s="121" t="s">
        <v>199</v>
      </c>
      <c r="T41" s="121"/>
      <c r="U41" s="122"/>
      <c r="V41" s="123"/>
      <c r="W41" s="123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  <c r="IW41" s="124"/>
    </row>
    <row r="42" customFormat="false" ht="12.75" hidden="false" customHeight="false" outlineLevel="0" collapsed="false">
      <c r="A42" s="38" t="s">
        <v>149</v>
      </c>
      <c r="B42" s="76" t="s">
        <v>134</v>
      </c>
      <c r="C42" s="76" t="s">
        <v>200</v>
      </c>
      <c r="D42" s="77" t="n">
        <v>36464</v>
      </c>
      <c r="E42" s="77" t="n">
        <v>36860</v>
      </c>
      <c r="F42" s="38" t="s">
        <v>188</v>
      </c>
      <c r="G42" s="38" t="s">
        <v>201</v>
      </c>
      <c r="H42" s="76"/>
      <c r="I42" s="78" t="n">
        <f aca="false">6.423/I$1</f>
        <v>0.207193548387097</v>
      </c>
      <c r="J42" s="79" t="n">
        <v>0</v>
      </c>
      <c r="K42" s="79" t="n">
        <v>0</v>
      </c>
      <c r="L42" s="79" t="n">
        <v>0</v>
      </c>
      <c r="M42" s="79" t="n">
        <v>0</v>
      </c>
      <c r="N42" s="80" t="n">
        <v>0</v>
      </c>
      <c r="O42" s="79" t="n">
        <f aca="false">SUM(I42:M42)</f>
        <v>0.207193548387097</v>
      </c>
      <c r="P42" s="81" t="n">
        <v>65071</v>
      </c>
      <c r="Q42" s="76" t="n">
        <v>5429</v>
      </c>
      <c r="R42" s="38" t="s">
        <v>202</v>
      </c>
      <c r="S42" s="82" t="n">
        <f aca="false">I42*I$1*Q42</f>
        <v>34870.467</v>
      </c>
      <c r="T42" s="82"/>
      <c r="U42" s="83" t="n">
        <v>205687</v>
      </c>
      <c r="V42" s="84"/>
      <c r="W42" s="84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85"/>
      <c r="CP42" s="85"/>
      <c r="CQ42" s="85"/>
      <c r="CR42" s="85"/>
      <c r="CS42" s="85"/>
      <c r="CT42" s="85"/>
      <c r="CU42" s="85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85"/>
      <c r="DU42" s="85"/>
      <c r="DV42" s="85"/>
      <c r="DW42" s="85"/>
      <c r="DX42" s="85"/>
      <c r="DY42" s="85"/>
      <c r="DZ42" s="85"/>
      <c r="EA42" s="85"/>
      <c r="EB42" s="85"/>
      <c r="EC42" s="85"/>
      <c r="ED42" s="85"/>
      <c r="EE42" s="85"/>
      <c r="EF42" s="85"/>
      <c r="EG42" s="85"/>
      <c r="EH42" s="85"/>
      <c r="EI42" s="85"/>
      <c r="EJ42" s="85"/>
      <c r="EK42" s="85"/>
      <c r="EL42" s="85"/>
      <c r="EM42" s="85"/>
      <c r="EN42" s="85"/>
      <c r="EO42" s="85"/>
      <c r="EP42" s="85"/>
      <c r="EQ42" s="85"/>
      <c r="ER42" s="85"/>
      <c r="ES42" s="85"/>
      <c r="ET42" s="85"/>
      <c r="EU42" s="85"/>
      <c r="EV42" s="85"/>
      <c r="EW42" s="85"/>
      <c r="EX42" s="85"/>
      <c r="EY42" s="85"/>
      <c r="EZ42" s="85"/>
      <c r="FA42" s="85"/>
      <c r="FB42" s="85"/>
      <c r="FC42" s="85"/>
      <c r="FD42" s="85"/>
      <c r="FE42" s="85"/>
      <c r="FF42" s="85"/>
      <c r="FG42" s="85"/>
      <c r="FH42" s="85"/>
      <c r="FI42" s="85"/>
      <c r="FJ42" s="85"/>
      <c r="FK42" s="85"/>
      <c r="FL42" s="85"/>
      <c r="FM42" s="85"/>
      <c r="FN42" s="85"/>
      <c r="FO42" s="85"/>
      <c r="FP42" s="85"/>
      <c r="FQ42" s="85"/>
      <c r="FR42" s="85"/>
      <c r="FS42" s="85"/>
      <c r="FT42" s="85"/>
      <c r="FU42" s="85"/>
      <c r="FV42" s="85"/>
      <c r="FW42" s="85"/>
      <c r="FX42" s="85"/>
      <c r="FY42" s="85"/>
      <c r="FZ42" s="85"/>
      <c r="GA42" s="85"/>
      <c r="GB42" s="85"/>
      <c r="GC42" s="85"/>
      <c r="GD42" s="85"/>
      <c r="GE42" s="85"/>
      <c r="GF42" s="85"/>
      <c r="GG42" s="85"/>
      <c r="GH42" s="85"/>
      <c r="GI42" s="85"/>
      <c r="GJ42" s="85"/>
      <c r="GK42" s="85"/>
      <c r="GL42" s="85"/>
      <c r="GM42" s="85"/>
      <c r="GN42" s="85"/>
      <c r="GO42" s="85"/>
      <c r="GP42" s="85"/>
      <c r="GQ42" s="85"/>
      <c r="GR42" s="85"/>
      <c r="GS42" s="85"/>
      <c r="GT42" s="85"/>
      <c r="GU42" s="85"/>
      <c r="GV42" s="85"/>
      <c r="GW42" s="85"/>
      <c r="GX42" s="85"/>
      <c r="GY42" s="85"/>
      <c r="GZ42" s="85"/>
      <c r="HA42" s="85"/>
      <c r="HB42" s="85"/>
      <c r="HC42" s="85"/>
      <c r="HD42" s="85"/>
      <c r="HE42" s="85"/>
      <c r="HF42" s="85"/>
      <c r="HG42" s="85"/>
      <c r="HH42" s="85"/>
      <c r="HI42" s="85"/>
      <c r="HJ42" s="85"/>
      <c r="HK42" s="85"/>
      <c r="HL42" s="85"/>
      <c r="HM42" s="85"/>
      <c r="HN42" s="85"/>
      <c r="HO42" s="85"/>
      <c r="HP42" s="85"/>
      <c r="HQ42" s="85"/>
      <c r="HR42" s="85"/>
      <c r="HS42" s="85"/>
      <c r="HT42" s="85"/>
      <c r="HU42" s="85"/>
      <c r="HV42" s="85"/>
      <c r="HW42" s="85"/>
      <c r="HX42" s="85"/>
      <c r="HY42" s="85"/>
      <c r="HZ42" s="85"/>
      <c r="IA42" s="85"/>
      <c r="IB42" s="85"/>
      <c r="IC42" s="85"/>
      <c r="ID42" s="85"/>
      <c r="IE42" s="85"/>
      <c r="IF42" s="85"/>
      <c r="IG42" s="85"/>
      <c r="IH42" s="85"/>
      <c r="II42" s="85"/>
      <c r="IJ42" s="85"/>
      <c r="IK42" s="85"/>
      <c r="IL42" s="85"/>
      <c r="IM42" s="85"/>
      <c r="IN42" s="85"/>
      <c r="IO42" s="85"/>
      <c r="IP42" s="85"/>
      <c r="IQ42" s="85"/>
      <c r="IR42" s="85"/>
      <c r="IS42" s="85"/>
      <c r="IT42" s="85"/>
      <c r="IU42" s="85"/>
      <c r="IV42" s="85"/>
      <c r="IW42" s="85"/>
    </row>
    <row r="43" customFormat="false" ht="12.75" hidden="false" customHeight="false" outlineLevel="0" collapsed="false">
      <c r="A43" s="38" t="s">
        <v>149</v>
      </c>
      <c r="B43" s="76" t="s">
        <v>134</v>
      </c>
      <c r="C43" s="76" t="s">
        <v>200</v>
      </c>
      <c r="D43" s="77" t="n">
        <v>36464</v>
      </c>
      <c r="E43" s="77" t="n">
        <v>36860</v>
      </c>
      <c r="F43" s="38" t="s">
        <v>188</v>
      </c>
      <c r="G43" s="38" t="s">
        <v>203</v>
      </c>
      <c r="H43" s="76"/>
      <c r="I43" s="78" t="n">
        <f aca="false">6.423/I$1</f>
        <v>0.207193548387097</v>
      </c>
      <c r="J43" s="79" t="n">
        <v>0</v>
      </c>
      <c r="K43" s="79" t="n">
        <v>0</v>
      </c>
      <c r="L43" s="79" t="n">
        <v>0</v>
      </c>
      <c r="M43" s="79" t="n">
        <v>0</v>
      </c>
      <c r="N43" s="80" t="n">
        <v>0</v>
      </c>
      <c r="O43" s="79" t="n">
        <f aca="false">SUM(I43:M43)</f>
        <v>0.207193548387097</v>
      </c>
      <c r="P43" s="81" t="n">
        <v>65071</v>
      </c>
      <c r="Q43" s="76" t="n">
        <v>1000</v>
      </c>
      <c r="R43" s="38" t="s">
        <v>202</v>
      </c>
      <c r="S43" s="82" t="n">
        <f aca="false">I43*I$1*Q43</f>
        <v>6423</v>
      </c>
      <c r="T43" s="82"/>
      <c r="U43" s="83" t="n">
        <v>205687</v>
      </c>
      <c r="V43" s="84"/>
      <c r="W43" s="84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85"/>
      <c r="FG43" s="85"/>
      <c r="FH43" s="85"/>
      <c r="FI43" s="85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85"/>
      <c r="FU43" s="85"/>
      <c r="FV43" s="85"/>
      <c r="FW43" s="85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85"/>
      <c r="GI43" s="85"/>
      <c r="GJ43" s="85"/>
      <c r="GK43" s="85"/>
      <c r="GL43" s="85"/>
      <c r="GM43" s="85"/>
      <c r="GN43" s="85"/>
      <c r="GO43" s="85"/>
      <c r="GP43" s="85"/>
      <c r="GQ43" s="85"/>
      <c r="GR43" s="85"/>
      <c r="GS43" s="85"/>
      <c r="GT43" s="85"/>
      <c r="GU43" s="85"/>
      <c r="GV43" s="85"/>
      <c r="GW43" s="85"/>
      <c r="GX43" s="85"/>
      <c r="GY43" s="85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85"/>
      <c r="HK43" s="85"/>
      <c r="HL43" s="85"/>
      <c r="HM43" s="85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85"/>
      <c r="HY43" s="85"/>
      <c r="HZ43" s="85"/>
      <c r="IA43" s="85"/>
      <c r="IB43" s="85"/>
      <c r="IC43" s="85"/>
      <c r="ID43" s="85"/>
      <c r="IE43" s="85"/>
      <c r="IF43" s="85"/>
      <c r="IG43" s="85"/>
      <c r="IH43" s="85"/>
      <c r="II43" s="85"/>
      <c r="IJ43" s="85"/>
      <c r="IK43" s="85"/>
      <c r="IL43" s="85"/>
      <c r="IM43" s="85"/>
      <c r="IN43" s="85"/>
      <c r="IO43" s="85"/>
      <c r="IP43" s="85"/>
      <c r="IQ43" s="85"/>
      <c r="IR43" s="85"/>
      <c r="IS43" s="85"/>
      <c r="IT43" s="85"/>
      <c r="IU43" s="85"/>
      <c r="IV43" s="85"/>
      <c r="IW43" s="85"/>
    </row>
    <row r="44" customFormat="false" ht="12.75" hidden="false" customHeight="false" outlineLevel="0" collapsed="false">
      <c r="A44" s="38" t="s">
        <v>149</v>
      </c>
      <c r="B44" s="76" t="s">
        <v>134</v>
      </c>
      <c r="C44" s="76" t="s">
        <v>200</v>
      </c>
      <c r="D44" s="77" t="n">
        <v>36464</v>
      </c>
      <c r="E44" s="77" t="n">
        <v>36860</v>
      </c>
      <c r="F44" s="38" t="s">
        <v>188</v>
      </c>
      <c r="G44" s="38" t="s">
        <v>204</v>
      </c>
      <c r="H44" s="76"/>
      <c r="I44" s="78" t="n">
        <f aca="false">6.423/I$1</f>
        <v>0.207193548387097</v>
      </c>
      <c r="J44" s="79" t="n">
        <v>0</v>
      </c>
      <c r="K44" s="79" t="n">
        <v>0</v>
      </c>
      <c r="L44" s="79" t="n">
        <v>0</v>
      </c>
      <c r="M44" s="79" t="n">
        <v>0</v>
      </c>
      <c r="N44" s="80" t="n">
        <v>0</v>
      </c>
      <c r="O44" s="79" t="n">
        <f aca="false">SUM(I44:M44)</f>
        <v>0.207193548387097</v>
      </c>
      <c r="P44" s="81" t="n">
        <v>65071</v>
      </c>
      <c r="Q44" s="76" t="n">
        <v>1000</v>
      </c>
      <c r="R44" s="38" t="s">
        <v>202</v>
      </c>
      <c r="S44" s="82" t="n">
        <f aca="false">I44*I$1*Q44</f>
        <v>6423</v>
      </c>
      <c r="T44" s="82"/>
      <c r="U44" s="83" t="n">
        <v>205687</v>
      </c>
      <c r="V44" s="84"/>
      <c r="W44" s="84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85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85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5"/>
      <c r="FU44" s="85"/>
      <c r="FV44" s="85"/>
      <c r="FW44" s="85"/>
      <c r="FX44" s="85"/>
      <c r="FY44" s="85"/>
      <c r="FZ44" s="85"/>
      <c r="GA44" s="85"/>
      <c r="GB44" s="85"/>
      <c r="GC44" s="85"/>
      <c r="GD44" s="85"/>
      <c r="GE44" s="85"/>
      <c r="GF44" s="85"/>
      <c r="GG44" s="85"/>
      <c r="GH44" s="85"/>
      <c r="GI44" s="85"/>
      <c r="GJ44" s="85"/>
      <c r="GK44" s="85"/>
      <c r="GL44" s="85"/>
      <c r="GM44" s="85"/>
      <c r="GN44" s="85"/>
      <c r="GO44" s="85"/>
      <c r="GP44" s="85"/>
      <c r="GQ44" s="85"/>
      <c r="GR44" s="85"/>
      <c r="GS44" s="85"/>
      <c r="GT44" s="85"/>
      <c r="GU44" s="85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5"/>
      <c r="HK44" s="85"/>
      <c r="HL44" s="85"/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85"/>
      <c r="IN44" s="85"/>
      <c r="IO44" s="85"/>
      <c r="IP44" s="85"/>
      <c r="IQ44" s="85"/>
      <c r="IR44" s="85"/>
      <c r="IS44" s="85"/>
      <c r="IT44" s="85"/>
      <c r="IU44" s="85"/>
      <c r="IV44" s="85"/>
      <c r="IW44" s="85"/>
    </row>
    <row r="45" customFormat="false" ht="13.5" hidden="false" customHeight="false" outlineLevel="0" collapsed="false">
      <c r="A45" s="38" t="s">
        <v>149</v>
      </c>
      <c r="B45" s="76" t="s">
        <v>134</v>
      </c>
      <c r="C45" s="38" t="s">
        <v>205</v>
      </c>
      <c r="D45" s="77" t="n">
        <v>36708</v>
      </c>
      <c r="E45" s="77" t="n">
        <v>36738</v>
      </c>
      <c r="F45" s="38" t="s">
        <v>188</v>
      </c>
      <c r="G45" s="38" t="s">
        <v>203</v>
      </c>
      <c r="H45" s="76"/>
      <c r="I45" s="78" t="n">
        <f aca="false">6.423/I$1</f>
        <v>0.207193548387097</v>
      </c>
      <c r="J45" s="79" t="n">
        <v>0</v>
      </c>
      <c r="K45" s="79" t="n">
        <v>0</v>
      </c>
      <c r="L45" s="79" t="n">
        <v>0</v>
      </c>
      <c r="M45" s="79" t="n">
        <v>0</v>
      </c>
      <c r="N45" s="80" t="n">
        <v>0</v>
      </c>
      <c r="O45" s="79" t="n">
        <f aca="false">SUM(I45:M45)</f>
        <v>0.207193548387097</v>
      </c>
      <c r="P45" s="81" t="n">
        <v>65071</v>
      </c>
      <c r="Q45" s="125" t="n">
        <v>-394</v>
      </c>
      <c r="R45" s="38" t="s">
        <v>206</v>
      </c>
      <c r="S45" s="82" t="n">
        <f aca="false">I45*I$1*Q45</f>
        <v>-2530.662</v>
      </c>
      <c r="T45" s="82"/>
      <c r="U45" s="83" t="n">
        <v>310503</v>
      </c>
      <c r="V45" s="84"/>
      <c r="W45" s="84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85"/>
      <c r="FG45" s="85"/>
      <c r="FH45" s="85"/>
      <c r="FI45" s="85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85"/>
      <c r="FU45" s="85"/>
      <c r="FV45" s="85"/>
      <c r="FW45" s="85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85"/>
      <c r="GI45" s="85"/>
      <c r="GJ45" s="85"/>
      <c r="GK45" s="85"/>
      <c r="GL45" s="85"/>
      <c r="GM45" s="85"/>
      <c r="GN45" s="85"/>
      <c r="GO45" s="85"/>
      <c r="GP45" s="85"/>
      <c r="GQ45" s="85"/>
      <c r="GR45" s="85"/>
      <c r="GS45" s="85"/>
      <c r="GT45" s="85"/>
      <c r="GU45" s="85"/>
      <c r="GV45" s="85"/>
      <c r="GW45" s="85"/>
      <c r="GX45" s="85"/>
      <c r="GY45" s="85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85"/>
      <c r="HK45" s="85"/>
      <c r="HL45" s="85"/>
      <c r="HM45" s="85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85"/>
      <c r="HY45" s="85"/>
      <c r="HZ45" s="85"/>
      <c r="IA45" s="85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85"/>
      <c r="IM45" s="85"/>
      <c r="IN45" s="85"/>
      <c r="IO45" s="85"/>
      <c r="IP45" s="85"/>
      <c r="IQ45" s="85"/>
      <c r="IR45" s="85"/>
      <c r="IS45" s="85"/>
      <c r="IT45" s="85"/>
      <c r="IU45" s="85"/>
      <c r="IV45" s="85"/>
      <c r="IW45" s="85"/>
    </row>
    <row r="46" customFormat="false" ht="13.5" hidden="false" customHeight="false" outlineLevel="0" collapsed="false">
      <c r="A46" s="38" t="s">
        <v>149</v>
      </c>
      <c r="B46" s="76" t="s">
        <v>134</v>
      </c>
      <c r="C46" s="76" t="s">
        <v>46</v>
      </c>
      <c r="D46" s="77" t="n">
        <v>36312</v>
      </c>
      <c r="E46" s="77" t="n">
        <v>37011</v>
      </c>
      <c r="F46" s="38" t="s">
        <v>207</v>
      </c>
      <c r="G46" s="38" t="s">
        <v>208</v>
      </c>
      <c r="H46" s="76" t="s">
        <v>209</v>
      </c>
      <c r="I46" s="78" t="n">
        <v>0.18</v>
      </c>
      <c r="J46" s="79"/>
      <c r="K46" s="79"/>
      <c r="L46" s="79"/>
      <c r="M46" s="79"/>
      <c r="N46" s="80"/>
      <c r="O46" s="79"/>
      <c r="P46" s="81" t="n">
        <v>65403</v>
      </c>
      <c r="Q46" s="76" t="n">
        <v>19293</v>
      </c>
      <c r="R46" s="38" t="s">
        <v>210</v>
      </c>
      <c r="S46" s="126" t="n">
        <f aca="false">I46*I$1*Q46</f>
        <v>107654.94</v>
      </c>
      <c r="T46" s="82"/>
      <c r="U46" s="83"/>
      <c r="V46" s="38"/>
      <c r="W46" s="84"/>
      <c r="X46" s="84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85"/>
      <c r="FG46" s="85"/>
      <c r="FH46" s="85"/>
      <c r="FI46" s="85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85"/>
      <c r="FU46" s="85"/>
      <c r="FV46" s="85"/>
      <c r="FW46" s="85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85"/>
      <c r="GI46" s="85"/>
      <c r="GJ46" s="85"/>
      <c r="GK46" s="85"/>
      <c r="GL46" s="85"/>
      <c r="GM46" s="85"/>
      <c r="GN46" s="85"/>
      <c r="GO46" s="85"/>
      <c r="GP46" s="85"/>
      <c r="GQ46" s="85"/>
      <c r="GR46" s="85"/>
      <c r="GS46" s="85"/>
      <c r="GT46" s="85"/>
      <c r="GU46" s="85"/>
      <c r="GV46" s="85"/>
      <c r="GW46" s="85"/>
      <c r="GX46" s="85"/>
      <c r="GY46" s="85"/>
      <c r="GZ46" s="85"/>
      <c r="HA46" s="85"/>
      <c r="HB46" s="85"/>
      <c r="HC46" s="85"/>
      <c r="HD46" s="85"/>
      <c r="HE46" s="85"/>
      <c r="HF46" s="85"/>
      <c r="HG46" s="85"/>
      <c r="HH46" s="85"/>
      <c r="HI46" s="85"/>
      <c r="HJ46" s="85"/>
      <c r="HK46" s="85"/>
      <c r="HL46" s="85"/>
      <c r="HM46" s="85"/>
      <c r="HN46" s="85"/>
      <c r="HO46" s="85"/>
      <c r="HP46" s="85"/>
      <c r="HQ46" s="85"/>
      <c r="HR46" s="85"/>
      <c r="HS46" s="85"/>
      <c r="HT46" s="85"/>
      <c r="HU46" s="85"/>
      <c r="HV46" s="85"/>
      <c r="HW46" s="85"/>
      <c r="HX46" s="85"/>
      <c r="HY46" s="85"/>
      <c r="HZ46" s="85"/>
      <c r="IA46" s="85"/>
      <c r="IB46" s="85"/>
      <c r="IC46" s="85"/>
      <c r="ID46" s="85"/>
      <c r="IE46" s="85"/>
      <c r="IF46" s="85"/>
      <c r="IG46" s="85"/>
      <c r="IH46" s="85"/>
      <c r="II46" s="85"/>
      <c r="IJ46" s="85"/>
      <c r="IK46" s="85"/>
      <c r="IL46" s="85"/>
      <c r="IM46" s="85"/>
      <c r="IN46" s="85"/>
      <c r="IO46" s="85"/>
      <c r="IP46" s="85"/>
      <c r="IQ46" s="85"/>
      <c r="IR46" s="85"/>
      <c r="IS46" s="85"/>
      <c r="IT46" s="85"/>
      <c r="IU46" s="85"/>
      <c r="IV46" s="85"/>
      <c r="IW46" s="85"/>
    </row>
    <row r="47" customFormat="false" ht="12.75" hidden="false" customHeight="false" outlineLevel="0" collapsed="false">
      <c r="A47" s="38" t="s">
        <v>149</v>
      </c>
      <c r="B47" s="76" t="s">
        <v>134</v>
      </c>
      <c r="C47" s="76" t="s">
        <v>211</v>
      </c>
      <c r="D47" s="77" t="n">
        <v>36708</v>
      </c>
      <c r="E47" s="77" t="n">
        <v>36738</v>
      </c>
      <c r="F47" s="38" t="s">
        <v>193</v>
      </c>
      <c r="G47" s="38" t="s">
        <v>212</v>
      </c>
      <c r="H47" s="76" t="s">
        <v>47</v>
      </c>
      <c r="I47" s="78" t="n">
        <f aca="false">3.41/31</f>
        <v>0.11</v>
      </c>
      <c r="J47" s="79"/>
      <c r="K47" s="79"/>
      <c r="L47" s="79"/>
      <c r="M47" s="79"/>
      <c r="N47" s="80"/>
      <c r="O47" s="79"/>
      <c r="P47" s="81" t="n">
        <v>68662</v>
      </c>
      <c r="Q47" s="76" t="n">
        <v>10000</v>
      </c>
      <c r="R47" s="38"/>
      <c r="S47" s="126" t="n">
        <f aca="false">I47*I$1*Q47</f>
        <v>34100</v>
      </c>
      <c r="T47" s="82"/>
      <c r="U47" s="83" t="n">
        <v>314813</v>
      </c>
      <c r="V47" s="38"/>
      <c r="W47" s="84"/>
      <c r="X47" s="84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85"/>
      <c r="FU47" s="85"/>
      <c r="FV47" s="85"/>
      <c r="FW47" s="85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85"/>
      <c r="GI47" s="85"/>
      <c r="GJ47" s="85"/>
      <c r="GK47" s="85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85"/>
      <c r="GW47" s="85"/>
      <c r="GX47" s="85"/>
      <c r="GY47" s="85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85"/>
      <c r="HK47" s="85"/>
      <c r="HL47" s="85"/>
      <c r="HM47" s="85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85"/>
      <c r="HY47" s="85"/>
      <c r="HZ47" s="85"/>
      <c r="IA47" s="85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85"/>
      <c r="IM47" s="85"/>
      <c r="IN47" s="85"/>
      <c r="IO47" s="85"/>
      <c r="IP47" s="85"/>
      <c r="IQ47" s="85"/>
      <c r="IR47" s="85"/>
      <c r="IS47" s="85"/>
      <c r="IT47" s="85"/>
      <c r="IU47" s="85"/>
      <c r="IV47" s="85"/>
      <c r="IW47" s="85"/>
    </row>
    <row r="48" customFormat="false" ht="12.75" hidden="false" customHeight="false" outlineLevel="0" collapsed="false">
      <c r="A48" s="38" t="s">
        <v>149</v>
      </c>
      <c r="B48" s="76" t="s">
        <v>134</v>
      </c>
      <c r="C48" s="76" t="s">
        <v>211</v>
      </c>
      <c r="D48" s="77" t="n">
        <v>36708</v>
      </c>
      <c r="E48" s="77" t="n">
        <v>36738</v>
      </c>
      <c r="F48" s="38" t="s">
        <v>213</v>
      </c>
      <c r="G48" s="38" t="s">
        <v>214</v>
      </c>
      <c r="H48" s="76" t="s">
        <v>209</v>
      </c>
      <c r="I48" s="78" t="n">
        <f aca="false">4.03/31</f>
        <v>0.13</v>
      </c>
      <c r="J48" s="79"/>
      <c r="K48" s="79"/>
      <c r="L48" s="79"/>
      <c r="M48" s="79"/>
      <c r="N48" s="80"/>
      <c r="O48" s="79"/>
      <c r="P48" s="81" t="n">
        <v>68678</v>
      </c>
      <c r="Q48" s="76" t="n">
        <v>10000</v>
      </c>
      <c r="R48" s="38"/>
      <c r="S48" s="126" t="n">
        <f aca="false">I48*I$1*Q48</f>
        <v>40300</v>
      </c>
      <c r="T48" s="82"/>
      <c r="U48" s="83" t="n">
        <v>314807</v>
      </c>
      <c r="V48" s="38"/>
      <c r="W48" s="84"/>
      <c r="X48" s="84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/>
      <c r="FC48" s="85"/>
      <c r="FD48" s="85"/>
      <c r="FE48" s="85"/>
      <c r="FF48" s="85"/>
      <c r="FG48" s="85"/>
      <c r="FH48" s="85"/>
      <c r="FI48" s="85"/>
      <c r="FJ48" s="85"/>
      <c r="FK48" s="85"/>
      <c r="FL48" s="85"/>
      <c r="FM48" s="85"/>
      <c r="FN48" s="85"/>
      <c r="FO48" s="85"/>
      <c r="FP48" s="85"/>
      <c r="FQ48" s="85"/>
      <c r="FR48" s="85"/>
      <c r="FS48" s="85"/>
      <c r="FT48" s="85"/>
      <c r="FU48" s="85"/>
      <c r="FV48" s="85"/>
      <c r="FW48" s="85"/>
      <c r="FX48" s="85"/>
      <c r="FY48" s="85"/>
      <c r="FZ48" s="85"/>
      <c r="GA48" s="85"/>
      <c r="GB48" s="85"/>
      <c r="GC48" s="85"/>
      <c r="GD48" s="85"/>
      <c r="GE48" s="85"/>
      <c r="GF48" s="85"/>
      <c r="GG48" s="85"/>
      <c r="GH48" s="85"/>
      <c r="GI48" s="85"/>
      <c r="GJ48" s="85"/>
      <c r="GK48" s="85"/>
      <c r="GL48" s="85"/>
      <c r="GM48" s="85"/>
      <c r="GN48" s="85"/>
      <c r="GO48" s="85"/>
      <c r="GP48" s="85"/>
      <c r="GQ48" s="85"/>
      <c r="GR48" s="85"/>
      <c r="GS48" s="85"/>
      <c r="GT48" s="85"/>
      <c r="GU48" s="85"/>
      <c r="GV48" s="85"/>
      <c r="GW48" s="85"/>
      <c r="GX48" s="85"/>
      <c r="GY48" s="85"/>
      <c r="GZ48" s="85"/>
      <c r="HA48" s="85"/>
      <c r="HB48" s="85"/>
      <c r="HC48" s="85"/>
      <c r="HD48" s="85"/>
      <c r="HE48" s="85"/>
      <c r="HF48" s="85"/>
      <c r="HG48" s="85"/>
      <c r="HH48" s="85"/>
      <c r="HI48" s="85"/>
      <c r="HJ48" s="85"/>
      <c r="HK48" s="85"/>
      <c r="HL48" s="85"/>
      <c r="HM48" s="85"/>
      <c r="HN48" s="85"/>
      <c r="HO48" s="85"/>
      <c r="HP48" s="85"/>
      <c r="HQ48" s="85"/>
      <c r="HR48" s="85"/>
      <c r="HS48" s="85"/>
      <c r="HT48" s="85"/>
      <c r="HU48" s="85"/>
      <c r="HV48" s="85"/>
      <c r="HW48" s="85"/>
      <c r="HX48" s="85"/>
      <c r="HY48" s="85"/>
      <c r="HZ48" s="85"/>
      <c r="IA48" s="85"/>
      <c r="IB48" s="85"/>
      <c r="IC48" s="85"/>
      <c r="ID48" s="85"/>
      <c r="IE48" s="85"/>
      <c r="IF48" s="85"/>
      <c r="IG48" s="85"/>
      <c r="IH48" s="85"/>
      <c r="II48" s="85"/>
      <c r="IJ48" s="85"/>
      <c r="IK48" s="85"/>
      <c r="IL48" s="85"/>
      <c r="IM48" s="85"/>
      <c r="IN48" s="85"/>
      <c r="IO48" s="85"/>
      <c r="IP48" s="85"/>
      <c r="IQ48" s="85"/>
      <c r="IR48" s="85"/>
      <c r="IS48" s="85"/>
      <c r="IT48" s="85"/>
      <c r="IU48" s="85"/>
      <c r="IV48" s="85"/>
      <c r="IW48" s="85"/>
    </row>
    <row r="49" customFormat="false" ht="12.75" hidden="false" customHeight="false" outlineLevel="0" collapsed="false">
      <c r="A49" s="38" t="s">
        <v>149</v>
      </c>
      <c r="B49" s="76" t="s">
        <v>134</v>
      </c>
      <c r="C49" s="76" t="s">
        <v>215</v>
      </c>
      <c r="D49" s="77" t="n">
        <v>36678</v>
      </c>
      <c r="E49" s="77" t="n">
        <v>36707</v>
      </c>
      <c r="F49" s="38" t="s">
        <v>216</v>
      </c>
      <c r="G49" s="38" t="s">
        <v>214</v>
      </c>
      <c r="H49" s="76" t="s">
        <v>217</v>
      </c>
      <c r="I49" s="78" t="n">
        <v>0.1</v>
      </c>
      <c r="J49" s="79"/>
      <c r="K49" s="79"/>
      <c r="L49" s="79"/>
      <c r="M49" s="79"/>
      <c r="N49" s="80"/>
      <c r="O49" s="79"/>
      <c r="P49" s="81" t="n">
        <v>68443</v>
      </c>
      <c r="Q49" s="76" t="n">
        <v>10000</v>
      </c>
      <c r="R49" s="38" t="s">
        <v>218</v>
      </c>
      <c r="S49" s="126" t="n">
        <f aca="false">I49*I$1*Q49</f>
        <v>31000</v>
      </c>
      <c r="T49" s="82"/>
      <c r="U49" s="83" t="n">
        <v>281696</v>
      </c>
      <c r="V49" s="38"/>
      <c r="W49" s="84"/>
      <c r="X49" s="84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85"/>
      <c r="FG49" s="85"/>
      <c r="FH49" s="85"/>
      <c r="FI49" s="85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85"/>
      <c r="FU49" s="85"/>
      <c r="FV49" s="85"/>
      <c r="FW49" s="85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85"/>
      <c r="GI49" s="85"/>
      <c r="GJ49" s="85"/>
      <c r="GK49" s="85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85"/>
      <c r="GW49" s="85"/>
      <c r="GX49" s="85"/>
      <c r="GY49" s="85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85"/>
      <c r="HK49" s="85"/>
      <c r="HL49" s="85"/>
      <c r="HM49" s="85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85"/>
      <c r="HY49" s="85"/>
      <c r="HZ49" s="85"/>
      <c r="IA49" s="85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85"/>
      <c r="IM49" s="85"/>
      <c r="IN49" s="85"/>
      <c r="IO49" s="85"/>
      <c r="IP49" s="85"/>
      <c r="IQ49" s="85"/>
      <c r="IR49" s="85"/>
      <c r="IS49" s="85"/>
      <c r="IT49" s="85"/>
      <c r="IU49" s="85"/>
      <c r="IV49" s="85"/>
      <c r="IW49" s="85"/>
    </row>
    <row r="50" customFormat="false" ht="12.75" hidden="false" customHeight="false" outlineLevel="0" collapsed="false">
      <c r="A50" s="38" t="s">
        <v>149</v>
      </c>
      <c r="B50" s="76" t="s">
        <v>128</v>
      </c>
      <c r="C50" s="76" t="s">
        <v>219</v>
      </c>
      <c r="D50" s="77" t="n">
        <v>36373</v>
      </c>
      <c r="E50" s="77" t="n">
        <v>36738</v>
      </c>
      <c r="F50" s="38" t="s">
        <v>131</v>
      </c>
      <c r="G50" s="38" t="s">
        <v>220</v>
      </c>
      <c r="H50" s="76" t="s">
        <v>221</v>
      </c>
      <c r="I50" s="78" t="n">
        <f aca="false">3.145/I$1</f>
        <v>0.101451612903226</v>
      </c>
      <c r="J50" s="79" t="n">
        <v>0.0132</v>
      </c>
      <c r="K50" s="79" t="n">
        <v>0.0022</v>
      </c>
      <c r="L50" s="79" t="n">
        <v>0</v>
      </c>
      <c r="M50" s="79" t="n">
        <v>0</v>
      </c>
      <c r="N50" s="80" t="n">
        <v>0.02116</v>
      </c>
      <c r="O50" s="79" t="n">
        <f aca="false">SUM(I50:M50)</f>
        <v>0.116851612903226</v>
      </c>
      <c r="P50" s="81" t="n">
        <v>64446</v>
      </c>
      <c r="Q50" s="76" t="n">
        <v>142</v>
      </c>
      <c r="R50" s="38" t="s">
        <v>222</v>
      </c>
      <c r="S50" s="82" t="n">
        <f aca="false">I50*I$1*Q50</f>
        <v>446.59</v>
      </c>
      <c r="T50" s="82"/>
      <c r="U50" s="83" t="n">
        <v>221881</v>
      </c>
      <c r="V50" s="38" t="s">
        <v>223</v>
      </c>
      <c r="W50" s="84"/>
      <c r="X50" s="84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85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85"/>
      <c r="GR50" s="85"/>
      <c r="GS50" s="85"/>
      <c r="GT50" s="85"/>
      <c r="GU50" s="85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  <c r="IG50" s="85"/>
      <c r="IH50" s="85"/>
      <c r="II50" s="85"/>
      <c r="IJ50" s="85"/>
      <c r="IK50" s="85"/>
      <c r="IL50" s="85"/>
      <c r="IM50" s="85"/>
      <c r="IN50" s="85"/>
      <c r="IO50" s="85"/>
      <c r="IP50" s="85"/>
      <c r="IQ50" s="85"/>
      <c r="IR50" s="85"/>
      <c r="IS50" s="85"/>
      <c r="IT50" s="85"/>
      <c r="IU50" s="85"/>
      <c r="IV50" s="85"/>
      <c r="IW50" s="85"/>
    </row>
    <row r="51" customFormat="false" ht="12.75" hidden="false" customHeight="false" outlineLevel="0" collapsed="false">
      <c r="A51" s="15" t="s">
        <v>224</v>
      </c>
      <c r="B51" s="16" t="s">
        <v>134</v>
      </c>
      <c r="C51" s="16" t="s">
        <v>225</v>
      </c>
      <c r="D51" s="17" t="n">
        <v>36434</v>
      </c>
      <c r="E51" s="17" t="n">
        <v>36714</v>
      </c>
      <c r="F51" s="15" t="s">
        <v>226</v>
      </c>
      <c r="G51" s="15" t="s">
        <v>225</v>
      </c>
      <c r="H51" s="16"/>
      <c r="I51" s="19" t="n">
        <v>0</v>
      </c>
      <c r="J51" s="20" t="n">
        <v>0</v>
      </c>
      <c r="K51" s="20" t="n">
        <v>0</v>
      </c>
      <c r="L51" s="20" t="n">
        <v>0</v>
      </c>
      <c r="M51" s="20" t="n">
        <v>0</v>
      </c>
      <c r="N51" s="25" t="n">
        <v>0</v>
      </c>
      <c r="O51" s="20" t="n">
        <f aca="false">SUM(I51:M51)</f>
        <v>0</v>
      </c>
      <c r="P51" s="22"/>
      <c r="Q51" s="16" t="n">
        <v>40000</v>
      </c>
      <c r="R51" s="15" t="s">
        <v>227</v>
      </c>
      <c r="S51" s="23" t="n">
        <f aca="false">I51*I$1*Q51</f>
        <v>0</v>
      </c>
      <c r="T51" s="23"/>
      <c r="U51" s="26"/>
      <c r="V51" s="24"/>
      <c r="W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5"/>
      <c r="B52" s="16"/>
      <c r="C52" s="16"/>
      <c r="D52" s="17"/>
      <c r="E52" s="17"/>
      <c r="F52" s="15"/>
      <c r="G52" s="15"/>
      <c r="H52" s="16"/>
      <c r="I52" s="19"/>
      <c r="J52" s="20"/>
      <c r="K52" s="20"/>
      <c r="L52" s="20"/>
      <c r="M52" s="20"/>
      <c r="N52" s="25"/>
      <c r="O52" s="20"/>
      <c r="P52" s="22"/>
      <c r="Q52" s="16"/>
      <c r="R52" s="15"/>
      <c r="S52" s="23"/>
      <c r="T52" s="23"/>
      <c r="U52" s="26"/>
      <c r="V52" s="24"/>
      <c r="W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5"/>
      <c r="B53" s="16"/>
      <c r="C53" s="16"/>
      <c r="D53" s="17"/>
      <c r="E53" s="17"/>
      <c r="F53" s="15"/>
      <c r="G53" s="15"/>
      <c r="H53" s="16"/>
      <c r="I53" s="19"/>
      <c r="J53" s="20"/>
      <c r="K53" s="20"/>
      <c r="L53" s="20"/>
      <c r="M53" s="20"/>
      <c r="N53" s="25"/>
      <c r="O53" s="20"/>
      <c r="P53" s="22"/>
      <c r="Q53" s="69" t="n">
        <f aca="false">SUM(Q36:Q52)</f>
        <v>135970</v>
      </c>
      <c r="R53" s="95" t="s">
        <v>164</v>
      </c>
      <c r="S53" s="101" t="n">
        <f aca="false">SUM(S35:S52)</f>
        <v>367343.335</v>
      </c>
      <c r="T53" s="23"/>
      <c r="U53" s="26"/>
      <c r="V53" s="24"/>
      <c r="W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5"/>
      <c r="B54" s="16"/>
      <c r="C54" s="16"/>
      <c r="D54" s="17"/>
      <c r="E54" s="17"/>
      <c r="F54" s="15"/>
      <c r="G54" s="15"/>
      <c r="H54" s="16"/>
      <c r="I54" s="19"/>
      <c r="J54" s="20"/>
      <c r="K54" s="20"/>
      <c r="L54" s="20"/>
      <c r="M54" s="20"/>
      <c r="N54" s="25"/>
      <c r="O54" s="20"/>
      <c r="P54" s="22"/>
      <c r="Q54" s="71"/>
      <c r="R54" s="95" t="s">
        <v>165</v>
      </c>
      <c r="S54" s="101" t="n">
        <f aca="false">SUM(S42:S45)</f>
        <v>45185.805</v>
      </c>
      <c r="T54" s="23"/>
      <c r="U54" s="26"/>
      <c r="V54" s="24"/>
      <c r="W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3.5" hidden="false" customHeight="false" outlineLevel="0" collapsed="false">
      <c r="A55" s="15"/>
      <c r="B55" s="16"/>
      <c r="C55" s="16"/>
      <c r="D55" s="17"/>
      <c r="E55" s="17"/>
      <c r="F55" s="15"/>
      <c r="G55" s="15"/>
      <c r="H55" s="16"/>
      <c r="I55" s="19"/>
      <c r="J55" s="20"/>
      <c r="K55" s="20"/>
      <c r="L55" s="20"/>
      <c r="M55" s="20"/>
      <c r="N55" s="25"/>
      <c r="O55" s="20"/>
      <c r="P55" s="22"/>
      <c r="Q55" s="71"/>
      <c r="R55" s="95" t="s">
        <v>166</v>
      </c>
      <c r="S55" s="102" t="n">
        <f aca="false">+S53-S54</f>
        <v>322157.53</v>
      </c>
      <c r="T55" s="23"/>
      <c r="U55" s="26"/>
      <c r="V55" s="24"/>
      <c r="W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3.5" hidden="false" customHeight="false" outlineLevel="0" collapsed="false">
      <c r="A56" s="15"/>
      <c r="B56" s="16"/>
      <c r="C56" s="16"/>
      <c r="D56" s="17"/>
      <c r="E56" s="17"/>
      <c r="F56" s="15"/>
      <c r="G56" s="15"/>
      <c r="H56" s="16"/>
      <c r="I56" s="19"/>
      <c r="J56" s="20"/>
      <c r="K56" s="20"/>
      <c r="L56" s="20"/>
      <c r="M56" s="20"/>
      <c r="N56" s="25"/>
      <c r="O56" s="20"/>
      <c r="P56" s="22"/>
      <c r="Q56" s="16"/>
      <c r="R56" s="15"/>
      <c r="S56" s="23"/>
      <c r="T56" s="23"/>
      <c r="U56" s="26"/>
      <c r="V56" s="24"/>
      <c r="W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27" t="s">
        <v>108</v>
      </c>
      <c r="B57" s="128" t="s">
        <v>109</v>
      </c>
      <c r="C57" s="128" t="s">
        <v>110</v>
      </c>
      <c r="D57" s="129" t="s">
        <v>111</v>
      </c>
      <c r="E57" s="129"/>
      <c r="F57" s="127" t="s">
        <v>112</v>
      </c>
      <c r="G57" s="127" t="s">
        <v>113</v>
      </c>
      <c r="H57" s="128" t="s">
        <v>228</v>
      </c>
      <c r="I57" s="130" t="s">
        <v>115</v>
      </c>
      <c r="J57" s="128" t="s">
        <v>116</v>
      </c>
      <c r="K57" s="128" t="s">
        <v>117</v>
      </c>
      <c r="L57" s="128" t="s">
        <v>118</v>
      </c>
      <c r="M57" s="128" t="s">
        <v>119</v>
      </c>
      <c r="N57" s="131" t="s">
        <v>120</v>
      </c>
      <c r="O57" s="128" t="s">
        <v>121</v>
      </c>
      <c r="P57" s="132" t="s">
        <v>147</v>
      </c>
      <c r="Q57" s="128" t="s">
        <v>123</v>
      </c>
      <c r="R57" s="127" t="s">
        <v>124</v>
      </c>
      <c r="S57" s="109" t="s">
        <v>125</v>
      </c>
      <c r="T57" s="109" t="s">
        <v>126</v>
      </c>
      <c r="U57" s="133" t="s">
        <v>148</v>
      </c>
      <c r="V57" s="112"/>
      <c r="W57" s="112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4"/>
      <c r="CC57" s="134"/>
      <c r="CD57" s="134"/>
      <c r="CE57" s="134"/>
      <c r="CF57" s="134"/>
      <c r="CG57" s="134"/>
      <c r="CH57" s="134"/>
      <c r="CI57" s="134"/>
      <c r="CJ57" s="134"/>
      <c r="CK57" s="134"/>
      <c r="CL57" s="134"/>
      <c r="CM57" s="134"/>
      <c r="CN57" s="134"/>
      <c r="CO57" s="134"/>
      <c r="CP57" s="134"/>
      <c r="CQ57" s="134"/>
      <c r="CR57" s="134"/>
      <c r="CS57" s="134"/>
      <c r="CT57" s="134"/>
      <c r="CU57" s="134"/>
      <c r="CV57" s="134"/>
      <c r="CW57" s="134"/>
      <c r="CX57" s="134"/>
      <c r="CY57" s="134"/>
      <c r="CZ57" s="134"/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  <c r="DU57" s="134"/>
      <c r="DV57" s="134"/>
      <c r="DW57" s="134"/>
      <c r="DX57" s="134"/>
      <c r="DY57" s="134"/>
      <c r="DZ57" s="134"/>
      <c r="EA57" s="134"/>
      <c r="EB57" s="134"/>
      <c r="EC57" s="134"/>
      <c r="ED57" s="134"/>
      <c r="EE57" s="134"/>
      <c r="EF57" s="134"/>
      <c r="EG57" s="134"/>
      <c r="EH57" s="134"/>
      <c r="EI57" s="134"/>
      <c r="EJ57" s="134"/>
      <c r="EK57" s="134"/>
      <c r="EL57" s="134"/>
      <c r="EM57" s="134"/>
      <c r="EN57" s="134"/>
      <c r="EO57" s="134"/>
      <c r="EP57" s="134"/>
      <c r="EQ57" s="134"/>
      <c r="ER57" s="134"/>
      <c r="ES57" s="134"/>
      <c r="ET57" s="134"/>
      <c r="EU57" s="134"/>
      <c r="EV57" s="134"/>
      <c r="EW57" s="134"/>
      <c r="EX57" s="134"/>
      <c r="EY57" s="134"/>
      <c r="EZ57" s="134"/>
      <c r="FA57" s="134"/>
      <c r="FB57" s="134"/>
      <c r="FC57" s="134"/>
      <c r="FD57" s="134"/>
      <c r="FE57" s="134"/>
      <c r="FF57" s="134"/>
      <c r="FG57" s="134"/>
      <c r="FH57" s="134"/>
      <c r="FI57" s="134"/>
      <c r="FJ57" s="134"/>
      <c r="FK57" s="134"/>
      <c r="FL57" s="134"/>
      <c r="FM57" s="134"/>
      <c r="FN57" s="134"/>
      <c r="FO57" s="134"/>
      <c r="FP57" s="134"/>
      <c r="FQ57" s="134"/>
      <c r="FR57" s="134"/>
      <c r="FS57" s="134"/>
      <c r="FT57" s="134"/>
      <c r="FU57" s="134"/>
      <c r="FV57" s="134"/>
      <c r="FW57" s="134"/>
      <c r="FX57" s="134"/>
      <c r="FY57" s="134"/>
      <c r="FZ57" s="134"/>
      <c r="GA57" s="134"/>
      <c r="GB57" s="134"/>
      <c r="GC57" s="134"/>
      <c r="GD57" s="134"/>
      <c r="GE57" s="134"/>
      <c r="GF57" s="134"/>
      <c r="GG57" s="134"/>
      <c r="GH57" s="134"/>
      <c r="GI57" s="134"/>
      <c r="GJ57" s="134"/>
      <c r="GK57" s="134"/>
      <c r="GL57" s="134"/>
      <c r="GM57" s="134"/>
      <c r="GN57" s="134"/>
      <c r="GO57" s="134"/>
      <c r="GP57" s="134"/>
      <c r="GQ57" s="134"/>
      <c r="GR57" s="134"/>
      <c r="GS57" s="134"/>
      <c r="GT57" s="134"/>
      <c r="GU57" s="134"/>
      <c r="GV57" s="134"/>
      <c r="GW57" s="134"/>
      <c r="GX57" s="134"/>
      <c r="GY57" s="134"/>
      <c r="GZ57" s="134"/>
      <c r="HA57" s="134"/>
      <c r="HB57" s="134"/>
      <c r="HC57" s="134"/>
      <c r="HD57" s="134"/>
      <c r="HE57" s="134"/>
      <c r="HF57" s="134"/>
      <c r="HG57" s="134"/>
      <c r="HH57" s="134"/>
      <c r="HI57" s="134"/>
      <c r="HJ57" s="134"/>
      <c r="HK57" s="134"/>
      <c r="HL57" s="134"/>
      <c r="HM57" s="134"/>
      <c r="HN57" s="134"/>
      <c r="HO57" s="134"/>
      <c r="HP57" s="134"/>
      <c r="HQ57" s="134"/>
      <c r="HR57" s="134"/>
      <c r="HS57" s="134"/>
      <c r="HT57" s="134"/>
      <c r="HU57" s="134"/>
      <c r="HV57" s="134"/>
      <c r="HW57" s="134"/>
      <c r="HX57" s="134"/>
      <c r="HY57" s="134"/>
      <c r="HZ57" s="134"/>
      <c r="IA57" s="134"/>
      <c r="IB57" s="134"/>
      <c r="IC57" s="134"/>
      <c r="ID57" s="134"/>
      <c r="IE57" s="134"/>
      <c r="IF57" s="134"/>
      <c r="IG57" s="134"/>
      <c r="IH57" s="134"/>
      <c r="II57" s="134"/>
      <c r="IJ57" s="134"/>
      <c r="IK57" s="134"/>
      <c r="IL57" s="134"/>
      <c r="IM57" s="134"/>
      <c r="IN57" s="134"/>
      <c r="IO57" s="134"/>
      <c r="IP57" s="134"/>
      <c r="IQ57" s="134"/>
      <c r="IR57" s="134"/>
      <c r="IS57" s="134"/>
      <c r="IT57" s="134"/>
      <c r="IU57" s="134"/>
      <c r="IV57" s="134"/>
      <c r="IW57" s="134"/>
    </row>
    <row r="58" customFormat="false" ht="12.75" hidden="false" customHeight="false" outlineLevel="0" collapsed="false">
      <c r="A58" s="15" t="s">
        <v>167</v>
      </c>
      <c r="B58" s="15" t="s">
        <v>229</v>
      </c>
      <c r="C58" s="16" t="s">
        <v>230</v>
      </c>
      <c r="D58" s="17" t="n">
        <v>36631</v>
      </c>
      <c r="E58" s="17" t="n">
        <v>36981</v>
      </c>
      <c r="F58" s="15" t="s">
        <v>231</v>
      </c>
      <c r="G58" s="15"/>
      <c r="H58" s="16" t="s">
        <v>232</v>
      </c>
      <c r="I58" s="19" t="n">
        <v>0.65</v>
      </c>
      <c r="J58" s="20" t="n">
        <v>0</v>
      </c>
      <c r="K58" s="20" t="n">
        <v>0.0022</v>
      </c>
      <c r="L58" s="20" t="n">
        <v>0.0072</v>
      </c>
      <c r="M58" s="20" t="n">
        <v>0.0131</v>
      </c>
      <c r="N58" s="25" t="n">
        <v>0</v>
      </c>
      <c r="O58" s="20" t="n">
        <f aca="false">SUM(I58:M58)</f>
        <v>0.6725</v>
      </c>
      <c r="P58" s="22" t="s">
        <v>233</v>
      </c>
      <c r="Q58" s="16" t="n">
        <v>36000</v>
      </c>
      <c r="R58" s="15" t="s">
        <v>234</v>
      </c>
      <c r="S58" s="23" t="n">
        <f aca="false">+Q58*I58</f>
        <v>23400</v>
      </c>
      <c r="T58" s="23"/>
      <c r="U58" s="26" t="n">
        <v>247741</v>
      </c>
      <c r="V58" s="24"/>
      <c r="W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5"/>
      <c r="B59" s="16"/>
      <c r="C59" s="16"/>
      <c r="D59" s="17"/>
      <c r="E59" s="17"/>
      <c r="F59" s="15"/>
      <c r="G59" s="15"/>
      <c r="H59" s="16"/>
      <c r="I59" s="19"/>
      <c r="J59" s="20"/>
      <c r="K59" s="20"/>
      <c r="L59" s="20"/>
      <c r="M59" s="20"/>
      <c r="N59" s="25"/>
      <c r="O59" s="20"/>
      <c r="P59" s="22"/>
      <c r="Q59" s="16"/>
      <c r="R59" s="15"/>
      <c r="S59" s="23"/>
      <c r="T59" s="23"/>
      <c r="U59" s="26"/>
      <c r="V59" s="24"/>
      <c r="W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5"/>
      <c r="B60" s="16"/>
      <c r="C60" s="16"/>
      <c r="D60" s="17"/>
      <c r="E60" s="17"/>
      <c r="F60" s="15"/>
      <c r="G60" s="15"/>
      <c r="H60" s="16"/>
      <c r="I60" s="19"/>
      <c r="J60" s="20"/>
      <c r="K60" s="20"/>
      <c r="L60" s="20"/>
      <c r="M60" s="20"/>
      <c r="N60" s="25"/>
      <c r="O60" s="20"/>
      <c r="P60" s="22"/>
      <c r="Q60" s="69" t="n">
        <f aca="false">SUM(Q58:Q59)</f>
        <v>36000</v>
      </c>
      <c r="R60" s="95" t="s">
        <v>164</v>
      </c>
      <c r="S60" s="101" t="n">
        <f aca="false">SUM(S58:S59)</f>
        <v>23400</v>
      </c>
      <c r="T60" s="23"/>
      <c r="U60" s="26"/>
      <c r="V60" s="24"/>
      <c r="W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5"/>
      <c r="B61" s="16"/>
      <c r="C61" s="16"/>
      <c r="D61" s="17"/>
      <c r="E61" s="17"/>
      <c r="F61" s="15"/>
      <c r="G61" s="15"/>
      <c r="H61" s="16"/>
      <c r="I61" s="19"/>
      <c r="J61" s="20"/>
      <c r="K61" s="20"/>
      <c r="L61" s="20"/>
      <c r="M61" s="20"/>
      <c r="N61" s="25"/>
      <c r="O61" s="20"/>
      <c r="P61" s="22"/>
      <c r="Q61" s="71"/>
      <c r="R61" s="95" t="s">
        <v>165</v>
      </c>
      <c r="S61" s="101" t="n">
        <v>0</v>
      </c>
      <c r="T61" s="23"/>
      <c r="U61" s="26"/>
      <c r="V61" s="24"/>
      <c r="W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3.5" hidden="false" customHeight="false" outlineLevel="0" collapsed="false">
      <c r="A62" s="15"/>
      <c r="B62" s="16"/>
      <c r="C62" s="16"/>
      <c r="D62" s="17"/>
      <c r="E62" s="17"/>
      <c r="F62" s="15"/>
      <c r="G62" s="15"/>
      <c r="H62" s="16"/>
      <c r="I62" s="19"/>
      <c r="J62" s="20"/>
      <c r="K62" s="20"/>
      <c r="L62" s="20"/>
      <c r="M62" s="20"/>
      <c r="N62" s="25"/>
      <c r="O62" s="20"/>
      <c r="P62" s="22"/>
      <c r="Q62" s="71"/>
      <c r="R62" s="95" t="s">
        <v>166</v>
      </c>
      <c r="S62" s="135" t="n">
        <f aca="false">+S60-S61</f>
        <v>23400</v>
      </c>
      <c r="T62" s="23"/>
      <c r="U62" s="26"/>
      <c r="V62" s="24"/>
      <c r="W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3.5" hidden="false" customHeight="false" outlineLevel="0" collapsed="false">
      <c r="A63" s="15"/>
      <c r="B63" s="16"/>
      <c r="C63" s="16"/>
      <c r="D63" s="17"/>
      <c r="E63" s="17"/>
      <c r="F63" s="15"/>
      <c r="G63" s="15"/>
      <c r="H63" s="16"/>
      <c r="I63" s="19"/>
      <c r="J63" s="20"/>
      <c r="K63" s="20"/>
      <c r="L63" s="20"/>
      <c r="M63" s="20"/>
      <c r="N63" s="25"/>
      <c r="O63" s="20"/>
      <c r="P63" s="22"/>
      <c r="Q63" s="16"/>
      <c r="R63" s="15"/>
      <c r="S63" s="23"/>
      <c r="T63" s="23"/>
      <c r="U63" s="26"/>
      <c r="V63" s="24"/>
      <c r="W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48" t="s">
        <v>108</v>
      </c>
      <c r="B64" s="49" t="s">
        <v>109</v>
      </c>
      <c r="C64" s="49" t="s">
        <v>110</v>
      </c>
      <c r="D64" s="50" t="s">
        <v>111</v>
      </c>
      <c r="E64" s="50"/>
      <c r="F64" s="48" t="s">
        <v>112</v>
      </c>
      <c r="G64" s="48" t="s">
        <v>113</v>
      </c>
      <c r="H64" s="49" t="s">
        <v>228</v>
      </c>
      <c r="I64" s="51" t="s">
        <v>115</v>
      </c>
      <c r="J64" s="49" t="s">
        <v>116</v>
      </c>
      <c r="K64" s="49" t="s">
        <v>117</v>
      </c>
      <c r="L64" s="49" t="s">
        <v>118</v>
      </c>
      <c r="M64" s="49" t="s">
        <v>119</v>
      </c>
      <c r="N64" s="52" t="s">
        <v>120</v>
      </c>
      <c r="O64" s="49" t="s">
        <v>121</v>
      </c>
      <c r="P64" s="74" t="s">
        <v>147</v>
      </c>
      <c r="Q64" s="49" t="s">
        <v>123</v>
      </c>
      <c r="R64" s="48" t="s">
        <v>124</v>
      </c>
      <c r="S64" s="75" t="s">
        <v>125</v>
      </c>
      <c r="T64" s="54" t="s">
        <v>126</v>
      </c>
      <c r="U64" s="55" t="s">
        <v>148</v>
      </c>
      <c r="V64" s="24"/>
      <c r="W64" s="24"/>
    </row>
    <row r="65" customFormat="false" ht="12.75" hidden="false" customHeight="false" outlineLevel="0" collapsed="false">
      <c r="A65" s="15" t="s">
        <v>52</v>
      </c>
      <c r="B65" s="16" t="s">
        <v>235</v>
      </c>
      <c r="C65" s="16" t="s">
        <v>235</v>
      </c>
      <c r="D65" s="17" t="n">
        <v>36100</v>
      </c>
      <c r="E65" s="17" t="n">
        <v>39022</v>
      </c>
      <c r="F65" s="15" t="n">
        <v>1</v>
      </c>
      <c r="G65" s="15" t="n">
        <v>2</v>
      </c>
      <c r="H65" s="16" t="s">
        <v>170</v>
      </c>
      <c r="I65" s="19" t="n">
        <f aca="false">(14.1123+0.2)/I$1</f>
        <v>0.461687096774194</v>
      </c>
      <c r="J65" s="20" t="n">
        <v>0.0054</v>
      </c>
      <c r="K65" s="20" t="n">
        <v>0.0022</v>
      </c>
      <c r="L65" s="20" t="n">
        <v>0.0075</v>
      </c>
      <c r="M65" s="20" t="n">
        <v>0.0012</v>
      </c>
      <c r="N65" s="21" t="n">
        <v>0.007</v>
      </c>
      <c r="O65" s="20" t="n">
        <f aca="false">SUM(I65:M65)</f>
        <v>0.477987096774194</v>
      </c>
      <c r="P65" s="22" t="s">
        <v>236</v>
      </c>
      <c r="Q65" s="16" t="n">
        <v>2017</v>
      </c>
      <c r="R65" s="15" t="s">
        <v>237</v>
      </c>
      <c r="S65" s="23" t="n">
        <f aca="false">I65*I$1*Q65</f>
        <v>28867.9091</v>
      </c>
      <c r="T65" s="23"/>
      <c r="U65" s="24" t="n">
        <v>77758</v>
      </c>
      <c r="V65" s="24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false" outlineLevel="0" collapsed="false">
      <c r="A66" s="15" t="s">
        <v>52</v>
      </c>
      <c r="B66" s="16" t="s">
        <v>235</v>
      </c>
      <c r="C66" s="16" t="s">
        <v>238</v>
      </c>
      <c r="D66" s="17" t="n">
        <v>36100</v>
      </c>
      <c r="E66" s="17" t="n">
        <v>39539</v>
      </c>
      <c r="F66" s="15" t="s">
        <v>239</v>
      </c>
      <c r="G66" s="15" t="s">
        <v>240</v>
      </c>
      <c r="H66" s="16" t="s">
        <v>1</v>
      </c>
      <c r="I66" s="19" t="n">
        <f aca="false">(8.5058)/I$1</f>
        <v>0.27438064516129</v>
      </c>
      <c r="J66" s="20" t="n">
        <v>0.003</v>
      </c>
      <c r="K66" s="20" t="n">
        <v>0.0022</v>
      </c>
      <c r="L66" s="20" t="n">
        <v>0</v>
      </c>
      <c r="M66" s="20" t="n">
        <v>0.0007</v>
      </c>
      <c r="N66" s="21" t="n">
        <v>0</v>
      </c>
      <c r="O66" s="20" t="n">
        <f aca="false">SUM(I66:M66)</f>
        <v>0.28028064516129</v>
      </c>
      <c r="P66" s="22" t="s">
        <v>241</v>
      </c>
      <c r="Q66" s="16" t="n">
        <v>35465</v>
      </c>
      <c r="R66" s="15" t="s">
        <v>242</v>
      </c>
      <c r="S66" s="23" t="n">
        <f aca="false">I66*I$1*Q66</f>
        <v>301658.197</v>
      </c>
      <c r="T66" s="23"/>
      <c r="U66" s="24" t="n">
        <v>77729</v>
      </c>
      <c r="V66" s="24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false" outlineLevel="0" collapsed="false">
      <c r="A67" s="15"/>
      <c r="B67" s="16"/>
      <c r="C67" s="16"/>
      <c r="D67" s="17"/>
      <c r="E67" s="17"/>
      <c r="F67" s="15"/>
      <c r="G67" s="15"/>
      <c r="H67" s="16"/>
      <c r="I67" s="19"/>
      <c r="J67" s="20"/>
      <c r="K67" s="20"/>
      <c r="L67" s="20"/>
      <c r="M67" s="20"/>
      <c r="N67" s="21"/>
      <c r="O67" s="20"/>
      <c r="P67" s="22"/>
      <c r="Q67" s="16"/>
      <c r="R67" s="15"/>
      <c r="S67" s="23"/>
      <c r="T67" s="23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15"/>
      <c r="B68" s="16"/>
      <c r="C68" s="16"/>
      <c r="D68" s="17"/>
      <c r="E68" s="17"/>
      <c r="F68" s="15"/>
      <c r="G68" s="15"/>
      <c r="H68" s="16"/>
      <c r="I68" s="19"/>
      <c r="J68" s="20"/>
      <c r="K68" s="20"/>
      <c r="L68" s="20"/>
      <c r="M68" s="20"/>
      <c r="N68" s="25"/>
      <c r="O68" s="20"/>
      <c r="P68" s="22"/>
      <c r="Q68" s="69" t="n">
        <f aca="false">SUM(Q65:Q67)</f>
        <v>37482</v>
      </c>
      <c r="R68" s="95" t="s">
        <v>164</v>
      </c>
      <c r="S68" s="101" t="n">
        <f aca="false">SUM(S65:S67)</f>
        <v>330526.1061</v>
      </c>
      <c r="T68" s="23"/>
      <c r="U68" s="26"/>
      <c r="V68" s="24"/>
      <c r="W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5"/>
      <c r="B69" s="16"/>
      <c r="C69" s="16"/>
      <c r="D69" s="17"/>
      <c r="E69" s="17"/>
      <c r="F69" s="15"/>
      <c r="G69" s="15"/>
      <c r="H69" s="16"/>
      <c r="I69" s="19"/>
      <c r="J69" s="20"/>
      <c r="K69" s="20"/>
      <c r="L69" s="20"/>
      <c r="M69" s="20"/>
      <c r="N69" s="25"/>
      <c r="O69" s="20"/>
      <c r="P69" s="22"/>
      <c r="Q69" s="71"/>
      <c r="R69" s="95" t="s">
        <v>165</v>
      </c>
      <c r="S69" s="101" t="n">
        <f aca="false">SUM(S66)</f>
        <v>301658.197</v>
      </c>
      <c r="T69" s="23"/>
      <c r="U69" s="26"/>
      <c r="V69" s="24"/>
      <c r="W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3.5" hidden="false" customHeight="false" outlineLevel="0" collapsed="false">
      <c r="A70" s="15"/>
      <c r="B70" s="16"/>
      <c r="C70" s="16"/>
      <c r="D70" s="17"/>
      <c r="E70" s="17"/>
      <c r="F70" s="15"/>
      <c r="G70" s="15"/>
      <c r="H70" s="16"/>
      <c r="I70" s="19"/>
      <c r="J70" s="20"/>
      <c r="K70" s="20"/>
      <c r="L70" s="20"/>
      <c r="M70" s="20"/>
      <c r="N70" s="25"/>
      <c r="O70" s="20"/>
      <c r="P70" s="22"/>
      <c r="Q70" s="71"/>
      <c r="R70" s="95" t="s">
        <v>166</v>
      </c>
      <c r="S70" s="135" t="n">
        <f aca="false">+S68-S69</f>
        <v>28867.9091</v>
      </c>
      <c r="T70" s="23"/>
      <c r="U70" s="26"/>
      <c r="V70" s="24"/>
      <c r="W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3.5" hidden="false" customHeight="false" outlineLevel="0" collapsed="false">
      <c r="A71" s="15"/>
      <c r="B71" s="16"/>
      <c r="C71" s="16"/>
      <c r="D71" s="17"/>
      <c r="E71" s="17"/>
      <c r="F71" s="15"/>
      <c r="G71" s="15"/>
      <c r="H71" s="16"/>
      <c r="I71" s="19"/>
      <c r="J71" s="20"/>
      <c r="K71" s="20"/>
      <c r="L71" s="20"/>
      <c r="M71" s="20"/>
      <c r="N71" s="25"/>
      <c r="O71" s="20"/>
      <c r="P71" s="22"/>
      <c r="Q71" s="16"/>
      <c r="R71" s="15"/>
      <c r="S71" s="23"/>
      <c r="T71" s="23"/>
      <c r="U71" s="26"/>
      <c r="V71" s="24"/>
      <c r="W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false" outlineLevel="0" collapsed="false">
      <c r="A72" s="127" t="s">
        <v>108</v>
      </c>
      <c r="B72" s="128" t="s">
        <v>109</v>
      </c>
      <c r="C72" s="128" t="s">
        <v>110</v>
      </c>
      <c r="D72" s="129" t="s">
        <v>111</v>
      </c>
      <c r="E72" s="129"/>
      <c r="F72" s="127" t="s">
        <v>112</v>
      </c>
      <c r="G72" s="127" t="s">
        <v>113</v>
      </c>
      <c r="H72" s="128" t="s">
        <v>114</v>
      </c>
      <c r="I72" s="130" t="s">
        <v>115</v>
      </c>
      <c r="J72" s="128" t="s">
        <v>116</v>
      </c>
      <c r="K72" s="128" t="s">
        <v>117</v>
      </c>
      <c r="L72" s="128" t="s">
        <v>118</v>
      </c>
      <c r="M72" s="128" t="s">
        <v>119</v>
      </c>
      <c r="N72" s="136" t="s">
        <v>120</v>
      </c>
      <c r="O72" s="128" t="s">
        <v>121</v>
      </c>
      <c r="P72" s="132" t="s">
        <v>122</v>
      </c>
      <c r="Q72" s="128" t="s">
        <v>123</v>
      </c>
      <c r="R72" s="127" t="s">
        <v>124</v>
      </c>
      <c r="S72" s="109" t="s">
        <v>243</v>
      </c>
      <c r="T72" s="109" t="s">
        <v>244</v>
      </c>
      <c r="U72" s="112"/>
      <c r="V72" s="112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  <c r="DU72" s="134"/>
      <c r="DV72" s="134"/>
      <c r="DW72" s="134"/>
      <c r="DX72" s="134"/>
      <c r="DY72" s="134"/>
      <c r="DZ72" s="134"/>
      <c r="EA72" s="134"/>
      <c r="EB72" s="134"/>
      <c r="EC72" s="134"/>
      <c r="ED72" s="134"/>
      <c r="EE72" s="134"/>
      <c r="EF72" s="134"/>
      <c r="EG72" s="134"/>
      <c r="EH72" s="134"/>
      <c r="EI72" s="134"/>
      <c r="EJ72" s="134"/>
      <c r="EK72" s="134"/>
      <c r="EL72" s="134"/>
      <c r="EM72" s="134"/>
      <c r="EN72" s="134"/>
      <c r="EO72" s="134"/>
      <c r="EP72" s="134"/>
      <c r="EQ72" s="134"/>
      <c r="ER72" s="134"/>
      <c r="ES72" s="134"/>
      <c r="ET72" s="134"/>
      <c r="EU72" s="134"/>
      <c r="EV72" s="134"/>
      <c r="EW72" s="134"/>
      <c r="EX72" s="134"/>
      <c r="EY72" s="134"/>
      <c r="EZ72" s="134"/>
      <c r="FA72" s="134"/>
      <c r="FB72" s="134"/>
      <c r="FC72" s="134"/>
      <c r="FD72" s="134"/>
      <c r="FE72" s="134"/>
      <c r="FF72" s="134"/>
      <c r="FG72" s="134"/>
      <c r="FH72" s="134"/>
      <c r="FI72" s="134"/>
      <c r="FJ72" s="134"/>
      <c r="FK72" s="134"/>
      <c r="FL72" s="134"/>
      <c r="FM72" s="134"/>
      <c r="FN72" s="134"/>
      <c r="FO72" s="134"/>
      <c r="FP72" s="134"/>
      <c r="FQ72" s="134"/>
      <c r="FR72" s="134"/>
      <c r="FS72" s="134"/>
      <c r="FT72" s="134"/>
      <c r="FU72" s="134"/>
      <c r="FV72" s="134"/>
      <c r="FW72" s="134"/>
      <c r="FX72" s="134"/>
      <c r="FY72" s="134"/>
      <c r="FZ72" s="134"/>
      <c r="GA72" s="134"/>
      <c r="GB72" s="134"/>
      <c r="GC72" s="134"/>
      <c r="GD72" s="134"/>
      <c r="GE72" s="134"/>
      <c r="GF72" s="134"/>
      <c r="GG72" s="134"/>
      <c r="GH72" s="134"/>
      <c r="GI72" s="134"/>
      <c r="GJ72" s="134"/>
      <c r="GK72" s="134"/>
      <c r="GL72" s="134"/>
      <c r="GM72" s="134"/>
      <c r="GN72" s="134"/>
      <c r="GO72" s="134"/>
      <c r="GP72" s="134"/>
      <c r="GQ72" s="134"/>
      <c r="GR72" s="134"/>
      <c r="GS72" s="134"/>
      <c r="GT72" s="134"/>
      <c r="GU72" s="134"/>
      <c r="GV72" s="134"/>
      <c r="GW72" s="134"/>
      <c r="GX72" s="134"/>
      <c r="GY72" s="134"/>
      <c r="GZ72" s="134"/>
      <c r="HA72" s="134"/>
      <c r="HB72" s="134"/>
      <c r="HC72" s="134"/>
      <c r="HD72" s="134"/>
      <c r="HE72" s="134"/>
      <c r="HF72" s="134"/>
      <c r="HG72" s="134"/>
      <c r="HH72" s="134"/>
      <c r="HI72" s="134"/>
      <c r="HJ72" s="134"/>
      <c r="HK72" s="134"/>
      <c r="HL72" s="134"/>
      <c r="HM72" s="134"/>
      <c r="HN72" s="134"/>
      <c r="HO72" s="134"/>
      <c r="HP72" s="134"/>
      <c r="HQ72" s="134"/>
      <c r="HR72" s="134"/>
      <c r="HS72" s="134"/>
      <c r="HT72" s="134"/>
      <c r="HU72" s="134"/>
      <c r="HV72" s="134"/>
      <c r="HW72" s="134"/>
      <c r="HX72" s="134"/>
      <c r="HY72" s="134"/>
      <c r="HZ72" s="134"/>
      <c r="IA72" s="134"/>
      <c r="IB72" s="134"/>
      <c r="IC72" s="134"/>
      <c r="ID72" s="134"/>
      <c r="IE72" s="134"/>
      <c r="IF72" s="134"/>
      <c r="IG72" s="134"/>
      <c r="IH72" s="134"/>
      <c r="II72" s="134"/>
      <c r="IJ72" s="134"/>
      <c r="IK72" s="134"/>
      <c r="IL72" s="134"/>
      <c r="IM72" s="134"/>
      <c r="IN72" s="134"/>
      <c r="IO72" s="134"/>
      <c r="IP72" s="134"/>
      <c r="IQ72" s="134"/>
      <c r="IR72" s="134"/>
      <c r="IS72" s="134"/>
      <c r="IT72" s="134"/>
      <c r="IU72" s="134"/>
      <c r="IV72" s="134"/>
      <c r="IW72" s="134"/>
    </row>
    <row r="73" customFormat="false" ht="12.75" hidden="false" customHeight="false" outlineLevel="0" collapsed="false">
      <c r="A73" s="15" t="s">
        <v>52</v>
      </c>
      <c r="B73" s="16" t="s">
        <v>245</v>
      </c>
      <c r="C73" s="16" t="s">
        <v>246</v>
      </c>
      <c r="D73" s="17" t="n">
        <v>36100</v>
      </c>
      <c r="E73" s="17" t="n">
        <v>39387</v>
      </c>
      <c r="F73" s="15" t="s">
        <v>247</v>
      </c>
      <c r="G73" s="15" t="s">
        <v>248</v>
      </c>
      <c r="H73" s="16" t="s">
        <v>1</v>
      </c>
      <c r="I73" s="20" t="n">
        <f aca="false">6.1038/I$1</f>
        <v>0.196896774193548</v>
      </c>
      <c r="J73" s="20" t="n">
        <v>0.0013</v>
      </c>
      <c r="K73" s="20" t="n">
        <v>0.0022</v>
      </c>
      <c r="L73" s="20" t="n">
        <v>0</v>
      </c>
      <c r="M73" s="20" t="n">
        <v>0</v>
      </c>
      <c r="N73" s="21" t="n">
        <v>0.02</v>
      </c>
      <c r="O73" s="20" t="n">
        <f aca="false">SUM(I73:M73)</f>
        <v>0.200396774193548</v>
      </c>
      <c r="P73" s="22" t="s">
        <v>249</v>
      </c>
      <c r="Q73" s="16" t="n">
        <v>117</v>
      </c>
      <c r="R73" s="15" t="s">
        <v>250</v>
      </c>
      <c r="S73" s="137" t="n">
        <f aca="false">I73*I$1*Q73</f>
        <v>714.1446</v>
      </c>
      <c r="T73" s="137"/>
      <c r="U73" s="24" t="n">
        <v>79923</v>
      </c>
      <c r="V73" s="24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false" outlineLevel="0" collapsed="false">
      <c r="A74" s="15" t="s">
        <v>52</v>
      </c>
      <c r="B74" s="16" t="s">
        <v>245</v>
      </c>
      <c r="C74" s="16" t="s">
        <v>246</v>
      </c>
      <c r="D74" s="17" t="n">
        <v>36465</v>
      </c>
      <c r="E74" s="17" t="n">
        <v>36831</v>
      </c>
      <c r="F74" s="15" t="s">
        <v>247</v>
      </c>
      <c r="G74" s="15" t="s">
        <v>248</v>
      </c>
      <c r="H74" s="16" t="s">
        <v>1</v>
      </c>
      <c r="I74" s="20" t="n">
        <f aca="false">6.1038/I$1</f>
        <v>0.196896774193548</v>
      </c>
      <c r="J74" s="20" t="n">
        <v>0.0013</v>
      </c>
      <c r="K74" s="20" t="n">
        <v>0.0022</v>
      </c>
      <c r="L74" s="20" t="n">
        <v>0</v>
      </c>
      <c r="M74" s="20" t="n">
        <v>0</v>
      </c>
      <c r="N74" s="21" t="n">
        <v>0.02</v>
      </c>
      <c r="O74" s="20" t="n">
        <f aca="false">SUM(I74:M74)</f>
        <v>0.200396774193548</v>
      </c>
      <c r="P74" s="22" t="s">
        <v>251</v>
      </c>
      <c r="Q74" s="16" t="n">
        <v>9189</v>
      </c>
      <c r="R74" s="15" t="s">
        <v>252</v>
      </c>
      <c r="S74" s="137" t="n">
        <f aca="false">I74*I$1*Q74</f>
        <v>56087.8182</v>
      </c>
      <c r="T74" s="137"/>
      <c r="U74" s="24"/>
      <c r="V74" s="24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false" outlineLevel="0" collapsed="false">
      <c r="A75" s="38" t="s">
        <v>52</v>
      </c>
      <c r="B75" s="76" t="s">
        <v>245</v>
      </c>
      <c r="C75" s="76" t="s">
        <v>246</v>
      </c>
      <c r="D75" s="77" t="n">
        <v>36700</v>
      </c>
      <c r="E75" s="77" t="n">
        <v>36769</v>
      </c>
      <c r="F75" s="38" t="s">
        <v>231</v>
      </c>
      <c r="G75" s="38" t="s">
        <v>248</v>
      </c>
      <c r="H75" s="76" t="s">
        <v>1</v>
      </c>
      <c r="I75" s="79" t="n">
        <f aca="false">0.125/3</f>
        <v>0.0416666666666667</v>
      </c>
      <c r="J75" s="79" t="n">
        <v>0.0013</v>
      </c>
      <c r="K75" s="79" t="n">
        <v>0.0022</v>
      </c>
      <c r="L75" s="79" t="n">
        <v>0</v>
      </c>
      <c r="M75" s="79" t="n">
        <v>0</v>
      </c>
      <c r="N75" s="138" t="n">
        <v>0.02</v>
      </c>
      <c r="O75" s="79" t="n">
        <f aca="false">SUM(I75:M75)</f>
        <v>0.0451666666666667</v>
      </c>
      <c r="P75" s="81" t="s">
        <v>253</v>
      </c>
      <c r="Q75" s="76" t="n">
        <v>1000000</v>
      </c>
      <c r="R75" s="38" t="s">
        <v>254</v>
      </c>
      <c r="S75" s="139" t="n">
        <f aca="false">I75*Q75</f>
        <v>41666.6666666667</v>
      </c>
      <c r="T75" s="139"/>
      <c r="U75" s="84"/>
      <c r="V75" s="84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  <c r="FD75" s="85"/>
      <c r="FE75" s="85"/>
      <c r="FF75" s="85"/>
      <c r="FG75" s="85"/>
      <c r="FH75" s="85"/>
      <c r="FI75" s="85"/>
      <c r="FJ75" s="85"/>
      <c r="FK75" s="85"/>
      <c r="FL75" s="85"/>
      <c r="FM75" s="85"/>
      <c r="FN75" s="85"/>
      <c r="FO75" s="85"/>
      <c r="FP75" s="85"/>
      <c r="FQ75" s="85"/>
      <c r="FR75" s="85"/>
      <c r="FS75" s="85"/>
      <c r="FT75" s="85"/>
      <c r="FU75" s="85"/>
      <c r="FV75" s="85"/>
      <c r="FW75" s="85"/>
      <c r="FX75" s="85"/>
      <c r="FY75" s="85"/>
      <c r="FZ75" s="85"/>
      <c r="GA75" s="85"/>
      <c r="GB75" s="85"/>
      <c r="GC75" s="85"/>
      <c r="GD75" s="85"/>
      <c r="GE75" s="85"/>
      <c r="GF75" s="85"/>
      <c r="GG75" s="85"/>
      <c r="GH75" s="85"/>
      <c r="GI75" s="85"/>
      <c r="GJ75" s="85"/>
      <c r="GK75" s="85"/>
      <c r="GL75" s="85"/>
      <c r="GM75" s="85"/>
      <c r="GN75" s="85"/>
      <c r="GO75" s="85"/>
      <c r="GP75" s="85"/>
      <c r="GQ75" s="85"/>
      <c r="GR75" s="85"/>
      <c r="GS75" s="85"/>
      <c r="GT75" s="85"/>
      <c r="GU75" s="85"/>
      <c r="GV75" s="85"/>
      <c r="GW75" s="85"/>
      <c r="GX75" s="85"/>
      <c r="GY75" s="85"/>
      <c r="GZ75" s="85"/>
      <c r="HA75" s="85"/>
      <c r="HB75" s="85"/>
      <c r="HC75" s="85"/>
      <c r="HD75" s="85"/>
      <c r="HE75" s="85"/>
      <c r="HF75" s="85"/>
      <c r="HG75" s="85"/>
      <c r="HH75" s="85"/>
      <c r="HI75" s="85"/>
      <c r="HJ75" s="85"/>
      <c r="HK75" s="85"/>
      <c r="HL75" s="85"/>
      <c r="HM75" s="85"/>
      <c r="HN75" s="85"/>
      <c r="HO75" s="85"/>
      <c r="HP75" s="85"/>
      <c r="HQ75" s="85"/>
      <c r="HR75" s="85"/>
      <c r="HS75" s="85"/>
      <c r="HT75" s="85"/>
      <c r="HU75" s="85"/>
      <c r="HV75" s="85"/>
      <c r="HW75" s="85"/>
      <c r="HX75" s="85"/>
      <c r="HY75" s="85"/>
      <c r="HZ75" s="85"/>
      <c r="IA75" s="85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  <c r="IV75" s="85"/>
      <c r="IW75" s="85"/>
    </row>
    <row r="76" customFormat="false" ht="12.75" hidden="false" customHeight="false" outlineLevel="0" collapsed="false">
      <c r="A76" s="15"/>
      <c r="B76" s="16"/>
      <c r="C76" s="16"/>
      <c r="D76" s="17"/>
      <c r="E76" s="17"/>
      <c r="F76" s="15"/>
      <c r="G76" s="15"/>
      <c r="H76" s="16"/>
      <c r="I76" s="19"/>
      <c r="J76" s="20"/>
      <c r="K76" s="20"/>
      <c r="L76" s="20"/>
      <c r="M76" s="20"/>
      <c r="N76" s="21"/>
      <c r="O76" s="20"/>
      <c r="P76" s="22"/>
      <c r="Q76" s="16"/>
      <c r="R76" s="15"/>
      <c r="S76" s="23"/>
      <c r="T76" s="23" t="n">
        <f aca="false">SUM(T73:T75)</f>
        <v>0</v>
      </c>
      <c r="U76" s="24"/>
      <c r="V76" s="24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5"/>
      <c r="B77" s="16"/>
      <c r="C77" s="16"/>
      <c r="D77" s="17"/>
      <c r="E77" s="17"/>
      <c r="F77" s="15"/>
      <c r="G77" s="15"/>
      <c r="H77" s="16"/>
      <c r="I77" s="19"/>
      <c r="J77" s="20"/>
      <c r="K77" s="20"/>
      <c r="L77" s="20"/>
      <c r="M77" s="20"/>
      <c r="N77" s="25"/>
      <c r="O77" s="20"/>
      <c r="P77" s="22"/>
      <c r="Q77" s="69" t="n">
        <f aca="false">SUM(Q73:Q76)</f>
        <v>1009306</v>
      </c>
      <c r="R77" s="95" t="s">
        <v>164</v>
      </c>
      <c r="S77" s="101" t="n">
        <f aca="false">SUM(S73:S76)</f>
        <v>98468.6294666667</v>
      </c>
      <c r="T77" s="23"/>
      <c r="U77" s="26"/>
      <c r="V77" s="24"/>
      <c r="W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5"/>
      <c r="B78" s="16"/>
      <c r="C78" s="16"/>
      <c r="D78" s="17"/>
      <c r="E78" s="17"/>
      <c r="F78" s="15"/>
      <c r="G78" s="15"/>
      <c r="H78" s="16"/>
      <c r="I78" s="19"/>
      <c r="J78" s="20"/>
      <c r="K78" s="20"/>
      <c r="L78" s="20"/>
      <c r="M78" s="20"/>
      <c r="N78" s="25"/>
      <c r="O78" s="20"/>
      <c r="P78" s="22"/>
      <c r="Q78" s="71"/>
      <c r="R78" s="95" t="s">
        <v>165</v>
      </c>
      <c r="S78" s="101" t="n">
        <f aca="false">SUM(S74)</f>
        <v>56087.8182</v>
      </c>
      <c r="T78" s="23"/>
      <c r="U78" s="26"/>
      <c r="V78" s="24"/>
      <c r="W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3.5" hidden="false" customHeight="false" outlineLevel="0" collapsed="false">
      <c r="A79" s="15"/>
      <c r="B79" s="16"/>
      <c r="C79" s="16"/>
      <c r="D79" s="17"/>
      <c r="E79" s="17"/>
      <c r="F79" s="15"/>
      <c r="G79" s="15"/>
      <c r="H79" s="16"/>
      <c r="I79" s="19"/>
      <c r="J79" s="20"/>
      <c r="K79" s="20"/>
      <c r="L79" s="20"/>
      <c r="M79" s="20"/>
      <c r="N79" s="25"/>
      <c r="O79" s="20"/>
      <c r="P79" s="22"/>
      <c r="Q79" s="71"/>
      <c r="R79" s="95" t="s">
        <v>166</v>
      </c>
      <c r="S79" s="135" t="n">
        <f aca="false">+S77-S78</f>
        <v>42380.8112666667</v>
      </c>
      <c r="T79" s="23"/>
      <c r="U79" s="26"/>
      <c r="V79" s="24"/>
      <c r="W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3.5" hidden="false" customHeight="false" outlineLevel="0" collapsed="false">
      <c r="A80" s="15"/>
      <c r="B80" s="16"/>
      <c r="C80" s="16"/>
      <c r="D80" s="17"/>
      <c r="E80" s="17"/>
      <c r="F80" s="15"/>
      <c r="G80" s="15"/>
      <c r="H80" s="16"/>
      <c r="I80" s="19"/>
      <c r="J80" s="20"/>
      <c r="K80" s="20"/>
      <c r="L80" s="20"/>
      <c r="M80" s="20"/>
      <c r="N80" s="25"/>
      <c r="O80" s="20"/>
      <c r="P80" s="22"/>
      <c r="Q80" s="16"/>
      <c r="R80" s="15"/>
      <c r="S80" s="23"/>
      <c r="T80" s="23"/>
      <c r="U80" s="26"/>
      <c r="V80" s="24"/>
      <c r="W80" s="2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27" t="s">
        <v>108</v>
      </c>
      <c r="B81" s="128" t="s">
        <v>109</v>
      </c>
      <c r="C81" s="128" t="s">
        <v>110</v>
      </c>
      <c r="D81" s="129" t="s">
        <v>111</v>
      </c>
      <c r="E81" s="129"/>
      <c r="F81" s="127" t="s">
        <v>112</v>
      </c>
      <c r="G81" s="127" t="s">
        <v>113</v>
      </c>
      <c r="H81" s="128" t="s">
        <v>114</v>
      </c>
      <c r="I81" s="130" t="s">
        <v>115</v>
      </c>
      <c r="J81" s="128" t="s">
        <v>116</v>
      </c>
      <c r="K81" s="128" t="s">
        <v>117</v>
      </c>
      <c r="L81" s="128" t="s">
        <v>118</v>
      </c>
      <c r="M81" s="128" t="s">
        <v>119</v>
      </c>
      <c r="N81" s="136" t="s">
        <v>120</v>
      </c>
      <c r="O81" s="128" t="s">
        <v>121</v>
      </c>
      <c r="P81" s="132" t="s">
        <v>122</v>
      </c>
      <c r="Q81" s="128" t="s">
        <v>123</v>
      </c>
      <c r="R81" s="127" t="s">
        <v>124</v>
      </c>
      <c r="S81" s="109" t="s">
        <v>243</v>
      </c>
      <c r="T81" s="109" t="s">
        <v>244</v>
      </c>
      <c r="U81" s="112"/>
      <c r="V81" s="112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  <c r="DO81" s="134"/>
      <c r="DP81" s="134"/>
      <c r="DQ81" s="134"/>
      <c r="DR81" s="134"/>
      <c r="DS81" s="134"/>
      <c r="DT81" s="134"/>
      <c r="DU81" s="134"/>
      <c r="DV81" s="134"/>
      <c r="DW81" s="134"/>
      <c r="DX81" s="134"/>
      <c r="DY81" s="134"/>
      <c r="DZ81" s="134"/>
      <c r="EA81" s="134"/>
      <c r="EB81" s="134"/>
      <c r="EC81" s="134"/>
      <c r="ED81" s="134"/>
      <c r="EE81" s="134"/>
      <c r="EF81" s="134"/>
      <c r="EG81" s="134"/>
      <c r="EH81" s="134"/>
      <c r="EI81" s="134"/>
      <c r="EJ81" s="134"/>
      <c r="EK81" s="134"/>
      <c r="EL81" s="134"/>
      <c r="EM81" s="134"/>
      <c r="EN81" s="134"/>
      <c r="EO81" s="134"/>
      <c r="EP81" s="134"/>
      <c r="EQ81" s="134"/>
      <c r="ER81" s="134"/>
      <c r="ES81" s="134"/>
      <c r="ET81" s="134"/>
      <c r="EU81" s="134"/>
      <c r="EV81" s="134"/>
      <c r="EW81" s="134"/>
      <c r="EX81" s="134"/>
      <c r="EY81" s="134"/>
      <c r="EZ81" s="134"/>
      <c r="FA81" s="134"/>
      <c r="FB81" s="134"/>
      <c r="FC81" s="134"/>
      <c r="FD81" s="134"/>
      <c r="FE81" s="134"/>
      <c r="FF81" s="134"/>
      <c r="FG81" s="134"/>
      <c r="FH81" s="134"/>
      <c r="FI81" s="134"/>
      <c r="FJ81" s="134"/>
      <c r="FK81" s="134"/>
      <c r="FL81" s="134"/>
      <c r="FM81" s="134"/>
      <c r="FN81" s="134"/>
      <c r="FO81" s="134"/>
      <c r="FP81" s="134"/>
      <c r="FQ81" s="134"/>
      <c r="FR81" s="134"/>
      <c r="FS81" s="134"/>
      <c r="FT81" s="134"/>
      <c r="FU81" s="134"/>
      <c r="FV81" s="134"/>
      <c r="FW81" s="134"/>
      <c r="FX81" s="134"/>
      <c r="FY81" s="134"/>
      <c r="FZ81" s="134"/>
      <c r="GA81" s="134"/>
      <c r="GB81" s="134"/>
      <c r="GC81" s="134"/>
      <c r="GD81" s="134"/>
      <c r="GE81" s="134"/>
      <c r="GF81" s="134"/>
      <c r="GG81" s="134"/>
      <c r="GH81" s="134"/>
      <c r="GI81" s="134"/>
      <c r="GJ81" s="134"/>
      <c r="GK81" s="134"/>
      <c r="GL81" s="134"/>
      <c r="GM81" s="134"/>
      <c r="GN81" s="134"/>
      <c r="GO81" s="134"/>
      <c r="GP81" s="134"/>
      <c r="GQ81" s="134"/>
      <c r="GR81" s="134"/>
      <c r="GS81" s="134"/>
      <c r="GT81" s="134"/>
      <c r="GU81" s="134"/>
      <c r="GV81" s="134"/>
      <c r="GW81" s="134"/>
      <c r="GX81" s="134"/>
      <c r="GY81" s="134"/>
      <c r="GZ81" s="134"/>
      <c r="HA81" s="134"/>
      <c r="HB81" s="134"/>
      <c r="HC81" s="134"/>
      <c r="HD81" s="134"/>
      <c r="HE81" s="134"/>
      <c r="HF81" s="134"/>
      <c r="HG81" s="134"/>
      <c r="HH81" s="134"/>
      <c r="HI81" s="134"/>
      <c r="HJ81" s="134"/>
      <c r="HK81" s="134"/>
      <c r="HL81" s="134"/>
      <c r="HM81" s="134"/>
      <c r="HN81" s="134"/>
      <c r="HO81" s="134"/>
      <c r="HP81" s="134"/>
      <c r="HQ81" s="134"/>
      <c r="HR81" s="134"/>
      <c r="HS81" s="134"/>
      <c r="HT81" s="134"/>
      <c r="HU81" s="134"/>
      <c r="HV81" s="134"/>
      <c r="HW81" s="134"/>
      <c r="HX81" s="134"/>
      <c r="HY81" s="134"/>
      <c r="HZ81" s="134"/>
      <c r="IA81" s="134"/>
      <c r="IB81" s="134"/>
      <c r="IC81" s="134"/>
      <c r="ID81" s="134"/>
      <c r="IE81" s="134"/>
      <c r="IF81" s="134"/>
      <c r="IG81" s="134"/>
      <c r="IH81" s="134"/>
      <c r="II81" s="134"/>
      <c r="IJ81" s="134"/>
      <c r="IK81" s="134"/>
      <c r="IL81" s="134"/>
      <c r="IM81" s="134"/>
      <c r="IN81" s="134"/>
      <c r="IO81" s="134"/>
      <c r="IP81" s="134"/>
      <c r="IQ81" s="134"/>
      <c r="IR81" s="134"/>
      <c r="IS81" s="134"/>
      <c r="IT81" s="134"/>
      <c r="IU81" s="134"/>
      <c r="IV81" s="134"/>
      <c r="IW81" s="134"/>
    </row>
    <row r="82" customFormat="false" ht="12.75" hidden="false" customHeight="false" outlineLevel="0" collapsed="false">
      <c r="A82" s="15" t="s">
        <v>52</v>
      </c>
      <c r="B82" s="16" t="s">
        <v>255</v>
      </c>
      <c r="C82" s="16" t="s">
        <v>238</v>
      </c>
      <c r="D82" s="17" t="n">
        <v>36342</v>
      </c>
      <c r="E82" s="17" t="n">
        <v>39539</v>
      </c>
      <c r="F82" s="15" t="s">
        <v>256</v>
      </c>
      <c r="G82" s="15" t="s">
        <v>257</v>
      </c>
      <c r="H82" s="16" t="s">
        <v>258</v>
      </c>
      <c r="I82" s="19" t="n">
        <f aca="false">(5.9+5.42)/I$1</f>
        <v>0.365161290322581</v>
      </c>
      <c r="J82" s="20" t="n">
        <v>0</v>
      </c>
      <c r="K82" s="20" t="n">
        <v>0.0022</v>
      </c>
      <c r="L82" s="20" t="n">
        <v>0.0075</v>
      </c>
      <c r="M82" s="20" t="n">
        <v>0</v>
      </c>
      <c r="N82" s="140" t="n">
        <v>0.0131</v>
      </c>
      <c r="O82" s="20" t="n">
        <f aca="false">SUM(I82:M82)</f>
        <v>0.374861290322581</v>
      </c>
      <c r="P82" s="22" t="n">
        <v>29667</v>
      </c>
      <c r="Q82" s="16" t="n">
        <v>35000</v>
      </c>
      <c r="R82" s="141" t="s">
        <v>259</v>
      </c>
      <c r="S82" s="23" t="n">
        <f aca="false">I82*$I$1*Q82</f>
        <v>396200</v>
      </c>
      <c r="T82" s="23"/>
      <c r="U82" s="24" t="n">
        <v>93036</v>
      </c>
      <c r="V82" s="24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" hidden="false" customHeight="true" outlineLevel="0" collapsed="false">
      <c r="A83" s="15" t="s">
        <v>144</v>
      </c>
      <c r="B83" s="16" t="s">
        <v>260</v>
      </c>
      <c r="C83" s="16" t="s">
        <v>261</v>
      </c>
      <c r="D83" s="17" t="n">
        <v>36617</v>
      </c>
      <c r="E83" s="17" t="n">
        <v>36829</v>
      </c>
      <c r="F83" s="15" t="n">
        <v>4</v>
      </c>
      <c r="G83" s="15" t="n">
        <v>6</v>
      </c>
      <c r="H83" s="16" t="s">
        <v>170</v>
      </c>
      <c r="I83" s="19" t="n">
        <f aca="false">0.76/I$1</f>
        <v>0.0245161290322581</v>
      </c>
      <c r="J83" s="20" t="n">
        <v>0</v>
      </c>
      <c r="K83" s="20" t="n">
        <v>0</v>
      </c>
      <c r="L83" s="20" t="n">
        <v>0</v>
      </c>
      <c r="M83" s="20" t="n">
        <v>0</v>
      </c>
      <c r="N83" s="21" t="n">
        <v>0.0101</v>
      </c>
      <c r="O83" s="20" t="n">
        <f aca="false">SUM(I83:M83)</f>
        <v>0.0245161290322581</v>
      </c>
      <c r="P83" s="22" t="n">
        <v>32958</v>
      </c>
      <c r="Q83" s="16" t="n">
        <v>5265</v>
      </c>
      <c r="R83" s="142" t="s">
        <v>1</v>
      </c>
      <c r="S83" s="23" t="n">
        <f aca="false">I83*$I$1*Q83</f>
        <v>4001.4</v>
      </c>
      <c r="T83" s="23"/>
      <c r="U83" s="24" t="n">
        <v>231270</v>
      </c>
      <c r="V83" s="24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" hidden="false" customHeight="true" outlineLevel="0" collapsed="false">
      <c r="A84" s="15" t="s">
        <v>144</v>
      </c>
      <c r="B84" s="16" t="s">
        <v>260</v>
      </c>
      <c r="C84" s="16" t="s">
        <v>261</v>
      </c>
      <c r="D84" s="17" t="n">
        <v>36617</v>
      </c>
      <c r="E84" s="17" t="n">
        <v>36646</v>
      </c>
      <c r="F84" s="15" t="n">
        <v>4</v>
      </c>
      <c r="G84" s="15" t="n">
        <v>6</v>
      </c>
      <c r="H84" s="16" t="s">
        <v>170</v>
      </c>
      <c r="I84" s="24" t="n">
        <f aca="false">0.6/I$1</f>
        <v>0.0193548387096774</v>
      </c>
      <c r="J84" s="20" t="n">
        <v>0</v>
      </c>
      <c r="K84" s="20" t="n">
        <v>0</v>
      </c>
      <c r="L84" s="20" t="n">
        <v>0</v>
      </c>
      <c r="M84" s="20" t="n">
        <v>0</v>
      </c>
      <c r="N84" s="21" t="n">
        <v>0.0101</v>
      </c>
      <c r="O84" s="20" t="n">
        <f aca="false">SUM(I84:M84)</f>
        <v>0.0193548387096774</v>
      </c>
      <c r="P84" s="22" t="n">
        <v>33072</v>
      </c>
      <c r="Q84" s="16" t="n">
        <v>5000</v>
      </c>
      <c r="R84" s="142" t="s">
        <v>1</v>
      </c>
      <c r="S84" s="23" t="n">
        <f aca="false">I84*$I$1*Q84</f>
        <v>3000</v>
      </c>
      <c r="T84" s="23"/>
      <c r="U84" s="24" t="n">
        <v>232900</v>
      </c>
      <c r="V84" s="24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" hidden="false" customHeight="true" outlineLevel="0" collapsed="false">
      <c r="A85" s="15" t="s">
        <v>144</v>
      </c>
      <c r="B85" s="16" t="s">
        <v>24</v>
      </c>
      <c r="C85" s="16" t="s">
        <v>261</v>
      </c>
      <c r="D85" s="17" t="n">
        <v>36526</v>
      </c>
      <c r="E85" s="17" t="n">
        <v>36556</v>
      </c>
      <c r="F85" s="15" t="s">
        <v>262</v>
      </c>
      <c r="G85" s="15" t="s">
        <v>263</v>
      </c>
      <c r="H85" s="16" t="s">
        <v>170</v>
      </c>
      <c r="I85" s="19" t="n">
        <v>0.1671</v>
      </c>
      <c r="J85" s="20" t="n">
        <v>0.0765</v>
      </c>
      <c r="K85" s="20" t="n">
        <v>0.0022</v>
      </c>
      <c r="L85" s="20" t="n">
        <v>0.0075</v>
      </c>
      <c r="M85" s="20" t="n">
        <v>0</v>
      </c>
      <c r="N85" s="21" t="n">
        <v>0.0127</v>
      </c>
      <c r="O85" s="20" t="n">
        <f aca="false">SUM(I85:M85)</f>
        <v>0.2533</v>
      </c>
      <c r="P85" s="22"/>
      <c r="Q85" s="16" t="n">
        <v>0</v>
      </c>
      <c r="R85" s="142" t="s">
        <v>1</v>
      </c>
      <c r="S85" s="23" t="n">
        <f aca="false">I85*$I$1*Q85</f>
        <v>0</v>
      </c>
      <c r="T85" s="23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" hidden="false" customHeight="true" outlineLevel="0" collapsed="false">
      <c r="A86" s="15" t="s">
        <v>264</v>
      </c>
      <c r="B86" s="16" t="s">
        <v>24</v>
      </c>
      <c r="C86" s="16" t="s">
        <v>149</v>
      </c>
      <c r="D86" s="17" t="n">
        <v>36678</v>
      </c>
      <c r="E86" s="17" t="n">
        <v>36707</v>
      </c>
      <c r="F86" s="15" t="s">
        <v>265</v>
      </c>
      <c r="G86" s="15" t="s">
        <v>266</v>
      </c>
      <c r="H86" s="16" t="s">
        <v>160</v>
      </c>
      <c r="I86" s="19"/>
      <c r="J86" s="20"/>
      <c r="K86" s="20"/>
      <c r="L86" s="20"/>
      <c r="M86" s="20"/>
      <c r="N86" s="21"/>
      <c r="O86" s="20"/>
      <c r="P86" s="22" t="n">
        <v>33893</v>
      </c>
      <c r="Q86" s="16" t="n">
        <v>5265</v>
      </c>
      <c r="R86" s="142" t="s">
        <v>267</v>
      </c>
      <c r="S86" s="23" t="n">
        <v>0</v>
      </c>
      <c r="T86" s="23"/>
      <c r="U86" s="24" t="n">
        <v>283203</v>
      </c>
      <c r="V86" s="24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" hidden="false" customHeight="true" outlineLevel="0" collapsed="false">
      <c r="A87" s="15" t="s">
        <v>264</v>
      </c>
      <c r="B87" s="16" t="s">
        <v>24</v>
      </c>
      <c r="C87" s="16" t="s">
        <v>149</v>
      </c>
      <c r="D87" s="17" t="n">
        <v>36678</v>
      </c>
      <c r="E87" s="17" t="n">
        <v>36707</v>
      </c>
      <c r="F87" s="15" t="s">
        <v>268</v>
      </c>
      <c r="G87" s="15" t="s">
        <v>263</v>
      </c>
      <c r="H87" s="16" t="s">
        <v>160</v>
      </c>
      <c r="I87" s="19"/>
      <c r="J87" s="20"/>
      <c r="K87" s="20"/>
      <c r="L87" s="20"/>
      <c r="M87" s="20"/>
      <c r="N87" s="21"/>
      <c r="O87" s="20"/>
      <c r="P87" s="22" t="n">
        <v>33894</v>
      </c>
      <c r="Q87" s="16" t="n">
        <v>5000</v>
      </c>
      <c r="R87" s="142" t="s">
        <v>269</v>
      </c>
      <c r="S87" s="23" t="n">
        <v>0</v>
      </c>
      <c r="T87" s="23"/>
      <c r="U87" s="24" t="n">
        <v>283204</v>
      </c>
      <c r="V87" s="24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" hidden="false" customHeight="true" outlineLevel="0" collapsed="false">
      <c r="A88" s="143" t="s">
        <v>144</v>
      </c>
      <c r="B88" s="144" t="s">
        <v>255</v>
      </c>
      <c r="C88" s="144" t="s">
        <v>149</v>
      </c>
      <c r="D88" s="145" t="n">
        <v>36678</v>
      </c>
      <c r="E88" s="145" t="n">
        <v>36707</v>
      </c>
      <c r="F88" s="143" t="s">
        <v>270</v>
      </c>
      <c r="G88" s="143" t="s">
        <v>268</v>
      </c>
      <c r="H88" s="144" t="s">
        <v>160</v>
      </c>
      <c r="I88" s="146" t="n">
        <f aca="false">0.6/30</f>
        <v>0.02</v>
      </c>
      <c r="J88" s="147"/>
      <c r="K88" s="147"/>
      <c r="L88" s="147"/>
      <c r="M88" s="147"/>
      <c r="N88" s="148"/>
      <c r="O88" s="147"/>
      <c r="P88" s="149" t="n">
        <v>33835</v>
      </c>
      <c r="Q88" s="144" t="n">
        <v>5000</v>
      </c>
      <c r="R88" s="150"/>
      <c r="S88" s="126" t="n">
        <f aca="false">+Q88*0.6</f>
        <v>3000</v>
      </c>
      <c r="T88" s="126"/>
      <c r="U88" s="151" t="n">
        <v>282751</v>
      </c>
      <c r="V88" s="151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  <c r="BI88" s="152"/>
      <c r="BJ88" s="152"/>
      <c r="BK88" s="152"/>
      <c r="BL88" s="152"/>
      <c r="BM88" s="152"/>
      <c r="BN88" s="152"/>
      <c r="BO88" s="152"/>
      <c r="BP88" s="152"/>
      <c r="BQ88" s="152"/>
      <c r="BR88" s="152"/>
      <c r="BS88" s="152"/>
      <c r="BT88" s="152"/>
      <c r="BU88" s="152"/>
      <c r="BV88" s="152"/>
      <c r="BW88" s="152"/>
      <c r="BX88" s="152"/>
      <c r="BY88" s="152"/>
      <c r="BZ88" s="152"/>
      <c r="CA88" s="152"/>
      <c r="CB88" s="152"/>
      <c r="CC88" s="152"/>
      <c r="CD88" s="152"/>
      <c r="CE88" s="152"/>
      <c r="CF88" s="152"/>
      <c r="CG88" s="152"/>
      <c r="CH88" s="152"/>
      <c r="CI88" s="152"/>
      <c r="CJ88" s="152"/>
      <c r="CK88" s="152"/>
      <c r="CL88" s="152"/>
      <c r="CM88" s="152"/>
      <c r="CN88" s="152"/>
      <c r="CO88" s="152"/>
      <c r="CP88" s="152"/>
      <c r="CQ88" s="152"/>
      <c r="CR88" s="152"/>
      <c r="CS88" s="152"/>
      <c r="CT88" s="152"/>
      <c r="CU88" s="152"/>
      <c r="CV88" s="152"/>
      <c r="CW88" s="152"/>
      <c r="CX88" s="152"/>
      <c r="CY88" s="152"/>
      <c r="CZ88" s="152"/>
      <c r="DA88" s="152"/>
      <c r="DB88" s="152"/>
      <c r="DC88" s="152"/>
      <c r="DD88" s="152"/>
      <c r="DE88" s="152"/>
      <c r="DF88" s="152"/>
      <c r="DG88" s="152"/>
      <c r="DH88" s="152"/>
      <c r="DI88" s="152"/>
      <c r="DJ88" s="152"/>
      <c r="DK88" s="152"/>
      <c r="DL88" s="152"/>
      <c r="DM88" s="152"/>
      <c r="DN88" s="152"/>
      <c r="DO88" s="152"/>
      <c r="DP88" s="152"/>
      <c r="DQ88" s="152"/>
      <c r="DR88" s="152"/>
      <c r="DS88" s="152"/>
      <c r="DT88" s="152"/>
      <c r="DU88" s="152"/>
      <c r="DV88" s="152"/>
      <c r="DW88" s="152"/>
      <c r="DX88" s="152"/>
      <c r="DY88" s="152"/>
      <c r="DZ88" s="152"/>
      <c r="EA88" s="152"/>
      <c r="EB88" s="152"/>
      <c r="EC88" s="152"/>
      <c r="ED88" s="152"/>
      <c r="EE88" s="152"/>
      <c r="EF88" s="152"/>
      <c r="EG88" s="152"/>
      <c r="EH88" s="152"/>
      <c r="EI88" s="152"/>
      <c r="EJ88" s="152"/>
      <c r="EK88" s="152"/>
      <c r="EL88" s="152"/>
      <c r="EM88" s="152"/>
      <c r="EN88" s="152"/>
      <c r="EO88" s="152"/>
      <c r="EP88" s="152"/>
      <c r="EQ88" s="152"/>
      <c r="ER88" s="152"/>
      <c r="ES88" s="152"/>
      <c r="ET88" s="152"/>
      <c r="EU88" s="152"/>
      <c r="EV88" s="152"/>
      <c r="EW88" s="152"/>
      <c r="EX88" s="152"/>
      <c r="EY88" s="152"/>
      <c r="EZ88" s="152"/>
      <c r="FA88" s="152"/>
      <c r="FB88" s="152"/>
      <c r="FC88" s="152"/>
      <c r="FD88" s="152"/>
      <c r="FE88" s="152"/>
      <c r="FF88" s="152"/>
      <c r="FG88" s="152"/>
      <c r="FH88" s="152"/>
      <c r="FI88" s="152"/>
      <c r="FJ88" s="152"/>
      <c r="FK88" s="152"/>
      <c r="FL88" s="152"/>
      <c r="FM88" s="152"/>
      <c r="FN88" s="152"/>
      <c r="FO88" s="152"/>
      <c r="FP88" s="152"/>
      <c r="FQ88" s="152"/>
      <c r="FR88" s="152"/>
      <c r="FS88" s="152"/>
      <c r="FT88" s="152"/>
      <c r="FU88" s="152"/>
      <c r="FV88" s="152"/>
      <c r="FW88" s="152"/>
      <c r="FX88" s="152"/>
      <c r="FY88" s="152"/>
      <c r="FZ88" s="152"/>
      <c r="GA88" s="152"/>
      <c r="GB88" s="152"/>
      <c r="GC88" s="152"/>
      <c r="GD88" s="152"/>
      <c r="GE88" s="152"/>
      <c r="GF88" s="152"/>
      <c r="GG88" s="152"/>
      <c r="GH88" s="152"/>
      <c r="GI88" s="152"/>
      <c r="GJ88" s="152"/>
      <c r="GK88" s="152"/>
      <c r="GL88" s="152"/>
      <c r="GM88" s="152"/>
      <c r="GN88" s="152"/>
      <c r="GO88" s="152"/>
      <c r="GP88" s="152"/>
      <c r="GQ88" s="152"/>
      <c r="GR88" s="152"/>
      <c r="GS88" s="152"/>
      <c r="GT88" s="152"/>
      <c r="GU88" s="152"/>
      <c r="GV88" s="152"/>
      <c r="GW88" s="152"/>
      <c r="GX88" s="152"/>
      <c r="GY88" s="152"/>
      <c r="GZ88" s="152"/>
      <c r="HA88" s="152"/>
      <c r="HB88" s="152"/>
      <c r="HC88" s="152"/>
      <c r="HD88" s="152"/>
      <c r="HE88" s="152"/>
      <c r="HF88" s="152"/>
      <c r="HG88" s="152"/>
      <c r="HH88" s="152"/>
      <c r="HI88" s="152"/>
      <c r="HJ88" s="152"/>
      <c r="HK88" s="152"/>
      <c r="HL88" s="152"/>
      <c r="HM88" s="152"/>
      <c r="HN88" s="152"/>
      <c r="HO88" s="152"/>
      <c r="HP88" s="152"/>
      <c r="HQ88" s="152"/>
      <c r="HR88" s="152"/>
      <c r="HS88" s="152"/>
      <c r="HT88" s="152"/>
      <c r="HU88" s="152"/>
      <c r="HV88" s="152"/>
      <c r="HW88" s="152"/>
      <c r="HX88" s="152"/>
      <c r="HY88" s="152"/>
      <c r="HZ88" s="152"/>
      <c r="IA88" s="152"/>
      <c r="IB88" s="152"/>
      <c r="IC88" s="152"/>
      <c r="ID88" s="152"/>
      <c r="IE88" s="152"/>
      <c r="IF88" s="152"/>
      <c r="IG88" s="152"/>
      <c r="IH88" s="152"/>
      <c r="II88" s="152"/>
      <c r="IJ88" s="152"/>
      <c r="IK88" s="152"/>
      <c r="IL88" s="152"/>
      <c r="IM88" s="152"/>
      <c r="IN88" s="152"/>
      <c r="IO88" s="152"/>
      <c r="IP88" s="152"/>
      <c r="IQ88" s="152"/>
      <c r="IR88" s="152"/>
      <c r="IS88" s="152"/>
      <c r="IT88" s="152"/>
      <c r="IU88" s="152"/>
      <c r="IV88" s="152"/>
      <c r="IW88" s="152"/>
    </row>
    <row r="89" customFormat="false" ht="12.75" hidden="false" customHeight="false" outlineLevel="0" collapsed="false">
      <c r="N89" s="27"/>
      <c r="W89" s="27"/>
    </row>
    <row r="90" customFormat="false" ht="12.75" hidden="false" customHeight="false" outlineLevel="0" collapsed="false">
      <c r="A90" s="95" t="s">
        <v>1</v>
      </c>
      <c r="B90" s="69" t="s">
        <v>1</v>
      </c>
      <c r="C90" s="69" t="s">
        <v>1</v>
      </c>
      <c r="D90" s="96" t="s">
        <v>1</v>
      </c>
      <c r="E90" s="96" t="s">
        <v>1</v>
      </c>
      <c r="F90" s="95" t="s">
        <v>1</v>
      </c>
      <c r="G90" s="95" t="s">
        <v>1</v>
      </c>
      <c r="H90" s="69" t="s">
        <v>1</v>
      </c>
      <c r="I90" s="98" t="s">
        <v>1</v>
      </c>
      <c r="J90" s="68" t="s">
        <v>1</v>
      </c>
      <c r="K90" s="68" t="s">
        <v>1</v>
      </c>
      <c r="L90" s="68" t="s">
        <v>1</v>
      </c>
      <c r="M90" s="68" t="s">
        <v>271</v>
      </c>
      <c r="N90" s="140" t="s">
        <v>1</v>
      </c>
      <c r="O90" s="68" t="s">
        <v>1</v>
      </c>
      <c r="P90" s="153" t="s">
        <v>1</v>
      </c>
      <c r="Q90" s="69" t="s">
        <v>1</v>
      </c>
      <c r="R90" s="95" t="s">
        <v>1</v>
      </c>
      <c r="S90" s="35"/>
      <c r="T90" s="35" t="n">
        <f aca="false">SUM(T81:T89)</f>
        <v>0</v>
      </c>
      <c r="U90" s="37"/>
      <c r="V90" s="37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4"/>
      <c r="BR90" s="154"/>
      <c r="BS90" s="154"/>
      <c r="BT90" s="154"/>
      <c r="BU90" s="154"/>
      <c r="BV90" s="154"/>
      <c r="BW90" s="154"/>
      <c r="BX90" s="154"/>
      <c r="BY90" s="154"/>
      <c r="BZ90" s="154"/>
      <c r="CA90" s="154"/>
      <c r="CB90" s="154"/>
      <c r="CC90" s="154"/>
      <c r="CD90" s="154"/>
      <c r="CE90" s="154"/>
      <c r="CF90" s="154"/>
      <c r="CG90" s="154"/>
      <c r="CH90" s="154"/>
      <c r="CI90" s="154"/>
      <c r="CJ90" s="154"/>
      <c r="CK90" s="154"/>
      <c r="CL90" s="154"/>
      <c r="CM90" s="154"/>
      <c r="CN90" s="154"/>
      <c r="CO90" s="154"/>
      <c r="CP90" s="154"/>
      <c r="CQ90" s="154"/>
      <c r="CR90" s="154"/>
      <c r="CS90" s="154"/>
      <c r="CT90" s="154"/>
      <c r="CU90" s="154"/>
      <c r="CV90" s="154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4"/>
      <c r="EN90" s="154"/>
      <c r="EO90" s="154"/>
      <c r="EP90" s="154"/>
      <c r="EQ90" s="154"/>
      <c r="ER90" s="154"/>
      <c r="ES90" s="154"/>
      <c r="ET90" s="154"/>
      <c r="EU90" s="154"/>
      <c r="EV90" s="154"/>
      <c r="EW90" s="154"/>
      <c r="EX90" s="154"/>
      <c r="EY90" s="154"/>
      <c r="EZ90" s="154"/>
      <c r="FA90" s="154"/>
      <c r="FB90" s="154"/>
      <c r="FC90" s="154"/>
      <c r="FD90" s="154"/>
      <c r="FE90" s="154"/>
      <c r="FF90" s="154"/>
      <c r="FG90" s="154"/>
      <c r="FH90" s="154"/>
      <c r="FI90" s="154"/>
      <c r="FJ90" s="154"/>
      <c r="FK90" s="154"/>
      <c r="FL90" s="154"/>
      <c r="FM90" s="154"/>
      <c r="FN90" s="154"/>
      <c r="FO90" s="154"/>
      <c r="FP90" s="154"/>
      <c r="FQ90" s="154"/>
      <c r="FR90" s="154"/>
      <c r="FS90" s="154"/>
      <c r="FT90" s="154"/>
      <c r="FU90" s="154"/>
      <c r="FV90" s="154"/>
      <c r="FW90" s="154"/>
      <c r="FX90" s="154"/>
      <c r="FY90" s="154"/>
      <c r="FZ90" s="154"/>
      <c r="GA90" s="154"/>
      <c r="GB90" s="154"/>
      <c r="GC90" s="154"/>
      <c r="GD90" s="154"/>
      <c r="GE90" s="154"/>
      <c r="GF90" s="154"/>
      <c r="GG90" s="154"/>
      <c r="GH90" s="154"/>
      <c r="GI90" s="154"/>
      <c r="GJ90" s="154"/>
      <c r="GK90" s="154"/>
      <c r="GL90" s="154"/>
      <c r="GM90" s="154"/>
      <c r="GN90" s="154"/>
      <c r="GO90" s="154"/>
      <c r="GP90" s="154"/>
      <c r="GQ90" s="154"/>
      <c r="GR90" s="154"/>
      <c r="GS90" s="154"/>
      <c r="GT90" s="154"/>
      <c r="GU90" s="154"/>
      <c r="GV90" s="154"/>
      <c r="GW90" s="154"/>
      <c r="GX90" s="154"/>
      <c r="GY90" s="154"/>
      <c r="GZ90" s="154"/>
      <c r="HA90" s="154"/>
      <c r="HB90" s="154"/>
      <c r="HC90" s="154"/>
      <c r="HD90" s="154"/>
      <c r="HE90" s="154"/>
      <c r="HF90" s="154"/>
      <c r="HG90" s="154"/>
      <c r="HH90" s="154"/>
      <c r="HI90" s="154"/>
      <c r="HJ90" s="154"/>
      <c r="HK90" s="154"/>
      <c r="HL90" s="154"/>
      <c r="HM90" s="154"/>
      <c r="HN90" s="154"/>
      <c r="HO90" s="154"/>
      <c r="HP90" s="154"/>
      <c r="HQ90" s="154"/>
      <c r="HR90" s="154"/>
      <c r="HS90" s="154"/>
      <c r="HT90" s="154"/>
      <c r="HU90" s="154"/>
      <c r="HV90" s="154"/>
      <c r="HW90" s="154"/>
      <c r="HX90" s="154"/>
      <c r="HY90" s="154"/>
      <c r="HZ90" s="154"/>
      <c r="IA90" s="154"/>
      <c r="IB90" s="154"/>
      <c r="IC90" s="154"/>
      <c r="ID90" s="154"/>
      <c r="IE90" s="154"/>
      <c r="IF90" s="154"/>
      <c r="IG90" s="154"/>
      <c r="IH90" s="154"/>
      <c r="II90" s="154"/>
      <c r="IJ90" s="154"/>
      <c r="IK90" s="154"/>
      <c r="IL90" s="154"/>
      <c r="IM90" s="154"/>
      <c r="IN90" s="154"/>
      <c r="IO90" s="154"/>
      <c r="IP90" s="154"/>
      <c r="IQ90" s="154"/>
      <c r="IR90" s="154"/>
      <c r="IS90" s="154"/>
      <c r="IT90" s="154"/>
      <c r="IU90" s="154"/>
      <c r="IV90" s="154"/>
      <c r="IW90" s="154"/>
    </row>
    <row r="91" customFormat="false" ht="12.75" hidden="false" customHeight="false" outlineLevel="0" collapsed="false">
      <c r="A91" s="95"/>
      <c r="B91" s="69"/>
      <c r="C91" s="69"/>
      <c r="D91" s="96"/>
      <c r="E91" s="96"/>
      <c r="F91" s="95"/>
      <c r="G91" s="95"/>
      <c r="H91" s="69"/>
      <c r="I91" s="98"/>
      <c r="J91" s="68"/>
      <c r="K91" s="68"/>
      <c r="L91" s="68"/>
      <c r="M91" s="68"/>
      <c r="N91" s="99"/>
      <c r="O91" s="68"/>
      <c r="P91" s="153"/>
      <c r="Q91" s="69" t="n">
        <f aca="false">SUM(Q82:Q90)</f>
        <v>60530</v>
      </c>
      <c r="R91" s="95" t="s">
        <v>164</v>
      </c>
      <c r="S91" s="101" t="n">
        <f aca="false">SUM(S82:S90)</f>
        <v>406201.4</v>
      </c>
      <c r="T91" s="35"/>
      <c r="U91" s="36"/>
      <c r="V91" s="37"/>
      <c r="W91" s="37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4"/>
      <c r="BR91" s="154"/>
      <c r="BS91" s="154"/>
      <c r="BT91" s="154"/>
      <c r="BU91" s="154"/>
      <c r="BV91" s="154"/>
      <c r="BW91" s="154"/>
      <c r="BX91" s="154"/>
      <c r="BY91" s="154"/>
      <c r="BZ91" s="154"/>
      <c r="CA91" s="154"/>
      <c r="CB91" s="154"/>
      <c r="CC91" s="154"/>
      <c r="CD91" s="154"/>
      <c r="CE91" s="154"/>
      <c r="CF91" s="154"/>
      <c r="CG91" s="154"/>
      <c r="CH91" s="154"/>
      <c r="CI91" s="154"/>
      <c r="CJ91" s="154"/>
      <c r="CK91" s="154"/>
      <c r="CL91" s="154"/>
      <c r="CM91" s="154"/>
      <c r="CN91" s="154"/>
      <c r="CO91" s="154"/>
      <c r="CP91" s="154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54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54"/>
      <c r="EL91" s="154"/>
      <c r="EM91" s="154"/>
      <c r="EN91" s="154"/>
      <c r="EO91" s="154"/>
      <c r="EP91" s="154"/>
      <c r="EQ91" s="154"/>
      <c r="ER91" s="154"/>
      <c r="ES91" s="154"/>
      <c r="ET91" s="154"/>
      <c r="EU91" s="154"/>
      <c r="EV91" s="154"/>
      <c r="EW91" s="154"/>
      <c r="EX91" s="154"/>
      <c r="EY91" s="154"/>
      <c r="EZ91" s="154"/>
      <c r="FA91" s="154"/>
      <c r="FB91" s="154"/>
      <c r="FC91" s="154"/>
      <c r="FD91" s="154"/>
      <c r="FE91" s="154"/>
      <c r="FF91" s="154"/>
      <c r="FG91" s="154"/>
      <c r="FH91" s="154"/>
      <c r="FI91" s="154"/>
      <c r="FJ91" s="154"/>
      <c r="FK91" s="154"/>
      <c r="FL91" s="154"/>
      <c r="FM91" s="154"/>
      <c r="FN91" s="154"/>
      <c r="FO91" s="154"/>
      <c r="FP91" s="154"/>
      <c r="FQ91" s="154"/>
      <c r="FR91" s="154"/>
      <c r="FS91" s="154"/>
      <c r="FT91" s="154"/>
      <c r="FU91" s="154"/>
      <c r="FV91" s="154"/>
      <c r="FW91" s="154"/>
      <c r="FX91" s="154"/>
      <c r="FY91" s="154"/>
      <c r="FZ91" s="154"/>
      <c r="GA91" s="154"/>
      <c r="GB91" s="154"/>
      <c r="GC91" s="154"/>
      <c r="GD91" s="154"/>
      <c r="GE91" s="154"/>
      <c r="GF91" s="154"/>
      <c r="GG91" s="154"/>
      <c r="GH91" s="154"/>
      <c r="GI91" s="154"/>
      <c r="GJ91" s="154"/>
      <c r="GK91" s="154"/>
      <c r="GL91" s="154"/>
      <c r="GM91" s="154"/>
      <c r="GN91" s="154"/>
      <c r="GO91" s="154"/>
      <c r="GP91" s="154"/>
      <c r="GQ91" s="154"/>
      <c r="GR91" s="154"/>
      <c r="GS91" s="154"/>
      <c r="GT91" s="154"/>
      <c r="GU91" s="154"/>
      <c r="GV91" s="154"/>
      <c r="GW91" s="154"/>
      <c r="GX91" s="154"/>
      <c r="GY91" s="154"/>
      <c r="GZ91" s="154"/>
      <c r="HA91" s="154"/>
      <c r="HB91" s="154"/>
      <c r="HC91" s="154"/>
      <c r="HD91" s="154"/>
      <c r="HE91" s="154"/>
      <c r="HF91" s="154"/>
      <c r="HG91" s="154"/>
      <c r="HH91" s="154"/>
      <c r="HI91" s="154"/>
      <c r="HJ91" s="154"/>
      <c r="HK91" s="154"/>
      <c r="HL91" s="154"/>
      <c r="HM91" s="154"/>
      <c r="HN91" s="154"/>
      <c r="HO91" s="154"/>
      <c r="HP91" s="154"/>
      <c r="HQ91" s="154"/>
      <c r="HR91" s="154"/>
      <c r="HS91" s="154"/>
      <c r="HT91" s="154"/>
      <c r="HU91" s="154"/>
      <c r="HV91" s="154"/>
      <c r="HW91" s="154"/>
      <c r="HX91" s="154"/>
      <c r="HY91" s="154"/>
      <c r="HZ91" s="154"/>
      <c r="IA91" s="154"/>
      <c r="IB91" s="154"/>
      <c r="IC91" s="154"/>
      <c r="ID91" s="154"/>
      <c r="IE91" s="154"/>
      <c r="IF91" s="154"/>
      <c r="IG91" s="154"/>
      <c r="IH91" s="154"/>
      <c r="II91" s="154"/>
      <c r="IJ91" s="154"/>
      <c r="IK91" s="154"/>
      <c r="IL91" s="154"/>
      <c r="IM91" s="154"/>
      <c r="IN91" s="154"/>
      <c r="IO91" s="154"/>
      <c r="IP91" s="154"/>
      <c r="IQ91" s="154"/>
      <c r="IR91" s="154"/>
      <c r="IS91" s="154"/>
      <c r="IT91" s="154"/>
      <c r="IU91" s="154"/>
      <c r="IV91" s="154"/>
      <c r="IW91" s="154"/>
    </row>
    <row r="92" customFormat="false" ht="12.75" hidden="false" customHeight="false" outlineLevel="0" collapsed="false">
      <c r="A92" s="15"/>
      <c r="B92" s="16"/>
      <c r="C92" s="16"/>
      <c r="D92" s="17"/>
      <c r="E92" s="17"/>
      <c r="F92" s="15"/>
      <c r="G92" s="15"/>
      <c r="H92" s="16"/>
      <c r="I92" s="19"/>
      <c r="J92" s="20"/>
      <c r="K92" s="20"/>
      <c r="L92" s="20"/>
      <c r="M92" s="20"/>
      <c r="N92" s="25"/>
      <c r="O92" s="20"/>
      <c r="P92" s="22"/>
      <c r="Q92" s="71"/>
      <c r="R92" s="95" t="s">
        <v>165</v>
      </c>
      <c r="S92" s="101" t="n">
        <f aca="false">SUM(S82)</f>
        <v>396200</v>
      </c>
      <c r="T92" s="23"/>
      <c r="U92" s="26"/>
      <c r="V92" s="24"/>
      <c r="W92" s="24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3.5" hidden="false" customHeight="false" outlineLevel="0" collapsed="false">
      <c r="A93" s="15"/>
      <c r="B93" s="16"/>
      <c r="C93" s="16"/>
      <c r="D93" s="17"/>
      <c r="E93" s="17"/>
      <c r="F93" s="15"/>
      <c r="G93" s="15"/>
      <c r="H93" s="16"/>
      <c r="I93" s="19"/>
      <c r="J93" s="20"/>
      <c r="K93" s="20"/>
      <c r="L93" s="20"/>
      <c r="M93" s="20"/>
      <c r="N93" s="25"/>
      <c r="O93" s="20"/>
      <c r="P93" s="22"/>
      <c r="Q93" s="71"/>
      <c r="R93" s="95" t="s">
        <v>166</v>
      </c>
      <c r="S93" s="135" t="n">
        <f aca="false">+S91-S92</f>
        <v>10001.4</v>
      </c>
      <c r="T93" s="23"/>
      <c r="U93" s="26"/>
      <c r="V93" s="24"/>
      <c r="W93" s="24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3.5" hidden="false" customHeight="false" outlineLevel="0" collapsed="false">
      <c r="A94" s="15"/>
      <c r="B94" s="16"/>
      <c r="C94" s="16"/>
      <c r="D94" s="17"/>
      <c r="E94" s="17"/>
      <c r="F94" s="15"/>
      <c r="G94" s="15"/>
      <c r="H94" s="16"/>
      <c r="I94" s="19"/>
      <c r="J94" s="20"/>
      <c r="K94" s="20"/>
      <c r="L94" s="20"/>
      <c r="M94" s="20"/>
      <c r="N94" s="25"/>
      <c r="O94" s="20"/>
      <c r="P94" s="22"/>
      <c r="Q94" s="16"/>
      <c r="R94" s="15"/>
      <c r="S94" s="23"/>
      <c r="T94" s="23"/>
      <c r="U94" s="26"/>
      <c r="V94" s="24"/>
      <c r="W94" s="24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false" customHeight="false" outlineLevel="0" collapsed="false">
      <c r="A95" s="127" t="s">
        <v>108</v>
      </c>
      <c r="B95" s="128" t="s">
        <v>109</v>
      </c>
      <c r="C95" s="128" t="s">
        <v>110</v>
      </c>
      <c r="D95" s="129" t="s">
        <v>111</v>
      </c>
      <c r="E95" s="129"/>
      <c r="F95" s="127" t="s">
        <v>112</v>
      </c>
      <c r="G95" s="127" t="s">
        <v>113</v>
      </c>
      <c r="H95" s="128" t="s">
        <v>114</v>
      </c>
      <c r="I95" s="130" t="s">
        <v>115</v>
      </c>
      <c r="J95" s="128" t="s">
        <v>116</v>
      </c>
      <c r="K95" s="128" t="s">
        <v>117</v>
      </c>
      <c r="L95" s="128" t="s">
        <v>118</v>
      </c>
      <c r="M95" s="128" t="s">
        <v>119</v>
      </c>
      <c r="N95" s="128" t="s">
        <v>272</v>
      </c>
      <c r="O95" s="128" t="s">
        <v>121</v>
      </c>
      <c r="P95" s="132" t="s">
        <v>122</v>
      </c>
      <c r="Q95" s="128" t="s">
        <v>123</v>
      </c>
      <c r="R95" s="127" t="s">
        <v>124</v>
      </c>
      <c r="S95" s="155" t="s">
        <v>243</v>
      </c>
      <c r="T95" s="109" t="s">
        <v>244</v>
      </c>
      <c r="U95" s="112"/>
      <c r="V95" s="112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  <c r="BI95" s="134"/>
      <c r="BJ95" s="134"/>
      <c r="BK95" s="134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4"/>
      <c r="BX95" s="134"/>
      <c r="BY95" s="134"/>
      <c r="BZ95" s="134"/>
      <c r="CA95" s="134"/>
      <c r="CB95" s="134"/>
      <c r="CC95" s="134"/>
      <c r="CD95" s="134"/>
      <c r="CE95" s="134"/>
      <c r="CF95" s="134"/>
      <c r="CG95" s="134"/>
      <c r="CH95" s="134"/>
      <c r="CI95" s="134"/>
      <c r="CJ95" s="134"/>
      <c r="CK95" s="134"/>
      <c r="CL95" s="134"/>
      <c r="CM95" s="134"/>
      <c r="CN95" s="134"/>
      <c r="CO95" s="134"/>
      <c r="CP95" s="134"/>
      <c r="CQ95" s="134"/>
      <c r="CR95" s="134"/>
      <c r="CS95" s="134"/>
      <c r="CT95" s="134"/>
      <c r="CU95" s="134"/>
      <c r="CV95" s="134"/>
      <c r="CW95" s="134"/>
      <c r="CX95" s="134"/>
      <c r="CY95" s="134"/>
      <c r="CZ95" s="134"/>
      <c r="DA95" s="134"/>
      <c r="DB95" s="134"/>
      <c r="DC95" s="134"/>
      <c r="DD95" s="134"/>
      <c r="DE95" s="134"/>
      <c r="DF95" s="134"/>
      <c r="DG95" s="134"/>
      <c r="DH95" s="134"/>
      <c r="DI95" s="134"/>
      <c r="DJ95" s="134"/>
      <c r="DK95" s="134"/>
      <c r="DL95" s="134"/>
      <c r="DM95" s="134"/>
      <c r="DN95" s="134"/>
      <c r="DO95" s="134"/>
      <c r="DP95" s="134"/>
      <c r="DQ95" s="134"/>
      <c r="DR95" s="134"/>
      <c r="DS95" s="134"/>
      <c r="DT95" s="134"/>
      <c r="DU95" s="134"/>
      <c r="DV95" s="134"/>
      <c r="DW95" s="134"/>
      <c r="DX95" s="134"/>
      <c r="DY95" s="134"/>
      <c r="DZ95" s="134"/>
      <c r="EA95" s="134"/>
      <c r="EB95" s="134"/>
      <c r="EC95" s="134"/>
      <c r="ED95" s="134"/>
      <c r="EE95" s="134"/>
      <c r="EF95" s="134"/>
      <c r="EG95" s="134"/>
      <c r="EH95" s="134"/>
      <c r="EI95" s="134"/>
      <c r="EJ95" s="134"/>
      <c r="EK95" s="134"/>
      <c r="EL95" s="134"/>
      <c r="EM95" s="134"/>
      <c r="EN95" s="134"/>
      <c r="EO95" s="134"/>
      <c r="EP95" s="134"/>
      <c r="EQ95" s="134"/>
      <c r="ER95" s="134"/>
      <c r="ES95" s="134"/>
      <c r="ET95" s="134"/>
      <c r="EU95" s="134"/>
      <c r="EV95" s="134"/>
      <c r="EW95" s="134"/>
      <c r="EX95" s="134"/>
      <c r="EY95" s="134"/>
      <c r="EZ95" s="134"/>
      <c r="FA95" s="134"/>
      <c r="FB95" s="134"/>
      <c r="FC95" s="134"/>
      <c r="FD95" s="134"/>
      <c r="FE95" s="134"/>
      <c r="FF95" s="134"/>
      <c r="FG95" s="134"/>
      <c r="FH95" s="134"/>
      <c r="FI95" s="134"/>
      <c r="FJ95" s="134"/>
      <c r="FK95" s="134"/>
      <c r="FL95" s="134"/>
      <c r="FM95" s="134"/>
      <c r="FN95" s="134"/>
      <c r="FO95" s="134"/>
      <c r="FP95" s="134"/>
      <c r="FQ95" s="134"/>
      <c r="FR95" s="134"/>
      <c r="FS95" s="134"/>
      <c r="FT95" s="134"/>
      <c r="FU95" s="134"/>
      <c r="FV95" s="134"/>
      <c r="FW95" s="134"/>
      <c r="FX95" s="134"/>
      <c r="FY95" s="134"/>
      <c r="FZ95" s="134"/>
      <c r="GA95" s="134"/>
      <c r="GB95" s="134"/>
      <c r="GC95" s="134"/>
      <c r="GD95" s="134"/>
      <c r="GE95" s="134"/>
      <c r="GF95" s="134"/>
      <c r="GG95" s="134"/>
      <c r="GH95" s="134"/>
      <c r="GI95" s="134"/>
      <c r="GJ95" s="134"/>
      <c r="GK95" s="134"/>
      <c r="GL95" s="134"/>
      <c r="GM95" s="134"/>
      <c r="GN95" s="134"/>
      <c r="GO95" s="134"/>
      <c r="GP95" s="134"/>
      <c r="GQ95" s="134"/>
      <c r="GR95" s="134"/>
      <c r="GS95" s="134"/>
      <c r="GT95" s="134"/>
      <c r="GU95" s="134"/>
      <c r="GV95" s="134"/>
      <c r="GW95" s="134"/>
      <c r="GX95" s="134"/>
      <c r="GY95" s="134"/>
      <c r="GZ95" s="134"/>
      <c r="HA95" s="134"/>
      <c r="HB95" s="134"/>
      <c r="HC95" s="134"/>
      <c r="HD95" s="134"/>
      <c r="HE95" s="134"/>
      <c r="HF95" s="134"/>
      <c r="HG95" s="134"/>
      <c r="HH95" s="134"/>
      <c r="HI95" s="134"/>
      <c r="HJ95" s="134"/>
      <c r="HK95" s="134"/>
      <c r="HL95" s="134"/>
      <c r="HM95" s="134"/>
      <c r="HN95" s="134"/>
      <c r="HO95" s="134"/>
      <c r="HP95" s="134"/>
      <c r="HQ95" s="134"/>
      <c r="HR95" s="134"/>
      <c r="HS95" s="134"/>
      <c r="HT95" s="134"/>
      <c r="HU95" s="134"/>
      <c r="HV95" s="134"/>
      <c r="HW95" s="134"/>
      <c r="HX95" s="134"/>
      <c r="HY95" s="134"/>
      <c r="HZ95" s="134"/>
      <c r="IA95" s="134"/>
      <c r="IB95" s="134"/>
      <c r="IC95" s="134"/>
      <c r="ID95" s="134"/>
      <c r="IE95" s="134"/>
      <c r="IF95" s="134"/>
      <c r="IG95" s="134"/>
      <c r="IH95" s="134"/>
      <c r="II95" s="134"/>
      <c r="IJ95" s="134"/>
      <c r="IK95" s="134"/>
      <c r="IL95" s="134"/>
      <c r="IM95" s="134"/>
      <c r="IN95" s="134"/>
      <c r="IO95" s="134"/>
      <c r="IP95" s="134"/>
      <c r="IQ95" s="134"/>
      <c r="IR95" s="134"/>
      <c r="IS95" s="134"/>
      <c r="IT95" s="134"/>
      <c r="IU95" s="134"/>
      <c r="IV95" s="134"/>
      <c r="IW95" s="134"/>
    </row>
    <row r="96" customFormat="false" ht="12.75" hidden="false" customHeight="false" outlineLevel="0" collapsed="false">
      <c r="A96" s="15" t="s">
        <v>144</v>
      </c>
      <c r="B96" s="34" t="s">
        <v>273</v>
      </c>
      <c r="C96" s="16" t="s">
        <v>274</v>
      </c>
      <c r="D96" s="17" t="n">
        <v>36647</v>
      </c>
      <c r="E96" s="17" t="n">
        <v>36830</v>
      </c>
      <c r="F96" s="15" t="s">
        <v>275</v>
      </c>
      <c r="G96" s="15" t="s">
        <v>276</v>
      </c>
      <c r="H96" s="34" t="s">
        <v>154</v>
      </c>
      <c r="I96" s="19" t="n">
        <f aca="false">1.38/I$1</f>
        <v>0.0445161290322581</v>
      </c>
      <c r="J96" s="20"/>
      <c r="K96" s="20"/>
      <c r="L96" s="20"/>
      <c r="M96" s="20"/>
      <c r="N96" s="20"/>
      <c r="O96" s="20"/>
      <c r="P96" s="156" t="s">
        <v>277</v>
      </c>
      <c r="Q96" s="16" t="n">
        <v>10000</v>
      </c>
      <c r="R96" s="15" t="s">
        <v>278</v>
      </c>
      <c r="S96" s="23" t="n">
        <f aca="false">I96*$I$1*Q96</f>
        <v>13800</v>
      </c>
      <c r="T96" s="23"/>
      <c r="U96" s="24" t="n">
        <v>253067</v>
      </c>
      <c r="V96" s="24"/>
      <c r="W96" s="27"/>
    </row>
    <row r="97" customFormat="false" ht="12.75" hidden="false" customHeight="false" outlineLevel="0" collapsed="false">
      <c r="A97" s="38" t="s">
        <v>144</v>
      </c>
      <c r="B97" s="157" t="s">
        <v>273</v>
      </c>
      <c r="C97" s="76" t="s">
        <v>274</v>
      </c>
      <c r="D97" s="77" t="n">
        <v>36678</v>
      </c>
      <c r="E97" s="77" t="n">
        <v>36830</v>
      </c>
      <c r="F97" s="38" t="s">
        <v>275</v>
      </c>
      <c r="G97" s="38" t="s">
        <v>276</v>
      </c>
      <c r="H97" s="157" t="s">
        <v>154</v>
      </c>
      <c r="I97" s="78" t="n">
        <f aca="false">2.05/I$1</f>
        <v>0.0661290322580645</v>
      </c>
      <c r="J97" s="79"/>
      <c r="K97" s="79"/>
      <c r="L97" s="79"/>
      <c r="M97" s="79"/>
      <c r="N97" s="79"/>
      <c r="O97" s="79"/>
      <c r="P97" s="158" t="s">
        <v>279</v>
      </c>
      <c r="Q97" s="76" t="n">
        <v>6500</v>
      </c>
      <c r="R97" s="38" t="s">
        <v>280</v>
      </c>
      <c r="S97" s="82" t="n">
        <f aca="false">I97*$I$1*Q97</f>
        <v>13325</v>
      </c>
      <c r="T97" s="82"/>
      <c r="U97" s="84" t="n">
        <v>282594</v>
      </c>
      <c r="V97" s="84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59"/>
      <c r="AT97" s="159"/>
      <c r="AU97" s="159"/>
      <c r="AV97" s="159"/>
      <c r="AW97" s="159"/>
      <c r="AX97" s="159"/>
      <c r="AY97" s="159"/>
      <c r="AZ97" s="159"/>
      <c r="BA97" s="159"/>
      <c r="BB97" s="159"/>
      <c r="BC97" s="159"/>
      <c r="BD97" s="159"/>
      <c r="BE97" s="159"/>
      <c r="BF97" s="159"/>
      <c r="BG97" s="159"/>
      <c r="BH97" s="159"/>
      <c r="BI97" s="159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159"/>
      <c r="BX97" s="159"/>
      <c r="BY97" s="159"/>
      <c r="BZ97" s="159"/>
      <c r="CA97" s="159"/>
      <c r="CB97" s="159"/>
      <c r="CC97" s="159"/>
      <c r="CD97" s="159"/>
      <c r="CE97" s="159"/>
      <c r="CF97" s="159"/>
      <c r="CG97" s="159"/>
      <c r="CH97" s="159"/>
      <c r="CI97" s="159"/>
      <c r="CJ97" s="159"/>
      <c r="CK97" s="159"/>
      <c r="CL97" s="159"/>
      <c r="CM97" s="159"/>
      <c r="CN97" s="159"/>
      <c r="CO97" s="159"/>
      <c r="CP97" s="159"/>
      <c r="CQ97" s="159"/>
      <c r="CR97" s="159"/>
      <c r="CS97" s="159"/>
      <c r="CT97" s="159"/>
      <c r="CU97" s="159"/>
      <c r="CV97" s="159"/>
      <c r="CW97" s="159"/>
      <c r="CX97" s="159"/>
      <c r="CY97" s="159"/>
      <c r="CZ97" s="159"/>
      <c r="DA97" s="159"/>
      <c r="DB97" s="159"/>
      <c r="DC97" s="159"/>
      <c r="DD97" s="159"/>
      <c r="DE97" s="159"/>
      <c r="DF97" s="159"/>
      <c r="DG97" s="159"/>
      <c r="DH97" s="159"/>
      <c r="DI97" s="159"/>
      <c r="DJ97" s="159"/>
      <c r="DK97" s="159"/>
      <c r="DL97" s="159"/>
      <c r="DM97" s="159"/>
      <c r="DN97" s="159"/>
      <c r="DO97" s="159"/>
      <c r="DP97" s="159"/>
      <c r="DQ97" s="159"/>
      <c r="DR97" s="159"/>
      <c r="DS97" s="159"/>
      <c r="DT97" s="159"/>
      <c r="DU97" s="159"/>
      <c r="DV97" s="159"/>
      <c r="DW97" s="159"/>
      <c r="DX97" s="159"/>
      <c r="DY97" s="159"/>
      <c r="DZ97" s="159"/>
      <c r="EA97" s="159"/>
      <c r="EB97" s="159"/>
      <c r="EC97" s="159"/>
      <c r="ED97" s="159"/>
      <c r="EE97" s="159"/>
      <c r="EF97" s="159"/>
      <c r="EG97" s="159"/>
      <c r="EH97" s="159"/>
      <c r="EI97" s="159"/>
      <c r="EJ97" s="159"/>
      <c r="EK97" s="159"/>
      <c r="EL97" s="159"/>
      <c r="EM97" s="159"/>
      <c r="EN97" s="159"/>
      <c r="EO97" s="159"/>
      <c r="EP97" s="159"/>
      <c r="EQ97" s="159"/>
      <c r="ER97" s="159"/>
      <c r="ES97" s="159"/>
      <c r="ET97" s="159"/>
      <c r="EU97" s="159"/>
      <c r="EV97" s="159"/>
      <c r="EW97" s="159"/>
      <c r="EX97" s="159"/>
      <c r="EY97" s="159"/>
      <c r="EZ97" s="159"/>
      <c r="FA97" s="159"/>
      <c r="FB97" s="159"/>
      <c r="FC97" s="159"/>
      <c r="FD97" s="159"/>
      <c r="FE97" s="159"/>
      <c r="FF97" s="159"/>
      <c r="FG97" s="159"/>
      <c r="FH97" s="159"/>
      <c r="FI97" s="159"/>
      <c r="FJ97" s="159"/>
      <c r="FK97" s="159"/>
      <c r="FL97" s="159"/>
      <c r="FM97" s="159"/>
      <c r="FN97" s="159"/>
      <c r="FO97" s="159"/>
      <c r="FP97" s="159"/>
      <c r="FQ97" s="159"/>
      <c r="FR97" s="159"/>
      <c r="FS97" s="159"/>
      <c r="FT97" s="159"/>
      <c r="FU97" s="159"/>
      <c r="FV97" s="159"/>
      <c r="FW97" s="159"/>
      <c r="FX97" s="159"/>
      <c r="FY97" s="159"/>
      <c r="FZ97" s="159"/>
      <c r="GA97" s="159"/>
      <c r="GB97" s="159"/>
      <c r="GC97" s="159"/>
      <c r="GD97" s="159"/>
      <c r="GE97" s="159"/>
      <c r="GF97" s="159"/>
      <c r="GG97" s="159"/>
      <c r="GH97" s="159"/>
      <c r="GI97" s="159"/>
      <c r="GJ97" s="159"/>
      <c r="GK97" s="159"/>
      <c r="GL97" s="159"/>
      <c r="GM97" s="159"/>
      <c r="GN97" s="159"/>
      <c r="GO97" s="159"/>
      <c r="GP97" s="159"/>
      <c r="GQ97" s="159"/>
      <c r="GR97" s="159"/>
      <c r="GS97" s="159"/>
      <c r="GT97" s="159"/>
      <c r="GU97" s="159"/>
      <c r="GV97" s="159"/>
      <c r="GW97" s="159"/>
      <c r="GX97" s="159"/>
      <c r="GY97" s="159"/>
      <c r="GZ97" s="159"/>
      <c r="HA97" s="159"/>
      <c r="HB97" s="159"/>
      <c r="HC97" s="159"/>
      <c r="HD97" s="159"/>
      <c r="HE97" s="159"/>
      <c r="HF97" s="159"/>
      <c r="HG97" s="159"/>
      <c r="HH97" s="159"/>
      <c r="HI97" s="159"/>
      <c r="HJ97" s="159"/>
      <c r="HK97" s="159"/>
      <c r="HL97" s="159"/>
      <c r="HM97" s="159"/>
      <c r="HN97" s="159"/>
      <c r="HO97" s="159"/>
      <c r="HP97" s="159"/>
      <c r="HQ97" s="159"/>
      <c r="HR97" s="159"/>
      <c r="HS97" s="159"/>
      <c r="HT97" s="159"/>
      <c r="HU97" s="159"/>
      <c r="HV97" s="159"/>
      <c r="HW97" s="159"/>
      <c r="HX97" s="159"/>
      <c r="HY97" s="159"/>
      <c r="HZ97" s="159"/>
      <c r="IA97" s="159"/>
      <c r="IB97" s="159"/>
      <c r="IC97" s="159"/>
      <c r="ID97" s="159"/>
      <c r="IE97" s="159"/>
      <c r="IF97" s="159"/>
      <c r="IG97" s="159"/>
      <c r="IH97" s="159"/>
      <c r="II97" s="159"/>
      <c r="IJ97" s="159"/>
      <c r="IK97" s="159"/>
      <c r="IL97" s="159"/>
      <c r="IM97" s="159"/>
      <c r="IN97" s="159"/>
      <c r="IO97" s="159"/>
      <c r="IP97" s="159"/>
      <c r="IQ97" s="159"/>
      <c r="IR97" s="159"/>
      <c r="IS97" s="159"/>
      <c r="IT97" s="159"/>
      <c r="IU97" s="159"/>
      <c r="IV97" s="159"/>
      <c r="IW97" s="159"/>
    </row>
    <row r="98" customFormat="false" ht="12.75" hidden="false" customHeight="false" outlineLevel="0" collapsed="false">
      <c r="N98" s="27"/>
      <c r="P98" s="1"/>
      <c r="Q98" s="1"/>
      <c r="S98" s="160"/>
      <c r="W98" s="27"/>
    </row>
    <row r="99" customFormat="false" ht="12.75" hidden="false" customHeight="false" outlineLevel="0" collapsed="false">
      <c r="A99" s="95"/>
      <c r="B99" s="69"/>
      <c r="C99" s="69"/>
      <c r="D99" s="96"/>
      <c r="E99" s="96"/>
      <c r="F99" s="95"/>
      <c r="G99" s="95"/>
      <c r="H99" s="69"/>
      <c r="I99" s="98"/>
      <c r="J99" s="68"/>
      <c r="K99" s="68"/>
      <c r="L99" s="68"/>
      <c r="M99" s="68"/>
      <c r="N99" s="99"/>
      <c r="O99" s="68"/>
      <c r="P99" s="153"/>
      <c r="Q99" s="69" t="n">
        <f aca="false">SUM(Q97:Q98)</f>
        <v>6500</v>
      </c>
      <c r="R99" s="95" t="s">
        <v>164</v>
      </c>
      <c r="S99" s="101" t="n">
        <f aca="false">SUM(S96:S98)</f>
        <v>27125</v>
      </c>
      <c r="T99" s="35"/>
      <c r="U99" s="36"/>
      <c r="V99" s="37"/>
      <c r="W99" s="37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  <c r="GL99" s="154"/>
      <c r="GM99" s="154"/>
      <c r="GN99" s="154"/>
      <c r="GO99" s="154"/>
      <c r="GP99" s="154"/>
      <c r="GQ99" s="154"/>
      <c r="GR99" s="154"/>
      <c r="GS99" s="154"/>
      <c r="GT99" s="154"/>
      <c r="GU99" s="154"/>
      <c r="GV99" s="154"/>
      <c r="GW99" s="154"/>
      <c r="GX99" s="154"/>
      <c r="GY99" s="154"/>
      <c r="GZ99" s="154"/>
      <c r="HA99" s="154"/>
      <c r="HB99" s="154"/>
      <c r="HC99" s="154"/>
      <c r="HD99" s="154"/>
      <c r="HE99" s="154"/>
      <c r="HF99" s="154"/>
      <c r="HG99" s="154"/>
      <c r="HH99" s="154"/>
      <c r="HI99" s="154"/>
      <c r="HJ99" s="154"/>
      <c r="HK99" s="154"/>
      <c r="HL99" s="154"/>
      <c r="HM99" s="154"/>
      <c r="HN99" s="154"/>
      <c r="HO99" s="154"/>
      <c r="HP99" s="154"/>
      <c r="HQ99" s="154"/>
      <c r="HR99" s="154"/>
      <c r="HS99" s="154"/>
      <c r="HT99" s="154"/>
      <c r="HU99" s="154"/>
      <c r="HV99" s="154"/>
      <c r="HW99" s="154"/>
      <c r="HX99" s="154"/>
      <c r="HY99" s="154"/>
      <c r="HZ99" s="154"/>
      <c r="IA99" s="154"/>
      <c r="IB99" s="154"/>
      <c r="IC99" s="154"/>
      <c r="ID99" s="154"/>
      <c r="IE99" s="154"/>
      <c r="IF99" s="154"/>
      <c r="IG99" s="154"/>
      <c r="IH99" s="154"/>
      <c r="II99" s="154"/>
      <c r="IJ99" s="154"/>
      <c r="IK99" s="154"/>
      <c r="IL99" s="154"/>
      <c r="IM99" s="154"/>
      <c r="IN99" s="154"/>
      <c r="IO99" s="154"/>
      <c r="IP99" s="154"/>
      <c r="IQ99" s="154"/>
      <c r="IR99" s="154"/>
      <c r="IS99" s="154"/>
      <c r="IT99" s="154"/>
      <c r="IU99" s="154"/>
      <c r="IV99" s="154"/>
      <c r="IW99" s="154"/>
    </row>
    <row r="100" customFormat="false" ht="12.75" hidden="false" customHeight="false" outlineLevel="0" collapsed="false">
      <c r="A100" s="15"/>
      <c r="B100" s="16"/>
      <c r="C100" s="16"/>
      <c r="D100" s="17"/>
      <c r="E100" s="17"/>
      <c r="F100" s="15"/>
      <c r="G100" s="15"/>
      <c r="H100" s="16"/>
      <c r="I100" s="19"/>
      <c r="J100" s="20"/>
      <c r="K100" s="20"/>
      <c r="L100" s="20"/>
      <c r="M100" s="20"/>
      <c r="N100" s="25"/>
      <c r="O100" s="20"/>
      <c r="P100" s="22"/>
      <c r="Q100" s="71"/>
      <c r="R100" s="95" t="s">
        <v>165</v>
      </c>
      <c r="S100" s="101" t="n">
        <v>0</v>
      </c>
      <c r="T100" s="23"/>
      <c r="U100" s="26"/>
      <c r="V100" s="24"/>
      <c r="W100" s="24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3.5" hidden="false" customHeight="false" outlineLevel="0" collapsed="false">
      <c r="A101" s="15"/>
      <c r="B101" s="16"/>
      <c r="C101" s="16"/>
      <c r="D101" s="17"/>
      <c r="E101" s="17"/>
      <c r="F101" s="15"/>
      <c r="G101" s="15"/>
      <c r="H101" s="16"/>
      <c r="I101" s="19"/>
      <c r="J101" s="20"/>
      <c r="K101" s="20"/>
      <c r="L101" s="20"/>
      <c r="M101" s="20"/>
      <c r="N101" s="25"/>
      <c r="O101" s="20"/>
      <c r="P101" s="22"/>
      <c r="Q101" s="71"/>
      <c r="R101" s="95" t="s">
        <v>166</v>
      </c>
      <c r="S101" s="102" t="n">
        <f aca="false">+S99-S100</f>
        <v>27125</v>
      </c>
      <c r="T101" s="23"/>
      <c r="U101" s="26"/>
      <c r="V101" s="24"/>
      <c r="W101" s="24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3.5" hidden="false" customHeight="false" outlineLevel="0" collapsed="false">
      <c r="A102" s="15"/>
      <c r="B102" s="16"/>
      <c r="C102" s="16"/>
      <c r="D102" s="17"/>
      <c r="E102" s="17"/>
      <c r="F102" s="15"/>
      <c r="G102" s="15"/>
      <c r="H102" s="16"/>
      <c r="I102" s="19"/>
      <c r="J102" s="20"/>
      <c r="K102" s="20"/>
      <c r="L102" s="20"/>
      <c r="M102" s="20"/>
      <c r="N102" s="25"/>
      <c r="O102" s="20"/>
      <c r="P102" s="22"/>
      <c r="Q102" s="16"/>
      <c r="R102" s="15"/>
      <c r="S102" s="23"/>
      <c r="T102" s="23"/>
      <c r="U102" s="26"/>
      <c r="V102" s="24"/>
      <c r="W102" s="24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15"/>
      <c r="B103" s="16"/>
      <c r="C103" s="16"/>
      <c r="D103" s="17"/>
      <c r="E103" s="17"/>
      <c r="F103" s="15"/>
      <c r="G103" s="15"/>
      <c r="H103" s="16"/>
      <c r="I103" s="19"/>
      <c r="J103" s="20"/>
      <c r="K103" s="68"/>
      <c r="L103" s="20"/>
      <c r="M103" s="20"/>
      <c r="N103" s="25"/>
      <c r="O103" s="20"/>
      <c r="P103" s="153"/>
      <c r="Q103" s="71"/>
      <c r="R103" s="69"/>
      <c r="S103" s="161"/>
      <c r="T103" s="35"/>
      <c r="U103" s="26"/>
      <c r="V103" s="24"/>
      <c r="W103" s="24"/>
    </row>
    <row r="104" customFormat="false" ht="12.75" hidden="false" customHeight="false" outlineLevel="0" collapsed="false">
      <c r="A104" s="15"/>
      <c r="B104" s="16"/>
      <c r="C104" s="16"/>
      <c r="D104" s="17"/>
      <c r="E104" s="17"/>
      <c r="F104" s="15"/>
      <c r="G104" s="15"/>
      <c r="H104" s="16"/>
      <c r="I104" s="19"/>
      <c r="J104" s="20"/>
      <c r="K104" s="68"/>
      <c r="L104" s="20"/>
      <c r="M104" s="20"/>
      <c r="N104" s="162"/>
      <c r="O104" s="20"/>
      <c r="P104" s="153"/>
      <c r="Q104" s="69"/>
      <c r="R104" s="69"/>
      <c r="S104" s="154"/>
      <c r="T104" s="73"/>
      <c r="V104" s="163"/>
      <c r="W104" s="163"/>
    </row>
    <row r="105" customFormat="false" ht="12.75" hidden="false" customHeight="false" outlineLevel="0" collapsed="false">
      <c r="A105" s="15"/>
      <c r="B105" s="16"/>
      <c r="C105" s="16"/>
      <c r="D105" s="17" t="s">
        <v>1</v>
      </c>
      <c r="E105" s="17"/>
      <c r="F105" s="15"/>
      <c r="G105" s="15"/>
      <c r="H105" s="16"/>
      <c r="I105" s="19"/>
      <c r="J105" s="20"/>
      <c r="K105" s="68"/>
      <c r="L105" s="20"/>
      <c r="M105" s="20"/>
      <c r="N105" s="25"/>
      <c r="O105" s="20"/>
      <c r="P105" s="153"/>
      <c r="Q105" s="45"/>
      <c r="R105" s="164" t="s">
        <v>281</v>
      </c>
      <c r="S105" s="165" t="n">
        <f aca="false">SUM(S18,S30,S53,S60,S68,S77,S91,S99)</f>
        <v>1281494.74061028</v>
      </c>
      <c r="T105" s="35"/>
      <c r="U105" s="36"/>
      <c r="V105" s="37"/>
      <c r="W105" s="37"/>
    </row>
    <row r="106" customFormat="false" ht="12.75" hidden="false" customHeight="false" outlineLevel="0" collapsed="false">
      <c r="A106" s="28"/>
      <c r="B106" s="16"/>
      <c r="C106" s="16"/>
      <c r="D106" s="17"/>
      <c r="E106" s="17"/>
      <c r="F106" s="15"/>
      <c r="G106" s="15"/>
      <c r="H106" s="16"/>
      <c r="I106" s="19"/>
      <c r="J106" s="20"/>
      <c r="K106" s="20"/>
      <c r="L106" s="20"/>
      <c r="M106" s="20"/>
      <c r="N106" s="25"/>
      <c r="O106" s="20"/>
      <c r="P106" s="153"/>
      <c r="Q106" s="71"/>
      <c r="R106" s="35" t="s">
        <v>282</v>
      </c>
      <c r="S106" s="165" t="n">
        <f aca="false">SUM(S19,S31,S54,S61,S69,S78,S92,S100)</f>
        <v>799131.8202</v>
      </c>
      <c r="T106" s="35"/>
      <c r="U106" s="36"/>
      <c r="V106" s="37"/>
      <c r="W106" s="37"/>
    </row>
    <row r="107" customFormat="false" ht="13.5" hidden="false" customHeight="false" outlineLevel="0" collapsed="false">
      <c r="A107" s="28"/>
      <c r="B107" s="16"/>
      <c r="C107" s="16"/>
      <c r="D107" s="17"/>
      <c r="E107" s="17"/>
      <c r="F107" s="15"/>
      <c r="G107" s="15"/>
      <c r="H107" s="16"/>
      <c r="I107" s="20"/>
      <c r="J107" s="20"/>
      <c r="K107" s="20"/>
      <c r="L107" s="20"/>
      <c r="M107" s="20"/>
      <c r="N107" s="25"/>
      <c r="O107" s="20"/>
      <c r="P107" s="153"/>
      <c r="Q107" s="71"/>
      <c r="R107" s="35" t="s">
        <v>166</v>
      </c>
      <c r="S107" s="166" t="n">
        <f aca="false">SUM(S20,S32,S55,S62,S70,S79,S93,S101)</f>
        <v>482362.920410277</v>
      </c>
      <c r="T107" s="35"/>
      <c r="U107" s="36"/>
      <c r="V107" s="37"/>
      <c r="W107" s="37"/>
    </row>
    <row r="108" customFormat="false" ht="13.5" hidden="false" customHeight="false" outlineLevel="0" collapsed="false">
      <c r="A108" s="28"/>
      <c r="B108" s="16"/>
      <c r="C108" s="16"/>
      <c r="D108" s="17"/>
      <c r="E108" s="17"/>
      <c r="F108" s="15"/>
      <c r="G108" s="15"/>
      <c r="H108" s="16"/>
      <c r="I108" s="19"/>
      <c r="J108" s="20"/>
      <c r="K108" s="20"/>
      <c r="L108" s="20"/>
      <c r="M108" s="20"/>
      <c r="N108" s="25"/>
      <c r="O108" s="20"/>
      <c r="P108" s="153"/>
      <c r="Q108" s="71"/>
      <c r="R108" s="35"/>
      <c r="S108" s="35"/>
      <c r="T108" s="35"/>
      <c r="U108" s="36"/>
      <c r="V108" s="37"/>
      <c r="W108" s="37"/>
    </row>
    <row r="109" customFormat="false" ht="12.75" hidden="false" customHeight="false" outlineLevel="0" collapsed="false">
      <c r="A109" s="28"/>
      <c r="B109" s="16"/>
      <c r="C109" s="16"/>
      <c r="D109" s="17"/>
      <c r="E109" s="17"/>
      <c r="F109" s="15"/>
      <c r="G109" s="15"/>
      <c r="H109" s="16"/>
      <c r="I109" s="20"/>
      <c r="J109" s="20"/>
      <c r="K109" s="20"/>
      <c r="L109" s="20"/>
      <c r="M109" s="20"/>
      <c r="N109" s="25"/>
      <c r="O109" s="20"/>
      <c r="P109" s="153"/>
      <c r="Q109" s="71"/>
      <c r="R109" s="35"/>
      <c r="S109" s="35"/>
      <c r="T109" s="35"/>
      <c r="U109" s="36"/>
      <c r="V109" s="37"/>
      <c r="W109" s="37"/>
    </row>
    <row r="110" customFormat="false" ht="12.75" hidden="false" customHeight="false" outlineLevel="0" collapsed="false">
      <c r="A110" s="28"/>
      <c r="B110" s="16"/>
      <c r="C110" s="16"/>
      <c r="D110" s="17"/>
      <c r="E110" s="17"/>
      <c r="F110" s="15"/>
      <c r="G110" s="15"/>
      <c r="H110" s="16"/>
      <c r="I110" s="19"/>
      <c r="J110" s="20"/>
      <c r="K110" s="20"/>
      <c r="L110" s="20"/>
      <c r="M110" s="20"/>
      <c r="N110" s="25"/>
      <c r="O110" s="20"/>
      <c r="P110" s="153"/>
      <c r="Q110" s="71"/>
      <c r="R110" s="35"/>
      <c r="S110" s="35"/>
      <c r="T110" s="35"/>
      <c r="U110" s="36"/>
      <c r="V110" s="37"/>
      <c r="W110" s="37"/>
    </row>
    <row r="111" customFormat="false" ht="12.75" hidden="false" customHeight="false" outlineLevel="0" collapsed="false">
      <c r="A111" s="28"/>
      <c r="B111" s="16"/>
      <c r="C111" s="16"/>
      <c r="D111" s="17"/>
      <c r="E111" s="17"/>
      <c r="F111" s="15"/>
      <c r="G111" s="15"/>
      <c r="H111" s="16"/>
      <c r="I111" s="20"/>
      <c r="J111" s="20"/>
      <c r="K111" s="20"/>
      <c r="L111" s="20"/>
      <c r="M111" s="20"/>
      <c r="N111" s="25"/>
      <c r="O111" s="20"/>
      <c r="P111" s="153"/>
      <c r="Q111" s="71"/>
      <c r="R111" s="35"/>
      <c r="S111" s="35"/>
      <c r="T111" s="35"/>
      <c r="U111" s="36"/>
      <c r="V111" s="37"/>
      <c r="W111" s="37"/>
    </row>
    <row r="112" customFormat="false" ht="12.75" hidden="false" customHeight="false" outlineLevel="0" collapsed="false">
      <c r="A112" s="28"/>
      <c r="B112" s="16"/>
      <c r="C112" s="16"/>
      <c r="D112" s="17"/>
      <c r="E112" s="17"/>
      <c r="F112" s="15"/>
      <c r="G112" s="15"/>
      <c r="H112" s="16"/>
      <c r="I112" s="20"/>
      <c r="J112" s="20"/>
      <c r="K112" s="20"/>
      <c r="L112" s="20"/>
      <c r="M112" s="20"/>
      <c r="N112" s="25"/>
      <c r="O112" s="20"/>
      <c r="P112" s="153"/>
      <c r="Q112" s="71"/>
      <c r="R112" s="35"/>
      <c r="S112" s="35"/>
      <c r="T112" s="35"/>
      <c r="U112" s="36"/>
      <c r="V112" s="69"/>
      <c r="W112" s="37"/>
    </row>
    <row r="113" customFormat="false" ht="12.75" hidden="false" customHeight="false" outlineLevel="0" collapsed="false">
      <c r="A113" s="28"/>
      <c r="B113" s="16"/>
      <c r="C113" s="16"/>
      <c r="D113" s="17"/>
      <c r="E113" s="17"/>
      <c r="F113" s="15"/>
      <c r="G113" s="15"/>
      <c r="H113" s="16"/>
      <c r="I113" s="20"/>
      <c r="J113" s="20"/>
      <c r="K113" s="20"/>
      <c r="L113" s="20"/>
      <c r="M113" s="20"/>
      <c r="N113" s="25"/>
      <c r="O113" s="20"/>
      <c r="P113" s="153"/>
      <c r="Q113" s="71"/>
      <c r="R113" s="35"/>
      <c r="S113" s="35"/>
      <c r="T113" s="35"/>
      <c r="U113" s="36"/>
      <c r="V113" s="37"/>
      <c r="W113" s="37"/>
    </row>
    <row r="114" customFormat="false" ht="12.75" hidden="false" customHeight="false" outlineLevel="0" collapsed="false">
      <c r="A114" s="28"/>
      <c r="B114" s="16"/>
      <c r="C114" s="16"/>
      <c r="D114" s="17"/>
      <c r="E114" s="17"/>
      <c r="F114" s="15"/>
      <c r="G114" s="15"/>
      <c r="H114" s="16"/>
      <c r="I114" s="20"/>
      <c r="J114" s="20"/>
      <c r="K114" s="20"/>
      <c r="L114" s="20"/>
      <c r="M114" s="20"/>
      <c r="N114" s="25"/>
      <c r="O114" s="20"/>
      <c r="P114" s="153"/>
      <c r="Q114" s="71"/>
      <c r="R114" s="35"/>
      <c r="S114" s="35"/>
      <c r="T114" s="35"/>
      <c r="U114" s="36"/>
      <c r="V114" s="37"/>
      <c r="W114" s="37"/>
    </row>
    <row r="115" customFormat="false" ht="12.75" hidden="false" customHeight="false" outlineLevel="0" collapsed="false">
      <c r="A115" s="28"/>
      <c r="B115" s="16"/>
      <c r="C115" s="16"/>
      <c r="D115" s="17"/>
      <c r="E115" s="17"/>
      <c r="F115" s="15"/>
      <c r="G115" s="15"/>
      <c r="H115" s="16"/>
      <c r="I115" s="19"/>
      <c r="J115" s="20"/>
      <c r="K115" s="20"/>
      <c r="L115" s="20"/>
      <c r="M115" s="20"/>
      <c r="N115" s="25"/>
      <c r="O115" s="20"/>
      <c r="P115" s="153"/>
      <c r="Q115" s="71"/>
      <c r="R115" s="69"/>
      <c r="S115" s="35"/>
      <c r="T115" s="35"/>
      <c r="U115" s="36"/>
      <c r="V115" s="37"/>
      <c r="W115" s="37"/>
    </row>
    <row r="116" customFormat="false" ht="12.75" hidden="false" customHeight="false" outlineLevel="0" collapsed="false">
      <c r="A116" s="28"/>
      <c r="B116" s="16"/>
      <c r="C116" s="16"/>
      <c r="D116" s="17"/>
      <c r="E116" s="17"/>
      <c r="F116" s="15"/>
      <c r="G116" s="15"/>
      <c r="H116" s="16"/>
      <c r="I116" s="19"/>
      <c r="J116" s="20"/>
      <c r="K116" s="20"/>
      <c r="L116" s="20"/>
      <c r="M116" s="20"/>
      <c r="N116" s="25"/>
      <c r="O116" s="20"/>
      <c r="P116" s="153"/>
      <c r="Q116" s="71"/>
      <c r="R116" s="69"/>
      <c r="S116" s="35"/>
      <c r="T116" s="35"/>
      <c r="U116" s="36"/>
      <c r="V116" s="37"/>
      <c r="W116" s="37"/>
    </row>
    <row r="117" customFormat="false" ht="12.75" hidden="false" customHeight="false" outlineLevel="0" collapsed="false">
      <c r="P117" s="73"/>
      <c r="Q117" s="73"/>
      <c r="R117" s="73"/>
      <c r="S117" s="154"/>
      <c r="T117" s="73"/>
      <c r="U117" s="72"/>
      <c r="V117" s="72"/>
    </row>
    <row r="118" customFormat="false" ht="12.75" hidden="false" customHeight="false" outlineLevel="0" collapsed="false">
      <c r="P118" s="73"/>
      <c r="Q118" s="73"/>
      <c r="R118" s="73"/>
      <c r="S118" s="154"/>
      <c r="T118" s="73"/>
      <c r="U118" s="72"/>
      <c r="V118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2"/>
  <sheetViews>
    <sheetView showFormulas="false" showGridLines="true" showRowColHeaders="true" showZeros="true" rightToLeft="false" tabSelected="false" showOutlineSymbols="true" defaultGridColor="true" view="normal" topLeftCell="D133" colorId="64" zoomScale="100" zoomScaleNormal="100" zoomScalePageLayoutView="100" workbookViewId="0">
      <selection pane="topLeft" activeCell="D138" activeCellId="0" sqref="A138:IV1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8.85"/>
    <col collapsed="false" customWidth="false" hidden="false" outlineLevel="0" max="2" min="2" style="27" width="9.14"/>
    <col collapsed="false" customWidth="true" hidden="false" outlineLevel="0" max="3" min="3" style="27" width="10.56"/>
    <col collapsed="false" customWidth="true" hidden="false" outlineLevel="0" max="4" min="4" style="27" width="8.7"/>
    <col collapsed="false" customWidth="true" hidden="false" outlineLevel="0" max="5" min="5" style="27" width="10.99"/>
    <col collapsed="false" customWidth="true" hidden="false" outlineLevel="0" max="6" min="6" style="28" width="12.42"/>
    <col collapsed="false" customWidth="true" hidden="false" outlineLevel="0" max="7" min="7" style="28" width="7.99"/>
    <col collapsed="false" customWidth="true" hidden="false" outlineLevel="0" max="8" min="8" style="27" width="6.41"/>
    <col collapsed="false" customWidth="true" hidden="false" outlineLevel="0" max="9" min="9" style="27" width="8.85"/>
    <col collapsed="false" customWidth="true" hidden="true" outlineLevel="0" max="13" min="10" style="27" width="9.06"/>
    <col collapsed="false" customWidth="true" hidden="true" outlineLevel="0" max="14" min="14" style="29" width="9.06"/>
    <col collapsed="false" customWidth="true" hidden="true" outlineLevel="0" max="15" min="15" style="27" width="9.06"/>
    <col collapsed="false" customWidth="true" hidden="false" outlineLevel="0" max="16" min="16" style="27" width="12.28"/>
    <col collapsed="false" customWidth="false" hidden="false" outlineLevel="0" max="17" min="17" style="27" width="9.14"/>
    <col collapsed="false" customWidth="true" hidden="false" outlineLevel="0" max="18" min="18" style="27" width="13.7"/>
    <col collapsed="false" customWidth="true" hidden="false" outlineLevel="0" max="19" min="19" style="1" width="12.85"/>
    <col collapsed="false" customWidth="false" hidden="false" outlineLevel="0" max="20" min="20" style="27" width="9.14"/>
    <col collapsed="false" customWidth="true" hidden="false" outlineLevel="0" max="21" min="21" style="30" width="13.56"/>
    <col collapsed="false" customWidth="false" hidden="false" outlineLevel="0" max="23" min="22" style="30" width="9.14"/>
    <col collapsed="false" customWidth="true" hidden="false" outlineLevel="0" max="24" min="24" style="27" width="12.42"/>
    <col collapsed="false" customWidth="false" hidden="false" outlineLevel="0" max="257" min="25" style="27" width="9.14"/>
  </cols>
  <sheetData>
    <row r="1" customFormat="false" ht="12.75" hidden="false" customHeight="false" outlineLevel="0" collapsed="false">
      <c r="A1" s="31" t="s">
        <v>283</v>
      </c>
      <c r="B1" s="16"/>
      <c r="C1" s="16"/>
      <c r="D1" s="17"/>
      <c r="E1" s="17"/>
      <c r="F1" s="15"/>
      <c r="G1" s="15"/>
      <c r="H1" s="16" t="s">
        <v>98</v>
      </c>
      <c r="I1" s="32" t="n">
        <v>31</v>
      </c>
      <c r="J1" s="33" t="s">
        <v>99</v>
      </c>
      <c r="K1" s="20"/>
      <c r="L1" s="20"/>
      <c r="M1" s="20"/>
      <c r="N1" s="25"/>
      <c r="O1" s="20"/>
      <c r="P1" s="22"/>
      <c r="Q1" s="34"/>
      <c r="R1" s="35"/>
      <c r="S1" s="35"/>
      <c r="T1" s="35"/>
      <c r="U1" s="36"/>
      <c r="V1" s="37"/>
      <c r="W1" s="37"/>
    </row>
    <row r="2" customFormat="false" ht="12.75" hidden="false" customHeight="false" outlineLevel="0" collapsed="false">
      <c r="A2" s="15" t="s">
        <v>100</v>
      </c>
      <c r="B2" s="15"/>
      <c r="C2" s="15"/>
      <c r="D2" s="17"/>
      <c r="E2" s="17"/>
      <c r="F2" s="15"/>
      <c r="G2" s="15"/>
      <c r="H2" s="16"/>
      <c r="I2" s="32"/>
      <c r="J2" s="33" t="s">
        <v>101</v>
      </c>
      <c r="K2" s="20"/>
      <c r="L2" s="20"/>
      <c r="M2" s="20"/>
      <c r="N2" s="25"/>
      <c r="O2" s="20"/>
      <c r="P2" s="22"/>
      <c r="Q2" s="34"/>
      <c r="R2" s="35"/>
      <c r="S2" s="35"/>
      <c r="T2" s="35"/>
      <c r="U2" s="36"/>
      <c r="V2" s="37"/>
      <c r="W2" s="37"/>
    </row>
    <row r="3" customFormat="false" ht="12.75" hidden="false" customHeight="false" outlineLevel="0" collapsed="false">
      <c r="A3" s="15" t="s">
        <v>102</v>
      </c>
      <c r="B3" s="15"/>
      <c r="C3" s="15"/>
      <c r="D3" s="17"/>
      <c r="E3" s="17"/>
      <c r="F3" s="40" t="s">
        <v>1</v>
      </c>
      <c r="G3" s="15" t="s">
        <v>1</v>
      </c>
      <c r="H3" s="34" t="s">
        <v>1</v>
      </c>
      <c r="I3" s="19"/>
      <c r="J3" s="41" t="s">
        <v>1</v>
      </c>
      <c r="K3" s="20"/>
      <c r="L3" s="41" t="s">
        <v>1</v>
      </c>
      <c r="M3" s="20"/>
      <c r="N3" s="25"/>
      <c r="O3" s="41" t="s">
        <v>1</v>
      </c>
      <c r="P3" s="22"/>
      <c r="Q3" s="34"/>
      <c r="R3" s="35"/>
      <c r="S3" s="35"/>
      <c r="T3" s="35"/>
      <c r="U3" s="36"/>
      <c r="V3" s="37"/>
      <c r="W3" s="37"/>
    </row>
    <row r="4" customFormat="false" ht="12.75" hidden="false" customHeight="false" outlineLevel="0" collapsed="false">
      <c r="A4" s="15" t="s">
        <v>103</v>
      </c>
      <c r="B4" s="16"/>
      <c r="C4" s="16"/>
      <c r="D4" s="17"/>
      <c r="E4" s="17"/>
      <c r="F4" s="44"/>
      <c r="G4" s="15"/>
      <c r="H4" s="44"/>
      <c r="I4" s="19"/>
      <c r="J4" s="44"/>
      <c r="K4" s="20"/>
      <c r="L4" s="44"/>
      <c r="M4" s="34"/>
      <c r="N4" s="25"/>
      <c r="O4" s="34"/>
      <c r="P4" s="22"/>
      <c r="Q4" s="34"/>
      <c r="R4" s="35"/>
      <c r="S4" s="35"/>
      <c r="T4" s="45"/>
      <c r="U4" s="46"/>
      <c r="V4" s="37"/>
      <c r="W4" s="37"/>
    </row>
    <row r="5" customFormat="false" ht="12.75" hidden="false" customHeight="false" outlineLevel="0" collapsed="false">
      <c r="A5" s="15" t="s">
        <v>104</v>
      </c>
      <c r="B5" s="16"/>
      <c r="C5" s="47"/>
      <c r="D5" s="17"/>
      <c r="E5" s="17"/>
      <c r="F5" s="44"/>
      <c r="G5" s="15"/>
      <c r="H5" s="44"/>
      <c r="I5" s="19"/>
      <c r="J5" s="44"/>
      <c r="K5" s="20"/>
      <c r="L5" s="44"/>
      <c r="M5" s="34"/>
      <c r="N5" s="25"/>
      <c r="O5" s="34"/>
      <c r="P5" s="22"/>
      <c r="Q5" s="34"/>
      <c r="R5" s="35"/>
      <c r="S5" s="35"/>
      <c r="T5" s="45"/>
      <c r="U5" s="46"/>
      <c r="V5" s="37"/>
      <c r="W5" s="37"/>
    </row>
    <row r="6" customFormat="false" ht="12.75" hidden="false" customHeight="false" outlineLevel="0" collapsed="false">
      <c r="A6" s="15"/>
      <c r="B6" s="16"/>
      <c r="C6" s="47"/>
      <c r="D6" s="17"/>
      <c r="E6" s="17"/>
      <c r="F6" s="44"/>
      <c r="G6" s="15"/>
      <c r="H6" s="44"/>
      <c r="I6" s="19"/>
      <c r="J6" s="44"/>
      <c r="K6" s="20"/>
      <c r="L6" s="44"/>
      <c r="M6" s="34"/>
      <c r="N6" s="25"/>
      <c r="O6" s="34"/>
      <c r="P6" s="22"/>
      <c r="Q6" s="34"/>
      <c r="R6" s="35"/>
      <c r="S6" s="35"/>
      <c r="T6" s="45"/>
      <c r="U6" s="46"/>
      <c r="V6" s="37"/>
      <c r="W6" s="37"/>
    </row>
    <row r="7" customFormat="false" ht="12.75" hidden="false" customHeight="false" outlineLevel="0" collapsed="false">
      <c r="A7" s="15"/>
      <c r="B7" s="16"/>
      <c r="C7" s="47"/>
      <c r="D7" s="17"/>
      <c r="E7" s="17"/>
      <c r="F7" s="44"/>
      <c r="G7" s="15"/>
      <c r="H7" s="44"/>
      <c r="I7" s="19"/>
      <c r="J7" s="44"/>
      <c r="K7" s="20"/>
      <c r="L7" s="44"/>
      <c r="M7" s="34"/>
      <c r="N7" s="25"/>
      <c r="O7" s="34"/>
      <c r="P7" s="22"/>
      <c r="Q7" s="34"/>
      <c r="R7" s="35"/>
      <c r="S7" s="35"/>
      <c r="T7" s="45"/>
      <c r="U7" s="46"/>
      <c r="V7" s="37"/>
      <c r="W7" s="37"/>
    </row>
    <row r="8" customFormat="false" ht="12.75" hidden="false" customHeight="false" outlineLevel="0" collapsed="false">
      <c r="A8" s="15"/>
      <c r="B8" s="16"/>
      <c r="C8" s="47"/>
      <c r="D8" s="17"/>
      <c r="E8" s="17"/>
      <c r="F8" s="44"/>
      <c r="G8" s="15"/>
      <c r="H8" s="44"/>
      <c r="I8" s="19"/>
      <c r="J8" s="44"/>
      <c r="K8" s="20"/>
      <c r="L8" s="44"/>
      <c r="M8" s="34"/>
      <c r="N8" s="25"/>
      <c r="O8" s="34"/>
      <c r="P8" s="22"/>
      <c r="Q8" s="34"/>
      <c r="R8" s="35"/>
      <c r="S8" s="35"/>
      <c r="T8" s="45"/>
      <c r="U8" s="46"/>
      <c r="V8" s="37"/>
      <c r="W8" s="37"/>
    </row>
    <row r="9" customFormat="false" ht="12.75" hidden="false" customHeight="false" outlineLevel="0" collapsed="false">
      <c r="A9" s="15"/>
      <c r="B9" s="16"/>
      <c r="C9" s="47"/>
      <c r="D9" s="17"/>
      <c r="E9" s="17"/>
      <c r="F9" s="44"/>
      <c r="G9" s="15"/>
      <c r="H9" s="44"/>
      <c r="I9" s="19"/>
      <c r="J9" s="44"/>
      <c r="K9" s="20"/>
      <c r="L9" s="44"/>
      <c r="M9" s="34"/>
      <c r="N9" s="25"/>
      <c r="O9" s="34"/>
      <c r="P9" s="22"/>
      <c r="Q9" s="34"/>
      <c r="R9" s="35"/>
      <c r="S9" s="35"/>
      <c r="T9" s="45"/>
      <c r="U9" s="46"/>
      <c r="V9" s="37"/>
      <c r="W9" s="37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4"/>
      <c r="G10" s="15"/>
      <c r="H10" s="44"/>
      <c r="I10" s="19"/>
      <c r="J10" s="44"/>
      <c r="K10" s="20"/>
      <c r="L10" s="44"/>
      <c r="M10" s="34"/>
      <c r="N10" s="25"/>
      <c r="O10" s="34"/>
      <c r="P10" s="22"/>
      <c r="Q10" s="34"/>
      <c r="R10" s="35"/>
      <c r="S10" s="35"/>
      <c r="T10" s="45"/>
      <c r="U10" s="46"/>
      <c r="V10" s="37"/>
      <c r="W10" s="37"/>
    </row>
    <row r="11" customFormat="false" ht="12.75" hidden="false" customHeight="false" outlineLevel="0" collapsed="false">
      <c r="A11" s="95"/>
      <c r="B11" s="71"/>
      <c r="C11" s="69"/>
      <c r="D11" s="96"/>
      <c r="E11" s="96"/>
      <c r="F11" s="95"/>
      <c r="G11" s="97"/>
      <c r="H11" s="71"/>
      <c r="I11" s="98"/>
      <c r="J11" s="68"/>
      <c r="K11" s="68"/>
      <c r="L11" s="68"/>
      <c r="M11" s="68"/>
      <c r="N11" s="99"/>
      <c r="O11" s="68"/>
      <c r="P11" s="100"/>
      <c r="Q11" s="71"/>
      <c r="R11" s="95"/>
      <c r="S11" s="35"/>
      <c r="T11" s="45"/>
      <c r="U11" s="46"/>
      <c r="V11" s="24"/>
      <c r="W11" s="24"/>
    </row>
    <row r="12" customFormat="false" ht="12.75" hidden="false" customHeight="false" outlineLevel="0" collapsed="false">
      <c r="A12" s="103" t="s">
        <v>108</v>
      </c>
      <c r="B12" s="104" t="s">
        <v>109</v>
      </c>
      <c r="C12" s="104" t="s">
        <v>110</v>
      </c>
      <c r="D12" s="105" t="s">
        <v>111</v>
      </c>
      <c r="E12" s="105"/>
      <c r="F12" s="103" t="s">
        <v>112</v>
      </c>
      <c r="G12" s="103" t="s">
        <v>113</v>
      </c>
      <c r="H12" s="104" t="s">
        <v>114</v>
      </c>
      <c r="I12" s="106" t="s">
        <v>115</v>
      </c>
      <c r="J12" s="104" t="s">
        <v>116</v>
      </c>
      <c r="K12" s="104" t="s">
        <v>117</v>
      </c>
      <c r="L12" s="104" t="s">
        <v>118</v>
      </c>
      <c r="M12" s="104" t="s">
        <v>119</v>
      </c>
      <c r="N12" s="107" t="s">
        <v>120</v>
      </c>
      <c r="O12" s="104" t="s">
        <v>121</v>
      </c>
      <c r="P12" s="108" t="s">
        <v>147</v>
      </c>
      <c r="Q12" s="104" t="s">
        <v>123</v>
      </c>
      <c r="R12" s="103" t="s">
        <v>124</v>
      </c>
      <c r="S12" s="109" t="s">
        <v>125</v>
      </c>
      <c r="T12" s="110" t="s">
        <v>126</v>
      </c>
      <c r="U12" s="111" t="s">
        <v>148</v>
      </c>
      <c r="V12" s="112"/>
      <c r="W12" s="112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</row>
    <row r="13" customFormat="false" ht="12.75" hidden="false" customHeight="false" outlineLevel="0" collapsed="false">
      <c r="A13" s="15" t="s">
        <v>149</v>
      </c>
      <c r="B13" s="16" t="s">
        <v>128</v>
      </c>
      <c r="C13" s="16" t="s">
        <v>128</v>
      </c>
      <c r="D13" s="17" t="n">
        <v>34274</v>
      </c>
      <c r="E13" s="17" t="n">
        <v>37042</v>
      </c>
      <c r="F13" s="15" t="s">
        <v>284</v>
      </c>
      <c r="G13" s="15" t="s">
        <v>285</v>
      </c>
      <c r="H13" s="16" t="s">
        <v>170</v>
      </c>
      <c r="I13" s="19" t="n">
        <f aca="false">1.0603/I$1</f>
        <v>0.0342032258064516</v>
      </c>
      <c r="J13" s="20" t="n">
        <v>0</v>
      </c>
      <c r="K13" s="20" t="n">
        <v>0</v>
      </c>
      <c r="L13" s="20" t="n">
        <v>0</v>
      </c>
      <c r="M13" s="20" t="n">
        <v>0</v>
      </c>
      <c r="N13" s="25" t="n">
        <v>0</v>
      </c>
      <c r="O13" s="20" t="n">
        <f aca="false">SUM(I13:M13)</f>
        <v>0.0342032258064516</v>
      </c>
      <c r="P13" s="22" t="n">
        <v>37393</v>
      </c>
      <c r="Q13" s="16" t="n">
        <v>20000</v>
      </c>
      <c r="R13" s="15" t="s">
        <v>286</v>
      </c>
      <c r="S13" s="23" t="n">
        <f aca="false">I13*I$1*Q13</f>
        <v>21206</v>
      </c>
      <c r="T13" s="23"/>
      <c r="U13" s="26" t="n">
        <v>92346</v>
      </c>
      <c r="V13" s="24"/>
      <c r="W13" s="24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5" t="s">
        <v>149</v>
      </c>
      <c r="B14" s="16" t="s">
        <v>128</v>
      </c>
      <c r="C14" s="16" t="s">
        <v>128</v>
      </c>
      <c r="D14" s="17" t="n">
        <v>36434</v>
      </c>
      <c r="E14" s="17" t="n">
        <v>36799</v>
      </c>
      <c r="F14" s="15" t="s">
        <v>287</v>
      </c>
      <c r="G14" s="15" t="s">
        <v>288</v>
      </c>
      <c r="H14" s="16" t="s">
        <v>170</v>
      </c>
      <c r="I14" s="19" t="n">
        <v>0.015</v>
      </c>
      <c r="J14" s="20" t="n">
        <v>0</v>
      </c>
      <c r="K14" s="20" t="n">
        <v>0</v>
      </c>
      <c r="L14" s="20" t="n">
        <v>0</v>
      </c>
      <c r="M14" s="20" t="n">
        <v>0</v>
      </c>
      <c r="N14" s="25" t="n">
        <v>0</v>
      </c>
      <c r="O14" s="20" t="n">
        <f aca="false">SUM(I14:M14)</f>
        <v>0.015</v>
      </c>
      <c r="P14" s="22" t="n">
        <v>64937</v>
      </c>
      <c r="Q14" s="16" t="n">
        <v>10000</v>
      </c>
      <c r="R14" s="15"/>
      <c r="S14" s="23" t="n">
        <f aca="false">I14*I$1*Q14</f>
        <v>4650</v>
      </c>
      <c r="T14" s="23"/>
      <c r="U14" s="26"/>
      <c r="V14" s="24"/>
      <c r="W14" s="24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5" t="s">
        <v>149</v>
      </c>
      <c r="B15" s="16" t="s">
        <v>128</v>
      </c>
      <c r="C15" s="16" t="s">
        <v>128</v>
      </c>
      <c r="D15" s="17" t="n">
        <v>36617</v>
      </c>
      <c r="E15" s="17" t="n">
        <v>36981</v>
      </c>
      <c r="F15" s="15" t="s">
        <v>289</v>
      </c>
      <c r="G15" s="15" t="s">
        <v>290</v>
      </c>
      <c r="H15" s="16" t="s">
        <v>170</v>
      </c>
      <c r="I15" s="19" t="n">
        <f aca="false">1.5238/I$1</f>
        <v>0.0491548387096774</v>
      </c>
      <c r="J15" s="20" t="n">
        <v>0</v>
      </c>
      <c r="K15" s="20" t="n">
        <v>0</v>
      </c>
      <c r="L15" s="20" t="n">
        <v>0</v>
      </c>
      <c r="M15" s="20" t="n">
        <v>0</v>
      </c>
      <c r="N15" s="25" t="n">
        <v>0</v>
      </c>
      <c r="O15" s="20" t="n">
        <f aca="false">SUM(I15:M15)</f>
        <v>0.0491548387096774</v>
      </c>
      <c r="P15" s="22" t="n">
        <v>66973</v>
      </c>
      <c r="Q15" s="16" t="n">
        <v>10000</v>
      </c>
      <c r="R15" s="15" t="s">
        <v>291</v>
      </c>
      <c r="S15" s="23" t="n">
        <f aca="false">I15*I$1*Q15</f>
        <v>15238</v>
      </c>
      <c r="T15" s="23"/>
      <c r="U15" s="26" t="n">
        <v>231728</v>
      </c>
      <c r="V15" s="24"/>
      <c r="W15" s="24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149</v>
      </c>
      <c r="B16" s="16" t="s">
        <v>128</v>
      </c>
      <c r="C16" s="16" t="s">
        <v>128</v>
      </c>
      <c r="D16" s="17" t="n">
        <v>34274</v>
      </c>
      <c r="E16" s="17" t="n">
        <v>40117</v>
      </c>
      <c r="F16" s="15" t="s">
        <v>285</v>
      </c>
      <c r="G16" s="15" t="s">
        <v>220</v>
      </c>
      <c r="H16" s="16" t="s">
        <v>170</v>
      </c>
      <c r="I16" s="19" t="n">
        <f aca="false">3.145/I$1</f>
        <v>0.101451612903226</v>
      </c>
      <c r="J16" s="20" t="n">
        <v>0</v>
      </c>
      <c r="K16" s="20" t="n">
        <v>0</v>
      </c>
      <c r="L16" s="20" t="n">
        <v>0</v>
      </c>
      <c r="M16" s="20" t="n">
        <v>0</v>
      </c>
      <c r="N16" s="25" t="n">
        <v>0</v>
      </c>
      <c r="O16" s="20" t="n">
        <f aca="false">SUM(I16:M16)</f>
        <v>0.101451612903226</v>
      </c>
      <c r="P16" s="22" t="n">
        <v>37861</v>
      </c>
      <c r="Q16" s="16" t="n">
        <v>15000</v>
      </c>
      <c r="R16" s="15" t="s">
        <v>292</v>
      </c>
      <c r="S16" s="23" t="n">
        <f aca="false">I16*I$1*Q16</f>
        <v>47175</v>
      </c>
      <c r="T16" s="23"/>
      <c r="U16" s="26" t="n">
        <v>93034</v>
      </c>
      <c r="V16" s="24"/>
      <c r="W16" s="24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149</v>
      </c>
      <c r="B17" s="16" t="s">
        <v>128</v>
      </c>
      <c r="C17" s="16" t="s">
        <v>129</v>
      </c>
      <c r="D17" s="17" t="n">
        <v>36557</v>
      </c>
      <c r="E17" s="17" t="n">
        <v>36830</v>
      </c>
      <c r="F17" s="15" t="s">
        <v>130</v>
      </c>
      <c r="G17" s="15" t="s">
        <v>131</v>
      </c>
      <c r="H17" s="16"/>
      <c r="I17" s="19" t="n">
        <f aca="false">1.0603/I$1</f>
        <v>0.0342032258064516</v>
      </c>
      <c r="J17" s="20" t="n">
        <v>0</v>
      </c>
      <c r="K17" s="20" t="n">
        <v>0</v>
      </c>
      <c r="L17" s="20" t="n">
        <v>0</v>
      </c>
      <c r="M17" s="20" t="n">
        <v>0</v>
      </c>
      <c r="N17" s="25" t="n">
        <v>0</v>
      </c>
      <c r="O17" s="20" t="n">
        <f aca="false">SUM(I17:M17)</f>
        <v>0.0342032258064516</v>
      </c>
      <c r="P17" s="22" t="n">
        <v>42789</v>
      </c>
      <c r="Q17" s="16" t="n">
        <v>30000</v>
      </c>
      <c r="R17" s="15" t="s">
        <v>132</v>
      </c>
      <c r="S17" s="23" t="n">
        <f aca="false">I17*I$1*Q17</f>
        <v>31809</v>
      </c>
      <c r="T17" s="23"/>
      <c r="U17" s="26" t="n">
        <v>156388</v>
      </c>
      <c r="V17" s="24"/>
      <c r="W17" s="2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149</v>
      </c>
      <c r="B18" s="16" t="s">
        <v>128</v>
      </c>
      <c r="C18" s="16" t="s">
        <v>129</v>
      </c>
      <c r="D18" s="17" t="n">
        <v>36557</v>
      </c>
      <c r="E18" s="17" t="n">
        <v>36830</v>
      </c>
      <c r="F18" s="15" t="s">
        <v>293</v>
      </c>
      <c r="G18" s="15" t="s">
        <v>131</v>
      </c>
      <c r="H18" s="16"/>
      <c r="I18" s="19" t="n">
        <f aca="false">1.0603/I$1</f>
        <v>0.0342032258064516</v>
      </c>
      <c r="J18" s="20" t="n">
        <v>0</v>
      </c>
      <c r="K18" s="20" t="n">
        <v>0</v>
      </c>
      <c r="L18" s="20" t="n">
        <v>0</v>
      </c>
      <c r="M18" s="20" t="n">
        <v>0</v>
      </c>
      <c r="N18" s="25" t="n">
        <v>0</v>
      </c>
      <c r="O18" s="20" t="n">
        <f aca="false">SUM(I18:M18)</f>
        <v>0.0342032258064516</v>
      </c>
      <c r="P18" s="22" t="n">
        <v>50250</v>
      </c>
      <c r="Q18" s="16" t="n">
        <v>20000</v>
      </c>
      <c r="R18" s="15" t="s">
        <v>294</v>
      </c>
      <c r="S18" s="23" t="n">
        <f aca="false">I18*I$1*Q18</f>
        <v>21206</v>
      </c>
      <c r="T18" s="23"/>
      <c r="U18" s="26" t="n">
        <v>156399</v>
      </c>
      <c r="V18" s="24"/>
      <c r="W18" s="24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 t="s">
        <v>149</v>
      </c>
      <c r="B19" s="16" t="s">
        <v>128</v>
      </c>
      <c r="C19" s="16" t="s">
        <v>129</v>
      </c>
      <c r="D19" s="17" t="n">
        <v>36557</v>
      </c>
      <c r="E19" s="17" t="n">
        <v>38442</v>
      </c>
      <c r="F19" s="15" t="s">
        <v>131</v>
      </c>
      <c r="G19" s="15" t="s">
        <v>220</v>
      </c>
      <c r="H19" s="16"/>
      <c r="I19" s="19" t="n">
        <f aca="false">3.145/I$1</f>
        <v>0.101451612903226</v>
      </c>
      <c r="J19" s="20" t="n">
        <v>0</v>
      </c>
      <c r="K19" s="20" t="n">
        <v>0</v>
      </c>
      <c r="L19" s="20" t="n">
        <v>0</v>
      </c>
      <c r="M19" s="20" t="n">
        <v>0</v>
      </c>
      <c r="N19" s="25" t="n">
        <v>0</v>
      </c>
      <c r="O19" s="20" t="n">
        <f aca="false">SUM(I19:M19)</f>
        <v>0.101451612903226</v>
      </c>
      <c r="P19" s="22" t="n">
        <v>58654</v>
      </c>
      <c r="Q19" s="16" t="n">
        <v>15000</v>
      </c>
      <c r="R19" s="15" t="s">
        <v>295</v>
      </c>
      <c r="S19" s="23" t="n">
        <f aca="false">I19*I$1*Q19</f>
        <v>47175</v>
      </c>
      <c r="T19" s="23"/>
      <c r="U19" s="26" t="n">
        <v>156408</v>
      </c>
      <c r="V19" s="24"/>
      <c r="W19" s="24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 t="s">
        <v>149</v>
      </c>
      <c r="B20" s="16" t="s">
        <v>128</v>
      </c>
      <c r="C20" s="16" t="s">
        <v>129</v>
      </c>
      <c r="D20" s="17" t="n">
        <v>36557</v>
      </c>
      <c r="E20" s="17" t="n">
        <v>37955</v>
      </c>
      <c r="F20" s="15" t="s">
        <v>296</v>
      </c>
      <c r="G20" s="15" t="s">
        <v>297</v>
      </c>
      <c r="H20" s="16"/>
      <c r="I20" s="19" t="n">
        <f aca="false">1.0603/I$1</f>
        <v>0.0342032258064516</v>
      </c>
      <c r="J20" s="20" t="n">
        <v>0</v>
      </c>
      <c r="K20" s="20" t="n">
        <v>0</v>
      </c>
      <c r="L20" s="20" t="n">
        <v>0</v>
      </c>
      <c r="M20" s="20" t="n">
        <v>0</v>
      </c>
      <c r="N20" s="25" t="n">
        <v>0</v>
      </c>
      <c r="O20" s="20" t="n">
        <f aca="false">SUM(I20:M20)</f>
        <v>0.0342032258064516</v>
      </c>
      <c r="P20" s="22" t="n">
        <v>62408</v>
      </c>
      <c r="Q20" s="16" t="n">
        <v>40000</v>
      </c>
      <c r="R20" s="15" t="s">
        <v>298</v>
      </c>
      <c r="S20" s="23" t="n">
        <f aca="false">I20*I$1*Q20</f>
        <v>42412</v>
      </c>
      <c r="T20" s="23"/>
      <c r="U20" s="26" t="n">
        <v>156526</v>
      </c>
      <c r="V20" s="24"/>
      <c r="W20" s="24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15" t="s">
        <v>149</v>
      </c>
      <c r="B21" s="16" t="s">
        <v>128</v>
      </c>
      <c r="C21" s="16" t="s">
        <v>129</v>
      </c>
      <c r="D21" s="17" t="n">
        <v>36557</v>
      </c>
      <c r="E21" s="17" t="n">
        <v>37346</v>
      </c>
      <c r="F21" s="15" t="s">
        <v>131</v>
      </c>
      <c r="G21" s="15" t="s">
        <v>220</v>
      </c>
      <c r="H21" s="16"/>
      <c r="I21" s="19" t="n">
        <f aca="false">2.6805/I$1</f>
        <v>0.0864677419354839</v>
      </c>
      <c r="J21" s="20" t="n">
        <v>0</v>
      </c>
      <c r="K21" s="20" t="n">
        <v>0</v>
      </c>
      <c r="L21" s="20" t="n">
        <v>0</v>
      </c>
      <c r="M21" s="20" t="n">
        <v>0</v>
      </c>
      <c r="N21" s="25" t="n">
        <v>0</v>
      </c>
      <c r="O21" s="20" t="n">
        <f aca="false">SUM(I21:M21)</f>
        <v>0.0864677419354839</v>
      </c>
      <c r="P21" s="22" t="n">
        <v>63115</v>
      </c>
      <c r="Q21" s="16" t="n">
        <v>30000</v>
      </c>
      <c r="R21" s="15" t="s">
        <v>295</v>
      </c>
      <c r="S21" s="23" t="n">
        <f aca="false">I21*I$1*Q21</f>
        <v>80415</v>
      </c>
      <c r="T21" s="23"/>
      <c r="U21" s="26" t="n">
        <v>156532</v>
      </c>
      <c r="V21" s="24"/>
      <c r="W21" s="24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15" t="s">
        <v>149</v>
      </c>
      <c r="B22" s="16" t="s">
        <v>128</v>
      </c>
      <c r="C22" s="16" t="s">
        <v>129</v>
      </c>
      <c r="D22" s="17" t="n">
        <v>36557</v>
      </c>
      <c r="E22" s="17" t="n">
        <v>38291</v>
      </c>
      <c r="F22" s="15" t="s">
        <v>299</v>
      </c>
      <c r="G22" s="15" t="s">
        <v>131</v>
      </c>
      <c r="H22" s="16"/>
      <c r="I22" s="19" t="n">
        <f aca="false">1.0603/I$1</f>
        <v>0.0342032258064516</v>
      </c>
      <c r="J22" s="20" t="n">
        <v>0</v>
      </c>
      <c r="K22" s="20" t="n">
        <v>0</v>
      </c>
      <c r="L22" s="20" t="n">
        <v>0</v>
      </c>
      <c r="M22" s="20" t="n">
        <v>0</v>
      </c>
      <c r="N22" s="25" t="n">
        <v>0</v>
      </c>
      <c r="O22" s="20" t="n">
        <f aca="false">SUM(I22:M22)</f>
        <v>0.0342032258064516</v>
      </c>
      <c r="P22" s="22" t="n">
        <v>63922</v>
      </c>
      <c r="Q22" s="16" t="n">
        <v>25654</v>
      </c>
      <c r="R22" s="15" t="s">
        <v>300</v>
      </c>
      <c r="S22" s="23" t="n">
        <f aca="false">I22*I$1*Q22</f>
        <v>27200.9362</v>
      </c>
      <c r="T22" s="23"/>
      <c r="U22" s="26" t="n">
        <v>156540</v>
      </c>
      <c r="V22" s="24"/>
      <c r="W22" s="24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15" t="s">
        <v>149</v>
      </c>
      <c r="B23" s="16" t="s">
        <v>128</v>
      </c>
      <c r="C23" s="16" t="s">
        <v>129</v>
      </c>
      <c r="D23" s="17" t="n">
        <v>36557</v>
      </c>
      <c r="E23" s="17" t="n">
        <v>36769</v>
      </c>
      <c r="F23" s="15" t="s">
        <v>301</v>
      </c>
      <c r="G23" s="15" t="s">
        <v>302</v>
      </c>
      <c r="H23" s="16"/>
      <c r="I23" s="19" t="n">
        <f aca="false">1.4381/I$1</f>
        <v>0.0463903225806452</v>
      </c>
      <c r="J23" s="20" t="n">
        <v>0</v>
      </c>
      <c r="K23" s="20" t="n">
        <v>0</v>
      </c>
      <c r="L23" s="20" t="n">
        <v>0</v>
      </c>
      <c r="M23" s="20" t="n">
        <v>0</v>
      </c>
      <c r="N23" s="25" t="n">
        <v>0</v>
      </c>
      <c r="O23" s="20" t="n">
        <f aca="false">SUM(I23:M23)</f>
        <v>0.0463903225806452</v>
      </c>
      <c r="P23" s="22" t="n">
        <v>64502</v>
      </c>
      <c r="Q23" s="16" t="n">
        <v>29000</v>
      </c>
      <c r="R23" s="15" t="s">
        <v>303</v>
      </c>
      <c r="S23" s="23" t="n">
        <f aca="false">I23*I$1*Q23</f>
        <v>41704.9</v>
      </c>
      <c r="T23" s="23"/>
      <c r="U23" s="26"/>
      <c r="V23" s="18" t="s">
        <v>304</v>
      </c>
      <c r="W23" s="24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5" t="s">
        <v>149</v>
      </c>
      <c r="B24" s="16" t="s">
        <v>128</v>
      </c>
      <c r="C24" s="16" t="s">
        <v>200</v>
      </c>
      <c r="D24" s="17" t="n">
        <v>36557</v>
      </c>
      <c r="E24" s="17" t="n">
        <v>36830</v>
      </c>
      <c r="F24" s="15" t="s">
        <v>305</v>
      </c>
      <c r="G24" s="15" t="s">
        <v>188</v>
      </c>
      <c r="H24" s="16"/>
      <c r="I24" s="19" t="n">
        <f aca="false">3.145/I$1</f>
        <v>0.101451612903226</v>
      </c>
      <c r="J24" s="20" t="n">
        <v>0</v>
      </c>
      <c r="K24" s="20" t="n">
        <v>0</v>
      </c>
      <c r="L24" s="20" t="n">
        <v>0</v>
      </c>
      <c r="M24" s="20" t="n">
        <v>0</v>
      </c>
      <c r="N24" s="25" t="n">
        <v>0</v>
      </c>
      <c r="O24" s="20" t="n">
        <f aca="false">SUM(I24:M24)</f>
        <v>0.101451612903226</v>
      </c>
      <c r="P24" s="22" t="n">
        <v>65072</v>
      </c>
      <c r="Q24" s="16" t="n">
        <v>7610</v>
      </c>
      <c r="R24" s="15" t="s">
        <v>306</v>
      </c>
      <c r="S24" s="23" t="n">
        <f aca="false">I24*I$1*Q24</f>
        <v>23933.45</v>
      </c>
      <c r="T24" s="23"/>
      <c r="U24" s="26" t="n">
        <v>156603</v>
      </c>
      <c r="V24" s="24"/>
      <c r="W24" s="24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38" t="s">
        <v>149</v>
      </c>
      <c r="B25" s="76" t="s">
        <v>128</v>
      </c>
      <c r="C25" s="76" t="s">
        <v>200</v>
      </c>
      <c r="D25" s="77" t="n">
        <v>36708</v>
      </c>
      <c r="E25" s="77" t="n">
        <v>36738</v>
      </c>
      <c r="F25" s="38" t="s">
        <v>305</v>
      </c>
      <c r="G25" s="38" t="s">
        <v>188</v>
      </c>
      <c r="H25" s="76"/>
      <c r="I25" s="78" t="n">
        <f aca="false">3.145/I$1</f>
        <v>0.101451612903226</v>
      </c>
      <c r="J25" s="79" t="n">
        <v>0</v>
      </c>
      <c r="K25" s="79" t="n">
        <v>0</v>
      </c>
      <c r="L25" s="79" t="n">
        <v>0</v>
      </c>
      <c r="M25" s="79" t="n">
        <v>0</v>
      </c>
      <c r="N25" s="80" t="n">
        <v>0</v>
      </c>
      <c r="O25" s="79" t="n">
        <f aca="false">SUM(I25:M25)</f>
        <v>0.101451612903226</v>
      </c>
      <c r="P25" s="81" t="n">
        <v>65072</v>
      </c>
      <c r="Q25" s="167" t="n">
        <v>-406</v>
      </c>
      <c r="R25" s="38" t="s">
        <v>307</v>
      </c>
      <c r="S25" s="82" t="n">
        <f aca="false">I25*I$1*Q25</f>
        <v>-1276.87</v>
      </c>
      <c r="T25" s="82"/>
      <c r="U25" s="83" t="n">
        <v>310500</v>
      </c>
      <c r="V25" s="84"/>
      <c r="W25" s="84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  <c r="IU25" s="85"/>
      <c r="IV25" s="85"/>
      <c r="IW25" s="85"/>
    </row>
    <row r="26" customFormat="false" ht="12.75" hidden="false" customHeight="false" outlineLevel="0" collapsed="false">
      <c r="A26" s="15"/>
      <c r="B26" s="16"/>
      <c r="C26" s="16"/>
      <c r="D26" s="17"/>
      <c r="E26" s="17"/>
      <c r="F26" s="15"/>
      <c r="G26" s="15"/>
      <c r="H26" s="16"/>
      <c r="I26" s="19"/>
      <c r="J26" s="20"/>
      <c r="K26" s="20"/>
      <c r="L26" s="20"/>
      <c r="M26" s="20"/>
      <c r="N26" s="25"/>
      <c r="O26" s="20"/>
      <c r="P26" s="22"/>
      <c r="Q26" s="168"/>
      <c r="R26" s="15"/>
      <c r="S26" s="23"/>
      <c r="T26" s="23"/>
      <c r="U26" s="26"/>
      <c r="V26" s="24"/>
      <c r="W26" s="24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95" t="s">
        <v>1</v>
      </c>
      <c r="B27" s="71" t="s">
        <v>1</v>
      </c>
      <c r="C27" s="69" t="s">
        <v>1</v>
      </c>
      <c r="D27" s="96" t="s">
        <v>1</v>
      </c>
      <c r="E27" s="96"/>
      <c r="F27" s="95" t="s">
        <v>1</v>
      </c>
      <c r="G27" s="97" t="s">
        <v>1</v>
      </c>
      <c r="H27" s="71" t="s">
        <v>1</v>
      </c>
      <c r="I27" s="98"/>
      <c r="J27" s="68"/>
      <c r="K27" s="68"/>
      <c r="L27" s="68"/>
      <c r="M27" s="68"/>
      <c r="N27" s="99"/>
      <c r="O27" s="68"/>
      <c r="P27" s="100" t="s">
        <v>1</v>
      </c>
      <c r="Q27" s="69" t="n">
        <f aca="false">SUM(Q13:Q26)</f>
        <v>251858</v>
      </c>
      <c r="R27" s="95" t="s">
        <v>164</v>
      </c>
      <c r="S27" s="35" t="n">
        <f aca="false">SUM(S13:S26)</f>
        <v>402848.4162</v>
      </c>
      <c r="T27" s="45" t="n">
        <f aca="false">SUM(T17:T26)</f>
        <v>0</v>
      </c>
      <c r="U27" s="46"/>
      <c r="V27" s="37"/>
      <c r="W27" s="37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  <c r="IW27" s="73"/>
    </row>
    <row r="28" customFormat="false" ht="12.75" hidden="false" customHeight="false" outlineLevel="0" collapsed="false">
      <c r="A28" s="95"/>
      <c r="B28" s="71"/>
      <c r="C28" s="69"/>
      <c r="D28" s="96"/>
      <c r="E28" s="96"/>
      <c r="F28" s="95"/>
      <c r="G28" s="97"/>
      <c r="H28" s="71"/>
      <c r="I28" s="98"/>
      <c r="J28" s="68"/>
      <c r="K28" s="68"/>
      <c r="L28" s="68"/>
      <c r="M28" s="68"/>
      <c r="N28" s="99"/>
      <c r="O28" s="68"/>
      <c r="P28" s="100"/>
      <c r="Q28" s="71"/>
      <c r="R28" s="95" t="s">
        <v>165</v>
      </c>
      <c r="S28" s="35" t="n">
        <f aca="false">SUM(S24:S25)</f>
        <v>22656.58</v>
      </c>
      <c r="T28" s="45"/>
      <c r="U28" s="46"/>
      <c r="V28" s="37"/>
      <c r="W28" s="37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</row>
    <row r="29" customFormat="false" ht="13.5" hidden="false" customHeight="false" outlineLevel="0" collapsed="false">
      <c r="A29" s="95"/>
      <c r="B29" s="71"/>
      <c r="C29" s="69"/>
      <c r="D29" s="96"/>
      <c r="E29" s="96"/>
      <c r="F29" s="95"/>
      <c r="G29" s="97"/>
      <c r="H29" s="71"/>
      <c r="I29" s="98"/>
      <c r="J29" s="68"/>
      <c r="K29" s="68"/>
      <c r="L29" s="68"/>
      <c r="M29" s="68"/>
      <c r="N29" s="99"/>
      <c r="O29" s="68"/>
      <c r="P29" s="100"/>
      <c r="Q29" s="71"/>
      <c r="R29" s="95" t="s">
        <v>166</v>
      </c>
      <c r="S29" s="169" t="n">
        <f aca="false">+S27-S28</f>
        <v>380191.8362</v>
      </c>
      <c r="T29" s="45"/>
      <c r="U29" s="46"/>
      <c r="V29" s="24"/>
      <c r="W29" s="24"/>
    </row>
    <row r="30" customFormat="false" ht="13.5" hidden="false" customHeight="false" outlineLevel="0" collapsed="false">
      <c r="A30" s="95"/>
      <c r="B30" s="71"/>
      <c r="C30" s="69"/>
      <c r="D30" s="96"/>
      <c r="E30" s="96"/>
      <c r="F30" s="95"/>
      <c r="G30" s="97"/>
      <c r="H30" s="71"/>
      <c r="I30" s="98"/>
      <c r="J30" s="68"/>
      <c r="K30" s="68"/>
      <c r="L30" s="68"/>
      <c r="M30" s="68"/>
      <c r="N30" s="99"/>
      <c r="O30" s="68"/>
      <c r="P30" s="100"/>
      <c r="Q30" s="71"/>
      <c r="R30" s="95"/>
      <c r="S30" s="35"/>
      <c r="T30" s="45"/>
      <c r="U30" s="46"/>
      <c r="V30" s="24"/>
      <c r="W30" s="24"/>
    </row>
    <row r="31" customFormat="false" ht="12.75" hidden="false" customHeight="false" outlineLevel="0" collapsed="false">
      <c r="A31" s="103" t="s">
        <v>108</v>
      </c>
      <c r="B31" s="104" t="s">
        <v>109</v>
      </c>
      <c r="C31" s="104" t="s">
        <v>110</v>
      </c>
      <c r="D31" s="105" t="s">
        <v>111</v>
      </c>
      <c r="E31" s="105"/>
      <c r="F31" s="103" t="s">
        <v>112</v>
      </c>
      <c r="G31" s="103" t="s">
        <v>113</v>
      </c>
      <c r="H31" s="104" t="s">
        <v>228</v>
      </c>
      <c r="I31" s="106" t="s">
        <v>115</v>
      </c>
      <c r="J31" s="104" t="s">
        <v>116</v>
      </c>
      <c r="K31" s="104" t="s">
        <v>117</v>
      </c>
      <c r="L31" s="104" t="s">
        <v>118</v>
      </c>
      <c r="M31" s="104" t="s">
        <v>119</v>
      </c>
      <c r="N31" s="107" t="s">
        <v>120</v>
      </c>
      <c r="O31" s="104" t="s">
        <v>121</v>
      </c>
      <c r="P31" s="108" t="s">
        <v>147</v>
      </c>
      <c r="Q31" s="104" t="s">
        <v>123</v>
      </c>
      <c r="R31" s="103" t="s">
        <v>124</v>
      </c>
      <c r="S31" s="109" t="s">
        <v>125</v>
      </c>
      <c r="T31" s="110" t="s">
        <v>126</v>
      </c>
      <c r="U31" s="111" t="s">
        <v>148</v>
      </c>
      <c r="V31" s="112"/>
      <c r="W31" s="112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</row>
    <row r="32" customFormat="false" ht="12.75" hidden="false" customHeight="false" outlineLevel="0" collapsed="false">
      <c r="A32" s="15" t="s">
        <v>308</v>
      </c>
      <c r="B32" s="15" t="s">
        <v>309</v>
      </c>
      <c r="C32" s="16"/>
      <c r="D32" s="17" t="n">
        <v>36526</v>
      </c>
      <c r="E32" s="17" t="n">
        <v>36769</v>
      </c>
      <c r="F32" s="15" t="s">
        <v>231</v>
      </c>
      <c r="G32" s="15"/>
      <c r="H32" s="16" t="s">
        <v>310</v>
      </c>
      <c r="I32" s="19" t="n">
        <v>0.125</v>
      </c>
      <c r="J32" s="20" t="n">
        <v>0</v>
      </c>
      <c r="K32" s="20" t="n">
        <v>0.0022</v>
      </c>
      <c r="L32" s="20" t="n">
        <v>0.0072</v>
      </c>
      <c r="M32" s="20" t="n">
        <v>0.0131</v>
      </c>
      <c r="N32" s="25" t="n">
        <v>0</v>
      </c>
      <c r="O32" s="20" t="n">
        <f aca="false">SUM(I32:M32)</f>
        <v>0.1475</v>
      </c>
      <c r="P32" s="22" t="s">
        <v>311</v>
      </c>
      <c r="Q32" s="16" t="n">
        <v>1000000</v>
      </c>
      <c r="R32" s="15" t="s">
        <v>312</v>
      </c>
      <c r="S32" s="23" t="n">
        <v>125000</v>
      </c>
      <c r="T32" s="23"/>
      <c r="U32" s="26"/>
      <c r="V32" s="24"/>
      <c r="W32" s="24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5"/>
      <c r="B33" s="16"/>
      <c r="C33" s="16"/>
      <c r="D33" s="17"/>
      <c r="E33" s="17"/>
      <c r="F33" s="15"/>
      <c r="G33" s="15"/>
      <c r="H33" s="16"/>
      <c r="I33" s="19"/>
      <c r="J33" s="20"/>
      <c r="K33" s="20"/>
      <c r="L33" s="20"/>
      <c r="M33" s="20"/>
      <c r="N33" s="25"/>
      <c r="O33" s="20"/>
      <c r="P33" s="22"/>
      <c r="Q33" s="16"/>
      <c r="R33" s="15"/>
      <c r="S33" s="23"/>
      <c r="T33" s="23"/>
      <c r="U33" s="26"/>
      <c r="V33" s="24"/>
      <c r="W33" s="24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5"/>
      <c r="B34" s="16"/>
      <c r="C34" s="16"/>
      <c r="D34" s="17"/>
      <c r="E34" s="17"/>
      <c r="F34" s="15"/>
      <c r="G34" s="15"/>
      <c r="H34" s="16"/>
      <c r="I34" s="19"/>
      <c r="J34" s="20"/>
      <c r="K34" s="20"/>
      <c r="L34" s="20"/>
      <c r="M34" s="20"/>
      <c r="N34" s="25"/>
      <c r="O34" s="20"/>
      <c r="P34" s="22"/>
      <c r="Q34" s="69" t="n">
        <f aca="false">SUM(Q32:Q33)</f>
        <v>1000000</v>
      </c>
      <c r="R34" s="95" t="s">
        <v>164</v>
      </c>
      <c r="S34" s="35" t="n">
        <f aca="false">SUM(S32:S33)</f>
        <v>125000</v>
      </c>
      <c r="T34" s="23"/>
      <c r="U34" s="26"/>
      <c r="V34" s="24"/>
      <c r="W34" s="24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5"/>
      <c r="B35" s="16"/>
      <c r="C35" s="16"/>
      <c r="D35" s="17"/>
      <c r="E35" s="17"/>
      <c r="F35" s="15"/>
      <c r="G35" s="15"/>
      <c r="H35" s="16"/>
      <c r="I35" s="19"/>
      <c r="J35" s="20"/>
      <c r="K35" s="20"/>
      <c r="L35" s="20"/>
      <c r="M35" s="20"/>
      <c r="N35" s="25"/>
      <c r="O35" s="20"/>
      <c r="P35" s="22"/>
      <c r="Q35" s="71"/>
      <c r="R35" s="95" t="s">
        <v>165</v>
      </c>
      <c r="S35" s="35" t="n">
        <v>0</v>
      </c>
      <c r="T35" s="23"/>
      <c r="U35" s="26"/>
      <c r="V35" s="24"/>
      <c r="W35" s="24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3.5" hidden="false" customHeight="false" outlineLevel="0" collapsed="false">
      <c r="A36" s="15"/>
      <c r="B36" s="16"/>
      <c r="C36" s="16"/>
      <c r="D36" s="17"/>
      <c r="E36" s="17"/>
      <c r="F36" s="15"/>
      <c r="G36" s="15"/>
      <c r="H36" s="16"/>
      <c r="I36" s="19"/>
      <c r="J36" s="20"/>
      <c r="K36" s="20"/>
      <c r="L36" s="20"/>
      <c r="M36" s="20"/>
      <c r="N36" s="25"/>
      <c r="O36" s="20"/>
      <c r="P36" s="22"/>
      <c r="Q36" s="71"/>
      <c r="R36" s="95" t="s">
        <v>166</v>
      </c>
      <c r="S36" s="169" t="n">
        <f aca="false">+S34-S35</f>
        <v>125000</v>
      </c>
      <c r="T36" s="23"/>
      <c r="U36" s="26"/>
      <c r="V36" s="24"/>
      <c r="W36" s="24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3.5" hidden="false" customHeight="false" outlineLevel="0" collapsed="false">
      <c r="A37" s="15"/>
      <c r="B37" s="16"/>
      <c r="C37" s="16"/>
      <c r="D37" s="17"/>
      <c r="E37" s="17"/>
      <c r="F37" s="15"/>
      <c r="G37" s="15"/>
      <c r="H37" s="16"/>
      <c r="I37" s="19"/>
      <c r="J37" s="20"/>
      <c r="K37" s="20"/>
      <c r="L37" s="20"/>
      <c r="M37" s="20"/>
      <c r="N37" s="25"/>
      <c r="O37" s="20"/>
      <c r="P37" s="22"/>
      <c r="Q37" s="16"/>
      <c r="R37" s="15"/>
      <c r="S37" s="23"/>
      <c r="T37" s="23"/>
      <c r="U37" s="26"/>
      <c r="V37" s="24"/>
      <c r="W37" s="24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70" t="s">
        <v>108</v>
      </c>
      <c r="B38" s="171" t="s">
        <v>109</v>
      </c>
      <c r="C38" s="171" t="s">
        <v>110</v>
      </c>
      <c r="D38" s="172" t="s">
        <v>111</v>
      </c>
      <c r="E38" s="172"/>
      <c r="F38" s="170" t="s">
        <v>112</v>
      </c>
      <c r="G38" s="170" t="s">
        <v>113</v>
      </c>
      <c r="H38" s="171" t="s">
        <v>114</v>
      </c>
      <c r="I38" s="173" t="s">
        <v>115</v>
      </c>
      <c r="J38" s="171" t="s">
        <v>116</v>
      </c>
      <c r="K38" s="171" t="s">
        <v>117</v>
      </c>
      <c r="L38" s="171" t="s">
        <v>118</v>
      </c>
      <c r="M38" s="171" t="s">
        <v>119</v>
      </c>
      <c r="N38" s="174" t="s">
        <v>120</v>
      </c>
      <c r="O38" s="171" t="s">
        <v>121</v>
      </c>
      <c r="P38" s="175" t="s">
        <v>122</v>
      </c>
      <c r="Q38" s="171" t="s">
        <v>123</v>
      </c>
      <c r="R38" s="170" t="s">
        <v>124</v>
      </c>
      <c r="S38" s="75" t="s">
        <v>243</v>
      </c>
      <c r="T38" s="75" t="s">
        <v>244</v>
      </c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3.5" hidden="false" customHeight="true" outlineLevel="0" collapsed="false">
      <c r="A39" s="15" t="s">
        <v>224</v>
      </c>
      <c r="B39" s="16" t="s">
        <v>313</v>
      </c>
      <c r="C39" s="16" t="s">
        <v>314</v>
      </c>
      <c r="D39" s="17" t="n">
        <v>36526</v>
      </c>
      <c r="E39" s="17" t="n">
        <v>36830</v>
      </c>
      <c r="F39" s="15" t="s">
        <v>261</v>
      </c>
      <c r="G39" s="15" t="s">
        <v>314</v>
      </c>
      <c r="H39" s="16"/>
      <c r="I39" s="19" t="n">
        <v>0.1275</v>
      </c>
      <c r="J39" s="20" t="n">
        <v>0</v>
      </c>
      <c r="K39" s="20" t="n">
        <v>0</v>
      </c>
      <c r="L39" s="20" t="n">
        <v>0</v>
      </c>
      <c r="M39" s="20" t="n">
        <v>0</v>
      </c>
      <c r="N39" s="21" t="n">
        <v>0.008</v>
      </c>
      <c r="O39" s="20" t="n">
        <f aca="false">SUM(I39:M39)</f>
        <v>0.1275</v>
      </c>
      <c r="P39" s="22" t="n">
        <v>6025</v>
      </c>
      <c r="Q39" s="16" t="n">
        <v>4581</v>
      </c>
      <c r="R39" s="15"/>
      <c r="S39" s="137" t="n">
        <f aca="false">I39*I$1*Q39</f>
        <v>18106.4025</v>
      </c>
      <c r="T39" s="23"/>
      <c r="U39" s="24" t="n">
        <v>145032</v>
      </c>
      <c r="V39" s="2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5" t="s">
        <v>224</v>
      </c>
      <c r="B40" s="16" t="s">
        <v>313</v>
      </c>
      <c r="C40" s="16" t="s">
        <v>314</v>
      </c>
      <c r="D40" s="17" t="n">
        <v>36526</v>
      </c>
      <c r="E40" s="17" t="n">
        <v>36830</v>
      </c>
      <c r="F40" s="15" t="s">
        <v>261</v>
      </c>
      <c r="G40" s="15" t="s">
        <v>314</v>
      </c>
      <c r="H40" s="16"/>
      <c r="I40" s="19" t="n">
        <v>0.1275</v>
      </c>
      <c r="J40" s="20" t="n">
        <v>0</v>
      </c>
      <c r="K40" s="20" t="n">
        <v>0</v>
      </c>
      <c r="L40" s="20" t="n">
        <v>0</v>
      </c>
      <c r="M40" s="20" t="n">
        <v>0</v>
      </c>
      <c r="N40" s="21" t="n">
        <v>0.008</v>
      </c>
      <c r="O40" s="20" t="n">
        <f aca="false">SUM(I40:M40)</f>
        <v>0.1275</v>
      </c>
      <c r="P40" s="22" t="n">
        <v>6041</v>
      </c>
      <c r="Q40" s="16" t="n">
        <v>835</v>
      </c>
      <c r="R40" s="15"/>
      <c r="S40" s="137" t="n">
        <f aca="false">I40*I$1*Q40</f>
        <v>3300.3375</v>
      </c>
      <c r="T40" s="23"/>
      <c r="U40" s="24" t="n">
        <v>145036</v>
      </c>
      <c r="V40" s="24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5" t="s">
        <v>224</v>
      </c>
      <c r="B41" s="16" t="s">
        <v>313</v>
      </c>
      <c r="C41" s="16" t="s">
        <v>315</v>
      </c>
      <c r="D41" s="17" t="n">
        <v>36526</v>
      </c>
      <c r="E41" s="17" t="n">
        <v>36830</v>
      </c>
      <c r="F41" s="15" t="s">
        <v>261</v>
      </c>
      <c r="G41" s="15" t="s">
        <v>315</v>
      </c>
      <c r="H41" s="16"/>
      <c r="I41" s="19" t="n">
        <v>0.1275</v>
      </c>
      <c r="J41" s="20" t="n">
        <v>0</v>
      </c>
      <c r="K41" s="20" t="n">
        <v>0</v>
      </c>
      <c r="L41" s="20" t="n">
        <v>0</v>
      </c>
      <c r="M41" s="20" t="n">
        <v>0</v>
      </c>
      <c r="N41" s="21" t="n">
        <v>0.008</v>
      </c>
      <c r="O41" s="20" t="n">
        <f aca="false">SUM(I41:M41)</f>
        <v>0.1275</v>
      </c>
      <c r="P41" s="22" t="n">
        <v>6011</v>
      </c>
      <c r="Q41" s="16" t="n">
        <v>500</v>
      </c>
      <c r="R41" s="15"/>
      <c r="S41" s="137" t="n">
        <f aca="false">I41*I$1*Q41</f>
        <v>1976.25</v>
      </c>
      <c r="T41" s="23"/>
      <c r="U41" s="24" t="n">
        <v>145040</v>
      </c>
      <c r="V41" s="24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5" t="s">
        <v>145</v>
      </c>
      <c r="B42" s="16" t="s">
        <v>313</v>
      </c>
      <c r="C42" s="16" t="s">
        <v>315</v>
      </c>
      <c r="D42" s="17" t="n">
        <v>36678</v>
      </c>
      <c r="E42" s="17" t="n">
        <v>36707</v>
      </c>
      <c r="F42" s="15" t="s">
        <v>261</v>
      </c>
      <c r="G42" s="15" t="s">
        <v>315</v>
      </c>
      <c r="H42" s="16"/>
      <c r="I42" s="19" t="n">
        <v>0.0456</v>
      </c>
      <c r="J42" s="20"/>
      <c r="K42" s="20"/>
      <c r="L42" s="20"/>
      <c r="M42" s="20"/>
      <c r="N42" s="21"/>
      <c r="O42" s="20"/>
      <c r="P42" s="22" t="n">
        <v>6011</v>
      </c>
      <c r="Q42" s="16" t="n">
        <v>-500</v>
      </c>
      <c r="R42" s="15"/>
      <c r="S42" s="137" t="n">
        <f aca="false">I42*I$1*Q42</f>
        <v>-706.8</v>
      </c>
      <c r="T42" s="23"/>
      <c r="U42" s="24" t="n">
        <v>286184</v>
      </c>
      <c r="V42" s="24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5" t="s">
        <v>224</v>
      </c>
      <c r="B43" s="16" t="s">
        <v>313</v>
      </c>
      <c r="C43" s="16" t="s">
        <v>316</v>
      </c>
      <c r="D43" s="17" t="n">
        <v>36526</v>
      </c>
      <c r="E43" s="17" t="n">
        <v>36830</v>
      </c>
      <c r="F43" s="15" t="s">
        <v>261</v>
      </c>
      <c r="G43" s="15" t="s">
        <v>316</v>
      </c>
      <c r="H43" s="16"/>
      <c r="I43" s="19" t="n">
        <v>0.1275</v>
      </c>
      <c r="J43" s="20" t="n">
        <v>0</v>
      </c>
      <c r="K43" s="20" t="n">
        <v>0</v>
      </c>
      <c r="L43" s="20" t="n">
        <v>0</v>
      </c>
      <c r="M43" s="20" t="n">
        <v>0</v>
      </c>
      <c r="N43" s="21" t="n">
        <v>0.008</v>
      </c>
      <c r="O43" s="20" t="n">
        <f aca="false">SUM(I43:M43)</f>
        <v>0.1275</v>
      </c>
      <c r="P43" s="22" t="n">
        <v>6500</v>
      </c>
      <c r="Q43" s="16" t="n">
        <v>359</v>
      </c>
      <c r="R43" s="15"/>
      <c r="S43" s="137" t="n">
        <f aca="false">I43*I$1*Q43</f>
        <v>1418.9475</v>
      </c>
      <c r="T43" s="23"/>
      <c r="U43" s="24" t="n">
        <v>145042</v>
      </c>
      <c r="V43" s="24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5" t="s">
        <v>224</v>
      </c>
      <c r="B44" s="16" t="s">
        <v>313</v>
      </c>
      <c r="C44" s="16" t="s">
        <v>317</v>
      </c>
      <c r="D44" s="17" t="n">
        <v>36526</v>
      </c>
      <c r="E44" s="17" t="n">
        <v>36830</v>
      </c>
      <c r="F44" s="15" t="s">
        <v>261</v>
      </c>
      <c r="G44" s="15" t="s">
        <v>316</v>
      </c>
      <c r="H44" s="16"/>
      <c r="I44" s="19" t="n">
        <v>0.1275</v>
      </c>
      <c r="J44" s="20" t="n">
        <v>0</v>
      </c>
      <c r="K44" s="20" t="n">
        <v>0</v>
      </c>
      <c r="L44" s="20" t="n">
        <v>0</v>
      </c>
      <c r="M44" s="20" t="n">
        <v>0</v>
      </c>
      <c r="N44" s="21" t="n">
        <v>0.008</v>
      </c>
      <c r="O44" s="20" t="n">
        <f aca="false">SUM(I44:M44)</f>
        <v>0.1275</v>
      </c>
      <c r="P44" s="22" t="n">
        <v>6005</v>
      </c>
      <c r="Q44" s="16" t="n">
        <v>1690</v>
      </c>
      <c r="R44" s="15"/>
      <c r="S44" s="137" t="n">
        <f aca="false">I44*I$1*Q44</f>
        <v>6679.725</v>
      </c>
      <c r="T44" s="23"/>
      <c r="U44" s="24" t="n">
        <v>144644</v>
      </c>
      <c r="V44" s="2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15" t="s">
        <v>224</v>
      </c>
      <c r="B45" s="16" t="s">
        <v>313</v>
      </c>
      <c r="C45" s="16" t="s">
        <v>317</v>
      </c>
      <c r="D45" s="17" t="n">
        <v>36526</v>
      </c>
      <c r="E45" s="17" t="n">
        <v>36830</v>
      </c>
      <c r="F45" s="15" t="s">
        <v>261</v>
      </c>
      <c r="G45" s="15" t="s">
        <v>316</v>
      </c>
      <c r="H45" s="16"/>
      <c r="I45" s="19" t="n">
        <v>0.1275</v>
      </c>
      <c r="J45" s="20" t="n">
        <v>0</v>
      </c>
      <c r="K45" s="20" t="n">
        <v>0</v>
      </c>
      <c r="L45" s="20" t="n">
        <v>0</v>
      </c>
      <c r="M45" s="20" t="n">
        <v>0</v>
      </c>
      <c r="N45" s="21" t="n">
        <v>0.008</v>
      </c>
      <c r="O45" s="20" t="n">
        <f aca="false">SUM(I45:M45)</f>
        <v>0.1275</v>
      </c>
      <c r="P45" s="22" t="n">
        <v>6047</v>
      </c>
      <c r="Q45" s="16" t="n">
        <v>1758</v>
      </c>
      <c r="R45" s="15"/>
      <c r="S45" s="137" t="n">
        <f aca="false">I45*I$1*Q45</f>
        <v>6948.495</v>
      </c>
      <c r="T45" s="23"/>
      <c r="U45" s="24" t="n">
        <v>145016</v>
      </c>
      <c r="V45" s="24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5" t="s">
        <v>224</v>
      </c>
      <c r="B46" s="16" t="s">
        <v>313</v>
      </c>
      <c r="C46" s="16" t="s">
        <v>317</v>
      </c>
      <c r="D46" s="17" t="n">
        <v>36526</v>
      </c>
      <c r="E46" s="17" t="n">
        <v>36830</v>
      </c>
      <c r="F46" s="15" t="s">
        <v>261</v>
      </c>
      <c r="G46" s="15" t="s">
        <v>316</v>
      </c>
      <c r="H46" s="16"/>
      <c r="I46" s="19" t="n">
        <v>0.1275</v>
      </c>
      <c r="J46" s="20" t="n">
        <v>0</v>
      </c>
      <c r="K46" s="20" t="n">
        <v>0</v>
      </c>
      <c r="L46" s="20" t="n">
        <v>0</v>
      </c>
      <c r="M46" s="20" t="n">
        <v>0</v>
      </c>
      <c r="N46" s="21" t="n">
        <v>0.008</v>
      </c>
      <c r="O46" s="20" t="n">
        <f aca="false">SUM(I46:M46)</f>
        <v>0.1275</v>
      </c>
      <c r="P46" s="22" t="n">
        <v>6048</v>
      </c>
      <c r="Q46" s="16" t="n">
        <v>2500</v>
      </c>
      <c r="R46" s="15"/>
      <c r="S46" s="137" t="n">
        <f aca="false">I46*I$1*Q46</f>
        <v>9881.25</v>
      </c>
      <c r="T46" s="23"/>
      <c r="U46" s="24" t="n">
        <v>145019</v>
      </c>
      <c r="V46" s="24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15" t="s">
        <v>224</v>
      </c>
      <c r="B47" s="16" t="s">
        <v>313</v>
      </c>
      <c r="C47" s="16" t="s">
        <v>317</v>
      </c>
      <c r="D47" s="17" t="n">
        <v>36526</v>
      </c>
      <c r="E47" s="17" t="n">
        <v>36830</v>
      </c>
      <c r="F47" s="15" t="s">
        <v>261</v>
      </c>
      <c r="G47" s="15" t="s">
        <v>316</v>
      </c>
      <c r="H47" s="16"/>
      <c r="I47" s="19" t="n">
        <v>0.1275</v>
      </c>
      <c r="J47" s="20" t="n">
        <v>0</v>
      </c>
      <c r="K47" s="20" t="n">
        <v>0</v>
      </c>
      <c r="L47" s="20" t="n">
        <v>0</v>
      </c>
      <c r="M47" s="20" t="n">
        <v>0</v>
      </c>
      <c r="N47" s="21" t="n">
        <v>0.008</v>
      </c>
      <c r="O47" s="20" t="n">
        <f aca="false">SUM(I47:M47)</f>
        <v>0.1275</v>
      </c>
      <c r="P47" s="22" t="n">
        <v>6049</v>
      </c>
      <c r="Q47" s="16" t="n">
        <v>12000</v>
      </c>
      <c r="R47" s="15"/>
      <c r="S47" s="137" t="n">
        <f aca="false">I47*I$1*Q47</f>
        <v>47430</v>
      </c>
      <c r="T47" s="23"/>
      <c r="U47" s="24" t="n">
        <v>145020</v>
      </c>
      <c r="V47" s="2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5" t="s">
        <v>224</v>
      </c>
      <c r="B48" s="16" t="s">
        <v>313</v>
      </c>
      <c r="C48" s="16" t="s">
        <v>317</v>
      </c>
      <c r="D48" s="17" t="n">
        <v>36678</v>
      </c>
      <c r="E48" s="17" t="n">
        <v>36707</v>
      </c>
      <c r="F48" s="15" t="s">
        <v>261</v>
      </c>
      <c r="G48" s="15" t="s">
        <v>317</v>
      </c>
      <c r="H48" s="16"/>
      <c r="I48" s="19" t="n">
        <v>0.02</v>
      </c>
      <c r="J48" s="20"/>
      <c r="K48" s="20"/>
      <c r="L48" s="20"/>
      <c r="M48" s="20"/>
      <c r="N48" s="21"/>
      <c r="O48" s="20"/>
      <c r="P48" s="22" t="n">
        <v>6049</v>
      </c>
      <c r="Q48" s="16" t="n">
        <v>-750</v>
      </c>
      <c r="R48" s="15"/>
      <c r="S48" s="137" t="n">
        <f aca="false">+I48*Q48*30</f>
        <v>-450</v>
      </c>
      <c r="T48" s="23"/>
      <c r="U48" s="24" t="n">
        <v>286190</v>
      </c>
      <c r="V48" s="24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5" t="s">
        <v>224</v>
      </c>
      <c r="B49" s="16" t="s">
        <v>313</v>
      </c>
      <c r="C49" s="16" t="s">
        <v>317</v>
      </c>
      <c r="D49" s="17" t="n">
        <v>36691</v>
      </c>
      <c r="E49" s="17" t="n">
        <v>36707</v>
      </c>
      <c r="F49" s="15" t="s">
        <v>261</v>
      </c>
      <c r="G49" s="15" t="s">
        <v>317</v>
      </c>
      <c r="H49" s="16"/>
      <c r="I49" s="19" t="n">
        <v>0.02</v>
      </c>
      <c r="J49" s="20"/>
      <c r="K49" s="20"/>
      <c r="L49" s="20"/>
      <c r="M49" s="20"/>
      <c r="N49" s="21"/>
      <c r="O49" s="20"/>
      <c r="P49" s="22" t="n">
        <v>6049</v>
      </c>
      <c r="Q49" s="16" t="n">
        <v>-238</v>
      </c>
      <c r="R49" s="15"/>
      <c r="S49" s="137" t="n">
        <f aca="false">+I49*Q49*30</f>
        <v>-142.8</v>
      </c>
      <c r="T49" s="23"/>
      <c r="U49" s="24" t="n">
        <v>296501</v>
      </c>
      <c r="V49" s="24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5" t="s">
        <v>224</v>
      </c>
      <c r="B50" s="16" t="s">
        <v>313</v>
      </c>
      <c r="C50" s="16" t="s">
        <v>317</v>
      </c>
      <c r="D50" s="17" t="n">
        <v>36526</v>
      </c>
      <c r="E50" s="17" t="n">
        <v>36830</v>
      </c>
      <c r="F50" s="15" t="s">
        <v>261</v>
      </c>
      <c r="G50" s="15" t="s">
        <v>316</v>
      </c>
      <c r="H50" s="16"/>
      <c r="I50" s="19" t="n">
        <v>0.1275</v>
      </c>
      <c r="J50" s="20" t="n">
        <v>0</v>
      </c>
      <c r="K50" s="20" t="n">
        <v>0</v>
      </c>
      <c r="L50" s="20" t="n">
        <v>0</v>
      </c>
      <c r="M50" s="20" t="n">
        <v>0</v>
      </c>
      <c r="N50" s="21" t="n">
        <v>0.008</v>
      </c>
      <c r="O50" s="20" t="n">
        <f aca="false">SUM(I50:M50)</f>
        <v>0.1275</v>
      </c>
      <c r="P50" s="22" t="n">
        <v>6050</v>
      </c>
      <c r="Q50" s="16" t="n">
        <v>1745</v>
      </c>
      <c r="R50" s="15"/>
      <c r="S50" s="137" t="n">
        <f aca="false">I50*I$1*Q50</f>
        <v>6897.1125</v>
      </c>
      <c r="T50" s="23"/>
      <c r="U50" s="24" t="n">
        <v>145025</v>
      </c>
      <c r="V50" s="24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5" t="s">
        <v>224</v>
      </c>
      <c r="B51" s="16" t="s">
        <v>313</v>
      </c>
      <c r="C51" s="16" t="s">
        <v>317</v>
      </c>
      <c r="D51" s="17" t="n">
        <v>36526</v>
      </c>
      <c r="E51" s="17" t="n">
        <v>36830</v>
      </c>
      <c r="F51" s="15" t="s">
        <v>261</v>
      </c>
      <c r="G51" s="15" t="s">
        <v>316</v>
      </c>
      <c r="H51" s="16"/>
      <c r="I51" s="19" t="n">
        <v>0.1275</v>
      </c>
      <c r="J51" s="20" t="n">
        <v>0</v>
      </c>
      <c r="K51" s="20" t="n">
        <v>0</v>
      </c>
      <c r="L51" s="20" t="n">
        <v>0</v>
      </c>
      <c r="M51" s="20" t="n">
        <v>0</v>
      </c>
      <c r="N51" s="21" t="n">
        <v>0.008</v>
      </c>
      <c r="O51" s="20" t="n">
        <f aca="false">SUM(I51:M51)</f>
        <v>0.1275</v>
      </c>
      <c r="P51" s="22" t="n">
        <v>6051</v>
      </c>
      <c r="Q51" s="16" t="n">
        <v>2800</v>
      </c>
      <c r="R51" s="15"/>
      <c r="S51" s="137" t="n">
        <f aca="false">I51*I$1*Q51</f>
        <v>11067</v>
      </c>
      <c r="T51" s="23"/>
      <c r="U51" s="24" t="n">
        <v>145028</v>
      </c>
      <c r="V51" s="24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5" t="s">
        <v>224</v>
      </c>
      <c r="B52" s="16" t="s">
        <v>313</v>
      </c>
      <c r="C52" s="16" t="s">
        <v>317</v>
      </c>
      <c r="D52" s="17" t="n">
        <v>36526</v>
      </c>
      <c r="E52" s="17" t="n">
        <v>36830</v>
      </c>
      <c r="F52" s="15" t="s">
        <v>261</v>
      </c>
      <c r="G52" s="15" t="s">
        <v>316</v>
      </c>
      <c r="H52" s="16"/>
      <c r="I52" s="19" t="n">
        <v>0.1275</v>
      </c>
      <c r="J52" s="20" t="n">
        <v>0</v>
      </c>
      <c r="K52" s="20" t="n">
        <v>0</v>
      </c>
      <c r="L52" s="20" t="n">
        <v>0</v>
      </c>
      <c r="M52" s="20" t="n">
        <v>0</v>
      </c>
      <c r="N52" s="21" t="n">
        <v>0.008</v>
      </c>
      <c r="O52" s="20" t="n">
        <f aca="false">SUM(I52:M52)</f>
        <v>0.1275</v>
      </c>
      <c r="P52" s="22" t="n">
        <v>6052</v>
      </c>
      <c r="Q52" s="16" t="n">
        <v>1241</v>
      </c>
      <c r="R52" s="15"/>
      <c r="S52" s="137" t="n">
        <f aca="false">I52*I$1*Q52</f>
        <v>4905.0525</v>
      </c>
      <c r="T52" s="23"/>
      <c r="U52" s="24" t="n">
        <v>145029</v>
      </c>
      <c r="V52" s="24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5" t="s">
        <v>224</v>
      </c>
      <c r="B53" s="16" t="s">
        <v>313</v>
      </c>
      <c r="C53" s="16" t="s">
        <v>317</v>
      </c>
      <c r="D53" s="17" t="n">
        <v>36526</v>
      </c>
      <c r="E53" s="17" t="n">
        <v>36830</v>
      </c>
      <c r="F53" s="15" t="s">
        <v>261</v>
      </c>
      <c r="G53" s="15" t="s">
        <v>316</v>
      </c>
      <c r="H53" s="16"/>
      <c r="I53" s="19" t="n">
        <v>0.1275</v>
      </c>
      <c r="J53" s="20" t="n">
        <v>0</v>
      </c>
      <c r="K53" s="20" t="n">
        <v>0</v>
      </c>
      <c r="L53" s="20" t="n">
        <v>0</v>
      </c>
      <c r="M53" s="20" t="n">
        <v>0</v>
      </c>
      <c r="N53" s="21" t="n">
        <v>0.008</v>
      </c>
      <c r="O53" s="20" t="n">
        <f aca="false">SUM(I53:M53)</f>
        <v>0.1275</v>
      </c>
      <c r="P53" s="22" t="n">
        <v>6053</v>
      </c>
      <c r="Q53" s="16" t="n">
        <v>2500</v>
      </c>
      <c r="R53" s="15"/>
      <c r="S53" s="137" t="n">
        <f aca="false">I53*I$1*Q53</f>
        <v>9881.25</v>
      </c>
      <c r="T53" s="23"/>
      <c r="U53" s="24" t="n">
        <v>145030</v>
      </c>
      <c r="V53" s="24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5" t="s">
        <v>224</v>
      </c>
      <c r="B54" s="16" t="s">
        <v>313</v>
      </c>
      <c r="C54" s="16" t="s">
        <v>318</v>
      </c>
      <c r="D54" s="17" t="n">
        <v>36526</v>
      </c>
      <c r="E54" s="17" t="n">
        <v>36830</v>
      </c>
      <c r="F54" s="15" t="s">
        <v>261</v>
      </c>
      <c r="G54" s="15" t="s">
        <v>318</v>
      </c>
      <c r="H54" s="16"/>
      <c r="I54" s="19" t="n">
        <v>0.1275</v>
      </c>
      <c r="J54" s="20" t="n">
        <v>0</v>
      </c>
      <c r="K54" s="20" t="n">
        <v>0</v>
      </c>
      <c r="L54" s="20" t="n">
        <v>0</v>
      </c>
      <c r="M54" s="20" t="n">
        <v>0</v>
      </c>
      <c r="N54" s="21" t="n">
        <v>0.008</v>
      </c>
      <c r="O54" s="20" t="n">
        <f aca="false">SUM(I54:M54)</f>
        <v>0.1275</v>
      </c>
      <c r="P54" s="22" t="n">
        <v>6009</v>
      </c>
      <c r="Q54" s="16" t="n">
        <v>5281</v>
      </c>
      <c r="R54" s="15"/>
      <c r="S54" s="137" t="n">
        <f aca="false">I54*I$1*Q54</f>
        <v>20873.1525</v>
      </c>
      <c r="T54" s="23"/>
      <c r="U54" s="24" t="n">
        <v>145645</v>
      </c>
      <c r="V54" s="24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5" t="s">
        <v>224</v>
      </c>
      <c r="B55" s="16" t="s">
        <v>313</v>
      </c>
      <c r="C55" s="16" t="s">
        <v>318</v>
      </c>
      <c r="D55" s="17" t="n">
        <v>36678</v>
      </c>
      <c r="E55" s="17" t="n">
        <v>36707</v>
      </c>
      <c r="F55" s="15" t="s">
        <v>261</v>
      </c>
      <c r="G55" s="15" t="s">
        <v>318</v>
      </c>
      <c r="H55" s="16"/>
      <c r="I55" s="19" t="n">
        <v>0.02</v>
      </c>
      <c r="J55" s="20"/>
      <c r="K55" s="20"/>
      <c r="L55" s="20"/>
      <c r="M55" s="20"/>
      <c r="N55" s="21"/>
      <c r="O55" s="20"/>
      <c r="P55" s="22" t="n">
        <v>6009</v>
      </c>
      <c r="Q55" s="16" t="n">
        <v>-1670</v>
      </c>
      <c r="R55" s="15"/>
      <c r="S55" s="137" t="n">
        <f aca="false">+Q55*I55*30</f>
        <v>-1002</v>
      </c>
      <c r="T55" s="23"/>
      <c r="U55" s="24" t="n">
        <v>286181</v>
      </c>
      <c r="V55" s="24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5" t="s">
        <v>224</v>
      </c>
      <c r="B56" s="16" t="s">
        <v>313</v>
      </c>
      <c r="C56" s="16" t="s">
        <v>318</v>
      </c>
      <c r="D56" s="17" t="n">
        <v>36526</v>
      </c>
      <c r="E56" s="17" t="n">
        <v>36830</v>
      </c>
      <c r="F56" s="15" t="s">
        <v>261</v>
      </c>
      <c r="G56" s="15" t="s">
        <v>318</v>
      </c>
      <c r="H56" s="16"/>
      <c r="I56" s="19" t="n">
        <v>0.1275</v>
      </c>
      <c r="J56" s="20" t="n">
        <v>0</v>
      </c>
      <c r="K56" s="20" t="n">
        <v>0</v>
      </c>
      <c r="L56" s="20" t="n">
        <v>0</v>
      </c>
      <c r="M56" s="20" t="n">
        <v>0</v>
      </c>
      <c r="N56" s="21" t="n">
        <v>0.008</v>
      </c>
      <c r="O56" s="20" t="n">
        <f aca="false">SUM(I56:M56)</f>
        <v>0.1275</v>
      </c>
      <c r="P56" s="22" t="n">
        <v>6055</v>
      </c>
      <c r="Q56" s="16" t="n">
        <v>23254</v>
      </c>
      <c r="R56" s="15"/>
      <c r="S56" s="137" t="n">
        <f aca="false">I56*I$1*Q56</f>
        <v>91911.435</v>
      </c>
      <c r="T56" s="23"/>
      <c r="U56" s="24" t="n">
        <v>145048</v>
      </c>
      <c r="V56" s="2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5" t="s">
        <v>224</v>
      </c>
      <c r="B57" s="16" t="s">
        <v>313</v>
      </c>
      <c r="C57" s="16" t="s">
        <v>318</v>
      </c>
      <c r="D57" s="17" t="n">
        <v>36526</v>
      </c>
      <c r="E57" s="17" t="n">
        <v>36830</v>
      </c>
      <c r="F57" s="15" t="s">
        <v>261</v>
      </c>
      <c r="G57" s="15" t="s">
        <v>318</v>
      </c>
      <c r="H57" s="16"/>
      <c r="I57" s="19" t="n">
        <v>0.1275</v>
      </c>
      <c r="J57" s="20" t="n">
        <v>0</v>
      </c>
      <c r="K57" s="20" t="n">
        <v>0</v>
      </c>
      <c r="L57" s="20" t="n">
        <v>0</v>
      </c>
      <c r="M57" s="20" t="n">
        <v>0</v>
      </c>
      <c r="N57" s="21" t="n">
        <v>0.008</v>
      </c>
      <c r="O57" s="20" t="n">
        <f aca="false">SUM(I57:M57)</f>
        <v>0.1275</v>
      </c>
      <c r="P57" s="22" t="n">
        <v>6056</v>
      </c>
      <c r="Q57" s="16" t="n">
        <v>10000</v>
      </c>
      <c r="R57" s="15"/>
      <c r="S57" s="137" t="n">
        <f aca="false">I57*I$1*Q57</f>
        <v>39525</v>
      </c>
      <c r="T57" s="23"/>
      <c r="U57" s="24" t="n">
        <v>145049</v>
      </c>
      <c r="V57" s="2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5" t="s">
        <v>224</v>
      </c>
      <c r="B58" s="16" t="s">
        <v>313</v>
      </c>
      <c r="C58" s="16" t="s">
        <v>318</v>
      </c>
      <c r="D58" s="17" t="n">
        <v>36526</v>
      </c>
      <c r="E58" s="17" t="n">
        <v>36830</v>
      </c>
      <c r="F58" s="15" t="s">
        <v>261</v>
      </c>
      <c r="G58" s="15" t="s">
        <v>318</v>
      </c>
      <c r="H58" s="16"/>
      <c r="I58" s="19" t="n">
        <v>0.1275</v>
      </c>
      <c r="J58" s="20" t="n">
        <v>0</v>
      </c>
      <c r="K58" s="20" t="n">
        <v>0</v>
      </c>
      <c r="L58" s="20" t="n">
        <v>0</v>
      </c>
      <c r="M58" s="20" t="n">
        <v>0</v>
      </c>
      <c r="N58" s="21" t="n">
        <v>0.008</v>
      </c>
      <c r="O58" s="20" t="n">
        <f aca="false">SUM(I58:M58)</f>
        <v>0.1275</v>
      </c>
      <c r="P58" s="22" t="n">
        <v>6063</v>
      </c>
      <c r="Q58" s="16" t="n">
        <v>5000</v>
      </c>
      <c r="R58" s="15"/>
      <c r="S58" s="137" t="n">
        <f aca="false">I58*I$1*Q58</f>
        <v>19762.5</v>
      </c>
      <c r="T58" s="23"/>
      <c r="U58" s="24" t="n">
        <v>145050</v>
      </c>
      <c r="V58" s="24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60" customFormat="false" ht="12.75" hidden="false" customHeight="false" outlineLevel="0" collapsed="false">
      <c r="A60" s="15" t="s">
        <v>224</v>
      </c>
      <c r="B60" s="16" t="s">
        <v>313</v>
      </c>
      <c r="C60" s="16" t="s">
        <v>319</v>
      </c>
      <c r="D60" s="17" t="n">
        <v>36526</v>
      </c>
      <c r="E60" s="17" t="n">
        <v>36556</v>
      </c>
      <c r="F60" s="15" t="s">
        <v>261</v>
      </c>
      <c r="G60" s="15" t="s">
        <v>314</v>
      </c>
      <c r="H60" s="16"/>
      <c r="I60" s="19" t="n">
        <v>0.1275</v>
      </c>
      <c r="J60" s="20" t="n">
        <v>0</v>
      </c>
      <c r="K60" s="20" t="n">
        <v>0</v>
      </c>
      <c r="L60" s="20" t="n">
        <v>0</v>
      </c>
      <c r="M60" s="20" t="n">
        <v>0</v>
      </c>
      <c r="N60" s="21" t="n">
        <v>0.008</v>
      </c>
      <c r="O60" s="20" t="n">
        <f aca="false">SUM(I60:M60)</f>
        <v>0.1275</v>
      </c>
      <c r="P60" s="22" t="n">
        <v>6056</v>
      </c>
      <c r="Q60" s="16"/>
      <c r="R60" s="15"/>
      <c r="S60" s="23"/>
      <c r="T60" s="23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5"/>
      <c r="B61" s="16"/>
      <c r="C61" s="16"/>
      <c r="D61" s="17"/>
      <c r="E61" s="17"/>
      <c r="F61" s="15"/>
      <c r="G61" s="15"/>
      <c r="H61" s="16"/>
      <c r="I61" s="19"/>
      <c r="J61" s="20"/>
      <c r="K61" s="68"/>
      <c r="L61" s="20"/>
      <c r="M61" s="20"/>
      <c r="N61" s="21"/>
      <c r="O61" s="20"/>
      <c r="P61" s="22"/>
      <c r="Q61" s="16"/>
      <c r="R61" s="16"/>
      <c r="S61" s="23"/>
      <c r="T61" s="23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5"/>
      <c r="B62" s="16"/>
      <c r="C62" s="16"/>
      <c r="D62" s="17"/>
      <c r="E62" s="17"/>
      <c r="F62" s="15"/>
      <c r="G62" s="15"/>
      <c r="H62" s="16"/>
      <c r="I62" s="19"/>
      <c r="J62" s="20"/>
      <c r="K62" s="20"/>
      <c r="L62" s="20"/>
      <c r="M62" s="20"/>
      <c r="N62" s="25"/>
      <c r="O62" s="20"/>
      <c r="P62" s="22"/>
      <c r="Q62" s="69" t="n">
        <f aca="false">SUM(Q39:Q61)</f>
        <v>72886</v>
      </c>
      <c r="R62" s="95" t="s">
        <v>164</v>
      </c>
      <c r="S62" s="35" t="n">
        <f aca="false">SUM(S39:S61)</f>
        <v>298262.31</v>
      </c>
      <c r="T62" s="23"/>
      <c r="U62" s="26"/>
      <c r="V62" s="24"/>
      <c r="W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false" outlineLevel="0" collapsed="false">
      <c r="A63" s="15"/>
      <c r="B63" s="16"/>
      <c r="C63" s="16"/>
      <c r="D63" s="17"/>
      <c r="E63" s="17"/>
      <c r="F63" s="15"/>
      <c r="G63" s="15"/>
      <c r="H63" s="16"/>
      <c r="I63" s="19"/>
      <c r="J63" s="20"/>
      <c r="K63" s="20"/>
      <c r="L63" s="20"/>
      <c r="M63" s="20"/>
      <c r="N63" s="25"/>
      <c r="O63" s="20"/>
      <c r="P63" s="22"/>
      <c r="Q63" s="71"/>
      <c r="R63" s="95" t="s">
        <v>165</v>
      </c>
      <c r="S63" s="35" t="n">
        <f aca="false">SUM(S39:S58)</f>
        <v>298262.31</v>
      </c>
      <c r="T63" s="23"/>
      <c r="U63" s="26"/>
      <c r="V63" s="24"/>
      <c r="W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3.5" hidden="false" customHeight="false" outlineLevel="0" collapsed="false">
      <c r="A64" s="15"/>
      <c r="B64" s="16"/>
      <c r="C64" s="16"/>
      <c r="D64" s="17"/>
      <c r="E64" s="17"/>
      <c r="F64" s="15"/>
      <c r="G64" s="15"/>
      <c r="H64" s="16"/>
      <c r="I64" s="19"/>
      <c r="J64" s="20"/>
      <c r="K64" s="20"/>
      <c r="L64" s="20"/>
      <c r="M64" s="20"/>
      <c r="N64" s="25"/>
      <c r="O64" s="20"/>
      <c r="P64" s="22"/>
      <c r="Q64" s="71"/>
      <c r="R64" s="95" t="s">
        <v>166</v>
      </c>
      <c r="S64" s="169" t="n">
        <f aca="false">+S62-S63</f>
        <v>0</v>
      </c>
      <c r="T64" s="23"/>
      <c r="U64" s="26"/>
      <c r="V64" s="24"/>
      <c r="W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3.5" hidden="false" customHeight="false" outlineLevel="0" collapsed="false">
      <c r="A65" s="15"/>
      <c r="B65" s="16"/>
      <c r="C65" s="16"/>
      <c r="D65" s="17"/>
      <c r="E65" s="17"/>
      <c r="F65" s="15"/>
      <c r="G65" s="15"/>
      <c r="H65" s="16"/>
      <c r="I65" s="19"/>
      <c r="J65" s="20"/>
      <c r="K65" s="20"/>
      <c r="L65" s="20"/>
      <c r="M65" s="20"/>
      <c r="N65" s="25"/>
      <c r="O65" s="20"/>
      <c r="P65" s="22"/>
      <c r="Q65" s="16"/>
      <c r="R65" s="15"/>
      <c r="S65" s="23"/>
      <c r="T65" s="23"/>
      <c r="U65" s="26"/>
      <c r="V65" s="24"/>
      <c r="W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false" customHeight="false" outlineLevel="0" collapsed="false">
      <c r="A66" s="127" t="s">
        <v>108</v>
      </c>
      <c r="B66" s="128" t="s">
        <v>109</v>
      </c>
      <c r="C66" s="128" t="s">
        <v>110</v>
      </c>
      <c r="D66" s="129" t="s">
        <v>111</v>
      </c>
      <c r="E66" s="129"/>
      <c r="F66" s="127" t="s">
        <v>112</v>
      </c>
      <c r="G66" s="127" t="s">
        <v>113</v>
      </c>
      <c r="H66" s="128" t="s">
        <v>114</v>
      </c>
      <c r="I66" s="130" t="s">
        <v>115</v>
      </c>
      <c r="J66" s="128" t="s">
        <v>116</v>
      </c>
      <c r="K66" s="128" t="s">
        <v>117</v>
      </c>
      <c r="L66" s="128" t="s">
        <v>118</v>
      </c>
      <c r="M66" s="128" t="s">
        <v>119</v>
      </c>
      <c r="N66" s="136" t="s">
        <v>120</v>
      </c>
      <c r="O66" s="128" t="s">
        <v>121</v>
      </c>
      <c r="P66" s="132" t="s">
        <v>122</v>
      </c>
      <c r="Q66" s="128" t="s">
        <v>123</v>
      </c>
      <c r="R66" s="127" t="s">
        <v>124</v>
      </c>
      <c r="S66" s="109" t="s">
        <v>243</v>
      </c>
      <c r="T66" s="109" t="s">
        <v>244</v>
      </c>
      <c r="U66" s="112"/>
      <c r="V66" s="112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  <c r="DU66" s="134"/>
      <c r="DV66" s="134"/>
      <c r="DW66" s="134"/>
      <c r="DX66" s="134"/>
      <c r="DY66" s="134"/>
      <c r="DZ66" s="134"/>
      <c r="EA66" s="134"/>
      <c r="EB66" s="134"/>
      <c r="EC66" s="134"/>
      <c r="ED66" s="134"/>
      <c r="EE66" s="134"/>
      <c r="EF66" s="134"/>
      <c r="EG66" s="134"/>
      <c r="EH66" s="134"/>
      <c r="EI66" s="134"/>
      <c r="EJ66" s="134"/>
      <c r="EK66" s="134"/>
      <c r="EL66" s="134"/>
      <c r="EM66" s="134"/>
      <c r="EN66" s="134"/>
      <c r="EO66" s="134"/>
      <c r="EP66" s="134"/>
      <c r="EQ66" s="134"/>
      <c r="ER66" s="134"/>
      <c r="ES66" s="134"/>
      <c r="ET66" s="134"/>
      <c r="EU66" s="134"/>
      <c r="EV66" s="134"/>
      <c r="EW66" s="134"/>
      <c r="EX66" s="134"/>
      <c r="EY66" s="134"/>
      <c r="EZ66" s="134"/>
      <c r="FA66" s="134"/>
      <c r="FB66" s="134"/>
      <c r="FC66" s="134"/>
      <c r="FD66" s="134"/>
      <c r="FE66" s="134"/>
      <c r="FF66" s="134"/>
      <c r="FG66" s="134"/>
      <c r="FH66" s="134"/>
      <c r="FI66" s="134"/>
      <c r="FJ66" s="134"/>
      <c r="FK66" s="134"/>
      <c r="FL66" s="134"/>
      <c r="FM66" s="134"/>
      <c r="FN66" s="134"/>
      <c r="FO66" s="134"/>
      <c r="FP66" s="134"/>
      <c r="FQ66" s="134"/>
      <c r="FR66" s="134"/>
      <c r="FS66" s="134"/>
      <c r="FT66" s="134"/>
      <c r="FU66" s="134"/>
      <c r="FV66" s="134"/>
      <c r="FW66" s="134"/>
      <c r="FX66" s="134"/>
      <c r="FY66" s="134"/>
      <c r="FZ66" s="134"/>
      <c r="GA66" s="134"/>
      <c r="GB66" s="134"/>
      <c r="GC66" s="134"/>
      <c r="GD66" s="134"/>
      <c r="GE66" s="134"/>
      <c r="GF66" s="134"/>
      <c r="GG66" s="134"/>
      <c r="GH66" s="134"/>
      <c r="GI66" s="134"/>
      <c r="GJ66" s="134"/>
      <c r="GK66" s="134"/>
      <c r="GL66" s="134"/>
      <c r="GM66" s="134"/>
      <c r="GN66" s="134"/>
      <c r="GO66" s="134"/>
      <c r="GP66" s="134"/>
      <c r="GQ66" s="134"/>
      <c r="GR66" s="134"/>
      <c r="GS66" s="134"/>
      <c r="GT66" s="134"/>
      <c r="GU66" s="134"/>
      <c r="GV66" s="134"/>
      <c r="GW66" s="134"/>
      <c r="GX66" s="134"/>
      <c r="GY66" s="134"/>
      <c r="GZ66" s="134"/>
      <c r="HA66" s="134"/>
      <c r="HB66" s="134"/>
      <c r="HC66" s="134"/>
      <c r="HD66" s="134"/>
      <c r="HE66" s="134"/>
      <c r="HF66" s="134"/>
      <c r="HG66" s="134"/>
      <c r="HH66" s="134"/>
      <c r="HI66" s="134"/>
      <c r="HJ66" s="134"/>
      <c r="HK66" s="134"/>
      <c r="HL66" s="134"/>
      <c r="HM66" s="134"/>
      <c r="HN66" s="134"/>
      <c r="HO66" s="134"/>
      <c r="HP66" s="134"/>
      <c r="HQ66" s="134"/>
      <c r="HR66" s="134"/>
      <c r="HS66" s="134"/>
      <c r="HT66" s="134"/>
      <c r="HU66" s="134"/>
      <c r="HV66" s="134"/>
      <c r="HW66" s="134"/>
      <c r="HX66" s="134"/>
      <c r="HY66" s="134"/>
      <c r="HZ66" s="134"/>
      <c r="IA66" s="134"/>
      <c r="IB66" s="134"/>
      <c r="IC66" s="134"/>
      <c r="ID66" s="134"/>
      <c r="IE66" s="134"/>
      <c r="IF66" s="134"/>
      <c r="IG66" s="134"/>
      <c r="IH66" s="134"/>
      <c r="II66" s="134"/>
      <c r="IJ66" s="134"/>
      <c r="IK66" s="134"/>
      <c r="IL66" s="134"/>
      <c r="IM66" s="134"/>
      <c r="IN66" s="134"/>
      <c r="IO66" s="134"/>
      <c r="IP66" s="134"/>
      <c r="IQ66" s="134"/>
      <c r="IR66" s="134"/>
      <c r="IS66" s="134"/>
      <c r="IT66" s="134"/>
      <c r="IU66" s="134"/>
      <c r="IV66" s="134"/>
      <c r="IW66" s="134"/>
    </row>
    <row r="67" customFormat="false" ht="12.75" hidden="false" customHeight="false" outlineLevel="0" collapsed="false">
      <c r="A67" s="15" t="s">
        <v>52</v>
      </c>
      <c r="B67" s="15" t="s">
        <v>320</v>
      </c>
      <c r="C67" s="16" t="s">
        <v>246</v>
      </c>
      <c r="D67" s="17" t="n">
        <v>36281</v>
      </c>
      <c r="E67" s="17" t="n">
        <v>36831</v>
      </c>
      <c r="F67" s="15" t="s">
        <v>321</v>
      </c>
      <c r="G67" s="15" t="s">
        <v>322</v>
      </c>
      <c r="H67" s="16" t="s">
        <v>1</v>
      </c>
      <c r="I67" s="20" t="n">
        <v>0.039</v>
      </c>
      <c r="J67" s="20" t="n">
        <v>0.003</v>
      </c>
      <c r="K67" s="20" t="n">
        <v>0.0022</v>
      </c>
      <c r="L67" s="20" t="n">
        <v>0</v>
      </c>
      <c r="M67" s="20" t="n">
        <v>0</v>
      </c>
      <c r="N67" s="21" t="n">
        <v>0</v>
      </c>
      <c r="O67" s="20" t="n">
        <f aca="false">SUM(I67:M67)</f>
        <v>0.0442</v>
      </c>
      <c r="P67" s="22" t="n">
        <v>105431</v>
      </c>
      <c r="Q67" s="16" t="n">
        <v>5000</v>
      </c>
      <c r="R67" s="15" t="s">
        <v>323</v>
      </c>
      <c r="S67" s="137" t="n">
        <f aca="false">I67*I$1*Q67</f>
        <v>6045</v>
      </c>
      <c r="T67" s="137"/>
      <c r="U67" s="24" t="n">
        <v>93729</v>
      </c>
      <c r="V67" s="24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false" customHeight="false" outlineLevel="0" collapsed="false">
      <c r="A68" s="15"/>
      <c r="B68" s="16"/>
      <c r="C68" s="16"/>
      <c r="D68" s="17"/>
      <c r="E68" s="17"/>
      <c r="F68" s="15"/>
      <c r="G68" s="15"/>
      <c r="H68" s="16"/>
      <c r="I68" s="19"/>
      <c r="J68" s="20"/>
      <c r="K68" s="68"/>
      <c r="L68" s="20"/>
      <c r="M68" s="20"/>
      <c r="N68" s="21"/>
      <c r="O68" s="20"/>
      <c r="P68" s="22"/>
      <c r="Q68" s="16"/>
      <c r="R68" s="16"/>
      <c r="S68" s="176"/>
      <c r="T68" s="176" t="n">
        <f aca="false">SUM(T67)</f>
        <v>0</v>
      </c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15"/>
      <c r="B69" s="16"/>
      <c r="C69" s="16"/>
      <c r="D69" s="17"/>
      <c r="E69" s="17"/>
      <c r="F69" s="15"/>
      <c r="G69" s="15"/>
      <c r="H69" s="16"/>
      <c r="I69" s="19"/>
      <c r="J69" s="20"/>
      <c r="K69" s="20"/>
      <c r="L69" s="20"/>
      <c r="M69" s="20"/>
      <c r="N69" s="25"/>
      <c r="O69" s="20"/>
      <c r="P69" s="22"/>
      <c r="Q69" s="69" t="n">
        <f aca="false">SUM(Q67:Q68)</f>
        <v>5000</v>
      </c>
      <c r="R69" s="95" t="s">
        <v>164</v>
      </c>
      <c r="S69" s="35" t="n">
        <f aca="false">SUM(S67:S68)</f>
        <v>6045</v>
      </c>
      <c r="T69" s="23"/>
      <c r="U69" s="26"/>
      <c r="V69" s="24"/>
      <c r="W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false" customHeight="false" outlineLevel="0" collapsed="false">
      <c r="A70" s="15"/>
      <c r="B70" s="16"/>
      <c r="C70" s="16"/>
      <c r="D70" s="17"/>
      <c r="E70" s="17"/>
      <c r="F70" s="15"/>
      <c r="G70" s="15"/>
      <c r="H70" s="16"/>
      <c r="I70" s="19"/>
      <c r="J70" s="20"/>
      <c r="K70" s="20"/>
      <c r="L70" s="20"/>
      <c r="M70" s="20"/>
      <c r="N70" s="25"/>
      <c r="O70" s="20"/>
      <c r="P70" s="22"/>
      <c r="Q70" s="71"/>
      <c r="R70" s="95" t="s">
        <v>165</v>
      </c>
      <c r="S70" s="35" t="n">
        <v>0</v>
      </c>
      <c r="T70" s="23"/>
      <c r="U70" s="26"/>
      <c r="V70" s="24"/>
      <c r="W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3.5" hidden="false" customHeight="false" outlineLevel="0" collapsed="false">
      <c r="A71" s="15"/>
      <c r="B71" s="16"/>
      <c r="C71" s="16"/>
      <c r="D71" s="17"/>
      <c r="E71" s="17"/>
      <c r="F71" s="15"/>
      <c r="G71" s="15"/>
      <c r="H71" s="16"/>
      <c r="I71" s="19"/>
      <c r="J71" s="20"/>
      <c r="K71" s="20"/>
      <c r="L71" s="20"/>
      <c r="M71" s="20"/>
      <c r="N71" s="25"/>
      <c r="O71" s="20"/>
      <c r="P71" s="22"/>
      <c r="Q71" s="71"/>
      <c r="R71" s="95" t="s">
        <v>166</v>
      </c>
      <c r="S71" s="169" t="n">
        <f aca="false">+S69-S70</f>
        <v>6045</v>
      </c>
      <c r="T71" s="23"/>
      <c r="U71" s="26"/>
      <c r="V71" s="24"/>
      <c r="W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3.5" hidden="false" customHeight="false" outlineLevel="0" collapsed="false">
      <c r="A72" s="15"/>
      <c r="B72" s="16"/>
      <c r="C72" s="16"/>
      <c r="D72" s="17"/>
      <c r="E72" s="17"/>
      <c r="F72" s="15"/>
      <c r="G72" s="15"/>
      <c r="H72" s="16"/>
      <c r="I72" s="19"/>
      <c r="J72" s="20"/>
      <c r="K72" s="20"/>
      <c r="L72" s="20"/>
      <c r="M72" s="20"/>
      <c r="N72" s="25"/>
      <c r="O72" s="20"/>
      <c r="P72" s="22"/>
      <c r="Q72" s="16"/>
      <c r="R72" s="15"/>
      <c r="S72" s="23"/>
      <c r="T72" s="23"/>
      <c r="U72" s="26"/>
      <c r="V72" s="24"/>
      <c r="W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A73" s="127" t="s">
        <v>108</v>
      </c>
      <c r="B73" s="128" t="s">
        <v>109</v>
      </c>
      <c r="C73" s="128" t="s">
        <v>110</v>
      </c>
      <c r="D73" s="129" t="s">
        <v>111</v>
      </c>
      <c r="E73" s="129"/>
      <c r="F73" s="127" t="s">
        <v>112</v>
      </c>
      <c r="G73" s="127" t="s">
        <v>113</v>
      </c>
      <c r="H73" s="128" t="s">
        <v>114</v>
      </c>
      <c r="I73" s="130" t="s">
        <v>115</v>
      </c>
      <c r="J73" s="128" t="s">
        <v>116</v>
      </c>
      <c r="K73" s="128" t="s">
        <v>117</v>
      </c>
      <c r="L73" s="128" t="s">
        <v>118</v>
      </c>
      <c r="M73" s="128" t="s">
        <v>119</v>
      </c>
      <c r="N73" s="136" t="s">
        <v>120</v>
      </c>
      <c r="O73" s="128" t="s">
        <v>121</v>
      </c>
      <c r="P73" s="132" t="s">
        <v>122</v>
      </c>
      <c r="Q73" s="128" t="s">
        <v>123</v>
      </c>
      <c r="R73" s="127" t="s">
        <v>124</v>
      </c>
      <c r="S73" s="109" t="s">
        <v>243</v>
      </c>
      <c r="T73" s="109" t="s">
        <v>244</v>
      </c>
      <c r="U73" s="112"/>
      <c r="V73" s="112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4"/>
      <c r="CC73" s="134"/>
      <c r="CD73" s="134"/>
      <c r="CE73" s="134"/>
      <c r="CF73" s="134"/>
      <c r="CG73" s="134"/>
      <c r="CH73" s="134"/>
      <c r="CI73" s="134"/>
      <c r="CJ73" s="134"/>
      <c r="CK73" s="134"/>
      <c r="CL73" s="134"/>
      <c r="CM73" s="134"/>
      <c r="CN73" s="134"/>
      <c r="CO73" s="134"/>
      <c r="CP73" s="134"/>
      <c r="CQ73" s="134"/>
      <c r="CR73" s="134"/>
      <c r="CS73" s="134"/>
      <c r="CT73" s="134"/>
      <c r="CU73" s="134"/>
      <c r="CV73" s="134"/>
      <c r="CW73" s="134"/>
      <c r="CX73" s="134"/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134"/>
      <c r="DP73" s="134"/>
      <c r="DQ73" s="134"/>
      <c r="DR73" s="134"/>
      <c r="DS73" s="134"/>
      <c r="DT73" s="134"/>
      <c r="DU73" s="134"/>
      <c r="DV73" s="134"/>
      <c r="DW73" s="134"/>
      <c r="DX73" s="134"/>
      <c r="DY73" s="134"/>
      <c r="DZ73" s="134"/>
      <c r="EA73" s="134"/>
      <c r="EB73" s="134"/>
      <c r="EC73" s="134"/>
      <c r="ED73" s="134"/>
      <c r="EE73" s="134"/>
      <c r="EF73" s="134"/>
      <c r="EG73" s="134"/>
      <c r="EH73" s="134"/>
      <c r="EI73" s="134"/>
      <c r="EJ73" s="134"/>
      <c r="EK73" s="134"/>
      <c r="EL73" s="134"/>
      <c r="EM73" s="134"/>
      <c r="EN73" s="134"/>
      <c r="EO73" s="134"/>
      <c r="EP73" s="134"/>
      <c r="EQ73" s="134"/>
      <c r="ER73" s="134"/>
      <c r="ES73" s="134"/>
      <c r="ET73" s="134"/>
      <c r="EU73" s="134"/>
      <c r="EV73" s="134"/>
      <c r="EW73" s="134"/>
      <c r="EX73" s="134"/>
      <c r="EY73" s="134"/>
      <c r="EZ73" s="134"/>
      <c r="FA73" s="134"/>
      <c r="FB73" s="134"/>
      <c r="FC73" s="134"/>
      <c r="FD73" s="134"/>
      <c r="FE73" s="134"/>
      <c r="FF73" s="134"/>
      <c r="FG73" s="134"/>
      <c r="FH73" s="134"/>
      <c r="FI73" s="134"/>
      <c r="FJ73" s="134"/>
      <c r="FK73" s="134"/>
      <c r="FL73" s="134"/>
      <c r="FM73" s="134"/>
      <c r="FN73" s="134"/>
      <c r="FO73" s="134"/>
      <c r="FP73" s="134"/>
      <c r="FQ73" s="134"/>
      <c r="FR73" s="134"/>
      <c r="FS73" s="134"/>
      <c r="FT73" s="134"/>
      <c r="FU73" s="134"/>
      <c r="FV73" s="134"/>
      <c r="FW73" s="134"/>
      <c r="FX73" s="134"/>
      <c r="FY73" s="134"/>
      <c r="FZ73" s="134"/>
      <c r="GA73" s="134"/>
      <c r="GB73" s="134"/>
      <c r="GC73" s="134"/>
      <c r="GD73" s="134"/>
      <c r="GE73" s="134"/>
      <c r="GF73" s="134"/>
      <c r="GG73" s="134"/>
      <c r="GH73" s="134"/>
      <c r="GI73" s="134"/>
      <c r="GJ73" s="134"/>
      <c r="GK73" s="134"/>
      <c r="GL73" s="134"/>
      <c r="GM73" s="134"/>
      <c r="GN73" s="134"/>
      <c r="GO73" s="134"/>
      <c r="GP73" s="134"/>
      <c r="GQ73" s="134"/>
      <c r="GR73" s="134"/>
      <c r="GS73" s="134"/>
      <c r="GT73" s="134"/>
      <c r="GU73" s="134"/>
      <c r="GV73" s="134"/>
      <c r="GW73" s="134"/>
      <c r="GX73" s="134"/>
      <c r="GY73" s="134"/>
      <c r="GZ73" s="134"/>
      <c r="HA73" s="134"/>
      <c r="HB73" s="134"/>
      <c r="HC73" s="134"/>
      <c r="HD73" s="134"/>
      <c r="HE73" s="134"/>
      <c r="HF73" s="134"/>
      <c r="HG73" s="134"/>
      <c r="HH73" s="134"/>
      <c r="HI73" s="134"/>
      <c r="HJ73" s="134"/>
      <c r="HK73" s="134"/>
      <c r="HL73" s="134"/>
      <c r="HM73" s="134"/>
      <c r="HN73" s="134"/>
      <c r="HO73" s="134"/>
      <c r="HP73" s="134"/>
      <c r="HQ73" s="134"/>
      <c r="HR73" s="134"/>
      <c r="HS73" s="134"/>
      <c r="HT73" s="134"/>
      <c r="HU73" s="134"/>
      <c r="HV73" s="134"/>
      <c r="HW73" s="134"/>
      <c r="HX73" s="134"/>
      <c r="HY73" s="134"/>
      <c r="HZ73" s="134"/>
      <c r="IA73" s="134"/>
      <c r="IB73" s="134"/>
      <c r="IC73" s="134"/>
      <c r="ID73" s="134"/>
      <c r="IE73" s="134"/>
      <c r="IF73" s="134"/>
      <c r="IG73" s="134"/>
      <c r="IH73" s="134"/>
      <c r="II73" s="134"/>
      <c r="IJ73" s="134"/>
      <c r="IK73" s="134"/>
      <c r="IL73" s="134"/>
      <c r="IM73" s="134"/>
      <c r="IN73" s="134"/>
      <c r="IO73" s="134"/>
      <c r="IP73" s="134"/>
      <c r="IQ73" s="134"/>
      <c r="IR73" s="134"/>
      <c r="IS73" s="134"/>
      <c r="IT73" s="134"/>
      <c r="IU73" s="134"/>
      <c r="IV73" s="134"/>
      <c r="IW73" s="134"/>
    </row>
    <row r="74" customFormat="false" ht="12.75" hidden="false" customHeight="false" outlineLevel="0" collapsed="false">
      <c r="A74" s="15" t="s">
        <v>224</v>
      </c>
      <c r="B74" s="16" t="s">
        <v>255</v>
      </c>
      <c r="C74" s="16" t="s">
        <v>324</v>
      </c>
      <c r="D74" s="17" t="n">
        <v>36526</v>
      </c>
      <c r="E74" s="17" t="n">
        <v>36556</v>
      </c>
      <c r="F74" s="15" t="s">
        <v>325</v>
      </c>
      <c r="G74" s="15" t="s">
        <v>325</v>
      </c>
      <c r="H74" s="16" t="s">
        <v>170</v>
      </c>
      <c r="I74" s="19" t="n">
        <v>0</v>
      </c>
      <c r="J74" s="20" t="n">
        <v>0</v>
      </c>
      <c r="K74" s="20" t="n">
        <v>0</v>
      </c>
      <c r="L74" s="20" t="n">
        <v>0</v>
      </c>
      <c r="M74" s="20" t="n">
        <v>0</v>
      </c>
      <c r="N74" s="21" t="n">
        <v>0.0369</v>
      </c>
      <c r="O74" s="20" t="n">
        <v>0</v>
      </c>
      <c r="P74" s="22" t="s">
        <v>326</v>
      </c>
      <c r="Q74" s="16" t="n">
        <v>0</v>
      </c>
      <c r="R74" s="23" t="s">
        <v>1</v>
      </c>
      <c r="S74" s="23" t="n">
        <v>115083.34</v>
      </c>
      <c r="T74" s="23"/>
      <c r="U74" s="24"/>
      <c r="V74" s="24"/>
      <c r="W74" s="1" t="s">
        <v>327</v>
      </c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false" customHeight="false" outlineLevel="0" collapsed="false">
      <c r="A75" s="15" t="s">
        <v>224</v>
      </c>
      <c r="B75" s="16" t="s">
        <v>255</v>
      </c>
      <c r="C75" s="16" t="s">
        <v>324</v>
      </c>
      <c r="D75" s="17" t="n">
        <v>36039</v>
      </c>
      <c r="E75" s="17" t="n">
        <v>36831</v>
      </c>
      <c r="F75" s="15" t="s">
        <v>328</v>
      </c>
      <c r="G75" s="15"/>
      <c r="H75" s="16" t="s">
        <v>170</v>
      </c>
      <c r="I75" s="19" t="n">
        <v>0</v>
      </c>
      <c r="J75" s="20" t="n">
        <v>0</v>
      </c>
      <c r="K75" s="20" t="n">
        <v>0</v>
      </c>
      <c r="L75" s="20" t="n">
        <v>0</v>
      </c>
      <c r="M75" s="20" t="n">
        <v>0</v>
      </c>
      <c r="N75" s="21" t="n">
        <v>0.0369</v>
      </c>
      <c r="O75" s="20" t="n">
        <v>0</v>
      </c>
      <c r="P75" s="22" t="n">
        <v>4310</v>
      </c>
      <c r="Q75" s="16" t="n">
        <v>0</v>
      </c>
      <c r="R75" s="23" t="s">
        <v>329</v>
      </c>
      <c r="S75" s="23" t="n">
        <v>30106.57</v>
      </c>
      <c r="T75" s="23"/>
      <c r="U75" s="24" t="n">
        <v>105938</v>
      </c>
      <c r="V75" s="24" t="n">
        <v>96005270</v>
      </c>
      <c r="W75" s="1" t="s">
        <v>327</v>
      </c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false" outlineLevel="0" collapsed="false">
      <c r="A76" s="15" t="s">
        <v>224</v>
      </c>
      <c r="B76" s="16" t="s">
        <v>255</v>
      </c>
      <c r="C76" s="16" t="s">
        <v>330</v>
      </c>
      <c r="D76" s="17" t="n">
        <v>36039</v>
      </c>
      <c r="E76" s="17" t="n">
        <v>36831</v>
      </c>
      <c r="F76" s="15" t="s">
        <v>328</v>
      </c>
      <c r="G76" s="15"/>
      <c r="H76" s="16" t="s">
        <v>170</v>
      </c>
      <c r="I76" s="19" t="n">
        <v>0</v>
      </c>
      <c r="J76" s="20" t="n">
        <v>0</v>
      </c>
      <c r="K76" s="20" t="n">
        <v>0</v>
      </c>
      <c r="L76" s="20" t="n">
        <v>0</v>
      </c>
      <c r="M76" s="20" t="n">
        <v>0</v>
      </c>
      <c r="N76" s="21" t="n">
        <v>0.0369</v>
      </c>
      <c r="O76" s="20" t="n">
        <v>0</v>
      </c>
      <c r="P76" s="22" t="n">
        <v>4345</v>
      </c>
      <c r="Q76" s="16" t="n">
        <v>0</v>
      </c>
      <c r="R76" s="23" t="s">
        <v>331</v>
      </c>
      <c r="S76" s="23" t="n">
        <v>445.69</v>
      </c>
      <c r="T76" s="23"/>
      <c r="U76" s="24" t="n">
        <v>105939</v>
      </c>
      <c r="V76" s="24" t="n">
        <v>96006727</v>
      </c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5" t="s">
        <v>224</v>
      </c>
      <c r="B77" s="16" t="s">
        <v>255</v>
      </c>
      <c r="C77" s="16" t="s">
        <v>330</v>
      </c>
      <c r="D77" s="17" t="n">
        <v>36039</v>
      </c>
      <c r="E77" s="17" t="n">
        <v>36831</v>
      </c>
      <c r="F77" s="15" t="s">
        <v>325</v>
      </c>
      <c r="G77" s="15" t="s">
        <v>325</v>
      </c>
      <c r="H77" s="16" t="s">
        <v>170</v>
      </c>
      <c r="I77" s="19" t="n">
        <v>0</v>
      </c>
      <c r="J77" s="20" t="n">
        <v>0</v>
      </c>
      <c r="K77" s="20" t="n">
        <v>0</v>
      </c>
      <c r="L77" s="20" t="n">
        <v>0</v>
      </c>
      <c r="M77" s="20" t="n">
        <v>0</v>
      </c>
      <c r="N77" s="21" t="n">
        <v>0.0369</v>
      </c>
      <c r="O77" s="20" t="n">
        <v>0</v>
      </c>
      <c r="P77" s="22" t="n">
        <v>4371</v>
      </c>
      <c r="Q77" s="16" t="n">
        <v>0</v>
      </c>
      <c r="R77" s="23" t="s">
        <v>332</v>
      </c>
      <c r="S77" s="23" t="n">
        <v>2044.04</v>
      </c>
      <c r="T77" s="23"/>
      <c r="U77" s="24"/>
      <c r="V77" s="24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" hidden="false" customHeight="true" outlineLevel="0" collapsed="false">
      <c r="A78" s="15" t="s">
        <v>144</v>
      </c>
      <c r="B78" s="16" t="s">
        <v>255</v>
      </c>
      <c r="C78" s="16" t="s">
        <v>333</v>
      </c>
      <c r="D78" s="17" t="n">
        <v>36617</v>
      </c>
      <c r="E78" s="17" t="n">
        <v>36830</v>
      </c>
      <c r="F78" s="15" t="s">
        <v>334</v>
      </c>
      <c r="G78" s="15" t="s">
        <v>335</v>
      </c>
      <c r="H78" s="16" t="s">
        <v>170</v>
      </c>
      <c r="I78" s="19" t="n">
        <f aca="false">0.47/31</f>
        <v>0.0151612903225806</v>
      </c>
      <c r="J78" s="20" t="n">
        <v>0.0669</v>
      </c>
      <c r="K78" s="20" t="n">
        <v>0.0022</v>
      </c>
      <c r="L78" s="20" t="n">
        <v>0.0075</v>
      </c>
      <c r="M78" s="20" t="n">
        <v>0</v>
      </c>
      <c r="N78" s="21" t="n">
        <v>0.0279</v>
      </c>
      <c r="O78" s="20" t="n">
        <f aca="false">SUM(I78:M78)</f>
        <v>0.0917612903225807</v>
      </c>
      <c r="P78" s="22" t="n">
        <v>32976</v>
      </c>
      <c r="Q78" s="16" t="n">
        <v>10000</v>
      </c>
      <c r="R78" s="142" t="s">
        <v>1</v>
      </c>
      <c r="S78" s="23" t="n">
        <f aca="false">I78*$I$1*Q78</f>
        <v>4700</v>
      </c>
      <c r="T78" s="23"/>
      <c r="U78" s="24" t="n">
        <v>227993</v>
      </c>
      <c r="V78" s="24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" hidden="false" customHeight="true" outlineLevel="0" collapsed="false">
      <c r="A79" s="15" t="s">
        <v>144</v>
      </c>
      <c r="B79" s="16" t="s">
        <v>255</v>
      </c>
      <c r="C79" s="16" t="s">
        <v>264</v>
      </c>
      <c r="D79" s="17" t="n">
        <v>36617</v>
      </c>
      <c r="E79" s="17" t="n">
        <v>36830</v>
      </c>
      <c r="F79" s="15" t="s">
        <v>334</v>
      </c>
      <c r="G79" s="15" t="s">
        <v>334</v>
      </c>
      <c r="H79" s="16" t="s">
        <v>170</v>
      </c>
      <c r="I79" s="19" t="n">
        <v>0</v>
      </c>
      <c r="J79" s="20" t="n">
        <v>0.0669</v>
      </c>
      <c r="K79" s="20" t="n">
        <v>0.0022</v>
      </c>
      <c r="L79" s="20" t="n">
        <v>0.0075</v>
      </c>
      <c r="M79" s="20" t="n">
        <v>0</v>
      </c>
      <c r="N79" s="21" t="n">
        <v>0.0279</v>
      </c>
      <c r="O79" s="20" t="n">
        <f aca="false">SUM(I79:M79)</f>
        <v>0.0766</v>
      </c>
      <c r="P79" s="22" t="n">
        <v>32975</v>
      </c>
      <c r="Q79" s="16" t="n">
        <v>10000</v>
      </c>
      <c r="R79" s="142" t="s">
        <v>336</v>
      </c>
      <c r="S79" s="23" t="n">
        <f aca="false">I79*$I$1*Q79</f>
        <v>0</v>
      </c>
      <c r="T79" s="23"/>
      <c r="U79" s="24" t="n">
        <v>231367</v>
      </c>
      <c r="V79" s="24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" hidden="false" customHeight="true" outlineLevel="0" collapsed="false">
      <c r="A80" s="15" t="s">
        <v>144</v>
      </c>
      <c r="B80" s="16" t="s">
        <v>337</v>
      </c>
      <c r="C80" s="16" t="s">
        <v>261</v>
      </c>
      <c r="D80" s="17" t="n">
        <v>36617</v>
      </c>
      <c r="E80" s="17" t="n">
        <v>36829</v>
      </c>
      <c r="F80" s="15" t="s">
        <v>338</v>
      </c>
      <c r="G80" s="15" t="n">
        <v>5</v>
      </c>
      <c r="H80" s="16" t="s">
        <v>170</v>
      </c>
      <c r="I80" s="19" t="n">
        <f aca="false">0.91/I$1</f>
        <v>0.0293548387096774</v>
      </c>
      <c r="J80" s="20" t="n">
        <v>0</v>
      </c>
      <c r="K80" s="20" t="n">
        <v>0</v>
      </c>
      <c r="L80" s="20" t="n">
        <v>0</v>
      </c>
      <c r="M80" s="20" t="n">
        <v>0</v>
      </c>
      <c r="N80" s="21" t="n">
        <v>0.0101</v>
      </c>
      <c r="O80" s="20" t="n">
        <f aca="false">SUM(I80:M80)</f>
        <v>0.0293548387096774</v>
      </c>
      <c r="P80" s="22" t="n">
        <v>32954</v>
      </c>
      <c r="Q80" s="16" t="n">
        <v>1900</v>
      </c>
      <c r="R80" s="142" t="s">
        <v>1</v>
      </c>
      <c r="S80" s="23" t="n">
        <f aca="false">I80*$I$1*Q80</f>
        <v>1729</v>
      </c>
      <c r="T80" s="23"/>
      <c r="U80" s="24" t="n">
        <v>231261</v>
      </c>
      <c r="V80" s="24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" hidden="false" customHeight="true" outlineLevel="0" collapsed="false">
      <c r="A81" s="15" t="s">
        <v>144</v>
      </c>
      <c r="B81" s="16" t="s">
        <v>337</v>
      </c>
      <c r="C81" s="16" t="s">
        <v>261</v>
      </c>
      <c r="D81" s="17" t="n">
        <v>36617</v>
      </c>
      <c r="E81" s="17" t="n">
        <v>36829</v>
      </c>
      <c r="F81" s="15" t="s">
        <v>338</v>
      </c>
      <c r="G81" s="15" t="n">
        <v>5</v>
      </c>
      <c r="H81" s="16" t="s">
        <v>170</v>
      </c>
      <c r="I81" s="19" t="n">
        <f aca="false">0.91/I$1</f>
        <v>0.0293548387096774</v>
      </c>
      <c r="J81" s="20" t="n">
        <v>0</v>
      </c>
      <c r="K81" s="20" t="n">
        <v>0</v>
      </c>
      <c r="L81" s="20" t="n">
        <v>0</v>
      </c>
      <c r="M81" s="20" t="n">
        <v>0</v>
      </c>
      <c r="N81" s="21" t="n">
        <v>0.0101</v>
      </c>
      <c r="O81" s="20" t="n">
        <f aca="false">SUM(I81:M81)</f>
        <v>0.0293548387096774</v>
      </c>
      <c r="P81" s="22" t="n">
        <v>32956</v>
      </c>
      <c r="Q81" s="16" t="n">
        <v>2899</v>
      </c>
      <c r="R81" s="142" t="s">
        <v>1</v>
      </c>
      <c r="S81" s="23" t="n">
        <f aca="false">I81*$I$1*Q81</f>
        <v>2638.09</v>
      </c>
      <c r="T81" s="23"/>
      <c r="U81" s="24" t="n">
        <v>231241</v>
      </c>
      <c r="V81" s="24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" hidden="false" customHeight="true" outlineLevel="0" collapsed="false">
      <c r="A82" s="15" t="s">
        <v>144</v>
      </c>
      <c r="B82" s="16" t="s">
        <v>260</v>
      </c>
      <c r="C82" s="16" t="s">
        <v>261</v>
      </c>
      <c r="D82" s="17" t="n">
        <v>36617</v>
      </c>
      <c r="E82" s="17" t="n">
        <v>36829</v>
      </c>
      <c r="F82" s="15" t="n">
        <v>4</v>
      </c>
      <c r="G82" s="15" t="n">
        <v>6</v>
      </c>
      <c r="H82" s="16" t="s">
        <v>170</v>
      </c>
      <c r="I82" s="19" t="n">
        <f aca="false">0.76/I$1</f>
        <v>0.0245161290322581</v>
      </c>
      <c r="J82" s="20" t="n">
        <v>0</v>
      </c>
      <c r="K82" s="20" t="n">
        <v>0</v>
      </c>
      <c r="L82" s="20" t="n">
        <v>0</v>
      </c>
      <c r="M82" s="20" t="n">
        <v>0</v>
      </c>
      <c r="N82" s="21" t="n">
        <v>0.0101</v>
      </c>
      <c r="O82" s="20" t="n">
        <f aca="false">SUM(I82:M82)</f>
        <v>0.0245161290322581</v>
      </c>
      <c r="P82" s="22" t="n">
        <v>32958</v>
      </c>
      <c r="Q82" s="16" t="n">
        <v>5265</v>
      </c>
      <c r="R82" s="142" t="s">
        <v>1</v>
      </c>
      <c r="S82" s="23" t="n">
        <f aca="false">I82*$I$1*Q82</f>
        <v>4001.4</v>
      </c>
      <c r="T82" s="23"/>
      <c r="U82" s="24" t="n">
        <v>231270</v>
      </c>
      <c r="V82" s="24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" hidden="false" customHeight="true" outlineLevel="0" collapsed="false">
      <c r="A83" s="15" t="s">
        <v>144</v>
      </c>
      <c r="B83" s="16" t="s">
        <v>260</v>
      </c>
      <c r="C83" s="16" t="s">
        <v>261</v>
      </c>
      <c r="D83" s="17" t="n">
        <v>36617</v>
      </c>
      <c r="E83" s="17" t="n">
        <v>36646</v>
      </c>
      <c r="F83" s="15" t="n">
        <v>4</v>
      </c>
      <c r="G83" s="15" t="n">
        <v>6</v>
      </c>
      <c r="H83" s="16" t="s">
        <v>170</v>
      </c>
      <c r="I83" s="24" t="n">
        <f aca="false">0.6/I$1</f>
        <v>0.0193548387096774</v>
      </c>
      <c r="J83" s="20" t="n">
        <v>0</v>
      </c>
      <c r="K83" s="20" t="n">
        <v>0</v>
      </c>
      <c r="L83" s="20" t="n">
        <v>0</v>
      </c>
      <c r="M83" s="20" t="n">
        <v>0</v>
      </c>
      <c r="N83" s="21" t="n">
        <v>0.0101</v>
      </c>
      <c r="O83" s="20" t="n">
        <f aca="false">SUM(I83:M83)</f>
        <v>0.0193548387096774</v>
      </c>
      <c r="P83" s="22" t="n">
        <v>33072</v>
      </c>
      <c r="Q83" s="16" t="n">
        <v>5000</v>
      </c>
      <c r="R83" s="142" t="s">
        <v>1</v>
      </c>
      <c r="S83" s="23" t="n">
        <f aca="false">I83*$I$1*Q83</f>
        <v>3000</v>
      </c>
      <c r="T83" s="23"/>
      <c r="U83" s="24" t="n">
        <v>232900</v>
      </c>
      <c r="V83" s="24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" hidden="false" customHeight="true" outlineLevel="0" collapsed="false">
      <c r="A84" s="15" t="s">
        <v>339</v>
      </c>
      <c r="B84" s="16" t="s">
        <v>24</v>
      </c>
      <c r="C84" s="16" t="s">
        <v>261</v>
      </c>
      <c r="D84" s="17" t="n">
        <v>36617</v>
      </c>
      <c r="E84" s="17" t="n">
        <v>36829</v>
      </c>
      <c r="F84" s="15" t="s">
        <v>340</v>
      </c>
      <c r="G84" s="15" t="s">
        <v>339</v>
      </c>
      <c r="H84" s="16" t="s">
        <v>170</v>
      </c>
      <c r="I84" s="19" t="s">
        <v>341</v>
      </c>
      <c r="J84" s="20" t="n">
        <v>0</v>
      </c>
      <c r="K84" s="20" t="n">
        <v>0</v>
      </c>
      <c r="L84" s="20" t="n">
        <v>0</v>
      </c>
      <c r="M84" s="20" t="n">
        <v>0</v>
      </c>
      <c r="N84" s="21" t="n">
        <v>0</v>
      </c>
      <c r="O84" s="20" t="n">
        <f aca="false">SUM(I84:M84)</f>
        <v>0</v>
      </c>
      <c r="P84" s="22" t="n">
        <v>33140</v>
      </c>
      <c r="Q84" s="16" t="n">
        <v>250000</v>
      </c>
      <c r="R84" s="142" t="s">
        <v>342</v>
      </c>
      <c r="S84" s="23" t="n">
        <v>10000</v>
      </c>
      <c r="T84" s="23"/>
      <c r="U84" s="24"/>
      <c r="V84" s="24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" hidden="false" customHeight="true" outlineLevel="0" collapsed="false">
      <c r="A85" s="15" t="s">
        <v>343</v>
      </c>
      <c r="B85" s="16" t="s">
        <v>24</v>
      </c>
      <c r="C85" s="16" t="s">
        <v>261</v>
      </c>
      <c r="D85" s="17" t="n">
        <v>36699</v>
      </c>
      <c r="E85" s="17" t="n">
        <v>36738</v>
      </c>
      <c r="F85" s="15" t="s">
        <v>340</v>
      </c>
      <c r="G85" s="15" t="s">
        <v>339</v>
      </c>
      <c r="H85" s="16" t="s">
        <v>170</v>
      </c>
      <c r="I85" s="19" t="s">
        <v>341</v>
      </c>
      <c r="J85" s="20" t="n">
        <v>0</v>
      </c>
      <c r="K85" s="20" t="n">
        <v>0</v>
      </c>
      <c r="L85" s="20" t="n">
        <v>0</v>
      </c>
      <c r="M85" s="20" t="n">
        <v>0</v>
      </c>
      <c r="N85" s="21" t="n">
        <v>0</v>
      </c>
      <c r="O85" s="20" t="n">
        <f aca="false">SUM(I85:M85)</f>
        <v>0</v>
      </c>
      <c r="P85" s="22" t="n">
        <v>34098</v>
      </c>
      <c r="Q85" s="16" t="n">
        <v>300000</v>
      </c>
      <c r="R85" s="142"/>
      <c r="S85" s="23" t="n">
        <v>22500</v>
      </c>
      <c r="T85" s="23"/>
      <c r="U85" s="24"/>
      <c r="V85" s="24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3.5" hidden="false" customHeight="true" outlineLevel="0" collapsed="false">
      <c r="A86" s="15" t="s">
        <v>224</v>
      </c>
      <c r="B86" s="16" t="s">
        <v>255</v>
      </c>
      <c r="C86" s="16" t="s">
        <v>314</v>
      </c>
      <c r="D86" s="17" t="n">
        <v>36526</v>
      </c>
      <c r="E86" s="17" t="n">
        <v>36556</v>
      </c>
      <c r="F86" s="15" t="s">
        <v>338</v>
      </c>
      <c r="G86" s="15" t="s">
        <v>344</v>
      </c>
      <c r="H86" s="16"/>
      <c r="I86" s="19" t="n">
        <v>0.2216</v>
      </c>
      <c r="J86" s="20" t="n">
        <v>0.0669</v>
      </c>
      <c r="K86" s="20" t="n">
        <v>0.0022</v>
      </c>
      <c r="L86" s="20" t="n">
        <v>0</v>
      </c>
      <c r="M86" s="20" t="n">
        <v>0</v>
      </c>
      <c r="N86" s="21" t="n">
        <v>0.0244</v>
      </c>
      <c r="O86" s="20" t="n">
        <f aca="false">SUM(I86:M86)</f>
        <v>0.2907</v>
      </c>
      <c r="P86" s="22"/>
      <c r="Q86" s="16" t="n">
        <v>4581</v>
      </c>
      <c r="R86" s="15"/>
      <c r="S86" s="137" t="n">
        <f aca="false">I86*I$1*Q86</f>
        <v>31469.6376</v>
      </c>
      <c r="T86" s="23"/>
      <c r="U86" s="24"/>
      <c r="V86" s="24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5" t="s">
        <v>224</v>
      </c>
      <c r="B87" s="16" t="s">
        <v>255</v>
      </c>
      <c r="C87" s="16" t="s">
        <v>314</v>
      </c>
      <c r="D87" s="17" t="n">
        <v>36526</v>
      </c>
      <c r="E87" s="17" t="n">
        <v>36556</v>
      </c>
      <c r="F87" s="15" t="s">
        <v>261</v>
      </c>
      <c r="G87" s="15" t="s">
        <v>344</v>
      </c>
      <c r="H87" s="16"/>
      <c r="I87" s="19" t="n">
        <v>0.2216</v>
      </c>
      <c r="J87" s="20" t="n">
        <v>0</v>
      </c>
      <c r="K87" s="20" t="n">
        <v>0</v>
      </c>
      <c r="L87" s="20" t="n">
        <v>0</v>
      </c>
      <c r="M87" s="20" t="n">
        <v>0</v>
      </c>
      <c r="N87" s="21" t="n">
        <v>0.0244</v>
      </c>
      <c r="O87" s="20" t="n">
        <f aca="false">SUM(I87:M87)</f>
        <v>0.2216</v>
      </c>
      <c r="P87" s="22"/>
      <c r="Q87" s="16" t="n">
        <v>2500</v>
      </c>
      <c r="R87" s="15"/>
      <c r="S87" s="137" t="n">
        <f aca="false">I87*I$1*Q87</f>
        <v>17174</v>
      </c>
      <c r="T87" s="23"/>
      <c r="U87" s="24"/>
      <c r="V87" s="24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5" t="s">
        <v>224</v>
      </c>
      <c r="B88" s="16" t="s">
        <v>255</v>
      </c>
      <c r="C88" s="16" t="s">
        <v>345</v>
      </c>
      <c r="D88" s="17" t="n">
        <v>36526</v>
      </c>
      <c r="E88" s="17" t="n">
        <v>36556</v>
      </c>
      <c r="F88" s="15" t="s">
        <v>261</v>
      </c>
      <c r="G88" s="15" t="s">
        <v>344</v>
      </c>
      <c r="H88" s="16"/>
      <c r="I88" s="19" t="n">
        <v>0.2216</v>
      </c>
      <c r="J88" s="20" t="n">
        <v>0</v>
      </c>
      <c r="K88" s="20" t="n">
        <v>0</v>
      </c>
      <c r="L88" s="20" t="n">
        <v>0</v>
      </c>
      <c r="M88" s="20" t="n">
        <v>0</v>
      </c>
      <c r="N88" s="21" t="n">
        <v>0.0244</v>
      </c>
      <c r="O88" s="20" t="n">
        <f aca="false">SUM(I88:M88)</f>
        <v>0.2216</v>
      </c>
      <c r="P88" s="22" t="n">
        <v>2156</v>
      </c>
      <c r="Q88" s="16" t="n">
        <v>3778</v>
      </c>
      <c r="R88" s="15" t="s">
        <v>346</v>
      </c>
      <c r="S88" s="137" t="n">
        <f aca="false">I88*I$1*Q88</f>
        <v>25953.3488</v>
      </c>
      <c r="T88" s="23"/>
      <c r="U88" s="24" t="n">
        <v>142767</v>
      </c>
      <c r="V88" s="24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2.75" hidden="false" customHeight="false" outlineLevel="0" collapsed="false">
      <c r="A89" s="15" t="s">
        <v>224</v>
      </c>
      <c r="B89" s="16" t="s">
        <v>255</v>
      </c>
      <c r="C89" s="16" t="s">
        <v>345</v>
      </c>
      <c r="D89" s="17" t="n">
        <v>36617</v>
      </c>
      <c r="E89" s="17" t="n">
        <v>36646</v>
      </c>
      <c r="F89" s="15" t="s">
        <v>261</v>
      </c>
      <c r="G89" s="15" t="s">
        <v>347</v>
      </c>
      <c r="H89" s="16"/>
      <c r="I89" s="19" t="n">
        <v>0.05</v>
      </c>
      <c r="J89" s="20" t="n">
        <v>0</v>
      </c>
      <c r="K89" s="20" t="n">
        <v>0</v>
      </c>
      <c r="L89" s="20" t="n">
        <v>0</v>
      </c>
      <c r="M89" s="20" t="n">
        <v>0</v>
      </c>
      <c r="N89" s="21" t="n">
        <v>0.0244</v>
      </c>
      <c r="O89" s="20" t="n">
        <f aca="false">SUM(I89:M89)</f>
        <v>0.05</v>
      </c>
      <c r="P89" s="22" t="n">
        <v>2156</v>
      </c>
      <c r="Q89" s="16" t="n">
        <v>-500</v>
      </c>
      <c r="R89" s="15" t="s">
        <v>346</v>
      </c>
      <c r="S89" s="137" t="n">
        <f aca="false">I89*I$1*Q89</f>
        <v>-775</v>
      </c>
      <c r="T89" s="23"/>
      <c r="U89" s="24" t="n">
        <v>228526</v>
      </c>
      <c r="V89" s="24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A90" s="15" t="s">
        <v>224</v>
      </c>
      <c r="B90" s="16" t="s">
        <v>255</v>
      </c>
      <c r="C90" s="16" t="s">
        <v>316</v>
      </c>
      <c r="D90" s="17" t="n">
        <v>36526</v>
      </c>
      <c r="E90" s="17" t="n">
        <v>36556</v>
      </c>
      <c r="F90" s="15" t="s">
        <v>261</v>
      </c>
      <c r="G90" s="15" t="s">
        <v>344</v>
      </c>
      <c r="H90" s="16"/>
      <c r="I90" s="19" t="n">
        <v>0.2216</v>
      </c>
      <c r="J90" s="20" t="n">
        <v>0</v>
      </c>
      <c r="K90" s="20" t="n">
        <v>0</v>
      </c>
      <c r="L90" s="20" t="n">
        <v>0</v>
      </c>
      <c r="M90" s="20" t="n">
        <v>0</v>
      </c>
      <c r="N90" s="21" t="n">
        <v>0.0244</v>
      </c>
      <c r="O90" s="20" t="n">
        <f aca="false">SUM(I90:M90)</f>
        <v>0.2216</v>
      </c>
      <c r="P90" s="22" t="n">
        <v>1943</v>
      </c>
      <c r="Q90" s="16" t="n">
        <v>359</v>
      </c>
      <c r="R90" s="15" t="s">
        <v>348</v>
      </c>
      <c r="S90" s="137" t="n">
        <f aca="false">I90*I$1*Q90</f>
        <v>2466.1864</v>
      </c>
      <c r="T90" s="23"/>
      <c r="U90" s="24" t="n">
        <v>142636</v>
      </c>
      <c r="V90" s="24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2.75" hidden="false" customHeight="false" outlineLevel="0" collapsed="false">
      <c r="A91" s="15" t="s">
        <v>224</v>
      </c>
      <c r="B91" s="16" t="s">
        <v>255</v>
      </c>
      <c r="C91" s="16" t="s">
        <v>317</v>
      </c>
      <c r="D91" s="17" t="n">
        <v>36526</v>
      </c>
      <c r="E91" s="17" t="n">
        <v>36556</v>
      </c>
      <c r="F91" s="15" t="s">
        <v>261</v>
      </c>
      <c r="G91" s="15" t="s">
        <v>344</v>
      </c>
      <c r="H91" s="16"/>
      <c r="I91" s="19" t="n">
        <v>0.2216</v>
      </c>
      <c r="J91" s="20" t="n">
        <v>0</v>
      </c>
      <c r="K91" s="20" t="n">
        <v>0</v>
      </c>
      <c r="L91" s="20" t="n">
        <v>0</v>
      </c>
      <c r="M91" s="20" t="n">
        <v>0</v>
      </c>
      <c r="N91" s="21" t="n">
        <v>0.0244</v>
      </c>
      <c r="O91" s="20" t="n">
        <f aca="false">SUM(I91:M91)</f>
        <v>0.2216</v>
      </c>
      <c r="P91" s="22" t="n">
        <v>248</v>
      </c>
      <c r="Q91" s="16" t="n">
        <v>6000</v>
      </c>
      <c r="R91" s="15"/>
      <c r="S91" s="137" t="n">
        <f aca="false">I91*I$1*Q91</f>
        <v>41217.6</v>
      </c>
      <c r="T91" s="23"/>
      <c r="U91" s="24" t="n">
        <v>142568</v>
      </c>
      <c r="V91" s="24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2.75" hidden="false" customHeight="false" outlineLevel="0" collapsed="false">
      <c r="A92" s="15" t="s">
        <v>224</v>
      </c>
      <c r="B92" s="16" t="s">
        <v>255</v>
      </c>
      <c r="C92" s="16" t="s">
        <v>317</v>
      </c>
      <c r="D92" s="17" t="n">
        <v>36526</v>
      </c>
      <c r="E92" s="17" t="n">
        <v>36556</v>
      </c>
      <c r="F92" s="15" t="s">
        <v>261</v>
      </c>
      <c r="G92" s="15" t="s">
        <v>344</v>
      </c>
      <c r="H92" s="16"/>
      <c r="I92" s="19" t="n">
        <v>0.2216</v>
      </c>
      <c r="J92" s="20" t="n">
        <v>0</v>
      </c>
      <c r="K92" s="20" t="n">
        <v>0</v>
      </c>
      <c r="L92" s="20" t="n">
        <v>0</v>
      </c>
      <c r="M92" s="20" t="n">
        <v>0</v>
      </c>
      <c r="N92" s="21" t="n">
        <v>0.0244</v>
      </c>
      <c r="O92" s="20" t="n">
        <f aca="false">SUM(I92:M92)</f>
        <v>0.2216</v>
      </c>
      <c r="P92" s="22" t="n">
        <v>250</v>
      </c>
      <c r="Q92" s="16" t="n">
        <v>5400</v>
      </c>
      <c r="R92" s="15"/>
      <c r="S92" s="137" t="n">
        <f aca="false">I92*I$1*Q92</f>
        <v>37095.84</v>
      </c>
      <c r="T92" s="23"/>
      <c r="U92" s="24" t="n">
        <v>142585</v>
      </c>
      <c r="V92" s="24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2.75" hidden="false" customHeight="false" outlineLevel="0" collapsed="false">
      <c r="A93" s="15" t="s">
        <v>224</v>
      </c>
      <c r="B93" s="16" t="s">
        <v>255</v>
      </c>
      <c r="C93" s="16" t="s">
        <v>317</v>
      </c>
      <c r="D93" s="17" t="n">
        <v>36526</v>
      </c>
      <c r="E93" s="17" t="n">
        <v>36556</v>
      </c>
      <c r="F93" s="15" t="s">
        <v>261</v>
      </c>
      <c r="G93" s="15" t="s">
        <v>344</v>
      </c>
      <c r="H93" s="16"/>
      <c r="I93" s="19" t="n">
        <v>0.2216</v>
      </c>
      <c r="J93" s="20" t="n">
        <v>0</v>
      </c>
      <c r="K93" s="20" t="n">
        <v>0</v>
      </c>
      <c r="L93" s="20" t="n">
        <v>0</v>
      </c>
      <c r="M93" s="20" t="n">
        <v>0</v>
      </c>
      <c r="N93" s="21" t="n">
        <v>0.0244</v>
      </c>
      <c r="O93" s="20" t="n">
        <f aca="false">SUM(I93:M93)</f>
        <v>0.2216</v>
      </c>
      <c r="P93" s="22" t="n">
        <v>495</v>
      </c>
      <c r="Q93" s="16" t="n">
        <v>1371</v>
      </c>
      <c r="R93" s="15"/>
      <c r="S93" s="137" t="n">
        <f aca="false">I93*I$1*Q93</f>
        <v>9418.2216</v>
      </c>
      <c r="T93" s="23"/>
      <c r="U93" s="24" t="n">
        <v>142595</v>
      </c>
      <c r="V93" s="24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2.75" hidden="false" customHeight="false" outlineLevel="0" collapsed="false">
      <c r="A94" s="15" t="s">
        <v>224</v>
      </c>
      <c r="B94" s="16" t="s">
        <v>255</v>
      </c>
      <c r="C94" s="16" t="s">
        <v>317</v>
      </c>
      <c r="D94" s="17" t="n">
        <v>36526</v>
      </c>
      <c r="E94" s="17" t="n">
        <v>36556</v>
      </c>
      <c r="F94" s="15" t="s">
        <v>261</v>
      </c>
      <c r="G94" s="15" t="s">
        <v>344</v>
      </c>
      <c r="H94" s="16"/>
      <c r="I94" s="19" t="n">
        <v>0.2216</v>
      </c>
      <c r="J94" s="20" t="n">
        <v>0</v>
      </c>
      <c r="K94" s="20" t="n">
        <v>0</v>
      </c>
      <c r="L94" s="20" t="n">
        <v>0</v>
      </c>
      <c r="M94" s="20" t="n">
        <v>0</v>
      </c>
      <c r="N94" s="21" t="n">
        <v>0.0244</v>
      </c>
      <c r="O94" s="20" t="n">
        <f aca="false">SUM(I94:M94)</f>
        <v>0.2216</v>
      </c>
      <c r="P94" s="22" t="n">
        <v>497</v>
      </c>
      <c r="Q94" s="16" t="n">
        <v>9273</v>
      </c>
      <c r="R94" s="15"/>
      <c r="S94" s="137" t="n">
        <f aca="false">I94*I$1*Q94</f>
        <v>63701.8008</v>
      </c>
      <c r="T94" s="23"/>
      <c r="U94" s="24" t="n">
        <v>142601</v>
      </c>
      <c r="V94" s="24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false" customHeight="false" outlineLevel="0" collapsed="false">
      <c r="A95" s="15" t="s">
        <v>224</v>
      </c>
      <c r="B95" s="16" t="s">
        <v>255</v>
      </c>
      <c r="C95" s="16" t="s">
        <v>317</v>
      </c>
      <c r="D95" s="17" t="n">
        <v>36526</v>
      </c>
      <c r="E95" s="17" t="n">
        <v>36556</v>
      </c>
      <c r="F95" s="15" t="s">
        <v>261</v>
      </c>
      <c r="G95" s="15" t="s">
        <v>344</v>
      </c>
      <c r="H95" s="16"/>
      <c r="I95" s="19" t="n">
        <v>0.2216</v>
      </c>
      <c r="J95" s="20" t="n">
        <v>0</v>
      </c>
      <c r="K95" s="20" t="n">
        <v>0</v>
      </c>
      <c r="L95" s="20" t="n">
        <v>0</v>
      </c>
      <c r="M95" s="20" t="n">
        <v>0</v>
      </c>
      <c r="N95" s="21" t="n">
        <v>0.0244</v>
      </c>
      <c r="O95" s="20" t="n">
        <f aca="false">SUM(I95:M95)</f>
        <v>0.2216</v>
      </c>
      <c r="P95" s="22" t="n">
        <v>2042</v>
      </c>
      <c r="Q95" s="16" t="n">
        <v>1690</v>
      </c>
      <c r="R95" s="15"/>
      <c r="S95" s="137" t="n">
        <f aca="false">I95*I$1*Q95</f>
        <v>11609.624</v>
      </c>
      <c r="T95" s="23"/>
      <c r="U95" s="24" t="n">
        <v>142604</v>
      </c>
      <c r="V95" s="24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false" customHeight="false" outlineLevel="0" collapsed="false">
      <c r="A96" s="15" t="s">
        <v>224</v>
      </c>
      <c r="B96" s="16" t="s">
        <v>255</v>
      </c>
      <c r="C96" s="16" t="s">
        <v>317</v>
      </c>
      <c r="D96" s="17" t="n">
        <v>36526</v>
      </c>
      <c r="E96" s="17" t="n">
        <v>36556</v>
      </c>
      <c r="F96" s="15" t="s">
        <v>261</v>
      </c>
      <c r="G96" s="15" t="s">
        <v>344</v>
      </c>
      <c r="H96" s="16"/>
      <c r="I96" s="19" t="n">
        <v>0.2216</v>
      </c>
      <c r="J96" s="20" t="n">
        <v>0</v>
      </c>
      <c r="K96" s="20" t="n">
        <v>0</v>
      </c>
      <c r="L96" s="20" t="n">
        <v>0</v>
      </c>
      <c r="M96" s="20" t="n">
        <v>0</v>
      </c>
      <c r="N96" s="21" t="n">
        <v>0.0244</v>
      </c>
      <c r="O96" s="20" t="n">
        <f aca="false">SUM(I96:M96)</f>
        <v>0.2216</v>
      </c>
      <c r="P96" s="22" t="n">
        <v>23091</v>
      </c>
      <c r="Q96" s="16" t="n">
        <v>2500</v>
      </c>
      <c r="R96" s="15"/>
      <c r="S96" s="137" t="n">
        <f aca="false">I96*I$1*Q96</f>
        <v>17174</v>
      </c>
      <c r="T96" s="23"/>
      <c r="U96" s="24" t="n">
        <v>142606</v>
      </c>
      <c r="V96" s="24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false" customHeight="false" outlineLevel="0" collapsed="false">
      <c r="A97" s="15" t="s">
        <v>224</v>
      </c>
      <c r="B97" s="16" t="s">
        <v>255</v>
      </c>
      <c r="C97" s="16" t="s">
        <v>317</v>
      </c>
      <c r="D97" s="17" t="n">
        <v>36526</v>
      </c>
      <c r="E97" s="17" t="n">
        <v>36556</v>
      </c>
      <c r="F97" s="15" t="s">
        <v>261</v>
      </c>
      <c r="G97" s="15" t="s">
        <v>344</v>
      </c>
      <c r="H97" s="16"/>
      <c r="I97" s="19" t="n">
        <v>0.2216</v>
      </c>
      <c r="J97" s="20" t="n">
        <v>0</v>
      </c>
      <c r="K97" s="20" t="n">
        <v>0</v>
      </c>
      <c r="L97" s="20" t="n">
        <v>0</v>
      </c>
      <c r="M97" s="20" t="n">
        <v>0</v>
      </c>
      <c r="N97" s="21" t="n">
        <v>0.0244</v>
      </c>
      <c r="O97" s="20" t="n">
        <f aca="false">SUM(I97:M97)</f>
        <v>0.2216</v>
      </c>
      <c r="P97" s="22"/>
      <c r="Q97" s="16" t="n">
        <v>0</v>
      </c>
      <c r="R97" s="15"/>
      <c r="S97" s="137" t="n">
        <f aca="false">I97*I$1*Q97</f>
        <v>0</v>
      </c>
      <c r="T97" s="23"/>
      <c r="U97" s="24"/>
      <c r="V97" s="24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false" customHeight="false" outlineLevel="0" collapsed="false">
      <c r="A98" s="15" t="s">
        <v>224</v>
      </c>
      <c r="B98" s="16" t="s">
        <v>255</v>
      </c>
      <c r="C98" s="16" t="s">
        <v>317</v>
      </c>
      <c r="D98" s="17" t="n">
        <v>36526</v>
      </c>
      <c r="E98" s="17" t="n">
        <v>36556</v>
      </c>
      <c r="F98" s="15" t="s">
        <v>261</v>
      </c>
      <c r="G98" s="15" t="s">
        <v>344</v>
      </c>
      <c r="H98" s="16"/>
      <c r="I98" s="19" t="n">
        <v>0.2216</v>
      </c>
      <c r="J98" s="20" t="n">
        <v>0</v>
      </c>
      <c r="K98" s="20" t="n">
        <v>0</v>
      </c>
      <c r="L98" s="20" t="n">
        <v>0</v>
      </c>
      <c r="M98" s="20" t="n">
        <v>0</v>
      </c>
      <c r="N98" s="21" t="n">
        <v>0.0244</v>
      </c>
      <c r="O98" s="20" t="n">
        <f aca="false">SUM(I98:M98)</f>
        <v>0.2216</v>
      </c>
      <c r="P98" s="22"/>
      <c r="Q98" s="16" t="n">
        <v>0</v>
      </c>
      <c r="R98" s="15"/>
      <c r="S98" s="137" t="n">
        <f aca="false">I98*I$1*Q98</f>
        <v>0</v>
      </c>
      <c r="T98" s="23"/>
      <c r="U98" s="24"/>
      <c r="V98" s="24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2.75" hidden="false" customHeight="false" outlineLevel="0" collapsed="false">
      <c r="A99" s="15" t="s">
        <v>224</v>
      </c>
      <c r="B99" s="16" t="s">
        <v>255</v>
      </c>
      <c r="C99" s="16" t="s">
        <v>318</v>
      </c>
      <c r="D99" s="17" t="n">
        <v>36526</v>
      </c>
      <c r="E99" s="17" t="n">
        <v>36556</v>
      </c>
      <c r="F99" s="15" t="s">
        <v>261</v>
      </c>
      <c r="G99" s="15" t="s">
        <v>344</v>
      </c>
      <c r="H99" s="16"/>
      <c r="I99" s="19" t="n">
        <v>0.2216</v>
      </c>
      <c r="J99" s="20" t="n">
        <v>0</v>
      </c>
      <c r="K99" s="20" t="n">
        <v>0</v>
      </c>
      <c r="L99" s="20" t="n">
        <v>0</v>
      </c>
      <c r="M99" s="20" t="n">
        <v>0</v>
      </c>
      <c r="N99" s="21" t="n">
        <v>0.0244</v>
      </c>
      <c r="O99" s="20" t="n">
        <f aca="false">SUM(I99:M99)</f>
        <v>0.2216</v>
      </c>
      <c r="P99" s="22" t="n">
        <v>504</v>
      </c>
      <c r="Q99" s="16" t="n">
        <v>28970</v>
      </c>
      <c r="R99" s="15"/>
      <c r="S99" s="137" t="n">
        <f aca="false">I99*I$1*Q99</f>
        <v>199012.312</v>
      </c>
      <c r="T99" s="23"/>
      <c r="U99" s="24" t="n">
        <v>142770</v>
      </c>
      <c r="V99" s="24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false" customHeight="false" outlineLevel="0" collapsed="false">
      <c r="A100" s="15" t="s">
        <v>224</v>
      </c>
      <c r="B100" s="16" t="s">
        <v>255</v>
      </c>
      <c r="C100" s="16" t="s">
        <v>318</v>
      </c>
      <c r="D100" s="17" t="n">
        <v>36526</v>
      </c>
      <c r="E100" s="17" t="n">
        <v>36556</v>
      </c>
      <c r="F100" s="15" t="s">
        <v>261</v>
      </c>
      <c r="G100" s="15" t="s">
        <v>344</v>
      </c>
      <c r="H100" s="16"/>
      <c r="I100" s="19" t="n">
        <v>0.2216</v>
      </c>
      <c r="J100" s="20" t="n">
        <v>0</v>
      </c>
      <c r="K100" s="20" t="n">
        <v>0</v>
      </c>
      <c r="L100" s="20" t="n">
        <v>0</v>
      </c>
      <c r="M100" s="20" t="n">
        <v>0</v>
      </c>
      <c r="N100" s="21" t="n">
        <v>0.0244</v>
      </c>
      <c r="O100" s="20" t="n">
        <f aca="false">SUM(I100:M100)</f>
        <v>0.2216</v>
      </c>
      <c r="P100" s="22" t="n">
        <v>507</v>
      </c>
      <c r="Q100" s="16" t="n">
        <v>4284</v>
      </c>
      <c r="R100" s="15"/>
      <c r="S100" s="137" t="n">
        <f aca="false">I100*I$1*Q100</f>
        <v>29429.3664</v>
      </c>
      <c r="T100" s="23"/>
      <c r="U100" s="24" t="n">
        <v>142775</v>
      </c>
      <c r="V100" s="24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2.75" hidden="false" customHeight="false" outlineLevel="0" collapsed="false">
      <c r="A101" s="15" t="s">
        <v>349</v>
      </c>
      <c r="B101" s="16" t="s">
        <v>255</v>
      </c>
      <c r="C101" s="16" t="s">
        <v>318</v>
      </c>
      <c r="D101" s="17" t="n">
        <v>36651</v>
      </c>
      <c r="E101" s="17" t="n">
        <v>36830</v>
      </c>
      <c r="F101" s="15" t="n">
        <v>500</v>
      </c>
      <c r="G101" s="15" t="n">
        <v>2037</v>
      </c>
      <c r="H101" s="16"/>
      <c r="I101" s="19" t="n">
        <f aca="false">5.37/I$1</f>
        <v>0.173225806451613</v>
      </c>
      <c r="J101" s="20"/>
      <c r="K101" s="20"/>
      <c r="L101" s="20"/>
      <c r="M101" s="20"/>
      <c r="N101" s="21"/>
      <c r="O101" s="20"/>
      <c r="P101" s="22"/>
      <c r="Q101" s="16" t="n">
        <v>-1</v>
      </c>
      <c r="R101" s="15"/>
      <c r="S101" s="137" t="n">
        <f aca="false">I101*I$1*Q101</f>
        <v>-5.37</v>
      </c>
      <c r="T101" s="23"/>
      <c r="U101" s="24" t="n">
        <v>260848</v>
      </c>
      <c r="V101" s="24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false" customHeight="false" outlineLevel="0" collapsed="false">
      <c r="A102" s="15" t="s">
        <v>224</v>
      </c>
      <c r="B102" s="16" t="s">
        <v>255</v>
      </c>
      <c r="C102" s="16" t="s">
        <v>318</v>
      </c>
      <c r="D102" s="17" t="n">
        <v>36526</v>
      </c>
      <c r="E102" s="17" t="n">
        <v>36556</v>
      </c>
      <c r="F102" s="15" t="s">
        <v>261</v>
      </c>
      <c r="G102" s="15" t="s">
        <v>344</v>
      </c>
      <c r="H102" s="16"/>
      <c r="I102" s="19" t="n">
        <v>0.2216</v>
      </c>
      <c r="J102" s="20" t="n">
        <v>0</v>
      </c>
      <c r="K102" s="20" t="n">
        <v>0</v>
      </c>
      <c r="L102" s="20" t="n">
        <v>0</v>
      </c>
      <c r="M102" s="20" t="n">
        <v>0</v>
      </c>
      <c r="N102" s="21" t="n">
        <v>0.0244</v>
      </c>
      <c r="O102" s="20" t="n">
        <f aca="false">SUM(I102:M102)</f>
        <v>0.2216</v>
      </c>
      <c r="P102" s="22" t="n">
        <v>305</v>
      </c>
      <c r="Q102" s="16" t="n">
        <v>5281</v>
      </c>
      <c r="R102" s="15"/>
      <c r="S102" s="137" t="n">
        <f aca="false">I102*I$1*Q102</f>
        <v>36278.3576</v>
      </c>
      <c r="T102" s="23"/>
      <c r="U102" s="24" t="n">
        <v>142778</v>
      </c>
      <c r="V102" s="24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15" t="s">
        <v>224</v>
      </c>
      <c r="B103" s="16" t="s">
        <v>255</v>
      </c>
      <c r="C103" s="16" t="s">
        <v>318</v>
      </c>
      <c r="D103" s="17" t="n">
        <v>36526</v>
      </c>
      <c r="E103" s="17" t="n">
        <v>36556</v>
      </c>
      <c r="F103" s="15" t="s">
        <v>261</v>
      </c>
      <c r="G103" s="15" t="s">
        <v>344</v>
      </c>
      <c r="H103" s="16"/>
      <c r="I103" s="19" t="n">
        <v>0.2216</v>
      </c>
      <c r="J103" s="20" t="n">
        <v>0</v>
      </c>
      <c r="K103" s="20" t="n">
        <v>0</v>
      </c>
      <c r="L103" s="20" t="n">
        <v>0</v>
      </c>
      <c r="M103" s="20" t="n">
        <v>0</v>
      </c>
      <c r="N103" s="21" t="n">
        <v>0.0244</v>
      </c>
      <c r="O103" s="20" t="n">
        <f aca="false">SUM(I103:M103)</f>
        <v>0.2216</v>
      </c>
      <c r="P103" s="22"/>
      <c r="Q103" s="16"/>
      <c r="R103" s="15"/>
      <c r="S103" s="137" t="n">
        <f aca="false">I103*I$1*Q103</f>
        <v>0</v>
      </c>
      <c r="T103" s="23"/>
      <c r="U103" s="24"/>
      <c r="V103" s="24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12.75" hidden="false" customHeight="false" outlineLevel="0" collapsed="false">
      <c r="A104" s="15" t="s">
        <v>224</v>
      </c>
      <c r="B104" s="16" t="s">
        <v>255</v>
      </c>
      <c r="C104" s="16" t="s">
        <v>319</v>
      </c>
      <c r="D104" s="17" t="n">
        <v>36526</v>
      </c>
      <c r="E104" s="17" t="n">
        <v>36556</v>
      </c>
      <c r="F104" s="15" t="s">
        <v>261</v>
      </c>
      <c r="G104" s="15" t="s">
        <v>344</v>
      </c>
      <c r="H104" s="16"/>
      <c r="I104" s="19" t="n">
        <v>0.2216</v>
      </c>
      <c r="J104" s="20" t="n">
        <v>0</v>
      </c>
      <c r="K104" s="20" t="n">
        <v>0</v>
      </c>
      <c r="L104" s="20" t="n">
        <v>0</v>
      </c>
      <c r="M104" s="20" t="n">
        <v>0</v>
      </c>
      <c r="N104" s="21" t="n">
        <v>0.0244</v>
      </c>
      <c r="O104" s="20" t="n">
        <f aca="false">SUM(I104:M104)</f>
        <v>0.2216</v>
      </c>
      <c r="P104" s="22"/>
      <c r="Q104" s="16"/>
      <c r="R104" s="15"/>
      <c r="S104" s="23"/>
      <c r="T104" s="23"/>
      <c r="U104" s="24"/>
      <c r="V104" s="24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" hidden="false" customHeight="true" outlineLevel="0" collapsed="false">
      <c r="A105" s="15" t="s">
        <v>144</v>
      </c>
      <c r="B105" s="16" t="s">
        <v>255</v>
      </c>
      <c r="C105" s="16" t="s">
        <v>317</v>
      </c>
      <c r="D105" s="17" t="n">
        <v>36678</v>
      </c>
      <c r="E105" s="17" t="s">
        <v>350</v>
      </c>
      <c r="F105" s="15" t="s">
        <v>261</v>
      </c>
      <c r="G105" s="15" t="s">
        <v>351</v>
      </c>
      <c r="H105" s="16"/>
      <c r="I105" s="19" t="n">
        <v>0.02</v>
      </c>
      <c r="J105" s="20"/>
      <c r="K105" s="20"/>
      <c r="L105" s="20"/>
      <c r="M105" s="20"/>
      <c r="N105" s="21"/>
      <c r="O105" s="20"/>
      <c r="P105" s="22" t="n">
        <v>33801</v>
      </c>
      <c r="Q105" s="16" t="n">
        <v>13500</v>
      </c>
      <c r="R105" s="142"/>
      <c r="S105" s="23" t="n">
        <f aca="false">+I105*Q105*30</f>
        <v>8100</v>
      </c>
      <c r="T105" s="23"/>
      <c r="U105" s="24" t="n">
        <v>281361</v>
      </c>
      <c r="V105" s="24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2" hidden="false" customHeight="true" outlineLevel="0" collapsed="false">
      <c r="A106" s="15" t="s">
        <v>144</v>
      </c>
      <c r="B106" s="16" t="s">
        <v>255</v>
      </c>
      <c r="C106" s="16"/>
      <c r="D106" s="17" t="n">
        <v>36678</v>
      </c>
      <c r="E106" s="17" t="n">
        <v>36738</v>
      </c>
      <c r="F106" s="15" t="s">
        <v>261</v>
      </c>
      <c r="G106" s="15" t="s">
        <v>352</v>
      </c>
      <c r="H106" s="16"/>
      <c r="I106" s="19" t="n">
        <v>0.02</v>
      </c>
      <c r="J106" s="20"/>
      <c r="K106" s="20"/>
      <c r="L106" s="20"/>
      <c r="M106" s="20"/>
      <c r="N106" s="21"/>
      <c r="O106" s="20"/>
      <c r="P106" s="22" t="n">
        <v>33850</v>
      </c>
      <c r="Q106" s="16" t="n">
        <v>40000</v>
      </c>
      <c r="R106" s="142"/>
      <c r="S106" s="23" t="n">
        <f aca="false">(+Q106*I106)*31</f>
        <v>24800</v>
      </c>
      <c r="T106" s="23"/>
      <c r="U106" s="24" t="n">
        <v>282966</v>
      </c>
      <c r="V106" s="24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" hidden="false" customHeight="true" outlineLevel="0" collapsed="false">
      <c r="A107" s="15" t="s">
        <v>144</v>
      </c>
      <c r="B107" s="16" t="s">
        <v>255</v>
      </c>
      <c r="C107" s="16"/>
      <c r="D107" s="17" t="n">
        <v>36678</v>
      </c>
      <c r="E107" s="17" t="n">
        <v>36738</v>
      </c>
      <c r="F107" s="15" t="s">
        <v>261</v>
      </c>
      <c r="G107" s="15" t="s">
        <v>352</v>
      </c>
      <c r="H107" s="16"/>
      <c r="I107" s="19" t="n">
        <v>0.02</v>
      </c>
      <c r="J107" s="20"/>
      <c r="K107" s="20"/>
      <c r="L107" s="20"/>
      <c r="M107" s="20"/>
      <c r="N107" s="21"/>
      <c r="O107" s="20"/>
      <c r="P107" s="22" t="n">
        <v>33849</v>
      </c>
      <c r="Q107" s="16" t="n">
        <v>20000</v>
      </c>
      <c r="R107" s="142"/>
      <c r="S107" s="23" t="n">
        <f aca="false">+I107*Q107*31</f>
        <v>12400</v>
      </c>
      <c r="T107" s="23"/>
      <c r="U107" s="24" t="n">
        <v>282962</v>
      </c>
      <c r="V107" s="24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" hidden="false" customHeight="true" outlineLevel="0" collapsed="false">
      <c r="A108" s="15"/>
      <c r="B108" s="16"/>
      <c r="C108" s="16"/>
      <c r="D108" s="17"/>
      <c r="E108" s="17"/>
      <c r="F108" s="15"/>
      <c r="G108" s="15"/>
      <c r="H108" s="16"/>
      <c r="I108" s="19"/>
      <c r="J108" s="20"/>
      <c r="K108" s="20"/>
      <c r="L108" s="20"/>
      <c r="M108" s="20"/>
      <c r="N108" s="21"/>
      <c r="O108" s="20"/>
      <c r="P108" s="22"/>
      <c r="Q108" s="16"/>
      <c r="R108" s="142"/>
      <c r="S108" s="23"/>
      <c r="T108" s="23"/>
      <c r="U108" s="24"/>
      <c r="V108" s="24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" hidden="false" customHeight="true" outlineLevel="0" collapsed="false">
      <c r="A109" s="15" t="s">
        <v>52</v>
      </c>
      <c r="B109" s="16" t="s">
        <v>353</v>
      </c>
      <c r="C109" s="16" t="s">
        <v>353</v>
      </c>
      <c r="D109" s="17" t="n">
        <v>36465</v>
      </c>
      <c r="E109" s="17" t="n">
        <v>36951</v>
      </c>
      <c r="F109" s="15" t="s">
        <v>354</v>
      </c>
      <c r="G109" s="15" t="s">
        <v>355</v>
      </c>
      <c r="H109" s="16" t="s">
        <v>170</v>
      </c>
      <c r="I109" s="19" t="n">
        <f aca="false">2.26/I$1</f>
        <v>0.0729032258064516</v>
      </c>
      <c r="J109" s="20" t="n">
        <v>0.0009</v>
      </c>
      <c r="K109" s="20" t="n">
        <v>0.0022</v>
      </c>
      <c r="L109" s="20" t="n">
        <v>0.0075</v>
      </c>
      <c r="M109" s="20" t="n">
        <v>0</v>
      </c>
      <c r="N109" s="21" t="n">
        <v>0.005</v>
      </c>
      <c r="O109" s="20" t="n">
        <f aca="false">SUM(I109:M109)</f>
        <v>0.0835032258064516</v>
      </c>
      <c r="P109" s="22" t="n">
        <v>31468</v>
      </c>
      <c r="Q109" s="16" t="n">
        <v>1600</v>
      </c>
      <c r="R109" s="142" t="s">
        <v>1</v>
      </c>
      <c r="S109" s="23" t="n">
        <f aca="false">I109*$I$1*Q109</f>
        <v>3616</v>
      </c>
      <c r="T109" s="23"/>
      <c r="U109" s="24" t="n">
        <v>125103</v>
      </c>
      <c r="V109" s="24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95" t="s">
        <v>1</v>
      </c>
      <c r="B110" s="69" t="s">
        <v>1</v>
      </c>
      <c r="C110" s="69" t="s">
        <v>1</v>
      </c>
      <c r="D110" s="96" t="s">
        <v>1</v>
      </c>
      <c r="E110" s="96" t="s">
        <v>1</v>
      </c>
      <c r="F110" s="95" t="s">
        <v>1</v>
      </c>
      <c r="G110" s="95" t="s">
        <v>1</v>
      </c>
      <c r="H110" s="69" t="s">
        <v>1</v>
      </c>
      <c r="I110" s="98" t="s">
        <v>1</v>
      </c>
      <c r="J110" s="68" t="s">
        <v>1</v>
      </c>
      <c r="K110" s="68" t="s">
        <v>1</v>
      </c>
      <c r="L110" s="68" t="s">
        <v>1</v>
      </c>
      <c r="M110" s="68" t="s">
        <v>271</v>
      </c>
      <c r="N110" s="140" t="s">
        <v>1</v>
      </c>
      <c r="O110" s="68" t="s">
        <v>1</v>
      </c>
      <c r="P110" s="153" t="s">
        <v>1</v>
      </c>
      <c r="Q110" s="69" t="s">
        <v>1</v>
      </c>
      <c r="R110" s="95" t="s">
        <v>1</v>
      </c>
      <c r="S110" s="35"/>
      <c r="T110" s="35" t="n">
        <f aca="false">SUM(T73:T109)</f>
        <v>0</v>
      </c>
      <c r="U110" s="37"/>
      <c r="V110" s="37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4"/>
      <c r="CC110" s="154"/>
      <c r="CD110" s="154"/>
      <c r="CE110" s="154"/>
      <c r="CF110" s="154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54"/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/>
      <c r="EI110" s="154"/>
      <c r="EJ110" s="154"/>
      <c r="EK110" s="154"/>
      <c r="EL110" s="154"/>
      <c r="EM110" s="154"/>
      <c r="EN110" s="154"/>
      <c r="EO110" s="154"/>
      <c r="EP110" s="154"/>
      <c r="EQ110" s="154"/>
      <c r="ER110" s="154"/>
      <c r="ES110" s="154"/>
      <c r="ET110" s="154"/>
      <c r="EU110" s="154"/>
      <c r="EV110" s="154"/>
      <c r="EW110" s="154"/>
      <c r="EX110" s="154"/>
      <c r="EY110" s="154"/>
      <c r="EZ110" s="154"/>
      <c r="FA110" s="154"/>
      <c r="FB110" s="154"/>
      <c r="FC110" s="154"/>
      <c r="FD110" s="154"/>
      <c r="FE110" s="154"/>
      <c r="FF110" s="154"/>
      <c r="FG110" s="154"/>
      <c r="FH110" s="154"/>
      <c r="FI110" s="154"/>
      <c r="FJ110" s="154"/>
      <c r="FK110" s="154"/>
      <c r="FL110" s="154"/>
      <c r="FM110" s="154"/>
      <c r="FN110" s="154"/>
      <c r="FO110" s="154"/>
      <c r="FP110" s="154"/>
      <c r="FQ110" s="154"/>
      <c r="FR110" s="154"/>
      <c r="FS110" s="154"/>
      <c r="FT110" s="154"/>
      <c r="FU110" s="154"/>
      <c r="FV110" s="154"/>
      <c r="FW110" s="154"/>
      <c r="FX110" s="154"/>
      <c r="FY110" s="154"/>
      <c r="FZ110" s="154"/>
      <c r="GA110" s="154"/>
      <c r="GB110" s="154"/>
      <c r="GC110" s="154"/>
      <c r="GD110" s="154"/>
      <c r="GE110" s="154"/>
      <c r="GF110" s="154"/>
      <c r="GG110" s="154"/>
      <c r="GH110" s="154"/>
      <c r="GI110" s="154"/>
      <c r="GJ110" s="154"/>
      <c r="GK110" s="154"/>
      <c r="GL110" s="154"/>
      <c r="GM110" s="154"/>
      <c r="GN110" s="154"/>
      <c r="GO110" s="154"/>
      <c r="GP110" s="154"/>
      <c r="GQ110" s="154"/>
      <c r="GR110" s="154"/>
      <c r="GS110" s="154"/>
      <c r="GT110" s="154"/>
      <c r="GU110" s="154"/>
      <c r="GV110" s="154"/>
      <c r="GW110" s="154"/>
      <c r="GX110" s="154"/>
      <c r="GY110" s="154"/>
      <c r="GZ110" s="154"/>
      <c r="HA110" s="154"/>
      <c r="HB110" s="154"/>
      <c r="HC110" s="154"/>
      <c r="HD110" s="154"/>
      <c r="HE110" s="154"/>
      <c r="HF110" s="154"/>
      <c r="HG110" s="154"/>
      <c r="HH110" s="154"/>
      <c r="HI110" s="154"/>
      <c r="HJ110" s="154"/>
      <c r="HK110" s="154"/>
      <c r="HL110" s="154"/>
      <c r="HM110" s="154"/>
      <c r="HN110" s="154"/>
      <c r="HO110" s="154"/>
      <c r="HP110" s="154"/>
      <c r="HQ110" s="154"/>
      <c r="HR110" s="154"/>
      <c r="HS110" s="154"/>
      <c r="HT110" s="154"/>
      <c r="HU110" s="154"/>
      <c r="HV110" s="154"/>
      <c r="HW110" s="154"/>
      <c r="HX110" s="154"/>
      <c r="HY110" s="154"/>
      <c r="HZ110" s="154"/>
      <c r="IA110" s="154"/>
      <c r="IB110" s="154"/>
      <c r="IC110" s="154"/>
      <c r="ID110" s="154"/>
      <c r="IE110" s="154"/>
      <c r="IF110" s="154"/>
      <c r="IG110" s="154"/>
      <c r="IH110" s="154"/>
      <c r="II110" s="154"/>
      <c r="IJ110" s="154"/>
      <c r="IK110" s="154"/>
      <c r="IL110" s="154"/>
      <c r="IM110" s="154"/>
      <c r="IN110" s="154"/>
      <c r="IO110" s="154"/>
      <c r="IP110" s="154"/>
      <c r="IQ110" s="154"/>
      <c r="IR110" s="154"/>
      <c r="IS110" s="154"/>
      <c r="IT110" s="154"/>
      <c r="IU110" s="154"/>
      <c r="IV110" s="154"/>
      <c r="IW110" s="154"/>
    </row>
    <row r="111" customFormat="false" ht="12.75" hidden="false" customHeight="false" outlineLevel="0" collapsed="false">
      <c r="A111" s="95"/>
      <c r="B111" s="69"/>
      <c r="C111" s="69"/>
      <c r="D111" s="96"/>
      <c r="E111" s="96"/>
      <c r="F111" s="95"/>
      <c r="G111" s="95"/>
      <c r="H111" s="69"/>
      <c r="I111" s="98"/>
      <c r="J111" s="68"/>
      <c r="K111" s="68"/>
      <c r="L111" s="68"/>
      <c r="M111" s="68"/>
      <c r="N111" s="99"/>
      <c r="O111" s="68"/>
      <c r="P111" s="153"/>
      <c r="Q111" s="69" t="n">
        <f aca="false">SUM(Q74:Q110)</f>
        <v>735650</v>
      </c>
      <c r="R111" s="95" t="s">
        <v>164</v>
      </c>
      <c r="S111" s="35" t="n">
        <f aca="false">SUM(S74:S110)</f>
        <v>766384.0552</v>
      </c>
      <c r="T111" s="35"/>
      <c r="U111" s="36"/>
      <c r="V111" s="37"/>
      <c r="W111" s="37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4"/>
      <c r="BR111" s="154"/>
      <c r="BS111" s="154"/>
      <c r="BT111" s="154"/>
      <c r="BU111" s="154"/>
      <c r="BV111" s="154"/>
      <c r="BW111" s="154"/>
      <c r="BX111" s="154"/>
      <c r="BY111" s="154"/>
      <c r="BZ111" s="154"/>
      <c r="CA111" s="154"/>
      <c r="CB111" s="154"/>
      <c r="CC111" s="154"/>
      <c r="CD111" s="154"/>
      <c r="CE111" s="154"/>
      <c r="CF111" s="154"/>
      <c r="CG111" s="154"/>
      <c r="CH111" s="154"/>
      <c r="CI111" s="154"/>
      <c r="CJ111" s="154"/>
      <c r="CK111" s="154"/>
      <c r="CL111" s="154"/>
      <c r="CM111" s="154"/>
      <c r="CN111" s="154"/>
      <c r="CO111" s="154"/>
      <c r="CP111" s="154"/>
      <c r="CQ111" s="154"/>
      <c r="CR111" s="154"/>
      <c r="CS111" s="154"/>
      <c r="CT111" s="154"/>
      <c r="CU111" s="154"/>
      <c r="CV111" s="154"/>
      <c r="CW111" s="154"/>
      <c r="CX111" s="154"/>
      <c r="CY111" s="154"/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4"/>
      <c r="EM111" s="154"/>
      <c r="EN111" s="154"/>
      <c r="EO111" s="154"/>
      <c r="EP111" s="154"/>
      <c r="EQ111" s="154"/>
      <c r="ER111" s="154"/>
      <c r="ES111" s="154"/>
      <c r="ET111" s="154"/>
      <c r="EU111" s="154"/>
      <c r="EV111" s="154"/>
      <c r="EW111" s="154"/>
      <c r="EX111" s="154"/>
      <c r="EY111" s="154"/>
      <c r="EZ111" s="154"/>
      <c r="FA111" s="154"/>
      <c r="FB111" s="154"/>
      <c r="FC111" s="154"/>
      <c r="FD111" s="154"/>
      <c r="FE111" s="154"/>
      <c r="FF111" s="154"/>
      <c r="FG111" s="154"/>
      <c r="FH111" s="154"/>
      <c r="FI111" s="154"/>
      <c r="FJ111" s="154"/>
      <c r="FK111" s="154"/>
      <c r="FL111" s="154"/>
      <c r="FM111" s="154"/>
      <c r="FN111" s="154"/>
      <c r="FO111" s="154"/>
      <c r="FP111" s="154"/>
      <c r="FQ111" s="154"/>
      <c r="FR111" s="154"/>
      <c r="FS111" s="154"/>
      <c r="FT111" s="154"/>
      <c r="FU111" s="154"/>
      <c r="FV111" s="154"/>
      <c r="FW111" s="154"/>
      <c r="FX111" s="154"/>
      <c r="FY111" s="154"/>
      <c r="FZ111" s="154"/>
      <c r="GA111" s="154"/>
      <c r="GB111" s="154"/>
      <c r="GC111" s="154"/>
      <c r="GD111" s="154"/>
      <c r="GE111" s="154"/>
      <c r="GF111" s="154"/>
      <c r="GG111" s="154"/>
      <c r="GH111" s="154"/>
      <c r="GI111" s="154"/>
      <c r="GJ111" s="154"/>
      <c r="GK111" s="154"/>
      <c r="GL111" s="154"/>
      <c r="GM111" s="154"/>
      <c r="GN111" s="154"/>
      <c r="GO111" s="154"/>
      <c r="GP111" s="154"/>
      <c r="GQ111" s="154"/>
      <c r="GR111" s="154"/>
      <c r="GS111" s="154"/>
      <c r="GT111" s="154"/>
      <c r="GU111" s="154"/>
      <c r="GV111" s="154"/>
      <c r="GW111" s="154"/>
      <c r="GX111" s="154"/>
      <c r="GY111" s="154"/>
      <c r="GZ111" s="154"/>
      <c r="HA111" s="154"/>
      <c r="HB111" s="154"/>
      <c r="HC111" s="154"/>
      <c r="HD111" s="154"/>
      <c r="HE111" s="154"/>
      <c r="HF111" s="154"/>
      <c r="HG111" s="154"/>
      <c r="HH111" s="154"/>
      <c r="HI111" s="154"/>
      <c r="HJ111" s="154"/>
      <c r="HK111" s="154"/>
      <c r="HL111" s="154"/>
      <c r="HM111" s="154"/>
      <c r="HN111" s="154"/>
      <c r="HO111" s="154"/>
      <c r="HP111" s="154"/>
      <c r="HQ111" s="154"/>
      <c r="HR111" s="154"/>
      <c r="HS111" s="154"/>
      <c r="HT111" s="154"/>
      <c r="HU111" s="154"/>
      <c r="HV111" s="154"/>
      <c r="HW111" s="154"/>
      <c r="HX111" s="154"/>
      <c r="HY111" s="154"/>
      <c r="HZ111" s="154"/>
      <c r="IA111" s="154"/>
      <c r="IB111" s="154"/>
      <c r="IC111" s="154"/>
      <c r="ID111" s="154"/>
      <c r="IE111" s="154"/>
      <c r="IF111" s="154"/>
      <c r="IG111" s="154"/>
      <c r="IH111" s="154"/>
      <c r="II111" s="154"/>
      <c r="IJ111" s="154"/>
      <c r="IK111" s="154"/>
      <c r="IL111" s="154"/>
      <c r="IM111" s="154"/>
      <c r="IN111" s="154"/>
      <c r="IO111" s="154"/>
      <c r="IP111" s="154"/>
      <c r="IQ111" s="154"/>
      <c r="IR111" s="154"/>
      <c r="IS111" s="154"/>
      <c r="IT111" s="154"/>
      <c r="IU111" s="154"/>
      <c r="IV111" s="154"/>
      <c r="IW111" s="154"/>
    </row>
    <row r="112" customFormat="false" ht="12.75" hidden="false" customHeight="false" outlineLevel="0" collapsed="false">
      <c r="A112" s="15"/>
      <c r="B112" s="16"/>
      <c r="C112" s="16"/>
      <c r="D112" s="17"/>
      <c r="E112" s="17"/>
      <c r="F112" s="15"/>
      <c r="G112" s="15"/>
      <c r="H112" s="16"/>
      <c r="I112" s="19"/>
      <c r="J112" s="20"/>
      <c r="K112" s="20"/>
      <c r="L112" s="20"/>
      <c r="M112" s="20"/>
      <c r="N112" s="25"/>
      <c r="O112" s="20"/>
      <c r="P112" s="22"/>
      <c r="Q112" s="71"/>
      <c r="R112" s="95" t="s">
        <v>165</v>
      </c>
      <c r="S112" s="35" t="n">
        <f aca="false">SUM(S74:S77,S86:S102)</f>
        <v>668899.5652</v>
      </c>
      <c r="T112" s="23"/>
      <c r="U112" s="26"/>
      <c r="V112" s="24"/>
      <c r="W112" s="24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3.5" hidden="false" customHeight="false" outlineLevel="0" collapsed="false">
      <c r="A113" s="15"/>
      <c r="B113" s="16"/>
      <c r="C113" s="16"/>
      <c r="D113" s="17"/>
      <c r="E113" s="17"/>
      <c r="F113" s="15"/>
      <c r="G113" s="15"/>
      <c r="H113" s="16"/>
      <c r="I113" s="19"/>
      <c r="J113" s="20"/>
      <c r="K113" s="20"/>
      <c r="L113" s="20"/>
      <c r="M113" s="20"/>
      <c r="N113" s="25"/>
      <c r="O113" s="20"/>
      <c r="P113" s="22"/>
      <c r="Q113" s="71"/>
      <c r="R113" s="95" t="s">
        <v>166</v>
      </c>
      <c r="S113" s="169" t="n">
        <f aca="false">+S111-S112</f>
        <v>97484.49</v>
      </c>
      <c r="T113" s="23"/>
      <c r="U113" s="26"/>
      <c r="V113" s="24"/>
      <c r="W113" s="24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3.5" hidden="false" customHeight="false" outlineLevel="0" collapsed="false">
      <c r="A114" s="15"/>
      <c r="B114" s="16"/>
      <c r="C114" s="16"/>
      <c r="D114" s="17"/>
      <c r="E114" s="17"/>
      <c r="F114" s="15"/>
      <c r="G114" s="15"/>
      <c r="H114" s="16"/>
      <c r="I114" s="19"/>
      <c r="J114" s="20"/>
      <c r="K114" s="20"/>
      <c r="L114" s="20"/>
      <c r="M114" s="20"/>
      <c r="N114" s="25"/>
      <c r="O114" s="20"/>
      <c r="P114" s="22"/>
      <c r="Q114" s="16"/>
      <c r="R114" s="15"/>
      <c r="S114" s="23"/>
      <c r="T114" s="23"/>
      <c r="U114" s="26"/>
      <c r="V114" s="24"/>
      <c r="W114" s="24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false" customHeight="false" outlineLevel="0" collapsed="false">
      <c r="A115" s="127" t="s">
        <v>108</v>
      </c>
      <c r="B115" s="128" t="s">
        <v>109</v>
      </c>
      <c r="C115" s="128" t="s">
        <v>110</v>
      </c>
      <c r="D115" s="129" t="s">
        <v>111</v>
      </c>
      <c r="E115" s="129"/>
      <c r="F115" s="127" t="s">
        <v>112</v>
      </c>
      <c r="G115" s="127" t="s">
        <v>113</v>
      </c>
      <c r="H115" s="128" t="s">
        <v>228</v>
      </c>
      <c r="I115" s="130" t="s">
        <v>115</v>
      </c>
      <c r="J115" s="128" t="s">
        <v>116</v>
      </c>
      <c r="K115" s="128" t="s">
        <v>117</v>
      </c>
      <c r="L115" s="128" t="s">
        <v>118</v>
      </c>
      <c r="M115" s="128" t="s">
        <v>119</v>
      </c>
      <c r="N115" s="131" t="s">
        <v>120</v>
      </c>
      <c r="O115" s="128" t="s">
        <v>121</v>
      </c>
      <c r="P115" s="132" t="s">
        <v>147</v>
      </c>
      <c r="Q115" s="128" t="s">
        <v>123</v>
      </c>
      <c r="R115" s="127" t="s">
        <v>124</v>
      </c>
      <c r="S115" s="109" t="s">
        <v>125</v>
      </c>
      <c r="T115" s="109" t="s">
        <v>126</v>
      </c>
      <c r="U115" s="133" t="s">
        <v>148</v>
      </c>
      <c r="V115" s="112"/>
      <c r="W115" s="112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  <c r="BI115" s="134"/>
      <c r="BJ115" s="134"/>
      <c r="BK115" s="134"/>
      <c r="BL115" s="134"/>
      <c r="BM115" s="134"/>
      <c r="BN115" s="134"/>
      <c r="BO115" s="134"/>
      <c r="BP115" s="134"/>
      <c r="BQ115" s="134"/>
      <c r="BR115" s="134"/>
      <c r="BS115" s="134"/>
      <c r="BT115" s="134"/>
      <c r="BU115" s="134"/>
      <c r="BV115" s="134"/>
      <c r="BW115" s="134"/>
      <c r="BX115" s="134"/>
      <c r="BY115" s="134"/>
      <c r="BZ115" s="134"/>
      <c r="CA115" s="134"/>
      <c r="CB115" s="134"/>
      <c r="CC115" s="134"/>
      <c r="CD115" s="134"/>
      <c r="CE115" s="134"/>
      <c r="CF115" s="134"/>
      <c r="CG115" s="134"/>
      <c r="CH115" s="134"/>
      <c r="CI115" s="134"/>
      <c r="CJ115" s="134"/>
      <c r="CK115" s="134"/>
      <c r="CL115" s="134"/>
      <c r="CM115" s="134"/>
      <c r="CN115" s="134"/>
      <c r="CO115" s="134"/>
      <c r="CP115" s="134"/>
      <c r="CQ115" s="134"/>
      <c r="CR115" s="134"/>
      <c r="CS115" s="134"/>
      <c r="CT115" s="134"/>
      <c r="CU115" s="134"/>
      <c r="CV115" s="134"/>
      <c r="CW115" s="134"/>
      <c r="CX115" s="134"/>
      <c r="CY115" s="134"/>
      <c r="CZ115" s="134"/>
      <c r="DA115" s="134"/>
      <c r="DB115" s="134"/>
      <c r="DC115" s="134"/>
      <c r="DD115" s="134"/>
      <c r="DE115" s="134"/>
      <c r="DF115" s="134"/>
      <c r="DG115" s="134"/>
      <c r="DH115" s="134"/>
      <c r="DI115" s="134"/>
      <c r="DJ115" s="134"/>
      <c r="DK115" s="134"/>
      <c r="DL115" s="134"/>
      <c r="DM115" s="134"/>
      <c r="DN115" s="134"/>
      <c r="DO115" s="134"/>
      <c r="DP115" s="134"/>
      <c r="DQ115" s="134"/>
      <c r="DR115" s="134"/>
      <c r="DS115" s="134"/>
      <c r="DT115" s="134"/>
      <c r="DU115" s="134"/>
      <c r="DV115" s="134"/>
      <c r="DW115" s="134"/>
      <c r="DX115" s="134"/>
      <c r="DY115" s="134"/>
      <c r="DZ115" s="134"/>
      <c r="EA115" s="134"/>
      <c r="EB115" s="134"/>
      <c r="EC115" s="134"/>
      <c r="ED115" s="134"/>
      <c r="EE115" s="134"/>
      <c r="EF115" s="134"/>
      <c r="EG115" s="134"/>
      <c r="EH115" s="134"/>
      <c r="EI115" s="134"/>
      <c r="EJ115" s="134"/>
      <c r="EK115" s="134"/>
      <c r="EL115" s="134"/>
      <c r="EM115" s="134"/>
      <c r="EN115" s="134"/>
      <c r="EO115" s="134"/>
      <c r="EP115" s="134"/>
      <c r="EQ115" s="134"/>
      <c r="ER115" s="134"/>
      <c r="ES115" s="134"/>
      <c r="ET115" s="134"/>
      <c r="EU115" s="134"/>
      <c r="EV115" s="134"/>
      <c r="EW115" s="134"/>
      <c r="EX115" s="134"/>
      <c r="EY115" s="134"/>
      <c r="EZ115" s="134"/>
      <c r="FA115" s="134"/>
      <c r="FB115" s="134"/>
      <c r="FC115" s="134"/>
      <c r="FD115" s="134"/>
      <c r="FE115" s="134"/>
      <c r="FF115" s="134"/>
      <c r="FG115" s="134"/>
      <c r="FH115" s="134"/>
      <c r="FI115" s="134"/>
      <c r="FJ115" s="134"/>
      <c r="FK115" s="134"/>
      <c r="FL115" s="134"/>
      <c r="FM115" s="134"/>
      <c r="FN115" s="134"/>
      <c r="FO115" s="134"/>
      <c r="FP115" s="134"/>
      <c r="FQ115" s="134"/>
      <c r="FR115" s="134"/>
      <c r="FS115" s="134"/>
      <c r="FT115" s="134"/>
      <c r="FU115" s="134"/>
      <c r="FV115" s="134"/>
      <c r="FW115" s="134"/>
      <c r="FX115" s="134"/>
      <c r="FY115" s="134"/>
      <c r="FZ115" s="134"/>
      <c r="GA115" s="134"/>
      <c r="GB115" s="134"/>
      <c r="GC115" s="134"/>
      <c r="GD115" s="134"/>
      <c r="GE115" s="134"/>
      <c r="GF115" s="134"/>
      <c r="GG115" s="134"/>
      <c r="GH115" s="134"/>
      <c r="GI115" s="134"/>
      <c r="GJ115" s="134"/>
      <c r="GK115" s="134"/>
      <c r="GL115" s="134"/>
      <c r="GM115" s="134"/>
      <c r="GN115" s="134"/>
      <c r="GO115" s="134"/>
      <c r="GP115" s="134"/>
      <c r="GQ115" s="134"/>
      <c r="GR115" s="134"/>
      <c r="GS115" s="134"/>
      <c r="GT115" s="134"/>
      <c r="GU115" s="134"/>
      <c r="GV115" s="134"/>
      <c r="GW115" s="134"/>
      <c r="GX115" s="134"/>
      <c r="GY115" s="134"/>
      <c r="GZ115" s="134"/>
      <c r="HA115" s="134"/>
      <c r="HB115" s="134"/>
      <c r="HC115" s="134"/>
      <c r="HD115" s="134"/>
      <c r="HE115" s="134"/>
      <c r="HF115" s="134"/>
      <c r="HG115" s="134"/>
      <c r="HH115" s="134"/>
      <c r="HI115" s="134"/>
      <c r="HJ115" s="134"/>
      <c r="HK115" s="134"/>
      <c r="HL115" s="134"/>
      <c r="HM115" s="134"/>
      <c r="HN115" s="134"/>
      <c r="HO115" s="134"/>
      <c r="HP115" s="134"/>
      <c r="HQ115" s="134"/>
      <c r="HR115" s="134"/>
      <c r="HS115" s="134"/>
      <c r="HT115" s="134"/>
      <c r="HU115" s="134"/>
      <c r="HV115" s="134"/>
      <c r="HW115" s="134"/>
      <c r="HX115" s="134"/>
      <c r="HY115" s="134"/>
      <c r="HZ115" s="134"/>
      <c r="IA115" s="134"/>
      <c r="IB115" s="134"/>
      <c r="IC115" s="134"/>
      <c r="ID115" s="134"/>
      <c r="IE115" s="134"/>
      <c r="IF115" s="134"/>
      <c r="IG115" s="134"/>
      <c r="IH115" s="134"/>
      <c r="II115" s="134"/>
      <c r="IJ115" s="134"/>
      <c r="IK115" s="134"/>
      <c r="IL115" s="134"/>
      <c r="IM115" s="134"/>
      <c r="IN115" s="134"/>
      <c r="IO115" s="134"/>
      <c r="IP115" s="134"/>
      <c r="IQ115" s="134"/>
      <c r="IR115" s="134"/>
      <c r="IS115" s="134"/>
      <c r="IT115" s="134"/>
      <c r="IU115" s="134"/>
      <c r="IV115" s="134"/>
      <c r="IW115" s="134"/>
    </row>
    <row r="116" customFormat="false" ht="11.25" hidden="false" customHeight="false" outlineLevel="0" collapsed="false">
      <c r="A116" s="15" t="s">
        <v>149</v>
      </c>
      <c r="B116" s="16" t="s">
        <v>356</v>
      </c>
      <c r="C116" s="15" t="s">
        <v>200</v>
      </c>
      <c r="D116" s="17" t="n">
        <v>36557</v>
      </c>
      <c r="E116" s="17" t="n">
        <v>36830</v>
      </c>
      <c r="F116" s="15" t="s">
        <v>357</v>
      </c>
      <c r="G116" s="15" t="s">
        <v>358</v>
      </c>
      <c r="H116" s="15" t="s">
        <v>359</v>
      </c>
      <c r="I116" s="177" t="n">
        <f aca="false">18.29*0.0328767</f>
        <v>0.601314843</v>
      </c>
      <c r="J116" s="15" t="n">
        <v>0</v>
      </c>
      <c r="K116" s="15" t="n">
        <v>0.0022</v>
      </c>
      <c r="L116" s="15" t="n">
        <v>0.0072</v>
      </c>
      <c r="M116" s="15" t="n">
        <v>0.0131</v>
      </c>
      <c r="N116" s="15" t="n">
        <v>0</v>
      </c>
      <c r="O116" s="15" t="n">
        <f aca="false">SUM(I116:M116)</f>
        <v>0.623814843</v>
      </c>
      <c r="P116" s="22" t="n">
        <v>892510</v>
      </c>
      <c r="Q116" s="15" t="n">
        <v>16136</v>
      </c>
      <c r="R116" s="15" t="s">
        <v>360</v>
      </c>
      <c r="S116" s="178" t="n">
        <f aca="false">I116*I$1*Q116</f>
        <v>300787.305506088</v>
      </c>
      <c r="T116" s="15"/>
      <c r="U116" s="26" t="s">
        <v>361</v>
      </c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  <c r="IG116" s="15"/>
      <c r="IH116" s="15"/>
      <c r="II116" s="15"/>
      <c r="IJ116" s="15"/>
      <c r="IK116" s="15"/>
      <c r="IL116" s="15"/>
      <c r="IM116" s="15"/>
      <c r="IN116" s="15"/>
      <c r="IO116" s="15"/>
      <c r="IP116" s="15"/>
      <c r="IQ116" s="15"/>
      <c r="IR116" s="15"/>
      <c r="IS116" s="15"/>
      <c r="IT116" s="15"/>
      <c r="IU116" s="15"/>
      <c r="IV116" s="15"/>
      <c r="IW116" s="15"/>
    </row>
    <row r="117" customFormat="false" ht="11.25" hidden="false" customHeight="false" outlineLevel="0" collapsed="false">
      <c r="A117" s="38" t="s">
        <v>149</v>
      </c>
      <c r="B117" s="76" t="s">
        <v>356</v>
      </c>
      <c r="C117" s="38" t="s">
        <v>200</v>
      </c>
      <c r="D117" s="77" t="n">
        <v>36708</v>
      </c>
      <c r="E117" s="77" t="n">
        <v>36738</v>
      </c>
      <c r="F117" s="38" t="s">
        <v>357</v>
      </c>
      <c r="G117" s="38" t="s">
        <v>358</v>
      </c>
      <c r="H117" s="38" t="s">
        <v>359</v>
      </c>
      <c r="I117" s="179" t="n">
        <f aca="false">18.889*0.0328767</f>
        <v>0.6210079863</v>
      </c>
      <c r="J117" s="38" t="n">
        <v>0</v>
      </c>
      <c r="K117" s="38" t="n">
        <v>0.0022</v>
      </c>
      <c r="L117" s="38" t="n">
        <v>0.0072</v>
      </c>
      <c r="M117" s="38" t="n">
        <v>0.0131</v>
      </c>
      <c r="N117" s="38" t="n">
        <v>0</v>
      </c>
      <c r="O117" s="38" t="n">
        <f aca="false">SUM(I117:M117)</f>
        <v>0.6435079863</v>
      </c>
      <c r="P117" s="81" t="n">
        <v>892511</v>
      </c>
      <c r="Q117" s="38" t="n">
        <v>-642</v>
      </c>
      <c r="R117" s="38"/>
      <c r="S117" s="180" t="n">
        <f aca="false">I117*I$1*Q117</f>
        <v>-12359.3009433426</v>
      </c>
      <c r="T117" s="38"/>
      <c r="U117" s="83" t="n">
        <v>309983</v>
      </c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  <c r="GX117" s="38"/>
      <c r="GY117" s="38"/>
      <c r="GZ117" s="38"/>
      <c r="HA117" s="38"/>
      <c r="HB117" s="38"/>
      <c r="HC117" s="38"/>
      <c r="HD117" s="38"/>
      <c r="HE117" s="38"/>
      <c r="HF117" s="38"/>
      <c r="HG117" s="38"/>
      <c r="HH117" s="38"/>
      <c r="HI117" s="38"/>
      <c r="HJ117" s="38"/>
      <c r="HK117" s="38"/>
      <c r="HL117" s="38"/>
      <c r="HM117" s="38"/>
      <c r="HN117" s="38"/>
      <c r="HO117" s="38"/>
      <c r="HP117" s="38"/>
      <c r="HQ117" s="38"/>
      <c r="HR117" s="38"/>
      <c r="HS117" s="38"/>
      <c r="HT117" s="38"/>
      <c r="HU117" s="38"/>
      <c r="HV117" s="38"/>
      <c r="HW117" s="38"/>
      <c r="HX117" s="38"/>
      <c r="HY117" s="38"/>
      <c r="HZ117" s="38"/>
      <c r="IA117" s="38"/>
      <c r="IB117" s="38"/>
      <c r="IC117" s="38"/>
      <c r="ID117" s="38"/>
      <c r="IE117" s="38"/>
      <c r="IF117" s="38"/>
      <c r="IG117" s="38"/>
      <c r="IH117" s="38"/>
      <c r="II117" s="38"/>
      <c r="IJ117" s="38"/>
      <c r="IK117" s="38"/>
      <c r="IL117" s="38"/>
      <c r="IM117" s="38"/>
      <c r="IN117" s="38"/>
      <c r="IO117" s="38"/>
      <c r="IP117" s="38"/>
      <c r="IQ117" s="38"/>
      <c r="IR117" s="38"/>
      <c r="IS117" s="38"/>
      <c r="IT117" s="38"/>
      <c r="IU117" s="38"/>
      <c r="IV117" s="38"/>
      <c r="IW117" s="38"/>
    </row>
    <row r="118" customFormat="false" ht="12.75" hidden="false" customHeight="false" outlineLevel="0" collapsed="false">
      <c r="A118" s="15" t="s">
        <v>149</v>
      </c>
      <c r="B118" s="16" t="s">
        <v>356</v>
      </c>
      <c r="C118" s="16" t="s">
        <v>200</v>
      </c>
      <c r="D118" s="17" t="n">
        <v>36465</v>
      </c>
      <c r="E118" s="17" t="n">
        <v>36830</v>
      </c>
      <c r="F118" s="15" t="s">
        <v>357</v>
      </c>
      <c r="G118" s="15" t="s">
        <v>358</v>
      </c>
      <c r="H118" s="16" t="s">
        <v>359</v>
      </c>
      <c r="I118" s="177" t="n">
        <f aca="false">18.889*0.0328767</f>
        <v>0.6210079863</v>
      </c>
      <c r="J118" s="20" t="n">
        <v>0</v>
      </c>
      <c r="K118" s="20" t="n">
        <v>0.0022</v>
      </c>
      <c r="L118" s="20" t="n">
        <v>0.0072</v>
      </c>
      <c r="M118" s="20" t="n">
        <v>0.0131</v>
      </c>
      <c r="N118" s="25" t="n">
        <v>0</v>
      </c>
      <c r="O118" s="20" t="n">
        <f aca="false">SUM(I118:M118)</f>
        <v>0.6435079863</v>
      </c>
      <c r="P118" s="22" t="n">
        <v>892511</v>
      </c>
      <c r="Q118" s="16" t="n">
        <v>8068</v>
      </c>
      <c r="R118" s="15"/>
      <c r="S118" s="178" t="n">
        <f aca="false">I118*I$1*Q118</f>
        <v>155319.06543752</v>
      </c>
      <c r="T118" s="23"/>
      <c r="U118" s="26" t="s">
        <v>362</v>
      </c>
      <c r="V118" s="24"/>
      <c r="W118" s="24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2.75" hidden="false" customHeight="false" outlineLevel="0" collapsed="false">
      <c r="A119" s="95" t="s">
        <v>144</v>
      </c>
      <c r="B119" s="69" t="s">
        <v>356</v>
      </c>
      <c r="C119" s="69" t="s">
        <v>151</v>
      </c>
      <c r="D119" s="96" t="n">
        <v>36647</v>
      </c>
      <c r="E119" s="96" t="n">
        <v>36830</v>
      </c>
      <c r="F119" s="95" t="s">
        <v>363</v>
      </c>
      <c r="G119" s="95" t="s">
        <v>358</v>
      </c>
      <c r="H119" s="69" t="s">
        <v>258</v>
      </c>
      <c r="I119" s="98" t="n">
        <f aca="false">0.9125*0.0328767</f>
        <v>0.02999998875</v>
      </c>
      <c r="J119" s="68" t="n">
        <v>0.075</v>
      </c>
      <c r="K119" s="68" t="n">
        <v>0.0022</v>
      </c>
      <c r="L119" s="68" t="n">
        <v>0</v>
      </c>
      <c r="M119" s="68" t="n">
        <v>0</v>
      </c>
      <c r="N119" s="140" t="n">
        <v>0</v>
      </c>
      <c r="O119" s="68" t="n">
        <f aca="false">SUM(I119:M119)</f>
        <v>0.10719998875</v>
      </c>
      <c r="P119" s="153" t="n">
        <v>893145</v>
      </c>
      <c r="Q119" s="69" t="n">
        <v>5000</v>
      </c>
      <c r="R119" s="95" t="s">
        <v>364</v>
      </c>
      <c r="S119" s="137" t="n">
        <f aca="false">+I119*I$1*Q119</f>
        <v>4649.99825625</v>
      </c>
      <c r="T119" s="35"/>
      <c r="U119" s="37" t="s">
        <v>365</v>
      </c>
      <c r="V119" s="37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4"/>
      <c r="BN119" s="154"/>
      <c r="BO119" s="154"/>
      <c r="BP119" s="154"/>
      <c r="BQ119" s="154"/>
      <c r="BR119" s="154"/>
      <c r="BS119" s="154"/>
      <c r="BT119" s="154"/>
      <c r="BU119" s="154"/>
      <c r="BV119" s="154"/>
      <c r="BW119" s="154"/>
      <c r="BX119" s="154"/>
      <c r="BY119" s="154"/>
      <c r="BZ119" s="154"/>
      <c r="CA119" s="154"/>
      <c r="CB119" s="154"/>
      <c r="CC119" s="154"/>
      <c r="CD119" s="154"/>
      <c r="CE119" s="154"/>
      <c r="CF119" s="154"/>
      <c r="CG119" s="154"/>
      <c r="CH119" s="154"/>
      <c r="CI119" s="154"/>
      <c r="CJ119" s="154"/>
      <c r="CK119" s="154"/>
      <c r="CL119" s="154"/>
      <c r="CM119" s="154"/>
      <c r="CN119" s="154"/>
      <c r="CO119" s="154"/>
      <c r="CP119" s="154"/>
      <c r="CQ119" s="154"/>
      <c r="CR119" s="154"/>
      <c r="CS119" s="154"/>
      <c r="CT119" s="154"/>
      <c r="CU119" s="154"/>
      <c r="CV119" s="154"/>
      <c r="CW119" s="154"/>
      <c r="CX119" s="154"/>
      <c r="CY119" s="154"/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  <c r="DO119" s="154"/>
      <c r="DP119" s="154"/>
      <c r="DQ119" s="154"/>
      <c r="DR119" s="154"/>
      <c r="DS119" s="154"/>
      <c r="DT119" s="154"/>
      <c r="DU119" s="154"/>
      <c r="DV119" s="154"/>
      <c r="DW119" s="154"/>
      <c r="DX119" s="154"/>
      <c r="DY119" s="154"/>
      <c r="DZ119" s="154"/>
      <c r="EA119" s="154"/>
      <c r="EB119" s="154"/>
      <c r="EC119" s="154"/>
      <c r="ED119" s="154"/>
      <c r="EE119" s="154"/>
      <c r="EF119" s="154"/>
      <c r="EG119" s="154"/>
      <c r="EH119" s="154"/>
      <c r="EI119" s="154"/>
      <c r="EJ119" s="154"/>
      <c r="EK119" s="154"/>
      <c r="EL119" s="154"/>
      <c r="EM119" s="154"/>
      <c r="EN119" s="154"/>
      <c r="EO119" s="154"/>
      <c r="EP119" s="154"/>
      <c r="EQ119" s="154"/>
      <c r="ER119" s="154"/>
      <c r="ES119" s="154"/>
      <c r="ET119" s="154"/>
      <c r="EU119" s="154"/>
      <c r="EV119" s="154"/>
      <c r="EW119" s="154"/>
      <c r="EX119" s="154"/>
      <c r="EY119" s="154"/>
      <c r="EZ119" s="154"/>
      <c r="FA119" s="154"/>
      <c r="FB119" s="154"/>
      <c r="FC119" s="154"/>
      <c r="FD119" s="154"/>
      <c r="FE119" s="154"/>
      <c r="FF119" s="154"/>
      <c r="FG119" s="154"/>
      <c r="FH119" s="154"/>
      <c r="FI119" s="154"/>
      <c r="FJ119" s="154"/>
      <c r="FK119" s="154"/>
      <c r="FL119" s="154"/>
      <c r="FM119" s="154"/>
      <c r="FN119" s="154"/>
      <c r="FO119" s="154"/>
      <c r="FP119" s="154"/>
      <c r="FQ119" s="154"/>
      <c r="FR119" s="154"/>
      <c r="FS119" s="154"/>
      <c r="FT119" s="154"/>
      <c r="FU119" s="154"/>
      <c r="FV119" s="154"/>
      <c r="FW119" s="154"/>
      <c r="FX119" s="154"/>
      <c r="FY119" s="154"/>
      <c r="FZ119" s="154"/>
      <c r="GA119" s="154"/>
      <c r="GB119" s="154"/>
      <c r="GC119" s="154"/>
      <c r="GD119" s="154"/>
      <c r="GE119" s="154"/>
      <c r="GF119" s="154"/>
      <c r="GG119" s="154"/>
      <c r="GH119" s="154"/>
      <c r="GI119" s="154"/>
      <c r="GJ119" s="154"/>
      <c r="GK119" s="154"/>
      <c r="GL119" s="154"/>
      <c r="GM119" s="154"/>
      <c r="GN119" s="154"/>
      <c r="GO119" s="154"/>
      <c r="GP119" s="154"/>
      <c r="GQ119" s="154"/>
      <c r="GR119" s="154"/>
      <c r="GS119" s="154"/>
      <c r="GT119" s="154"/>
      <c r="GU119" s="154"/>
      <c r="GV119" s="154"/>
      <c r="GW119" s="154"/>
      <c r="GX119" s="154"/>
      <c r="GY119" s="154"/>
      <c r="GZ119" s="154"/>
      <c r="HA119" s="154"/>
      <c r="HB119" s="154"/>
      <c r="HC119" s="154"/>
      <c r="HD119" s="154"/>
      <c r="HE119" s="154"/>
      <c r="HF119" s="154"/>
      <c r="HG119" s="154"/>
      <c r="HH119" s="154"/>
      <c r="HI119" s="154"/>
      <c r="HJ119" s="154"/>
      <c r="HK119" s="154"/>
      <c r="HL119" s="154"/>
      <c r="HM119" s="154"/>
      <c r="HN119" s="154"/>
      <c r="HO119" s="154"/>
      <c r="HP119" s="154"/>
      <c r="HQ119" s="154"/>
      <c r="HR119" s="154"/>
      <c r="HS119" s="154"/>
      <c r="HT119" s="154"/>
      <c r="HU119" s="154"/>
      <c r="HV119" s="154"/>
      <c r="HW119" s="154"/>
      <c r="HX119" s="154"/>
      <c r="HY119" s="154"/>
      <c r="HZ119" s="154"/>
      <c r="IA119" s="154"/>
      <c r="IB119" s="154"/>
      <c r="IC119" s="154"/>
      <c r="ID119" s="154"/>
      <c r="IE119" s="154"/>
      <c r="IF119" s="154"/>
      <c r="IG119" s="154"/>
      <c r="IH119" s="154"/>
      <c r="II119" s="154"/>
      <c r="IJ119" s="154"/>
      <c r="IK119" s="154"/>
      <c r="IL119" s="154"/>
      <c r="IM119" s="154"/>
      <c r="IN119" s="154"/>
      <c r="IO119" s="154"/>
      <c r="IP119" s="154"/>
      <c r="IQ119" s="154"/>
      <c r="IR119" s="154"/>
      <c r="IS119" s="154"/>
      <c r="IT119" s="154"/>
      <c r="IU119" s="154"/>
      <c r="IV119" s="154"/>
      <c r="IW119" s="154"/>
    </row>
    <row r="120" customFormat="false" ht="12.75" hidden="false" customHeight="false" outlineLevel="0" collapsed="false">
      <c r="A120" s="95" t="s">
        <v>144</v>
      </c>
      <c r="B120" s="69" t="s">
        <v>356</v>
      </c>
      <c r="C120" s="69" t="s">
        <v>366</v>
      </c>
      <c r="D120" s="96" t="n">
        <v>36617</v>
      </c>
      <c r="E120" s="96" t="n">
        <v>36830</v>
      </c>
      <c r="F120" s="95" t="s">
        <v>363</v>
      </c>
      <c r="G120" s="95" t="s">
        <v>358</v>
      </c>
      <c r="H120" s="69" t="s">
        <v>170</v>
      </c>
      <c r="I120" s="98" t="n">
        <f aca="false">0.7604*0.0328767</f>
        <v>0.02499944268</v>
      </c>
      <c r="J120" s="68" t="n">
        <v>0.075</v>
      </c>
      <c r="K120" s="68" t="n">
        <v>0.0022</v>
      </c>
      <c r="L120" s="68" t="n">
        <v>0</v>
      </c>
      <c r="M120" s="68" t="n">
        <v>0</v>
      </c>
      <c r="N120" s="140" t="n">
        <v>0</v>
      </c>
      <c r="O120" s="68" t="n">
        <f aca="false">SUM(I120:M120)</f>
        <v>0.10219944268</v>
      </c>
      <c r="P120" s="153" t="n">
        <v>892875</v>
      </c>
      <c r="Q120" s="69" t="n">
        <v>10000</v>
      </c>
      <c r="R120" s="95" t="s">
        <v>367</v>
      </c>
      <c r="S120" s="137" t="n">
        <f aca="false">+I120*I$1*Q120</f>
        <v>7749.8272308</v>
      </c>
      <c r="T120" s="35"/>
      <c r="U120" s="37" t="s">
        <v>368</v>
      </c>
      <c r="V120" s="37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4"/>
      <c r="BR120" s="154"/>
      <c r="BS120" s="154"/>
      <c r="BT120" s="154"/>
      <c r="BU120" s="154"/>
      <c r="BV120" s="154"/>
      <c r="BW120" s="154"/>
      <c r="BX120" s="154"/>
      <c r="BY120" s="154"/>
      <c r="BZ120" s="154"/>
      <c r="CA120" s="154"/>
      <c r="CB120" s="154"/>
      <c r="CC120" s="154"/>
      <c r="CD120" s="154"/>
      <c r="CE120" s="154"/>
      <c r="CF120" s="154"/>
      <c r="CG120" s="154"/>
      <c r="CH120" s="154"/>
      <c r="CI120" s="154"/>
      <c r="CJ120" s="154"/>
      <c r="CK120" s="154"/>
      <c r="CL120" s="154"/>
      <c r="CM120" s="154"/>
      <c r="CN120" s="154"/>
      <c r="CO120" s="154"/>
      <c r="CP120" s="154"/>
      <c r="CQ120" s="154"/>
      <c r="CR120" s="154"/>
      <c r="CS120" s="154"/>
      <c r="CT120" s="154"/>
      <c r="CU120" s="154"/>
      <c r="CV120" s="154"/>
      <c r="CW120" s="154"/>
      <c r="CX120" s="154"/>
      <c r="CY120" s="154"/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/>
      <c r="EI120" s="154"/>
      <c r="EJ120" s="154"/>
      <c r="EK120" s="154"/>
      <c r="EL120" s="154"/>
      <c r="EM120" s="154"/>
      <c r="EN120" s="154"/>
      <c r="EO120" s="154"/>
      <c r="EP120" s="154"/>
      <c r="EQ120" s="154"/>
      <c r="ER120" s="154"/>
      <c r="ES120" s="154"/>
      <c r="ET120" s="154"/>
      <c r="EU120" s="154"/>
      <c r="EV120" s="154"/>
      <c r="EW120" s="154"/>
      <c r="EX120" s="154"/>
      <c r="EY120" s="154"/>
      <c r="EZ120" s="154"/>
      <c r="FA120" s="154"/>
      <c r="FB120" s="154"/>
      <c r="FC120" s="154"/>
      <c r="FD120" s="154"/>
      <c r="FE120" s="154"/>
      <c r="FF120" s="154"/>
      <c r="FG120" s="154"/>
      <c r="FH120" s="154"/>
      <c r="FI120" s="154"/>
      <c r="FJ120" s="154"/>
      <c r="FK120" s="154"/>
      <c r="FL120" s="154"/>
      <c r="FM120" s="154"/>
      <c r="FN120" s="154"/>
      <c r="FO120" s="154"/>
      <c r="FP120" s="154"/>
      <c r="FQ120" s="154"/>
      <c r="FR120" s="154"/>
      <c r="FS120" s="154"/>
      <c r="FT120" s="154"/>
      <c r="FU120" s="154"/>
      <c r="FV120" s="154"/>
      <c r="FW120" s="154"/>
      <c r="FX120" s="154"/>
      <c r="FY120" s="154"/>
      <c r="FZ120" s="154"/>
      <c r="GA120" s="154"/>
      <c r="GB120" s="154"/>
      <c r="GC120" s="154"/>
      <c r="GD120" s="154"/>
      <c r="GE120" s="154"/>
      <c r="GF120" s="154"/>
      <c r="GG120" s="154"/>
      <c r="GH120" s="154"/>
      <c r="GI120" s="154"/>
      <c r="GJ120" s="154"/>
      <c r="GK120" s="154"/>
      <c r="GL120" s="154"/>
      <c r="GM120" s="154"/>
      <c r="GN120" s="154"/>
      <c r="GO120" s="154"/>
      <c r="GP120" s="154"/>
      <c r="GQ120" s="154"/>
      <c r="GR120" s="154"/>
      <c r="GS120" s="154"/>
      <c r="GT120" s="154"/>
      <c r="GU120" s="154"/>
      <c r="GV120" s="154"/>
      <c r="GW120" s="154"/>
      <c r="GX120" s="154"/>
      <c r="GY120" s="154"/>
      <c r="GZ120" s="154"/>
      <c r="HA120" s="154"/>
      <c r="HB120" s="154"/>
      <c r="HC120" s="154"/>
      <c r="HD120" s="154"/>
      <c r="HE120" s="154"/>
      <c r="HF120" s="154"/>
      <c r="HG120" s="154"/>
      <c r="HH120" s="154"/>
      <c r="HI120" s="154"/>
      <c r="HJ120" s="154"/>
      <c r="HK120" s="154"/>
      <c r="HL120" s="154"/>
      <c r="HM120" s="154"/>
      <c r="HN120" s="154"/>
      <c r="HO120" s="154"/>
      <c r="HP120" s="154"/>
      <c r="HQ120" s="154"/>
      <c r="HR120" s="154"/>
      <c r="HS120" s="154"/>
      <c r="HT120" s="154"/>
      <c r="HU120" s="154"/>
      <c r="HV120" s="154"/>
      <c r="HW120" s="154"/>
      <c r="HX120" s="154"/>
      <c r="HY120" s="154"/>
      <c r="HZ120" s="154"/>
      <c r="IA120" s="154"/>
      <c r="IB120" s="154"/>
      <c r="IC120" s="154"/>
      <c r="ID120" s="154"/>
      <c r="IE120" s="154"/>
      <c r="IF120" s="154"/>
      <c r="IG120" s="154"/>
      <c r="IH120" s="154"/>
      <c r="II120" s="154"/>
      <c r="IJ120" s="154"/>
      <c r="IK120" s="154"/>
      <c r="IL120" s="154"/>
      <c r="IM120" s="154"/>
      <c r="IN120" s="154"/>
      <c r="IO120" s="154"/>
      <c r="IP120" s="154"/>
      <c r="IQ120" s="154"/>
      <c r="IR120" s="154"/>
      <c r="IS120" s="154"/>
      <c r="IT120" s="154"/>
      <c r="IU120" s="154"/>
      <c r="IV120" s="154"/>
      <c r="IW120" s="154"/>
    </row>
    <row r="121" customFormat="false" ht="12.75" hidden="false" customHeight="false" outlineLevel="0" collapsed="false">
      <c r="A121" s="95" t="s">
        <v>145</v>
      </c>
      <c r="B121" s="69" t="s">
        <v>356</v>
      </c>
      <c r="C121" s="69" t="s">
        <v>369</v>
      </c>
      <c r="D121" s="96" t="n">
        <v>36678</v>
      </c>
      <c r="E121" s="96" t="n">
        <v>36830</v>
      </c>
      <c r="F121" s="95" t="s">
        <v>370</v>
      </c>
      <c r="G121" s="95" t="s">
        <v>358</v>
      </c>
      <c r="H121" s="69" t="s">
        <v>258</v>
      </c>
      <c r="I121" s="98" t="n">
        <f aca="false">1.3688*0.0328767</f>
        <v>0.04500162696</v>
      </c>
      <c r="J121" s="68" t="n">
        <v>0.075</v>
      </c>
      <c r="K121" s="68" t="n">
        <v>0.0022</v>
      </c>
      <c r="L121" s="68" t="n">
        <v>0</v>
      </c>
      <c r="M121" s="68" t="n">
        <v>0</v>
      </c>
      <c r="N121" s="140" t="n">
        <v>0</v>
      </c>
      <c r="O121" s="68" t="n">
        <f aca="false">SUM(I121:M121)</f>
        <v>0.12220162696</v>
      </c>
      <c r="P121" s="153" t="n">
        <v>892875</v>
      </c>
      <c r="Q121" s="69" t="n">
        <v>-504</v>
      </c>
      <c r="R121" s="95" t="s">
        <v>371</v>
      </c>
      <c r="S121" s="137" t="n">
        <f aca="false">+I121*I$1*Q121</f>
        <v>-703.10541962304</v>
      </c>
      <c r="T121" s="35"/>
      <c r="U121" s="37" t="n">
        <v>251607</v>
      </c>
      <c r="V121" s="37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4"/>
      <c r="BN121" s="154"/>
      <c r="BO121" s="154"/>
      <c r="BP121" s="154"/>
      <c r="BQ121" s="154"/>
      <c r="BR121" s="154"/>
      <c r="BS121" s="154"/>
      <c r="BT121" s="154"/>
      <c r="BU121" s="154"/>
      <c r="BV121" s="154"/>
      <c r="BW121" s="154"/>
      <c r="BX121" s="154"/>
      <c r="BY121" s="154"/>
      <c r="BZ121" s="154"/>
      <c r="CA121" s="154"/>
      <c r="CB121" s="154"/>
      <c r="CC121" s="154"/>
      <c r="CD121" s="154"/>
      <c r="CE121" s="154"/>
      <c r="CF121" s="154"/>
      <c r="CG121" s="154"/>
      <c r="CH121" s="154"/>
      <c r="CI121" s="154"/>
      <c r="CJ121" s="154"/>
      <c r="CK121" s="154"/>
      <c r="CL121" s="154"/>
      <c r="CM121" s="154"/>
      <c r="CN121" s="154"/>
      <c r="CO121" s="154"/>
      <c r="CP121" s="154"/>
      <c r="CQ121" s="154"/>
      <c r="CR121" s="154"/>
      <c r="CS121" s="154"/>
      <c r="CT121" s="154"/>
      <c r="CU121" s="154"/>
      <c r="CV121" s="154"/>
      <c r="CW121" s="154"/>
      <c r="CX121" s="154"/>
      <c r="CY121" s="154"/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  <c r="DO121" s="154"/>
      <c r="DP121" s="154"/>
      <c r="DQ121" s="154"/>
      <c r="DR121" s="154"/>
      <c r="DS121" s="154"/>
      <c r="DT121" s="154"/>
      <c r="DU121" s="154"/>
      <c r="DV121" s="154"/>
      <c r="DW121" s="154"/>
      <c r="DX121" s="154"/>
      <c r="DY121" s="154"/>
      <c r="DZ121" s="154"/>
      <c r="EA121" s="154"/>
      <c r="EB121" s="154"/>
      <c r="EC121" s="154"/>
      <c r="ED121" s="154"/>
      <c r="EE121" s="154"/>
      <c r="EF121" s="154"/>
      <c r="EG121" s="154"/>
      <c r="EH121" s="154"/>
      <c r="EI121" s="154"/>
      <c r="EJ121" s="154"/>
      <c r="EK121" s="154"/>
      <c r="EL121" s="154"/>
      <c r="EM121" s="154"/>
      <c r="EN121" s="154"/>
      <c r="EO121" s="154"/>
      <c r="EP121" s="154"/>
      <c r="EQ121" s="154"/>
      <c r="ER121" s="154"/>
      <c r="ES121" s="154"/>
      <c r="ET121" s="154"/>
      <c r="EU121" s="154"/>
      <c r="EV121" s="154"/>
      <c r="EW121" s="154"/>
      <c r="EX121" s="154"/>
      <c r="EY121" s="154"/>
      <c r="EZ121" s="154"/>
      <c r="FA121" s="154"/>
      <c r="FB121" s="154"/>
      <c r="FC121" s="154"/>
      <c r="FD121" s="154"/>
      <c r="FE121" s="154"/>
      <c r="FF121" s="154"/>
      <c r="FG121" s="154"/>
      <c r="FH121" s="154"/>
      <c r="FI121" s="154"/>
      <c r="FJ121" s="154"/>
      <c r="FK121" s="154"/>
      <c r="FL121" s="154"/>
      <c r="FM121" s="154"/>
      <c r="FN121" s="154"/>
      <c r="FO121" s="154"/>
      <c r="FP121" s="154"/>
      <c r="FQ121" s="154"/>
      <c r="FR121" s="154"/>
      <c r="FS121" s="154"/>
      <c r="FT121" s="154"/>
      <c r="FU121" s="154"/>
      <c r="FV121" s="154"/>
      <c r="FW121" s="154"/>
      <c r="FX121" s="154"/>
      <c r="FY121" s="154"/>
      <c r="FZ121" s="154"/>
      <c r="GA121" s="154"/>
      <c r="GB121" s="154"/>
      <c r="GC121" s="154"/>
      <c r="GD121" s="154"/>
      <c r="GE121" s="154"/>
      <c r="GF121" s="154"/>
      <c r="GG121" s="154"/>
      <c r="GH121" s="154"/>
      <c r="GI121" s="154"/>
      <c r="GJ121" s="154"/>
      <c r="GK121" s="154"/>
      <c r="GL121" s="154"/>
      <c r="GM121" s="154"/>
      <c r="GN121" s="154"/>
      <c r="GO121" s="154"/>
      <c r="GP121" s="154"/>
      <c r="GQ121" s="154"/>
      <c r="GR121" s="154"/>
      <c r="GS121" s="154"/>
      <c r="GT121" s="154"/>
      <c r="GU121" s="154"/>
      <c r="GV121" s="154"/>
      <c r="GW121" s="154"/>
      <c r="GX121" s="154"/>
      <c r="GY121" s="154"/>
      <c r="GZ121" s="154"/>
      <c r="HA121" s="154"/>
      <c r="HB121" s="154"/>
      <c r="HC121" s="154"/>
      <c r="HD121" s="154"/>
      <c r="HE121" s="154"/>
      <c r="HF121" s="154"/>
      <c r="HG121" s="154"/>
      <c r="HH121" s="154"/>
      <c r="HI121" s="154"/>
      <c r="HJ121" s="154"/>
      <c r="HK121" s="154"/>
      <c r="HL121" s="154"/>
      <c r="HM121" s="154"/>
      <c r="HN121" s="154"/>
      <c r="HO121" s="154"/>
      <c r="HP121" s="154"/>
      <c r="HQ121" s="154"/>
      <c r="HR121" s="154"/>
      <c r="HS121" s="154"/>
      <c r="HT121" s="154"/>
      <c r="HU121" s="154"/>
      <c r="HV121" s="154"/>
      <c r="HW121" s="154"/>
      <c r="HX121" s="154"/>
      <c r="HY121" s="154"/>
      <c r="HZ121" s="154"/>
      <c r="IA121" s="154"/>
      <c r="IB121" s="154"/>
      <c r="IC121" s="154"/>
      <c r="ID121" s="154"/>
      <c r="IE121" s="154"/>
      <c r="IF121" s="154"/>
      <c r="IG121" s="154"/>
      <c r="IH121" s="154"/>
      <c r="II121" s="154"/>
      <c r="IJ121" s="154"/>
      <c r="IK121" s="154"/>
      <c r="IL121" s="154"/>
      <c r="IM121" s="154"/>
      <c r="IN121" s="154"/>
      <c r="IO121" s="154"/>
      <c r="IP121" s="154"/>
      <c r="IQ121" s="154"/>
      <c r="IR121" s="154"/>
      <c r="IS121" s="154"/>
      <c r="IT121" s="154"/>
      <c r="IU121" s="154"/>
      <c r="IV121" s="154"/>
      <c r="IW121" s="154"/>
    </row>
    <row r="122" customFormat="false" ht="12.75" hidden="false" customHeight="false" outlineLevel="0" collapsed="false">
      <c r="A122" s="95" t="s">
        <v>144</v>
      </c>
      <c r="B122" s="69" t="s">
        <v>356</v>
      </c>
      <c r="C122" s="69" t="s">
        <v>372</v>
      </c>
      <c r="D122" s="96" t="n">
        <v>36617</v>
      </c>
      <c r="E122" s="96" t="n">
        <v>36830</v>
      </c>
      <c r="F122" s="95" t="s">
        <v>363</v>
      </c>
      <c r="G122" s="95" t="s">
        <v>373</v>
      </c>
      <c r="H122" s="69" t="s">
        <v>170</v>
      </c>
      <c r="I122" s="98" t="n">
        <f aca="false">0.341*0.0328767</f>
        <v>0.0112109547</v>
      </c>
      <c r="J122" s="68" t="n">
        <v>0.075</v>
      </c>
      <c r="K122" s="68" t="n">
        <v>0.0022</v>
      </c>
      <c r="L122" s="68" t="n">
        <v>0</v>
      </c>
      <c r="M122" s="68" t="n">
        <v>0</v>
      </c>
      <c r="N122" s="140" t="n">
        <v>0</v>
      </c>
      <c r="O122" s="68" t="n">
        <f aca="false">SUM(I122:M122)</f>
        <v>0.0884109547</v>
      </c>
      <c r="P122" s="153" t="n">
        <v>892872</v>
      </c>
      <c r="Q122" s="69" t="n">
        <v>19355</v>
      </c>
      <c r="R122" s="95" t="s">
        <v>374</v>
      </c>
      <c r="S122" s="137" t="n">
        <f aca="false">+I122*I$1*Q122</f>
        <v>6726.6288747735</v>
      </c>
      <c r="T122" s="35"/>
      <c r="U122" s="37" t="s">
        <v>375</v>
      </c>
      <c r="V122" s="37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  <c r="BR122" s="154"/>
      <c r="BS122" s="154"/>
      <c r="BT122" s="154"/>
      <c r="BU122" s="154"/>
      <c r="BV122" s="154"/>
      <c r="BW122" s="154"/>
      <c r="BX122" s="154"/>
      <c r="BY122" s="154"/>
      <c r="BZ122" s="154"/>
      <c r="CA122" s="154"/>
      <c r="CB122" s="154"/>
      <c r="CC122" s="154"/>
      <c r="CD122" s="154"/>
      <c r="CE122" s="154"/>
      <c r="CF122" s="154"/>
      <c r="CG122" s="154"/>
      <c r="CH122" s="154"/>
      <c r="CI122" s="154"/>
      <c r="CJ122" s="154"/>
      <c r="CK122" s="154"/>
      <c r="CL122" s="154"/>
      <c r="CM122" s="154"/>
      <c r="CN122" s="154"/>
      <c r="CO122" s="154"/>
      <c r="CP122" s="154"/>
      <c r="CQ122" s="154"/>
      <c r="CR122" s="154"/>
      <c r="CS122" s="154"/>
      <c r="CT122" s="154"/>
      <c r="CU122" s="154"/>
      <c r="CV122" s="154"/>
      <c r="CW122" s="154"/>
      <c r="CX122" s="154"/>
      <c r="CY122" s="154"/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  <c r="EI122" s="154"/>
      <c r="EJ122" s="154"/>
      <c r="EK122" s="154"/>
      <c r="EL122" s="154"/>
      <c r="EM122" s="154"/>
      <c r="EN122" s="154"/>
      <c r="EO122" s="154"/>
      <c r="EP122" s="154"/>
      <c r="EQ122" s="154"/>
      <c r="ER122" s="154"/>
      <c r="ES122" s="154"/>
      <c r="ET122" s="154"/>
      <c r="EU122" s="154"/>
      <c r="EV122" s="154"/>
      <c r="EW122" s="154"/>
      <c r="EX122" s="154"/>
      <c r="EY122" s="154"/>
      <c r="EZ122" s="154"/>
      <c r="FA122" s="154"/>
      <c r="FB122" s="154"/>
      <c r="FC122" s="154"/>
      <c r="FD122" s="154"/>
      <c r="FE122" s="154"/>
      <c r="FF122" s="154"/>
      <c r="FG122" s="154"/>
      <c r="FH122" s="154"/>
      <c r="FI122" s="154"/>
      <c r="FJ122" s="154"/>
      <c r="FK122" s="154"/>
      <c r="FL122" s="154"/>
      <c r="FM122" s="154"/>
      <c r="FN122" s="154"/>
      <c r="FO122" s="154"/>
      <c r="FP122" s="154"/>
      <c r="FQ122" s="154"/>
      <c r="FR122" s="154"/>
      <c r="FS122" s="154"/>
      <c r="FT122" s="154"/>
      <c r="FU122" s="154"/>
      <c r="FV122" s="154"/>
      <c r="FW122" s="154"/>
      <c r="FX122" s="154"/>
      <c r="FY122" s="154"/>
      <c r="FZ122" s="154"/>
      <c r="GA122" s="154"/>
      <c r="GB122" s="154"/>
      <c r="GC122" s="154"/>
      <c r="GD122" s="154"/>
      <c r="GE122" s="154"/>
      <c r="GF122" s="154"/>
      <c r="GG122" s="154"/>
      <c r="GH122" s="154"/>
      <c r="GI122" s="154"/>
      <c r="GJ122" s="154"/>
      <c r="GK122" s="154"/>
      <c r="GL122" s="154"/>
      <c r="GM122" s="154"/>
      <c r="GN122" s="154"/>
      <c r="GO122" s="154"/>
      <c r="GP122" s="154"/>
      <c r="GQ122" s="154"/>
      <c r="GR122" s="154"/>
      <c r="GS122" s="154"/>
      <c r="GT122" s="154"/>
      <c r="GU122" s="154"/>
      <c r="GV122" s="154"/>
      <c r="GW122" s="154"/>
      <c r="GX122" s="154"/>
      <c r="GY122" s="154"/>
      <c r="GZ122" s="154"/>
      <c r="HA122" s="154"/>
      <c r="HB122" s="154"/>
      <c r="HC122" s="154"/>
      <c r="HD122" s="154"/>
      <c r="HE122" s="154"/>
      <c r="HF122" s="154"/>
      <c r="HG122" s="154"/>
      <c r="HH122" s="154"/>
      <c r="HI122" s="154"/>
      <c r="HJ122" s="154"/>
      <c r="HK122" s="154"/>
      <c r="HL122" s="154"/>
      <c r="HM122" s="154"/>
      <c r="HN122" s="154"/>
      <c r="HO122" s="154"/>
      <c r="HP122" s="154"/>
      <c r="HQ122" s="154"/>
      <c r="HR122" s="154"/>
      <c r="HS122" s="154"/>
      <c r="HT122" s="154"/>
      <c r="HU122" s="154"/>
      <c r="HV122" s="154"/>
      <c r="HW122" s="154"/>
      <c r="HX122" s="154"/>
      <c r="HY122" s="154"/>
      <c r="HZ122" s="154"/>
      <c r="IA122" s="154"/>
      <c r="IB122" s="154"/>
      <c r="IC122" s="154"/>
      <c r="ID122" s="154"/>
      <c r="IE122" s="154"/>
      <c r="IF122" s="154"/>
      <c r="IG122" s="154"/>
      <c r="IH122" s="154"/>
      <c r="II122" s="154"/>
      <c r="IJ122" s="154"/>
      <c r="IK122" s="154"/>
      <c r="IL122" s="154"/>
      <c r="IM122" s="154"/>
      <c r="IN122" s="154"/>
      <c r="IO122" s="154"/>
      <c r="IP122" s="154"/>
      <c r="IQ122" s="154"/>
      <c r="IR122" s="154"/>
      <c r="IS122" s="154"/>
      <c r="IT122" s="154"/>
      <c r="IU122" s="154"/>
      <c r="IV122" s="154"/>
      <c r="IW122" s="154"/>
    </row>
    <row r="123" customFormat="false" ht="12.75" hidden="false" customHeight="false" outlineLevel="0" collapsed="false">
      <c r="A123" s="15"/>
      <c r="B123" s="16"/>
      <c r="C123" s="16"/>
      <c r="D123" s="17"/>
      <c r="E123" s="17"/>
      <c r="F123" s="15"/>
      <c r="G123" s="15"/>
      <c r="H123" s="16"/>
      <c r="I123" s="19"/>
      <c r="J123" s="20"/>
      <c r="K123" s="68"/>
      <c r="L123" s="20"/>
      <c r="M123" s="20"/>
      <c r="N123" s="25"/>
      <c r="O123" s="20"/>
      <c r="P123" s="22"/>
      <c r="Q123" s="34"/>
      <c r="R123" s="16"/>
      <c r="S123" s="137"/>
      <c r="T123" s="23"/>
      <c r="U123" s="26"/>
      <c r="V123" s="24"/>
      <c r="W123" s="24"/>
    </row>
    <row r="124" customFormat="false" ht="12.75" hidden="false" customHeight="false" outlineLevel="0" collapsed="false">
      <c r="A124" s="95"/>
      <c r="B124" s="69"/>
      <c r="C124" s="69"/>
      <c r="D124" s="96"/>
      <c r="E124" s="96"/>
      <c r="F124" s="95"/>
      <c r="G124" s="95"/>
      <c r="H124" s="69"/>
      <c r="I124" s="98"/>
      <c r="J124" s="68"/>
      <c r="K124" s="68"/>
      <c r="L124" s="68"/>
      <c r="M124" s="68"/>
      <c r="N124" s="99"/>
      <c r="O124" s="68"/>
      <c r="P124" s="153"/>
      <c r="Q124" s="69" t="n">
        <f aca="false">SUM(Q116:Q123)</f>
        <v>57413</v>
      </c>
      <c r="R124" s="95" t="s">
        <v>164</v>
      </c>
      <c r="S124" s="35" t="n">
        <f aca="false">SUM(S116:S123)</f>
        <v>462170.418942466</v>
      </c>
      <c r="T124" s="35"/>
      <c r="U124" s="36"/>
      <c r="V124" s="37"/>
      <c r="W124" s="37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  <c r="BO124" s="154"/>
      <c r="BP124" s="154"/>
      <c r="BQ124" s="154"/>
      <c r="BR124" s="154"/>
      <c r="BS124" s="154"/>
      <c r="BT124" s="154"/>
      <c r="BU124" s="154"/>
      <c r="BV124" s="154"/>
      <c r="BW124" s="154"/>
      <c r="BX124" s="154"/>
      <c r="BY124" s="154"/>
      <c r="BZ124" s="154"/>
      <c r="CA124" s="154"/>
      <c r="CB124" s="154"/>
      <c r="CC124" s="154"/>
      <c r="CD124" s="154"/>
      <c r="CE124" s="154"/>
      <c r="CF124" s="154"/>
      <c r="CG124" s="154"/>
      <c r="CH124" s="154"/>
      <c r="CI124" s="154"/>
      <c r="CJ124" s="154"/>
      <c r="CK124" s="154"/>
      <c r="CL124" s="154"/>
      <c r="CM124" s="154"/>
      <c r="CN124" s="154"/>
      <c r="CO124" s="154"/>
      <c r="CP124" s="154"/>
      <c r="CQ124" s="154"/>
      <c r="CR124" s="154"/>
      <c r="CS124" s="154"/>
      <c r="CT124" s="154"/>
      <c r="CU124" s="154"/>
      <c r="CV124" s="154"/>
      <c r="CW124" s="154"/>
      <c r="CX124" s="154"/>
      <c r="CY124" s="154"/>
      <c r="CZ124" s="154"/>
      <c r="DA124" s="154"/>
      <c r="DB124" s="154"/>
      <c r="DC124" s="154"/>
      <c r="DD124" s="154"/>
      <c r="DE124" s="154"/>
      <c r="DF124" s="154"/>
      <c r="DG124" s="154"/>
      <c r="DH124" s="154"/>
      <c r="DI124" s="154"/>
      <c r="DJ124" s="154"/>
      <c r="DK124" s="154"/>
      <c r="DL124" s="154"/>
      <c r="DM124" s="154"/>
      <c r="DN124" s="154"/>
      <c r="DO124" s="154"/>
      <c r="DP124" s="154"/>
      <c r="DQ124" s="154"/>
      <c r="DR124" s="154"/>
      <c r="DS124" s="154"/>
      <c r="DT124" s="154"/>
      <c r="DU124" s="154"/>
      <c r="DV124" s="154"/>
      <c r="DW124" s="154"/>
      <c r="DX124" s="154"/>
      <c r="DY124" s="154"/>
      <c r="DZ124" s="154"/>
      <c r="EA124" s="154"/>
      <c r="EB124" s="154"/>
      <c r="EC124" s="154"/>
      <c r="ED124" s="154"/>
      <c r="EE124" s="154"/>
      <c r="EF124" s="154"/>
      <c r="EG124" s="154"/>
      <c r="EH124" s="154"/>
      <c r="EI124" s="154"/>
      <c r="EJ124" s="154"/>
      <c r="EK124" s="154"/>
      <c r="EL124" s="154"/>
      <c r="EM124" s="154"/>
      <c r="EN124" s="154"/>
      <c r="EO124" s="154"/>
      <c r="EP124" s="154"/>
      <c r="EQ124" s="154"/>
      <c r="ER124" s="154"/>
      <c r="ES124" s="154"/>
      <c r="ET124" s="154"/>
      <c r="EU124" s="154"/>
      <c r="EV124" s="154"/>
      <c r="EW124" s="154"/>
      <c r="EX124" s="154"/>
      <c r="EY124" s="154"/>
      <c r="EZ124" s="154"/>
      <c r="FA124" s="154"/>
      <c r="FB124" s="154"/>
      <c r="FC124" s="154"/>
      <c r="FD124" s="154"/>
      <c r="FE124" s="154"/>
      <c r="FF124" s="154"/>
      <c r="FG124" s="154"/>
      <c r="FH124" s="154"/>
      <c r="FI124" s="154"/>
      <c r="FJ124" s="154"/>
      <c r="FK124" s="154"/>
      <c r="FL124" s="154"/>
      <c r="FM124" s="154"/>
      <c r="FN124" s="154"/>
      <c r="FO124" s="154"/>
      <c r="FP124" s="154"/>
      <c r="FQ124" s="154"/>
      <c r="FR124" s="154"/>
      <c r="FS124" s="154"/>
      <c r="FT124" s="154"/>
      <c r="FU124" s="154"/>
      <c r="FV124" s="154"/>
      <c r="FW124" s="154"/>
      <c r="FX124" s="154"/>
      <c r="FY124" s="154"/>
      <c r="FZ124" s="154"/>
      <c r="GA124" s="154"/>
      <c r="GB124" s="154"/>
      <c r="GC124" s="154"/>
      <c r="GD124" s="154"/>
      <c r="GE124" s="154"/>
      <c r="GF124" s="154"/>
      <c r="GG124" s="154"/>
      <c r="GH124" s="154"/>
      <c r="GI124" s="154"/>
      <c r="GJ124" s="154"/>
      <c r="GK124" s="154"/>
      <c r="GL124" s="154"/>
      <c r="GM124" s="154"/>
      <c r="GN124" s="154"/>
      <c r="GO124" s="154"/>
      <c r="GP124" s="154"/>
      <c r="GQ124" s="154"/>
      <c r="GR124" s="154"/>
      <c r="GS124" s="154"/>
      <c r="GT124" s="154"/>
      <c r="GU124" s="154"/>
      <c r="GV124" s="154"/>
      <c r="GW124" s="154"/>
      <c r="GX124" s="154"/>
      <c r="GY124" s="154"/>
      <c r="GZ124" s="154"/>
      <c r="HA124" s="154"/>
      <c r="HB124" s="154"/>
      <c r="HC124" s="154"/>
      <c r="HD124" s="154"/>
      <c r="HE124" s="154"/>
      <c r="HF124" s="154"/>
      <c r="HG124" s="154"/>
      <c r="HH124" s="154"/>
      <c r="HI124" s="154"/>
      <c r="HJ124" s="154"/>
      <c r="HK124" s="154"/>
      <c r="HL124" s="154"/>
      <c r="HM124" s="154"/>
      <c r="HN124" s="154"/>
      <c r="HO124" s="154"/>
      <c r="HP124" s="154"/>
      <c r="HQ124" s="154"/>
      <c r="HR124" s="154"/>
      <c r="HS124" s="154"/>
      <c r="HT124" s="154"/>
      <c r="HU124" s="154"/>
      <c r="HV124" s="154"/>
      <c r="HW124" s="154"/>
      <c r="HX124" s="154"/>
      <c r="HY124" s="154"/>
      <c r="HZ124" s="154"/>
      <c r="IA124" s="154"/>
      <c r="IB124" s="154"/>
      <c r="IC124" s="154"/>
      <c r="ID124" s="154"/>
      <c r="IE124" s="154"/>
      <c r="IF124" s="154"/>
      <c r="IG124" s="154"/>
      <c r="IH124" s="154"/>
      <c r="II124" s="154"/>
      <c r="IJ124" s="154"/>
      <c r="IK124" s="154"/>
      <c r="IL124" s="154"/>
      <c r="IM124" s="154"/>
      <c r="IN124" s="154"/>
      <c r="IO124" s="154"/>
      <c r="IP124" s="154"/>
      <c r="IQ124" s="154"/>
      <c r="IR124" s="154"/>
      <c r="IS124" s="154"/>
      <c r="IT124" s="154"/>
      <c r="IU124" s="154"/>
      <c r="IV124" s="154"/>
      <c r="IW124" s="154"/>
    </row>
    <row r="125" customFormat="false" ht="12.75" hidden="false" customHeight="false" outlineLevel="0" collapsed="false">
      <c r="A125" s="15"/>
      <c r="B125" s="16"/>
      <c r="C125" s="16"/>
      <c r="D125" s="17"/>
      <c r="E125" s="17"/>
      <c r="F125" s="15"/>
      <c r="G125" s="15"/>
      <c r="H125" s="16"/>
      <c r="I125" s="19"/>
      <c r="J125" s="20"/>
      <c r="K125" s="20"/>
      <c r="L125" s="20"/>
      <c r="M125" s="20"/>
      <c r="N125" s="25"/>
      <c r="O125" s="20"/>
      <c r="P125" s="22"/>
      <c r="Q125" s="71"/>
      <c r="R125" s="95" t="s">
        <v>165</v>
      </c>
      <c r="S125" s="35" t="n">
        <f aca="false">SUM(S116:S118)</f>
        <v>443747.070000266</v>
      </c>
      <c r="T125" s="23"/>
      <c r="U125" s="26"/>
      <c r="V125" s="24"/>
      <c r="W125" s="24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3.5" hidden="false" customHeight="false" outlineLevel="0" collapsed="false">
      <c r="A126" s="15"/>
      <c r="B126" s="16"/>
      <c r="C126" s="16"/>
      <c r="D126" s="17"/>
      <c r="E126" s="17"/>
      <c r="F126" s="15"/>
      <c r="G126" s="15"/>
      <c r="H126" s="16"/>
      <c r="I126" s="19"/>
      <c r="J126" s="20"/>
      <c r="K126" s="20"/>
      <c r="L126" s="20"/>
      <c r="M126" s="20"/>
      <c r="N126" s="25"/>
      <c r="O126" s="20"/>
      <c r="P126" s="22"/>
      <c r="Q126" s="71"/>
      <c r="R126" s="95" t="s">
        <v>166</v>
      </c>
      <c r="S126" s="181" t="n">
        <f aca="false">+S124-S125</f>
        <v>18423.3489422005</v>
      </c>
      <c r="T126" s="23"/>
      <c r="U126" s="26"/>
      <c r="V126" s="24"/>
      <c r="W126" s="24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13.5" hidden="false" customHeight="false" outlineLevel="0" collapsed="false">
      <c r="A127" s="15"/>
      <c r="B127" s="16"/>
      <c r="C127" s="16"/>
      <c r="D127" s="17"/>
      <c r="E127" s="17"/>
      <c r="F127" s="15"/>
      <c r="G127" s="15"/>
      <c r="H127" s="16"/>
      <c r="I127" s="19"/>
      <c r="J127" s="20"/>
      <c r="K127" s="20"/>
      <c r="L127" s="20"/>
      <c r="M127" s="20"/>
      <c r="N127" s="25"/>
      <c r="O127" s="20"/>
      <c r="P127" s="22"/>
      <c r="Q127" s="16"/>
      <c r="R127" s="15"/>
      <c r="S127" s="23"/>
      <c r="T127" s="23"/>
      <c r="U127" s="26"/>
      <c r="V127" s="24"/>
      <c r="W127" s="24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2.75" hidden="false" customHeight="false" outlineLevel="0" collapsed="false">
      <c r="A128" s="127" t="s">
        <v>108</v>
      </c>
      <c r="B128" s="128" t="s">
        <v>109</v>
      </c>
      <c r="C128" s="128" t="s">
        <v>110</v>
      </c>
      <c r="D128" s="129" t="s">
        <v>111</v>
      </c>
      <c r="E128" s="129"/>
      <c r="F128" s="127" t="s">
        <v>112</v>
      </c>
      <c r="G128" s="127" t="s">
        <v>113</v>
      </c>
      <c r="H128" s="128" t="s">
        <v>114</v>
      </c>
      <c r="I128" s="130" t="s">
        <v>115</v>
      </c>
      <c r="J128" s="128" t="s">
        <v>116</v>
      </c>
      <c r="K128" s="128" t="s">
        <v>117</v>
      </c>
      <c r="L128" s="128" t="s">
        <v>118</v>
      </c>
      <c r="M128" s="128" t="s">
        <v>119</v>
      </c>
      <c r="N128" s="136" t="s">
        <v>120</v>
      </c>
      <c r="O128" s="128" t="s">
        <v>121</v>
      </c>
      <c r="P128" s="132" t="s">
        <v>122</v>
      </c>
      <c r="Q128" s="128" t="s">
        <v>123</v>
      </c>
      <c r="R128" s="127" t="s">
        <v>124</v>
      </c>
      <c r="S128" s="109" t="s">
        <v>243</v>
      </c>
      <c r="T128" s="109" t="s">
        <v>244</v>
      </c>
      <c r="U128" s="112"/>
      <c r="V128" s="112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  <c r="BI128" s="134"/>
      <c r="BJ128" s="134"/>
      <c r="BK128" s="134"/>
      <c r="BL128" s="134"/>
      <c r="BM128" s="134"/>
      <c r="BN128" s="134"/>
      <c r="BO128" s="134"/>
      <c r="BP128" s="134"/>
      <c r="BQ128" s="134"/>
      <c r="BR128" s="134"/>
      <c r="BS128" s="134"/>
      <c r="BT128" s="134"/>
      <c r="BU128" s="134"/>
      <c r="BV128" s="134"/>
      <c r="BW128" s="134"/>
      <c r="BX128" s="134"/>
      <c r="BY128" s="134"/>
      <c r="BZ128" s="134"/>
      <c r="CA128" s="134"/>
      <c r="CB128" s="134"/>
      <c r="CC128" s="134"/>
      <c r="CD128" s="134"/>
      <c r="CE128" s="134"/>
      <c r="CF128" s="134"/>
      <c r="CG128" s="134"/>
      <c r="CH128" s="134"/>
      <c r="CI128" s="134"/>
      <c r="CJ128" s="134"/>
      <c r="CK128" s="134"/>
      <c r="CL128" s="134"/>
      <c r="CM128" s="134"/>
      <c r="CN128" s="134"/>
      <c r="CO128" s="134"/>
      <c r="CP128" s="134"/>
      <c r="CQ128" s="134"/>
      <c r="CR128" s="134"/>
      <c r="CS128" s="134"/>
      <c r="CT128" s="134"/>
      <c r="CU128" s="134"/>
      <c r="CV128" s="134"/>
      <c r="CW128" s="134"/>
      <c r="CX128" s="134"/>
      <c r="CY128" s="134"/>
      <c r="CZ128" s="134"/>
      <c r="DA128" s="134"/>
      <c r="DB128" s="134"/>
      <c r="DC128" s="134"/>
      <c r="DD128" s="134"/>
      <c r="DE128" s="134"/>
      <c r="DF128" s="134"/>
      <c r="DG128" s="134"/>
      <c r="DH128" s="134"/>
      <c r="DI128" s="134"/>
      <c r="DJ128" s="134"/>
      <c r="DK128" s="134"/>
      <c r="DL128" s="134"/>
      <c r="DM128" s="134"/>
      <c r="DN128" s="134"/>
      <c r="DO128" s="134"/>
      <c r="DP128" s="134"/>
      <c r="DQ128" s="134"/>
      <c r="DR128" s="134"/>
      <c r="DS128" s="134"/>
      <c r="DT128" s="134"/>
      <c r="DU128" s="134"/>
      <c r="DV128" s="134"/>
      <c r="DW128" s="134"/>
      <c r="DX128" s="134"/>
      <c r="DY128" s="134"/>
      <c r="DZ128" s="134"/>
      <c r="EA128" s="134"/>
      <c r="EB128" s="134"/>
      <c r="EC128" s="134"/>
      <c r="ED128" s="134"/>
      <c r="EE128" s="134"/>
      <c r="EF128" s="134"/>
      <c r="EG128" s="134"/>
      <c r="EH128" s="134"/>
      <c r="EI128" s="134"/>
      <c r="EJ128" s="134"/>
      <c r="EK128" s="134"/>
      <c r="EL128" s="134"/>
      <c r="EM128" s="134"/>
      <c r="EN128" s="134"/>
      <c r="EO128" s="134"/>
      <c r="EP128" s="134"/>
      <c r="EQ128" s="134"/>
      <c r="ER128" s="134"/>
      <c r="ES128" s="134"/>
      <c r="ET128" s="134"/>
      <c r="EU128" s="134"/>
      <c r="EV128" s="134"/>
      <c r="EW128" s="134"/>
      <c r="EX128" s="134"/>
      <c r="EY128" s="134"/>
      <c r="EZ128" s="134"/>
      <c r="FA128" s="134"/>
      <c r="FB128" s="134"/>
      <c r="FC128" s="134"/>
      <c r="FD128" s="134"/>
      <c r="FE128" s="134"/>
      <c r="FF128" s="134"/>
      <c r="FG128" s="134"/>
      <c r="FH128" s="134"/>
      <c r="FI128" s="134"/>
      <c r="FJ128" s="134"/>
      <c r="FK128" s="134"/>
      <c r="FL128" s="134"/>
      <c r="FM128" s="134"/>
      <c r="FN128" s="134"/>
      <c r="FO128" s="134"/>
      <c r="FP128" s="134"/>
      <c r="FQ128" s="134"/>
      <c r="FR128" s="134"/>
      <c r="FS128" s="134"/>
      <c r="FT128" s="134"/>
      <c r="FU128" s="134"/>
      <c r="FV128" s="134"/>
      <c r="FW128" s="134"/>
      <c r="FX128" s="134"/>
      <c r="FY128" s="134"/>
      <c r="FZ128" s="134"/>
      <c r="GA128" s="134"/>
      <c r="GB128" s="134"/>
      <c r="GC128" s="134"/>
      <c r="GD128" s="134"/>
      <c r="GE128" s="134"/>
      <c r="GF128" s="134"/>
      <c r="GG128" s="134"/>
      <c r="GH128" s="134"/>
      <c r="GI128" s="134"/>
      <c r="GJ128" s="134"/>
      <c r="GK128" s="134"/>
      <c r="GL128" s="134"/>
      <c r="GM128" s="134"/>
      <c r="GN128" s="134"/>
      <c r="GO128" s="134"/>
      <c r="GP128" s="134"/>
      <c r="GQ128" s="134"/>
      <c r="GR128" s="134"/>
      <c r="GS128" s="134"/>
      <c r="GT128" s="134"/>
      <c r="GU128" s="134"/>
      <c r="GV128" s="134"/>
      <c r="GW128" s="134"/>
      <c r="GX128" s="134"/>
      <c r="GY128" s="134"/>
      <c r="GZ128" s="134"/>
      <c r="HA128" s="134"/>
      <c r="HB128" s="134"/>
      <c r="HC128" s="134"/>
      <c r="HD128" s="134"/>
      <c r="HE128" s="134"/>
      <c r="HF128" s="134"/>
      <c r="HG128" s="134"/>
      <c r="HH128" s="134"/>
      <c r="HI128" s="134"/>
      <c r="HJ128" s="134"/>
      <c r="HK128" s="134"/>
      <c r="HL128" s="134"/>
      <c r="HM128" s="134"/>
      <c r="HN128" s="134"/>
      <c r="HO128" s="134"/>
      <c r="HP128" s="134"/>
      <c r="HQ128" s="134"/>
      <c r="HR128" s="134"/>
      <c r="HS128" s="134"/>
      <c r="HT128" s="134"/>
      <c r="HU128" s="134"/>
      <c r="HV128" s="134"/>
      <c r="HW128" s="134"/>
      <c r="HX128" s="134"/>
      <c r="HY128" s="134"/>
      <c r="HZ128" s="134"/>
      <c r="IA128" s="134"/>
      <c r="IB128" s="134"/>
      <c r="IC128" s="134"/>
      <c r="ID128" s="134"/>
      <c r="IE128" s="134"/>
      <c r="IF128" s="134"/>
      <c r="IG128" s="134"/>
      <c r="IH128" s="134"/>
      <c r="II128" s="134"/>
      <c r="IJ128" s="134"/>
      <c r="IK128" s="134"/>
      <c r="IL128" s="134"/>
      <c r="IM128" s="134"/>
      <c r="IN128" s="134"/>
      <c r="IO128" s="134"/>
      <c r="IP128" s="134"/>
      <c r="IQ128" s="134"/>
      <c r="IR128" s="134"/>
      <c r="IS128" s="134"/>
      <c r="IT128" s="134"/>
      <c r="IU128" s="134"/>
      <c r="IV128" s="134"/>
      <c r="IW128" s="134"/>
    </row>
    <row r="129" customFormat="false" ht="12.75" hidden="false" customHeight="false" outlineLevel="0" collapsed="false">
      <c r="A129" s="95" t="s">
        <v>108</v>
      </c>
      <c r="B129" s="69" t="s">
        <v>376</v>
      </c>
      <c r="C129" s="69" t="s">
        <v>377</v>
      </c>
      <c r="D129" s="96" t="n">
        <v>36647</v>
      </c>
      <c r="E129" s="96" t="n">
        <v>36770</v>
      </c>
      <c r="F129" s="95" t="s">
        <v>378</v>
      </c>
      <c r="G129" s="95" t="s">
        <v>379</v>
      </c>
      <c r="H129" s="69" t="s">
        <v>170</v>
      </c>
      <c r="I129" s="98" t="n">
        <v>0</v>
      </c>
      <c r="J129" s="68"/>
      <c r="K129" s="68"/>
      <c r="L129" s="68"/>
      <c r="M129" s="68"/>
      <c r="N129" s="140"/>
      <c r="O129" s="68"/>
      <c r="P129" s="153" t="s">
        <v>380</v>
      </c>
      <c r="Q129" s="69" t="n">
        <v>5200</v>
      </c>
      <c r="R129" s="182" t="n">
        <v>200004000073</v>
      </c>
      <c r="S129" s="35" t="n">
        <f aca="false">+I129*Q129*I$1</f>
        <v>0</v>
      </c>
      <c r="T129" s="35"/>
      <c r="U129" s="37" t="n">
        <v>253159</v>
      </c>
      <c r="V129" s="37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4"/>
      <c r="BR129" s="154"/>
      <c r="BS129" s="154"/>
      <c r="BT129" s="154"/>
      <c r="BU129" s="154"/>
      <c r="BV129" s="154"/>
      <c r="BW129" s="154"/>
      <c r="BX129" s="154"/>
      <c r="BY129" s="154"/>
      <c r="BZ129" s="154"/>
      <c r="CA129" s="154"/>
      <c r="CB129" s="154"/>
      <c r="CC129" s="154"/>
      <c r="CD129" s="154"/>
      <c r="CE129" s="154"/>
      <c r="CF129" s="154"/>
      <c r="CG129" s="154"/>
      <c r="CH129" s="154"/>
      <c r="CI129" s="154"/>
      <c r="CJ129" s="154"/>
      <c r="CK129" s="154"/>
      <c r="CL129" s="154"/>
      <c r="CM129" s="154"/>
      <c r="CN129" s="154"/>
      <c r="CO129" s="154"/>
      <c r="CP129" s="154"/>
      <c r="CQ129" s="154"/>
      <c r="CR129" s="154"/>
      <c r="CS129" s="154"/>
      <c r="CT129" s="154"/>
      <c r="CU129" s="154"/>
      <c r="CV129" s="154"/>
      <c r="CW129" s="154"/>
      <c r="CX129" s="154"/>
      <c r="CY129" s="154"/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  <c r="DO129" s="154"/>
      <c r="DP129" s="154"/>
      <c r="DQ129" s="154"/>
      <c r="DR129" s="154"/>
      <c r="DS129" s="154"/>
      <c r="DT129" s="154"/>
      <c r="DU129" s="154"/>
      <c r="DV129" s="154"/>
      <c r="DW129" s="154"/>
      <c r="DX129" s="154"/>
      <c r="DY129" s="154"/>
      <c r="DZ129" s="154"/>
      <c r="EA129" s="154"/>
      <c r="EB129" s="154"/>
      <c r="EC129" s="154"/>
      <c r="ED129" s="154"/>
      <c r="EE129" s="154"/>
      <c r="EF129" s="154"/>
      <c r="EG129" s="154"/>
      <c r="EH129" s="154"/>
      <c r="EI129" s="154"/>
      <c r="EJ129" s="154"/>
      <c r="EK129" s="154"/>
      <c r="EL129" s="154"/>
      <c r="EM129" s="154"/>
      <c r="EN129" s="154"/>
      <c r="EO129" s="154"/>
      <c r="EP129" s="154"/>
      <c r="EQ129" s="154"/>
      <c r="ER129" s="154"/>
      <c r="ES129" s="154"/>
      <c r="ET129" s="154"/>
      <c r="EU129" s="154"/>
      <c r="EV129" s="154"/>
      <c r="EW129" s="154"/>
      <c r="EX129" s="154"/>
      <c r="EY129" s="154"/>
      <c r="EZ129" s="154"/>
      <c r="FA129" s="154"/>
      <c r="FB129" s="154"/>
      <c r="FC129" s="154"/>
      <c r="FD129" s="154"/>
      <c r="FE129" s="154"/>
      <c r="FF129" s="154"/>
      <c r="FG129" s="154"/>
      <c r="FH129" s="154"/>
      <c r="FI129" s="154"/>
      <c r="FJ129" s="154"/>
      <c r="FK129" s="154"/>
      <c r="FL129" s="154"/>
      <c r="FM129" s="154"/>
      <c r="FN129" s="154"/>
      <c r="FO129" s="154"/>
      <c r="FP129" s="154"/>
      <c r="FQ129" s="154"/>
      <c r="FR129" s="154"/>
      <c r="FS129" s="154"/>
      <c r="FT129" s="154"/>
      <c r="FU129" s="154"/>
      <c r="FV129" s="154"/>
      <c r="FW129" s="154"/>
      <c r="FX129" s="154"/>
      <c r="FY129" s="154"/>
      <c r="FZ129" s="154"/>
      <c r="GA129" s="154"/>
      <c r="GB129" s="154"/>
      <c r="GC129" s="154"/>
      <c r="GD129" s="154"/>
      <c r="GE129" s="154"/>
      <c r="GF129" s="154"/>
      <c r="GG129" s="154"/>
      <c r="GH129" s="154"/>
      <c r="GI129" s="154"/>
      <c r="GJ129" s="154"/>
      <c r="GK129" s="154"/>
      <c r="GL129" s="154"/>
      <c r="GM129" s="154"/>
      <c r="GN129" s="154"/>
      <c r="GO129" s="154"/>
      <c r="GP129" s="154"/>
      <c r="GQ129" s="154"/>
      <c r="GR129" s="154"/>
      <c r="GS129" s="154"/>
      <c r="GT129" s="154"/>
      <c r="GU129" s="154"/>
      <c r="GV129" s="154"/>
      <c r="GW129" s="154"/>
      <c r="GX129" s="154"/>
      <c r="GY129" s="154"/>
      <c r="GZ129" s="154"/>
      <c r="HA129" s="154"/>
      <c r="HB129" s="154"/>
      <c r="HC129" s="154"/>
      <c r="HD129" s="154"/>
      <c r="HE129" s="154"/>
      <c r="HF129" s="154"/>
      <c r="HG129" s="154"/>
      <c r="HH129" s="154"/>
      <c r="HI129" s="154"/>
      <c r="HJ129" s="154"/>
      <c r="HK129" s="154"/>
      <c r="HL129" s="154"/>
      <c r="HM129" s="154"/>
      <c r="HN129" s="154"/>
      <c r="HO129" s="154"/>
      <c r="HP129" s="154"/>
      <c r="HQ129" s="154"/>
      <c r="HR129" s="154"/>
      <c r="HS129" s="154"/>
      <c r="HT129" s="154"/>
      <c r="HU129" s="154"/>
      <c r="HV129" s="154"/>
      <c r="HW129" s="154"/>
      <c r="HX129" s="154"/>
      <c r="HY129" s="154"/>
      <c r="HZ129" s="154"/>
      <c r="IA129" s="154"/>
      <c r="IB129" s="154"/>
      <c r="IC129" s="154"/>
      <c r="ID129" s="154"/>
      <c r="IE129" s="154"/>
      <c r="IF129" s="154"/>
      <c r="IG129" s="154"/>
      <c r="IH129" s="154"/>
      <c r="II129" s="154"/>
      <c r="IJ129" s="154"/>
      <c r="IK129" s="154"/>
      <c r="IL129" s="154"/>
      <c r="IM129" s="154"/>
      <c r="IN129" s="154"/>
      <c r="IO129" s="154"/>
      <c r="IP129" s="154"/>
      <c r="IQ129" s="154"/>
      <c r="IR129" s="154"/>
      <c r="IS129" s="154"/>
      <c r="IT129" s="154"/>
      <c r="IU129" s="154"/>
      <c r="IV129" s="154"/>
      <c r="IW129" s="154"/>
    </row>
    <row r="130" customFormat="false" ht="12.75" hidden="false" customHeight="false" outlineLevel="0" collapsed="false">
      <c r="A130" s="95" t="s">
        <v>144</v>
      </c>
      <c r="B130" s="69" t="s">
        <v>376</v>
      </c>
      <c r="C130" s="69" t="s">
        <v>381</v>
      </c>
      <c r="D130" s="96" t="n">
        <v>36647</v>
      </c>
      <c r="E130" s="96" t="n">
        <v>36677</v>
      </c>
      <c r="F130" s="95" t="s">
        <v>378</v>
      </c>
      <c r="G130" s="95" t="s">
        <v>382</v>
      </c>
      <c r="H130" s="69" t="s">
        <v>160</v>
      </c>
      <c r="I130" s="98" t="n">
        <v>0.005</v>
      </c>
      <c r="J130" s="68"/>
      <c r="K130" s="68"/>
      <c r="L130" s="68"/>
      <c r="M130" s="68"/>
      <c r="N130" s="140"/>
      <c r="O130" s="68"/>
      <c r="P130" s="153" t="s">
        <v>383</v>
      </c>
      <c r="Q130" s="69" t="n">
        <v>7000</v>
      </c>
      <c r="R130" s="95" t="s">
        <v>384</v>
      </c>
      <c r="S130" s="35" t="n">
        <f aca="false">+I130*Q130*I$1</f>
        <v>1085</v>
      </c>
      <c r="T130" s="35"/>
      <c r="U130" s="37" t="n">
        <v>254539</v>
      </c>
      <c r="V130" s="37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  <c r="BO130" s="154"/>
      <c r="BP130" s="154"/>
      <c r="BQ130" s="154"/>
      <c r="BR130" s="154"/>
      <c r="BS130" s="154"/>
      <c r="BT130" s="154"/>
      <c r="BU130" s="154"/>
      <c r="BV130" s="154"/>
      <c r="BW130" s="154"/>
      <c r="BX130" s="154"/>
      <c r="BY130" s="154"/>
      <c r="BZ130" s="154"/>
      <c r="CA130" s="154"/>
      <c r="CB130" s="154"/>
      <c r="CC130" s="154"/>
      <c r="CD130" s="154"/>
      <c r="CE130" s="154"/>
      <c r="CF130" s="154"/>
      <c r="CG130" s="154"/>
      <c r="CH130" s="154"/>
      <c r="CI130" s="154"/>
      <c r="CJ130" s="154"/>
      <c r="CK130" s="154"/>
      <c r="CL130" s="154"/>
      <c r="CM130" s="154"/>
      <c r="CN130" s="154"/>
      <c r="CO130" s="154"/>
      <c r="CP130" s="154"/>
      <c r="CQ130" s="154"/>
      <c r="CR130" s="154"/>
      <c r="CS130" s="154"/>
      <c r="CT130" s="154"/>
      <c r="CU130" s="154"/>
      <c r="CV130" s="154"/>
      <c r="CW130" s="154"/>
      <c r="CX130" s="154"/>
      <c r="CY130" s="154"/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/>
      <c r="EW130" s="154"/>
      <c r="EX130" s="154"/>
      <c r="EY130" s="154"/>
      <c r="EZ130" s="154"/>
      <c r="FA130" s="154"/>
      <c r="FB130" s="154"/>
      <c r="FC130" s="154"/>
      <c r="FD130" s="154"/>
      <c r="FE130" s="154"/>
      <c r="FF130" s="154"/>
      <c r="FG130" s="154"/>
      <c r="FH130" s="154"/>
      <c r="FI130" s="154"/>
      <c r="FJ130" s="154"/>
      <c r="FK130" s="154"/>
      <c r="FL130" s="154"/>
      <c r="FM130" s="154"/>
      <c r="FN130" s="154"/>
      <c r="FO130" s="154"/>
      <c r="FP130" s="154"/>
      <c r="FQ130" s="154"/>
      <c r="FR130" s="154"/>
      <c r="FS130" s="154"/>
      <c r="FT130" s="154"/>
      <c r="FU130" s="154"/>
      <c r="FV130" s="154"/>
      <c r="FW130" s="154"/>
      <c r="FX130" s="154"/>
      <c r="FY130" s="154"/>
      <c r="FZ130" s="154"/>
      <c r="GA130" s="154"/>
      <c r="GB130" s="154"/>
      <c r="GC130" s="154"/>
      <c r="GD130" s="154"/>
      <c r="GE130" s="154"/>
      <c r="GF130" s="154"/>
      <c r="GG130" s="154"/>
      <c r="GH130" s="154"/>
      <c r="GI130" s="154"/>
      <c r="GJ130" s="154"/>
      <c r="GK130" s="154"/>
      <c r="GL130" s="154"/>
      <c r="GM130" s="154"/>
      <c r="GN130" s="154"/>
      <c r="GO130" s="154"/>
      <c r="GP130" s="154"/>
      <c r="GQ130" s="154"/>
      <c r="GR130" s="154"/>
      <c r="GS130" s="154"/>
      <c r="GT130" s="154"/>
      <c r="GU130" s="154"/>
      <c r="GV130" s="154"/>
      <c r="GW130" s="154"/>
      <c r="GX130" s="154"/>
      <c r="GY130" s="154"/>
      <c r="GZ130" s="154"/>
      <c r="HA130" s="154"/>
      <c r="HB130" s="154"/>
      <c r="HC130" s="154"/>
      <c r="HD130" s="154"/>
      <c r="HE130" s="154"/>
      <c r="HF130" s="154"/>
      <c r="HG130" s="154"/>
      <c r="HH130" s="154"/>
      <c r="HI130" s="154"/>
      <c r="HJ130" s="154"/>
      <c r="HK130" s="154"/>
      <c r="HL130" s="154"/>
      <c r="HM130" s="154"/>
      <c r="HN130" s="154"/>
      <c r="HO130" s="154"/>
      <c r="HP130" s="154"/>
      <c r="HQ130" s="154"/>
      <c r="HR130" s="154"/>
      <c r="HS130" s="154"/>
      <c r="HT130" s="154"/>
      <c r="HU130" s="154"/>
      <c r="HV130" s="154"/>
      <c r="HW130" s="154"/>
      <c r="HX130" s="154"/>
      <c r="HY130" s="154"/>
      <c r="HZ130" s="154"/>
      <c r="IA130" s="154"/>
      <c r="IB130" s="154"/>
      <c r="IC130" s="154"/>
      <c r="ID130" s="154"/>
      <c r="IE130" s="154"/>
      <c r="IF130" s="154"/>
      <c r="IG130" s="154"/>
      <c r="IH130" s="154"/>
      <c r="II130" s="154"/>
      <c r="IJ130" s="154"/>
      <c r="IK130" s="154"/>
      <c r="IL130" s="154"/>
      <c r="IM130" s="154"/>
      <c r="IN130" s="154"/>
      <c r="IO130" s="154"/>
      <c r="IP130" s="154"/>
      <c r="IQ130" s="154"/>
      <c r="IR130" s="154"/>
      <c r="IS130" s="154"/>
      <c r="IT130" s="154"/>
      <c r="IU130" s="154"/>
      <c r="IV130" s="154"/>
      <c r="IW130" s="154"/>
    </row>
    <row r="131" customFormat="false" ht="12.75" hidden="false" customHeight="false" outlineLevel="0" collapsed="false">
      <c r="A131" s="95" t="s">
        <v>144</v>
      </c>
      <c r="B131" s="69" t="s">
        <v>376</v>
      </c>
      <c r="C131" s="69" t="s">
        <v>381</v>
      </c>
      <c r="D131" s="96" t="n">
        <v>36647</v>
      </c>
      <c r="E131" s="96" t="n">
        <v>36769</v>
      </c>
      <c r="F131" s="95" t="s">
        <v>385</v>
      </c>
      <c r="G131" s="95" t="s">
        <v>386</v>
      </c>
      <c r="H131" s="69" t="s">
        <v>160</v>
      </c>
      <c r="I131" s="98" t="n">
        <v>0.005</v>
      </c>
      <c r="J131" s="68"/>
      <c r="K131" s="68"/>
      <c r="L131" s="68"/>
      <c r="M131" s="68"/>
      <c r="N131" s="140"/>
      <c r="O131" s="68"/>
      <c r="P131" s="153" t="s">
        <v>387</v>
      </c>
      <c r="Q131" s="69" t="n">
        <v>2300</v>
      </c>
      <c r="R131" s="95" t="s">
        <v>388</v>
      </c>
      <c r="S131" s="35" t="n">
        <f aca="false">+I131*Q131*I$1</f>
        <v>356.5</v>
      </c>
      <c r="T131" s="35"/>
      <c r="U131" s="37" t="n">
        <v>257412</v>
      </c>
      <c r="V131" s="37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4"/>
      <c r="BL131" s="154"/>
      <c r="BM131" s="154"/>
      <c r="BN131" s="154"/>
      <c r="BO131" s="154"/>
      <c r="BP131" s="154"/>
      <c r="BQ131" s="154"/>
      <c r="BR131" s="154"/>
      <c r="BS131" s="154"/>
      <c r="BT131" s="154"/>
      <c r="BU131" s="154"/>
      <c r="BV131" s="154"/>
      <c r="BW131" s="154"/>
      <c r="BX131" s="154"/>
      <c r="BY131" s="154"/>
      <c r="BZ131" s="154"/>
      <c r="CA131" s="154"/>
      <c r="CB131" s="154"/>
      <c r="CC131" s="154"/>
      <c r="CD131" s="154"/>
      <c r="CE131" s="154"/>
      <c r="CF131" s="154"/>
      <c r="CG131" s="154"/>
      <c r="CH131" s="154"/>
      <c r="CI131" s="154"/>
      <c r="CJ131" s="154"/>
      <c r="CK131" s="154"/>
      <c r="CL131" s="154"/>
      <c r="CM131" s="154"/>
      <c r="CN131" s="154"/>
      <c r="CO131" s="154"/>
      <c r="CP131" s="154"/>
      <c r="CQ131" s="154"/>
      <c r="CR131" s="154"/>
      <c r="CS131" s="154"/>
      <c r="CT131" s="154"/>
      <c r="CU131" s="154"/>
      <c r="CV131" s="154"/>
      <c r="CW131" s="154"/>
      <c r="CX131" s="154"/>
      <c r="CY131" s="154"/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/>
      <c r="EK131" s="154"/>
      <c r="EL131" s="154"/>
      <c r="EM131" s="154"/>
      <c r="EN131" s="154"/>
      <c r="EO131" s="154"/>
      <c r="EP131" s="154"/>
      <c r="EQ131" s="154"/>
      <c r="ER131" s="154"/>
      <c r="ES131" s="154"/>
      <c r="ET131" s="154"/>
      <c r="EU131" s="154"/>
      <c r="EV131" s="154"/>
      <c r="EW131" s="154"/>
      <c r="EX131" s="154"/>
      <c r="EY131" s="154"/>
      <c r="EZ131" s="154"/>
      <c r="FA131" s="154"/>
      <c r="FB131" s="154"/>
      <c r="FC131" s="154"/>
      <c r="FD131" s="154"/>
      <c r="FE131" s="154"/>
      <c r="FF131" s="154"/>
      <c r="FG131" s="154"/>
      <c r="FH131" s="154"/>
      <c r="FI131" s="154"/>
      <c r="FJ131" s="154"/>
      <c r="FK131" s="154"/>
      <c r="FL131" s="154"/>
      <c r="FM131" s="154"/>
      <c r="FN131" s="154"/>
      <c r="FO131" s="154"/>
      <c r="FP131" s="154"/>
      <c r="FQ131" s="154"/>
      <c r="FR131" s="154"/>
      <c r="FS131" s="154"/>
      <c r="FT131" s="154"/>
      <c r="FU131" s="154"/>
      <c r="FV131" s="154"/>
      <c r="FW131" s="154"/>
      <c r="FX131" s="154"/>
      <c r="FY131" s="154"/>
      <c r="FZ131" s="154"/>
      <c r="GA131" s="154"/>
      <c r="GB131" s="154"/>
      <c r="GC131" s="154"/>
      <c r="GD131" s="154"/>
      <c r="GE131" s="154"/>
      <c r="GF131" s="154"/>
      <c r="GG131" s="154"/>
      <c r="GH131" s="154"/>
      <c r="GI131" s="154"/>
      <c r="GJ131" s="154"/>
      <c r="GK131" s="154"/>
      <c r="GL131" s="154"/>
      <c r="GM131" s="154"/>
      <c r="GN131" s="154"/>
      <c r="GO131" s="154"/>
      <c r="GP131" s="154"/>
      <c r="GQ131" s="154"/>
      <c r="GR131" s="154"/>
      <c r="GS131" s="154"/>
      <c r="GT131" s="154"/>
      <c r="GU131" s="154"/>
      <c r="GV131" s="154"/>
      <c r="GW131" s="154"/>
      <c r="GX131" s="154"/>
      <c r="GY131" s="154"/>
      <c r="GZ131" s="154"/>
      <c r="HA131" s="154"/>
      <c r="HB131" s="154"/>
      <c r="HC131" s="154"/>
      <c r="HD131" s="154"/>
      <c r="HE131" s="154"/>
      <c r="HF131" s="154"/>
      <c r="HG131" s="154"/>
      <c r="HH131" s="154"/>
      <c r="HI131" s="154"/>
      <c r="HJ131" s="154"/>
      <c r="HK131" s="154"/>
      <c r="HL131" s="154"/>
      <c r="HM131" s="154"/>
      <c r="HN131" s="154"/>
      <c r="HO131" s="154"/>
      <c r="HP131" s="154"/>
      <c r="HQ131" s="154"/>
      <c r="HR131" s="154"/>
      <c r="HS131" s="154"/>
      <c r="HT131" s="154"/>
      <c r="HU131" s="154"/>
      <c r="HV131" s="154"/>
      <c r="HW131" s="154"/>
      <c r="HX131" s="154"/>
      <c r="HY131" s="154"/>
      <c r="HZ131" s="154"/>
      <c r="IA131" s="154"/>
      <c r="IB131" s="154"/>
      <c r="IC131" s="154"/>
      <c r="ID131" s="154"/>
      <c r="IE131" s="154"/>
      <c r="IF131" s="154"/>
      <c r="IG131" s="154"/>
      <c r="IH131" s="154"/>
      <c r="II131" s="154"/>
      <c r="IJ131" s="154"/>
      <c r="IK131" s="154"/>
      <c r="IL131" s="154"/>
      <c r="IM131" s="154"/>
      <c r="IN131" s="154"/>
      <c r="IO131" s="154"/>
      <c r="IP131" s="154"/>
      <c r="IQ131" s="154"/>
      <c r="IR131" s="154"/>
      <c r="IS131" s="154"/>
      <c r="IT131" s="154"/>
      <c r="IU131" s="154"/>
      <c r="IV131" s="154"/>
      <c r="IW131" s="154"/>
    </row>
    <row r="132" customFormat="false" ht="12.75" hidden="false" customHeight="false" outlineLevel="0" collapsed="false">
      <c r="A132" s="95"/>
      <c r="B132" s="69"/>
      <c r="C132" s="69"/>
      <c r="D132" s="96"/>
      <c r="E132" s="96"/>
      <c r="F132" s="95"/>
      <c r="G132" s="95"/>
      <c r="H132" s="69"/>
      <c r="I132" s="98"/>
      <c r="J132" s="68"/>
      <c r="K132" s="68"/>
      <c r="L132" s="68"/>
      <c r="M132" s="68"/>
      <c r="N132" s="140" t="s">
        <v>1</v>
      </c>
      <c r="O132" s="68"/>
      <c r="P132" s="153"/>
      <c r="Q132" s="69"/>
      <c r="R132" s="95" t="s">
        <v>1</v>
      </c>
      <c r="S132" s="35"/>
      <c r="T132" s="35" t="e">
        <f aca="false">SUM(#REF!)</f>
        <v>#REF!</v>
      </c>
      <c r="U132" s="37"/>
      <c r="V132" s="37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4"/>
      <c r="BN132" s="154"/>
      <c r="BO132" s="154"/>
      <c r="BP132" s="154"/>
      <c r="BQ132" s="154"/>
      <c r="BR132" s="154"/>
      <c r="BS132" s="154"/>
      <c r="BT132" s="154"/>
      <c r="BU132" s="154"/>
      <c r="BV132" s="154"/>
      <c r="BW132" s="154"/>
      <c r="BX132" s="154"/>
      <c r="BY132" s="154"/>
      <c r="BZ132" s="154"/>
      <c r="CA132" s="154"/>
      <c r="CB132" s="154"/>
      <c r="CC132" s="154"/>
      <c r="CD132" s="154"/>
      <c r="CE132" s="154"/>
      <c r="CF132" s="154"/>
      <c r="CG132" s="154"/>
      <c r="CH132" s="154"/>
      <c r="CI132" s="154"/>
      <c r="CJ132" s="154"/>
      <c r="CK132" s="154"/>
      <c r="CL132" s="154"/>
      <c r="CM132" s="154"/>
      <c r="CN132" s="154"/>
      <c r="CO132" s="154"/>
      <c r="CP132" s="154"/>
      <c r="CQ132" s="154"/>
      <c r="CR132" s="154"/>
      <c r="CS132" s="154"/>
      <c r="CT132" s="154"/>
      <c r="CU132" s="154"/>
      <c r="CV132" s="154"/>
      <c r="CW132" s="154"/>
      <c r="CX132" s="154"/>
      <c r="CY132" s="154"/>
      <c r="CZ132" s="154"/>
      <c r="DA132" s="154"/>
      <c r="DB132" s="154"/>
      <c r="DC132" s="154"/>
      <c r="DD132" s="154"/>
      <c r="DE132" s="154"/>
      <c r="DF132" s="154"/>
      <c r="DG132" s="154"/>
      <c r="DH132" s="154"/>
      <c r="DI132" s="154"/>
      <c r="DJ132" s="154"/>
      <c r="DK132" s="154"/>
      <c r="DL132" s="154"/>
      <c r="DM132" s="154"/>
      <c r="DN132" s="154"/>
      <c r="DO132" s="154"/>
      <c r="DP132" s="154"/>
      <c r="DQ132" s="154"/>
      <c r="DR132" s="154"/>
      <c r="DS132" s="154"/>
      <c r="DT132" s="154"/>
      <c r="DU132" s="154"/>
      <c r="DV132" s="154"/>
      <c r="DW132" s="154"/>
      <c r="DX132" s="154"/>
      <c r="DY132" s="154"/>
      <c r="DZ132" s="154"/>
      <c r="EA132" s="154"/>
      <c r="EB132" s="154"/>
      <c r="EC132" s="154"/>
      <c r="ED132" s="154"/>
      <c r="EE132" s="154"/>
      <c r="EF132" s="154"/>
      <c r="EG132" s="154"/>
      <c r="EH132" s="154"/>
      <c r="EI132" s="154"/>
      <c r="EJ132" s="154"/>
      <c r="EK132" s="154"/>
      <c r="EL132" s="154"/>
      <c r="EM132" s="154"/>
      <c r="EN132" s="154"/>
      <c r="EO132" s="154"/>
      <c r="EP132" s="154"/>
      <c r="EQ132" s="154"/>
      <c r="ER132" s="154"/>
      <c r="ES132" s="154"/>
      <c r="ET132" s="154"/>
      <c r="EU132" s="154"/>
      <c r="EV132" s="154"/>
      <c r="EW132" s="154"/>
      <c r="EX132" s="154"/>
      <c r="EY132" s="154"/>
      <c r="EZ132" s="154"/>
      <c r="FA132" s="154"/>
      <c r="FB132" s="154"/>
      <c r="FC132" s="154"/>
      <c r="FD132" s="154"/>
      <c r="FE132" s="154"/>
      <c r="FF132" s="154"/>
      <c r="FG132" s="154"/>
      <c r="FH132" s="154"/>
      <c r="FI132" s="154"/>
      <c r="FJ132" s="154"/>
      <c r="FK132" s="154"/>
      <c r="FL132" s="154"/>
      <c r="FM132" s="154"/>
      <c r="FN132" s="154"/>
      <c r="FO132" s="154"/>
      <c r="FP132" s="154"/>
      <c r="FQ132" s="154"/>
      <c r="FR132" s="154"/>
      <c r="FS132" s="154"/>
      <c r="FT132" s="154"/>
      <c r="FU132" s="154"/>
      <c r="FV132" s="154"/>
      <c r="FW132" s="154"/>
      <c r="FX132" s="154"/>
      <c r="FY132" s="154"/>
      <c r="FZ132" s="154"/>
      <c r="GA132" s="154"/>
      <c r="GB132" s="154"/>
      <c r="GC132" s="154"/>
      <c r="GD132" s="154"/>
      <c r="GE132" s="154"/>
      <c r="GF132" s="154"/>
      <c r="GG132" s="154"/>
      <c r="GH132" s="154"/>
      <c r="GI132" s="154"/>
      <c r="GJ132" s="154"/>
      <c r="GK132" s="154"/>
      <c r="GL132" s="154"/>
      <c r="GM132" s="154"/>
      <c r="GN132" s="154"/>
      <c r="GO132" s="154"/>
      <c r="GP132" s="154"/>
      <c r="GQ132" s="154"/>
      <c r="GR132" s="154"/>
      <c r="GS132" s="154"/>
      <c r="GT132" s="154"/>
      <c r="GU132" s="154"/>
      <c r="GV132" s="154"/>
      <c r="GW132" s="154"/>
      <c r="GX132" s="154"/>
      <c r="GY132" s="154"/>
      <c r="GZ132" s="154"/>
      <c r="HA132" s="154"/>
      <c r="HB132" s="154"/>
      <c r="HC132" s="154"/>
      <c r="HD132" s="154"/>
      <c r="HE132" s="154"/>
      <c r="HF132" s="154"/>
      <c r="HG132" s="154"/>
      <c r="HH132" s="154"/>
      <c r="HI132" s="154"/>
      <c r="HJ132" s="154"/>
      <c r="HK132" s="154"/>
      <c r="HL132" s="154"/>
      <c r="HM132" s="154"/>
      <c r="HN132" s="154"/>
      <c r="HO132" s="154"/>
      <c r="HP132" s="154"/>
      <c r="HQ132" s="154"/>
      <c r="HR132" s="154"/>
      <c r="HS132" s="154"/>
      <c r="HT132" s="154"/>
      <c r="HU132" s="154"/>
      <c r="HV132" s="154"/>
      <c r="HW132" s="154"/>
      <c r="HX132" s="154"/>
      <c r="HY132" s="154"/>
      <c r="HZ132" s="154"/>
      <c r="IA132" s="154"/>
      <c r="IB132" s="154"/>
      <c r="IC132" s="154"/>
      <c r="ID132" s="154"/>
      <c r="IE132" s="154"/>
      <c r="IF132" s="154"/>
      <c r="IG132" s="154"/>
      <c r="IH132" s="154"/>
      <c r="II132" s="154"/>
      <c r="IJ132" s="154"/>
      <c r="IK132" s="154"/>
      <c r="IL132" s="154"/>
      <c r="IM132" s="154"/>
      <c r="IN132" s="154"/>
      <c r="IO132" s="154"/>
      <c r="IP132" s="154"/>
      <c r="IQ132" s="154"/>
      <c r="IR132" s="154"/>
      <c r="IS132" s="154"/>
      <c r="IT132" s="154"/>
      <c r="IU132" s="154"/>
      <c r="IV132" s="154"/>
      <c r="IW132" s="154"/>
    </row>
    <row r="133" customFormat="false" ht="12.75" hidden="false" customHeight="false" outlineLevel="0" collapsed="false">
      <c r="A133" s="95"/>
      <c r="B133" s="69"/>
      <c r="C133" s="69"/>
      <c r="D133" s="96"/>
      <c r="E133" s="96"/>
      <c r="F133" s="95"/>
      <c r="G133" s="95"/>
      <c r="H133" s="69"/>
      <c r="I133" s="98"/>
      <c r="J133" s="68"/>
      <c r="K133" s="68"/>
      <c r="L133" s="68"/>
      <c r="M133" s="68"/>
      <c r="N133" s="99"/>
      <c r="O133" s="68"/>
      <c r="P133" s="153"/>
      <c r="Q133" s="69" t="n">
        <f aca="false">SUM(Q129:Q132)</f>
        <v>14500</v>
      </c>
      <c r="R133" s="95" t="s">
        <v>164</v>
      </c>
      <c r="S133" s="35" t="n">
        <f aca="false">SUM(S129:S132)</f>
        <v>1441.5</v>
      </c>
      <c r="T133" s="35"/>
      <c r="U133" s="36"/>
      <c r="V133" s="37"/>
      <c r="W133" s="37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4"/>
      <c r="BN133" s="154"/>
      <c r="BO133" s="154"/>
      <c r="BP133" s="154"/>
      <c r="BQ133" s="154"/>
      <c r="BR133" s="154"/>
      <c r="BS133" s="154"/>
      <c r="BT133" s="154"/>
      <c r="BU133" s="154"/>
      <c r="BV133" s="154"/>
      <c r="BW133" s="154"/>
      <c r="BX133" s="154"/>
      <c r="BY133" s="154"/>
      <c r="BZ133" s="154"/>
      <c r="CA133" s="154"/>
      <c r="CB133" s="154"/>
      <c r="CC133" s="154"/>
      <c r="CD133" s="154"/>
      <c r="CE133" s="154"/>
      <c r="CF133" s="154"/>
      <c r="CG133" s="154"/>
      <c r="CH133" s="154"/>
      <c r="CI133" s="154"/>
      <c r="CJ133" s="154"/>
      <c r="CK133" s="154"/>
      <c r="CL133" s="154"/>
      <c r="CM133" s="154"/>
      <c r="CN133" s="154"/>
      <c r="CO133" s="154"/>
      <c r="CP133" s="154"/>
      <c r="CQ133" s="154"/>
      <c r="CR133" s="154"/>
      <c r="CS133" s="154"/>
      <c r="CT133" s="154"/>
      <c r="CU133" s="154"/>
      <c r="CV133" s="154"/>
      <c r="CW133" s="154"/>
      <c r="CX133" s="154"/>
      <c r="CY133" s="154"/>
      <c r="CZ133" s="154"/>
      <c r="DA133" s="154"/>
      <c r="DB133" s="154"/>
      <c r="DC133" s="154"/>
      <c r="DD133" s="154"/>
      <c r="DE133" s="154"/>
      <c r="DF133" s="154"/>
      <c r="DG133" s="154"/>
      <c r="DH133" s="154"/>
      <c r="DI133" s="154"/>
      <c r="DJ133" s="154"/>
      <c r="DK133" s="154"/>
      <c r="DL133" s="154"/>
      <c r="DM133" s="154"/>
      <c r="DN133" s="154"/>
      <c r="DO133" s="154"/>
      <c r="DP133" s="154"/>
      <c r="DQ133" s="154"/>
      <c r="DR133" s="154"/>
      <c r="DS133" s="154"/>
      <c r="DT133" s="154"/>
      <c r="DU133" s="154"/>
      <c r="DV133" s="154"/>
      <c r="DW133" s="154"/>
      <c r="DX133" s="154"/>
      <c r="DY133" s="154"/>
      <c r="DZ133" s="154"/>
      <c r="EA133" s="154"/>
      <c r="EB133" s="154"/>
      <c r="EC133" s="154"/>
      <c r="ED133" s="154"/>
      <c r="EE133" s="154"/>
      <c r="EF133" s="154"/>
      <c r="EG133" s="154"/>
      <c r="EH133" s="154"/>
      <c r="EI133" s="154"/>
      <c r="EJ133" s="154"/>
      <c r="EK133" s="154"/>
      <c r="EL133" s="154"/>
      <c r="EM133" s="154"/>
      <c r="EN133" s="154"/>
      <c r="EO133" s="154"/>
      <c r="EP133" s="154"/>
      <c r="EQ133" s="154"/>
      <c r="ER133" s="154"/>
      <c r="ES133" s="154"/>
      <c r="ET133" s="154"/>
      <c r="EU133" s="154"/>
      <c r="EV133" s="154"/>
      <c r="EW133" s="154"/>
      <c r="EX133" s="154"/>
      <c r="EY133" s="154"/>
      <c r="EZ133" s="154"/>
      <c r="FA133" s="154"/>
      <c r="FB133" s="154"/>
      <c r="FC133" s="154"/>
      <c r="FD133" s="154"/>
      <c r="FE133" s="154"/>
      <c r="FF133" s="154"/>
      <c r="FG133" s="154"/>
      <c r="FH133" s="154"/>
      <c r="FI133" s="154"/>
      <c r="FJ133" s="154"/>
      <c r="FK133" s="154"/>
      <c r="FL133" s="154"/>
      <c r="FM133" s="154"/>
      <c r="FN133" s="154"/>
      <c r="FO133" s="154"/>
      <c r="FP133" s="154"/>
      <c r="FQ133" s="154"/>
      <c r="FR133" s="154"/>
      <c r="FS133" s="154"/>
      <c r="FT133" s="154"/>
      <c r="FU133" s="154"/>
      <c r="FV133" s="154"/>
      <c r="FW133" s="154"/>
      <c r="FX133" s="154"/>
      <c r="FY133" s="154"/>
      <c r="FZ133" s="154"/>
      <c r="GA133" s="154"/>
      <c r="GB133" s="154"/>
      <c r="GC133" s="154"/>
      <c r="GD133" s="154"/>
      <c r="GE133" s="154"/>
      <c r="GF133" s="154"/>
      <c r="GG133" s="154"/>
      <c r="GH133" s="154"/>
      <c r="GI133" s="154"/>
      <c r="GJ133" s="154"/>
      <c r="GK133" s="154"/>
      <c r="GL133" s="154"/>
      <c r="GM133" s="154"/>
      <c r="GN133" s="154"/>
      <c r="GO133" s="154"/>
      <c r="GP133" s="154"/>
      <c r="GQ133" s="154"/>
      <c r="GR133" s="154"/>
      <c r="GS133" s="154"/>
      <c r="GT133" s="154"/>
      <c r="GU133" s="154"/>
      <c r="GV133" s="154"/>
      <c r="GW133" s="154"/>
      <c r="GX133" s="154"/>
      <c r="GY133" s="154"/>
      <c r="GZ133" s="154"/>
      <c r="HA133" s="154"/>
      <c r="HB133" s="154"/>
      <c r="HC133" s="154"/>
      <c r="HD133" s="154"/>
      <c r="HE133" s="154"/>
      <c r="HF133" s="154"/>
      <c r="HG133" s="154"/>
      <c r="HH133" s="154"/>
      <c r="HI133" s="154"/>
      <c r="HJ133" s="154"/>
      <c r="HK133" s="154"/>
      <c r="HL133" s="154"/>
      <c r="HM133" s="154"/>
      <c r="HN133" s="154"/>
      <c r="HO133" s="154"/>
      <c r="HP133" s="154"/>
      <c r="HQ133" s="154"/>
      <c r="HR133" s="154"/>
      <c r="HS133" s="154"/>
      <c r="HT133" s="154"/>
      <c r="HU133" s="154"/>
      <c r="HV133" s="154"/>
      <c r="HW133" s="154"/>
      <c r="HX133" s="154"/>
      <c r="HY133" s="154"/>
      <c r="HZ133" s="154"/>
      <c r="IA133" s="154"/>
      <c r="IB133" s="154"/>
      <c r="IC133" s="154"/>
      <c r="ID133" s="154"/>
      <c r="IE133" s="154"/>
      <c r="IF133" s="154"/>
      <c r="IG133" s="154"/>
      <c r="IH133" s="154"/>
      <c r="II133" s="154"/>
      <c r="IJ133" s="154"/>
      <c r="IK133" s="154"/>
      <c r="IL133" s="154"/>
      <c r="IM133" s="154"/>
      <c r="IN133" s="154"/>
      <c r="IO133" s="154"/>
      <c r="IP133" s="154"/>
      <c r="IQ133" s="154"/>
      <c r="IR133" s="154"/>
      <c r="IS133" s="154"/>
      <c r="IT133" s="154"/>
      <c r="IU133" s="154"/>
      <c r="IV133" s="154"/>
      <c r="IW133" s="154"/>
    </row>
    <row r="134" customFormat="false" ht="12.75" hidden="false" customHeight="false" outlineLevel="0" collapsed="false">
      <c r="A134" s="15"/>
      <c r="B134" s="16"/>
      <c r="C134" s="16"/>
      <c r="D134" s="17"/>
      <c r="E134" s="17"/>
      <c r="F134" s="15"/>
      <c r="G134" s="15"/>
      <c r="H134" s="16"/>
      <c r="I134" s="19"/>
      <c r="J134" s="20"/>
      <c r="K134" s="20"/>
      <c r="L134" s="20"/>
      <c r="M134" s="20"/>
      <c r="N134" s="25"/>
      <c r="O134" s="20"/>
      <c r="P134" s="22"/>
      <c r="Q134" s="71"/>
      <c r="R134" s="95" t="s">
        <v>165</v>
      </c>
      <c r="S134" s="35" t="n">
        <v>0</v>
      </c>
      <c r="T134" s="23"/>
      <c r="U134" s="26"/>
      <c r="V134" s="24"/>
      <c r="W134" s="24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13.5" hidden="false" customHeight="false" outlineLevel="0" collapsed="false">
      <c r="A135" s="15"/>
      <c r="B135" s="16"/>
      <c r="C135" s="16"/>
      <c r="D135" s="17"/>
      <c r="E135" s="17"/>
      <c r="F135" s="15"/>
      <c r="G135" s="15"/>
      <c r="H135" s="16"/>
      <c r="I135" s="19"/>
      <c r="J135" s="20"/>
      <c r="K135" s="20"/>
      <c r="L135" s="20"/>
      <c r="M135" s="20"/>
      <c r="N135" s="25"/>
      <c r="O135" s="20"/>
      <c r="P135" s="22"/>
      <c r="Q135" s="71"/>
      <c r="R135" s="95" t="s">
        <v>166</v>
      </c>
      <c r="S135" s="181" t="n">
        <f aca="false">+S133-S134</f>
        <v>1441.5</v>
      </c>
      <c r="T135" s="23"/>
      <c r="U135" s="26"/>
      <c r="V135" s="24"/>
      <c r="W135" s="24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3.5" hidden="false" customHeight="false" outlineLevel="0" collapsed="false">
      <c r="A136" s="15"/>
      <c r="B136" s="16"/>
      <c r="C136" s="16"/>
      <c r="D136" s="17"/>
      <c r="E136" s="17"/>
      <c r="F136" s="15"/>
      <c r="G136" s="15"/>
      <c r="H136" s="16"/>
      <c r="I136" s="19"/>
      <c r="J136" s="20"/>
      <c r="K136" s="20"/>
      <c r="L136" s="20"/>
      <c r="M136" s="20"/>
      <c r="N136" s="25"/>
      <c r="O136" s="20"/>
      <c r="P136" s="22"/>
      <c r="Q136" s="16"/>
      <c r="R136" s="15"/>
      <c r="S136" s="23"/>
      <c r="T136" s="23"/>
      <c r="U136" s="26"/>
      <c r="V136" s="24"/>
      <c r="W136" s="24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2.75" hidden="false" customHeight="false" outlineLevel="0" collapsed="false">
      <c r="A137" s="127" t="s">
        <v>108</v>
      </c>
      <c r="B137" s="128" t="s">
        <v>109</v>
      </c>
      <c r="C137" s="128" t="s">
        <v>110</v>
      </c>
      <c r="D137" s="129" t="s">
        <v>111</v>
      </c>
      <c r="E137" s="129"/>
      <c r="F137" s="127" t="s">
        <v>112</v>
      </c>
      <c r="G137" s="127" t="s">
        <v>113</v>
      </c>
      <c r="H137" s="128" t="s">
        <v>114</v>
      </c>
      <c r="I137" s="130" t="s">
        <v>115</v>
      </c>
      <c r="J137" s="128" t="s">
        <v>116</v>
      </c>
      <c r="K137" s="128" t="s">
        <v>117</v>
      </c>
      <c r="L137" s="128" t="s">
        <v>118</v>
      </c>
      <c r="M137" s="128" t="s">
        <v>119</v>
      </c>
      <c r="N137" s="128" t="s">
        <v>272</v>
      </c>
      <c r="O137" s="128" t="s">
        <v>121</v>
      </c>
      <c r="P137" s="132" t="s">
        <v>122</v>
      </c>
      <c r="Q137" s="128" t="s">
        <v>123</v>
      </c>
      <c r="R137" s="127" t="s">
        <v>124</v>
      </c>
      <c r="S137" s="155" t="s">
        <v>243</v>
      </c>
      <c r="T137" s="109" t="s">
        <v>244</v>
      </c>
      <c r="U137" s="112"/>
      <c r="V137" s="112"/>
      <c r="W137" s="134"/>
      <c r="X137" s="134"/>
      <c r="Y137" s="134"/>
      <c r="Z137" s="134"/>
      <c r="AA137" s="134"/>
      <c r="AB137" s="134"/>
      <c r="AC137" s="134"/>
      <c r="AD137" s="134"/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  <c r="BI137" s="134"/>
      <c r="BJ137" s="134"/>
      <c r="BK137" s="134"/>
      <c r="BL137" s="134"/>
      <c r="BM137" s="134"/>
      <c r="BN137" s="134"/>
      <c r="BO137" s="134"/>
      <c r="BP137" s="134"/>
      <c r="BQ137" s="134"/>
      <c r="BR137" s="134"/>
      <c r="BS137" s="134"/>
      <c r="BT137" s="134"/>
      <c r="BU137" s="134"/>
      <c r="BV137" s="134"/>
      <c r="BW137" s="134"/>
      <c r="BX137" s="134"/>
      <c r="BY137" s="134"/>
      <c r="BZ137" s="134"/>
      <c r="CA137" s="134"/>
      <c r="CB137" s="134"/>
      <c r="CC137" s="134"/>
      <c r="CD137" s="134"/>
      <c r="CE137" s="134"/>
      <c r="CF137" s="134"/>
      <c r="CG137" s="134"/>
      <c r="CH137" s="134"/>
      <c r="CI137" s="134"/>
      <c r="CJ137" s="134"/>
      <c r="CK137" s="134"/>
      <c r="CL137" s="134"/>
      <c r="CM137" s="134"/>
      <c r="CN137" s="134"/>
      <c r="CO137" s="134"/>
      <c r="CP137" s="134"/>
      <c r="CQ137" s="134"/>
      <c r="CR137" s="134"/>
      <c r="CS137" s="134"/>
      <c r="CT137" s="134"/>
      <c r="CU137" s="134"/>
      <c r="CV137" s="134"/>
      <c r="CW137" s="134"/>
      <c r="CX137" s="134"/>
      <c r="CY137" s="134"/>
      <c r="CZ137" s="134"/>
      <c r="DA137" s="134"/>
      <c r="DB137" s="134"/>
      <c r="DC137" s="134"/>
      <c r="DD137" s="134"/>
      <c r="DE137" s="134"/>
      <c r="DF137" s="134"/>
      <c r="DG137" s="134"/>
      <c r="DH137" s="134"/>
      <c r="DI137" s="134"/>
      <c r="DJ137" s="134"/>
      <c r="DK137" s="134"/>
      <c r="DL137" s="134"/>
      <c r="DM137" s="134"/>
      <c r="DN137" s="134"/>
      <c r="DO137" s="134"/>
      <c r="DP137" s="134"/>
      <c r="DQ137" s="134"/>
      <c r="DR137" s="134"/>
      <c r="DS137" s="134"/>
      <c r="DT137" s="134"/>
      <c r="DU137" s="134"/>
      <c r="DV137" s="134"/>
      <c r="DW137" s="134"/>
      <c r="DX137" s="134"/>
      <c r="DY137" s="134"/>
      <c r="DZ137" s="134"/>
      <c r="EA137" s="134"/>
      <c r="EB137" s="134"/>
      <c r="EC137" s="134"/>
      <c r="ED137" s="134"/>
      <c r="EE137" s="134"/>
      <c r="EF137" s="134"/>
      <c r="EG137" s="134"/>
      <c r="EH137" s="134"/>
      <c r="EI137" s="134"/>
      <c r="EJ137" s="134"/>
      <c r="EK137" s="134"/>
      <c r="EL137" s="134"/>
      <c r="EM137" s="134"/>
      <c r="EN137" s="134"/>
      <c r="EO137" s="134"/>
      <c r="EP137" s="134"/>
      <c r="EQ137" s="134"/>
      <c r="ER137" s="134"/>
      <c r="ES137" s="134"/>
      <c r="ET137" s="134"/>
      <c r="EU137" s="134"/>
      <c r="EV137" s="134"/>
      <c r="EW137" s="134"/>
      <c r="EX137" s="134"/>
      <c r="EY137" s="134"/>
      <c r="EZ137" s="134"/>
      <c r="FA137" s="134"/>
      <c r="FB137" s="134"/>
      <c r="FC137" s="134"/>
      <c r="FD137" s="134"/>
      <c r="FE137" s="134"/>
      <c r="FF137" s="134"/>
      <c r="FG137" s="134"/>
      <c r="FH137" s="134"/>
      <c r="FI137" s="134"/>
      <c r="FJ137" s="134"/>
      <c r="FK137" s="134"/>
      <c r="FL137" s="134"/>
      <c r="FM137" s="134"/>
      <c r="FN137" s="134"/>
      <c r="FO137" s="134"/>
      <c r="FP137" s="134"/>
      <c r="FQ137" s="134"/>
      <c r="FR137" s="134"/>
      <c r="FS137" s="134"/>
      <c r="FT137" s="134"/>
      <c r="FU137" s="134"/>
      <c r="FV137" s="134"/>
      <c r="FW137" s="134"/>
      <c r="FX137" s="134"/>
      <c r="FY137" s="134"/>
      <c r="FZ137" s="134"/>
      <c r="GA137" s="134"/>
      <c r="GB137" s="134"/>
      <c r="GC137" s="134"/>
      <c r="GD137" s="134"/>
      <c r="GE137" s="134"/>
      <c r="GF137" s="134"/>
      <c r="GG137" s="134"/>
      <c r="GH137" s="134"/>
      <c r="GI137" s="134"/>
      <c r="GJ137" s="134"/>
      <c r="GK137" s="134"/>
      <c r="GL137" s="134"/>
      <c r="GM137" s="134"/>
      <c r="GN137" s="134"/>
      <c r="GO137" s="134"/>
      <c r="GP137" s="134"/>
      <c r="GQ137" s="134"/>
      <c r="GR137" s="134"/>
      <c r="GS137" s="134"/>
      <c r="GT137" s="134"/>
      <c r="GU137" s="134"/>
      <c r="GV137" s="134"/>
      <c r="GW137" s="134"/>
      <c r="GX137" s="134"/>
      <c r="GY137" s="134"/>
      <c r="GZ137" s="134"/>
      <c r="HA137" s="134"/>
      <c r="HB137" s="134"/>
      <c r="HC137" s="134"/>
      <c r="HD137" s="134"/>
      <c r="HE137" s="134"/>
      <c r="HF137" s="134"/>
      <c r="HG137" s="134"/>
      <c r="HH137" s="134"/>
      <c r="HI137" s="134"/>
      <c r="HJ137" s="134"/>
      <c r="HK137" s="134"/>
      <c r="HL137" s="134"/>
      <c r="HM137" s="134"/>
      <c r="HN137" s="134"/>
      <c r="HO137" s="134"/>
      <c r="HP137" s="134"/>
      <c r="HQ137" s="134"/>
      <c r="HR137" s="134"/>
      <c r="HS137" s="134"/>
      <c r="HT137" s="134"/>
      <c r="HU137" s="134"/>
      <c r="HV137" s="134"/>
      <c r="HW137" s="134"/>
      <c r="HX137" s="134"/>
      <c r="HY137" s="134"/>
      <c r="HZ137" s="134"/>
      <c r="IA137" s="134"/>
      <c r="IB137" s="134"/>
      <c r="IC137" s="134"/>
      <c r="ID137" s="134"/>
      <c r="IE137" s="134"/>
      <c r="IF137" s="134"/>
      <c r="IG137" s="134"/>
      <c r="IH137" s="134"/>
      <c r="II137" s="134"/>
      <c r="IJ137" s="134"/>
      <c r="IK137" s="134"/>
      <c r="IL137" s="134"/>
      <c r="IM137" s="134"/>
      <c r="IN137" s="134"/>
      <c r="IO137" s="134"/>
      <c r="IP137" s="134"/>
      <c r="IQ137" s="134"/>
      <c r="IR137" s="134"/>
      <c r="IS137" s="134"/>
      <c r="IT137" s="134"/>
      <c r="IU137" s="134"/>
      <c r="IV137" s="134"/>
      <c r="IW137" s="134"/>
    </row>
    <row r="138" customFormat="false" ht="12.75" hidden="false" customHeight="false" outlineLevel="0" collapsed="false">
      <c r="A138" s="38" t="s">
        <v>144</v>
      </c>
      <c r="B138" s="157" t="s">
        <v>273</v>
      </c>
      <c r="C138" s="76" t="s">
        <v>273</v>
      </c>
      <c r="D138" s="77" t="n">
        <v>36708</v>
      </c>
      <c r="E138" s="77" t="n">
        <v>36738</v>
      </c>
      <c r="F138" s="38" t="s">
        <v>389</v>
      </c>
      <c r="G138" s="38" t="s">
        <v>390</v>
      </c>
      <c r="H138" s="157" t="s">
        <v>170</v>
      </c>
      <c r="I138" s="78" t="n">
        <f aca="false">1.24/$I$1</f>
        <v>0.04</v>
      </c>
      <c r="J138" s="79" t="n">
        <v>0</v>
      </c>
      <c r="K138" s="79" t="n">
        <v>0</v>
      </c>
      <c r="L138" s="79" t="n">
        <v>0</v>
      </c>
      <c r="M138" s="79" t="n">
        <v>0</v>
      </c>
      <c r="N138" s="79" t="n">
        <v>0</v>
      </c>
      <c r="O138" s="79" t="n">
        <v>0</v>
      </c>
      <c r="P138" s="158" t="n">
        <v>3.5806</v>
      </c>
      <c r="Q138" s="76" t="n">
        <v>20000</v>
      </c>
      <c r="R138" s="38" t="s">
        <v>391</v>
      </c>
      <c r="S138" s="82" t="n">
        <f aca="false">I138*$I$1*Q138</f>
        <v>24800</v>
      </c>
      <c r="T138" s="82" t="n">
        <v>0</v>
      </c>
      <c r="U138" s="84"/>
      <c r="V138" s="84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59"/>
      <c r="BB138" s="159"/>
      <c r="BC138" s="159"/>
      <c r="BD138" s="159"/>
      <c r="BE138" s="159"/>
      <c r="BF138" s="159"/>
      <c r="BG138" s="159"/>
      <c r="BH138" s="159"/>
      <c r="BI138" s="159"/>
      <c r="BJ138" s="159"/>
      <c r="BK138" s="159"/>
      <c r="BL138" s="159"/>
      <c r="BM138" s="159"/>
      <c r="BN138" s="159"/>
      <c r="BO138" s="159"/>
      <c r="BP138" s="159"/>
      <c r="BQ138" s="159"/>
      <c r="BR138" s="159"/>
      <c r="BS138" s="159"/>
      <c r="BT138" s="159"/>
      <c r="BU138" s="159"/>
      <c r="BV138" s="159"/>
      <c r="BW138" s="159"/>
      <c r="BX138" s="159"/>
      <c r="BY138" s="159"/>
      <c r="BZ138" s="159"/>
      <c r="CA138" s="159"/>
      <c r="CB138" s="159"/>
      <c r="CC138" s="159"/>
      <c r="CD138" s="159"/>
      <c r="CE138" s="159"/>
      <c r="CF138" s="159"/>
      <c r="CG138" s="159"/>
      <c r="CH138" s="159"/>
      <c r="CI138" s="159"/>
      <c r="CJ138" s="159"/>
      <c r="CK138" s="159"/>
      <c r="CL138" s="159"/>
      <c r="CM138" s="159"/>
      <c r="CN138" s="159"/>
      <c r="CO138" s="159"/>
      <c r="CP138" s="159"/>
      <c r="CQ138" s="159"/>
      <c r="CR138" s="159"/>
      <c r="CS138" s="159"/>
      <c r="CT138" s="159"/>
      <c r="CU138" s="159"/>
      <c r="CV138" s="159"/>
      <c r="CW138" s="159"/>
      <c r="CX138" s="159"/>
      <c r="CY138" s="159"/>
      <c r="CZ138" s="159"/>
      <c r="DA138" s="159"/>
      <c r="DB138" s="159"/>
      <c r="DC138" s="159"/>
      <c r="DD138" s="159"/>
      <c r="DE138" s="159"/>
      <c r="DF138" s="159"/>
      <c r="DG138" s="159"/>
      <c r="DH138" s="159"/>
      <c r="DI138" s="159"/>
      <c r="DJ138" s="159"/>
      <c r="DK138" s="159"/>
      <c r="DL138" s="159"/>
      <c r="DM138" s="159"/>
      <c r="DN138" s="159"/>
      <c r="DO138" s="159"/>
      <c r="DP138" s="159"/>
      <c r="DQ138" s="159"/>
      <c r="DR138" s="159"/>
      <c r="DS138" s="159"/>
      <c r="DT138" s="159"/>
      <c r="DU138" s="159"/>
      <c r="DV138" s="159"/>
      <c r="DW138" s="159"/>
      <c r="DX138" s="159"/>
      <c r="DY138" s="159"/>
      <c r="DZ138" s="159"/>
      <c r="EA138" s="159"/>
      <c r="EB138" s="159"/>
      <c r="EC138" s="159"/>
      <c r="ED138" s="159"/>
      <c r="EE138" s="159"/>
      <c r="EF138" s="159"/>
      <c r="EG138" s="159"/>
      <c r="EH138" s="159"/>
      <c r="EI138" s="159"/>
      <c r="EJ138" s="159"/>
      <c r="EK138" s="159"/>
      <c r="EL138" s="159"/>
      <c r="EM138" s="159"/>
      <c r="EN138" s="159"/>
      <c r="EO138" s="159"/>
      <c r="EP138" s="159"/>
      <c r="EQ138" s="159"/>
      <c r="ER138" s="159"/>
      <c r="ES138" s="159"/>
      <c r="ET138" s="159"/>
      <c r="EU138" s="159"/>
      <c r="EV138" s="159"/>
      <c r="EW138" s="159"/>
      <c r="EX138" s="159"/>
      <c r="EY138" s="159"/>
      <c r="EZ138" s="159"/>
      <c r="FA138" s="159"/>
      <c r="FB138" s="159"/>
      <c r="FC138" s="159"/>
      <c r="FD138" s="159"/>
      <c r="FE138" s="159"/>
      <c r="FF138" s="159"/>
      <c r="FG138" s="159"/>
      <c r="FH138" s="159"/>
      <c r="FI138" s="159"/>
      <c r="FJ138" s="159"/>
      <c r="FK138" s="159"/>
      <c r="FL138" s="159"/>
      <c r="FM138" s="159"/>
      <c r="FN138" s="159"/>
      <c r="FO138" s="159"/>
      <c r="FP138" s="159"/>
      <c r="FQ138" s="159"/>
      <c r="FR138" s="159"/>
      <c r="FS138" s="159"/>
      <c r="FT138" s="159"/>
      <c r="FU138" s="159"/>
      <c r="FV138" s="159"/>
      <c r="FW138" s="159"/>
      <c r="FX138" s="159"/>
      <c r="FY138" s="159"/>
      <c r="FZ138" s="159"/>
      <c r="GA138" s="159"/>
      <c r="GB138" s="159"/>
      <c r="GC138" s="159"/>
      <c r="GD138" s="159"/>
      <c r="GE138" s="159"/>
      <c r="GF138" s="159"/>
      <c r="GG138" s="159"/>
      <c r="GH138" s="159"/>
      <c r="GI138" s="159"/>
      <c r="GJ138" s="159"/>
      <c r="GK138" s="159"/>
      <c r="GL138" s="159"/>
      <c r="GM138" s="159"/>
      <c r="GN138" s="159"/>
      <c r="GO138" s="159"/>
      <c r="GP138" s="159"/>
      <c r="GQ138" s="159"/>
      <c r="GR138" s="159"/>
      <c r="GS138" s="159"/>
      <c r="GT138" s="159"/>
      <c r="GU138" s="159"/>
      <c r="GV138" s="159"/>
      <c r="GW138" s="159"/>
      <c r="GX138" s="159"/>
      <c r="GY138" s="159"/>
      <c r="GZ138" s="159"/>
      <c r="HA138" s="159"/>
      <c r="HB138" s="159"/>
      <c r="HC138" s="159"/>
      <c r="HD138" s="159"/>
      <c r="HE138" s="159"/>
      <c r="HF138" s="159"/>
      <c r="HG138" s="159"/>
      <c r="HH138" s="159"/>
      <c r="HI138" s="159"/>
      <c r="HJ138" s="159"/>
      <c r="HK138" s="159"/>
      <c r="HL138" s="159"/>
      <c r="HM138" s="159"/>
      <c r="HN138" s="159"/>
      <c r="HO138" s="159"/>
      <c r="HP138" s="159"/>
      <c r="HQ138" s="159"/>
      <c r="HR138" s="159"/>
      <c r="HS138" s="159"/>
      <c r="HT138" s="159"/>
      <c r="HU138" s="159"/>
      <c r="HV138" s="159"/>
      <c r="HW138" s="159"/>
      <c r="HX138" s="159"/>
      <c r="HY138" s="159"/>
      <c r="HZ138" s="159"/>
      <c r="IA138" s="159"/>
      <c r="IB138" s="159"/>
      <c r="IC138" s="159"/>
      <c r="ID138" s="159"/>
      <c r="IE138" s="159"/>
      <c r="IF138" s="159"/>
      <c r="IG138" s="159"/>
      <c r="IH138" s="159"/>
      <c r="II138" s="159"/>
      <c r="IJ138" s="159"/>
      <c r="IK138" s="159"/>
      <c r="IL138" s="159"/>
      <c r="IM138" s="159"/>
      <c r="IN138" s="159"/>
      <c r="IO138" s="159"/>
      <c r="IP138" s="159"/>
      <c r="IQ138" s="159"/>
      <c r="IR138" s="159"/>
      <c r="IS138" s="159"/>
      <c r="IT138" s="159"/>
      <c r="IU138" s="159"/>
      <c r="IV138" s="159"/>
      <c r="IW138" s="159"/>
    </row>
    <row r="139" customFormat="false" ht="12.75" hidden="false" customHeight="false" outlineLevel="0" collapsed="false">
      <c r="A139" s="38" t="s">
        <v>392</v>
      </c>
      <c r="B139" s="157" t="s">
        <v>273</v>
      </c>
      <c r="C139" s="76" t="s">
        <v>393</v>
      </c>
      <c r="D139" s="77" t="n">
        <v>36708</v>
      </c>
      <c r="E139" s="77" t="n">
        <v>36738</v>
      </c>
      <c r="F139" s="38" t="s">
        <v>394</v>
      </c>
      <c r="G139" s="38" t="s">
        <v>395</v>
      </c>
      <c r="H139" s="157" t="s">
        <v>160</v>
      </c>
      <c r="I139" s="78" t="n">
        <f aca="false">4.2583/I$1</f>
        <v>0.137364516129032</v>
      </c>
      <c r="J139" s="79"/>
      <c r="K139" s="79"/>
      <c r="L139" s="79"/>
      <c r="M139" s="79"/>
      <c r="N139" s="79"/>
      <c r="O139" s="79"/>
      <c r="P139" s="158" t="n">
        <v>3.5644</v>
      </c>
      <c r="Q139" s="76" t="n">
        <v>5000</v>
      </c>
      <c r="R139" s="38" t="s">
        <v>396</v>
      </c>
      <c r="S139" s="82" t="n">
        <f aca="false">I139*$I$1*Q139</f>
        <v>21291.5</v>
      </c>
      <c r="T139" s="82"/>
      <c r="U139" s="84"/>
      <c r="V139" s="84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  <c r="AV139" s="159"/>
      <c r="AW139" s="159"/>
      <c r="AX139" s="159"/>
      <c r="AY139" s="159"/>
      <c r="AZ139" s="159"/>
      <c r="BA139" s="159"/>
      <c r="BB139" s="159"/>
      <c r="BC139" s="159"/>
      <c r="BD139" s="159"/>
      <c r="BE139" s="159"/>
      <c r="BF139" s="159"/>
      <c r="BG139" s="159"/>
      <c r="BH139" s="159"/>
      <c r="BI139" s="159"/>
      <c r="BJ139" s="159"/>
      <c r="BK139" s="159"/>
      <c r="BL139" s="159"/>
      <c r="BM139" s="159"/>
      <c r="BN139" s="159"/>
      <c r="BO139" s="159"/>
      <c r="BP139" s="159"/>
      <c r="BQ139" s="159"/>
      <c r="BR139" s="159"/>
      <c r="BS139" s="159"/>
      <c r="BT139" s="159"/>
      <c r="BU139" s="159"/>
      <c r="BV139" s="159"/>
      <c r="BW139" s="159"/>
      <c r="BX139" s="159"/>
      <c r="BY139" s="159"/>
      <c r="BZ139" s="159"/>
      <c r="CA139" s="159"/>
      <c r="CB139" s="159"/>
      <c r="CC139" s="159"/>
      <c r="CD139" s="159"/>
      <c r="CE139" s="159"/>
      <c r="CF139" s="159"/>
      <c r="CG139" s="159"/>
      <c r="CH139" s="159"/>
      <c r="CI139" s="159"/>
      <c r="CJ139" s="159"/>
      <c r="CK139" s="159"/>
      <c r="CL139" s="159"/>
      <c r="CM139" s="159"/>
      <c r="CN139" s="159"/>
      <c r="CO139" s="159"/>
      <c r="CP139" s="159"/>
      <c r="CQ139" s="159"/>
      <c r="CR139" s="159"/>
      <c r="CS139" s="159"/>
      <c r="CT139" s="159"/>
      <c r="CU139" s="159"/>
      <c r="CV139" s="159"/>
      <c r="CW139" s="159"/>
      <c r="CX139" s="159"/>
      <c r="CY139" s="159"/>
      <c r="CZ139" s="159"/>
      <c r="DA139" s="159"/>
      <c r="DB139" s="159"/>
      <c r="DC139" s="159"/>
      <c r="DD139" s="159"/>
      <c r="DE139" s="159"/>
      <c r="DF139" s="159"/>
      <c r="DG139" s="159"/>
      <c r="DH139" s="159"/>
      <c r="DI139" s="159"/>
      <c r="DJ139" s="159"/>
      <c r="DK139" s="159"/>
      <c r="DL139" s="159"/>
      <c r="DM139" s="159"/>
      <c r="DN139" s="159"/>
      <c r="DO139" s="159"/>
      <c r="DP139" s="159"/>
      <c r="DQ139" s="159"/>
      <c r="DR139" s="159"/>
      <c r="DS139" s="159"/>
      <c r="DT139" s="159"/>
      <c r="DU139" s="159"/>
      <c r="DV139" s="159"/>
      <c r="DW139" s="159"/>
      <c r="DX139" s="159"/>
      <c r="DY139" s="159"/>
      <c r="DZ139" s="159"/>
      <c r="EA139" s="159"/>
      <c r="EB139" s="159"/>
      <c r="EC139" s="159"/>
      <c r="ED139" s="159"/>
      <c r="EE139" s="159"/>
      <c r="EF139" s="159"/>
      <c r="EG139" s="159"/>
      <c r="EH139" s="159"/>
      <c r="EI139" s="159"/>
      <c r="EJ139" s="159"/>
      <c r="EK139" s="159"/>
      <c r="EL139" s="159"/>
      <c r="EM139" s="159"/>
      <c r="EN139" s="159"/>
      <c r="EO139" s="159"/>
      <c r="EP139" s="159"/>
      <c r="EQ139" s="159"/>
      <c r="ER139" s="159"/>
      <c r="ES139" s="159"/>
      <c r="ET139" s="159"/>
      <c r="EU139" s="159"/>
      <c r="EV139" s="159"/>
      <c r="EW139" s="159"/>
      <c r="EX139" s="159"/>
      <c r="EY139" s="159"/>
      <c r="EZ139" s="159"/>
      <c r="FA139" s="159"/>
      <c r="FB139" s="159"/>
      <c r="FC139" s="159"/>
      <c r="FD139" s="159"/>
      <c r="FE139" s="159"/>
      <c r="FF139" s="159"/>
      <c r="FG139" s="159"/>
      <c r="FH139" s="159"/>
      <c r="FI139" s="159"/>
      <c r="FJ139" s="159"/>
      <c r="FK139" s="159"/>
      <c r="FL139" s="159"/>
      <c r="FM139" s="159"/>
      <c r="FN139" s="159"/>
      <c r="FO139" s="159"/>
      <c r="FP139" s="159"/>
      <c r="FQ139" s="159"/>
      <c r="FR139" s="159"/>
      <c r="FS139" s="159"/>
      <c r="FT139" s="159"/>
      <c r="FU139" s="159"/>
      <c r="FV139" s="159"/>
      <c r="FW139" s="159"/>
      <c r="FX139" s="159"/>
      <c r="FY139" s="159"/>
      <c r="FZ139" s="159"/>
      <c r="GA139" s="159"/>
      <c r="GB139" s="159"/>
      <c r="GC139" s="159"/>
      <c r="GD139" s="159"/>
      <c r="GE139" s="159"/>
      <c r="GF139" s="159"/>
      <c r="GG139" s="159"/>
      <c r="GH139" s="159"/>
      <c r="GI139" s="159"/>
      <c r="GJ139" s="159"/>
      <c r="GK139" s="159"/>
      <c r="GL139" s="159"/>
      <c r="GM139" s="159"/>
      <c r="GN139" s="159"/>
      <c r="GO139" s="159"/>
      <c r="GP139" s="159"/>
      <c r="GQ139" s="159"/>
      <c r="GR139" s="159"/>
      <c r="GS139" s="159"/>
      <c r="GT139" s="159"/>
      <c r="GU139" s="159"/>
      <c r="GV139" s="159"/>
      <c r="GW139" s="159"/>
      <c r="GX139" s="159"/>
      <c r="GY139" s="159"/>
      <c r="GZ139" s="159"/>
      <c r="HA139" s="159"/>
      <c r="HB139" s="159"/>
      <c r="HC139" s="159"/>
      <c r="HD139" s="159"/>
      <c r="HE139" s="159"/>
      <c r="HF139" s="159"/>
      <c r="HG139" s="159"/>
      <c r="HH139" s="159"/>
      <c r="HI139" s="159"/>
      <c r="HJ139" s="159"/>
      <c r="HK139" s="159"/>
      <c r="HL139" s="159"/>
      <c r="HM139" s="159"/>
      <c r="HN139" s="159"/>
      <c r="HO139" s="159"/>
      <c r="HP139" s="159"/>
      <c r="HQ139" s="159"/>
      <c r="HR139" s="159"/>
      <c r="HS139" s="159"/>
      <c r="HT139" s="159"/>
      <c r="HU139" s="159"/>
      <c r="HV139" s="159"/>
      <c r="HW139" s="159"/>
      <c r="HX139" s="159"/>
      <c r="HY139" s="159"/>
      <c r="HZ139" s="159"/>
      <c r="IA139" s="159"/>
      <c r="IB139" s="159"/>
      <c r="IC139" s="159"/>
      <c r="ID139" s="159"/>
      <c r="IE139" s="159"/>
      <c r="IF139" s="159"/>
      <c r="IG139" s="159"/>
      <c r="IH139" s="159"/>
      <c r="II139" s="159"/>
      <c r="IJ139" s="159"/>
      <c r="IK139" s="159"/>
      <c r="IL139" s="159"/>
      <c r="IM139" s="159"/>
      <c r="IN139" s="159"/>
      <c r="IO139" s="159"/>
      <c r="IP139" s="159"/>
      <c r="IQ139" s="159"/>
      <c r="IR139" s="159"/>
      <c r="IS139" s="159"/>
      <c r="IT139" s="159"/>
      <c r="IU139" s="159"/>
      <c r="IV139" s="159"/>
      <c r="IW139" s="159"/>
    </row>
    <row r="140" customFormat="false" ht="12.75" hidden="false" customHeight="false" outlineLevel="0" collapsed="false">
      <c r="A140" s="15" t="s">
        <v>397</v>
      </c>
      <c r="B140" s="34" t="s">
        <v>273</v>
      </c>
      <c r="C140" s="16" t="s">
        <v>393</v>
      </c>
      <c r="D140" s="17" t="n">
        <v>36708</v>
      </c>
      <c r="E140" s="17" t="n">
        <v>36738</v>
      </c>
      <c r="F140" s="15" t="s">
        <v>394</v>
      </c>
      <c r="G140" s="15" t="s">
        <v>395</v>
      </c>
      <c r="H140" s="34" t="s">
        <v>160</v>
      </c>
      <c r="I140" s="19" t="n">
        <f aca="false">4.2583/I$1</f>
        <v>0.137364516129032</v>
      </c>
      <c r="J140" s="20"/>
      <c r="K140" s="20"/>
      <c r="L140" s="20"/>
      <c r="M140" s="20"/>
      <c r="N140" s="20"/>
      <c r="O140" s="20"/>
      <c r="P140" s="156" t="n">
        <v>3.5644</v>
      </c>
      <c r="Q140" s="16" t="n">
        <v>-5000</v>
      </c>
      <c r="R140" s="15" t="s">
        <v>398</v>
      </c>
      <c r="S140" s="23" t="n">
        <f aca="false">I140*$I$1*Q140</f>
        <v>-21291.5</v>
      </c>
      <c r="T140" s="23"/>
      <c r="U140" s="24"/>
      <c r="V140" s="24"/>
      <c r="W140" s="27"/>
    </row>
    <row r="141" customFormat="false" ht="12.75" hidden="false" customHeight="false" outlineLevel="0" collapsed="false">
      <c r="A141" s="15" t="s">
        <v>399</v>
      </c>
      <c r="B141" s="34" t="s">
        <v>273</v>
      </c>
      <c r="C141" s="16" t="s">
        <v>393</v>
      </c>
      <c r="D141" s="17" t="n">
        <v>36708</v>
      </c>
      <c r="E141" s="17" t="n">
        <v>36738</v>
      </c>
      <c r="F141" s="15" t="s">
        <v>394</v>
      </c>
      <c r="G141" s="15" t="s">
        <v>395</v>
      </c>
      <c r="H141" s="34" t="s">
        <v>160</v>
      </c>
      <c r="I141" s="19" t="n">
        <f aca="false">4.2583/I$1</f>
        <v>0.137364516129032</v>
      </c>
      <c r="J141" s="20"/>
      <c r="K141" s="20"/>
      <c r="L141" s="20"/>
      <c r="M141" s="20"/>
      <c r="N141" s="20"/>
      <c r="O141" s="20"/>
      <c r="P141" s="156" t="s">
        <v>400</v>
      </c>
      <c r="Q141" s="16" t="n">
        <v>5000</v>
      </c>
      <c r="R141" s="15" t="s">
        <v>398</v>
      </c>
      <c r="S141" s="23" t="n">
        <f aca="false">I141*$I$1*Q141</f>
        <v>21291.5</v>
      </c>
      <c r="T141" s="23"/>
      <c r="U141" s="24" t="n">
        <v>312168</v>
      </c>
      <c r="V141" s="24"/>
      <c r="W141" s="27"/>
    </row>
    <row r="142" customFormat="false" ht="12.75" hidden="false" customHeight="false" outlineLevel="0" collapsed="false">
      <c r="A142" s="15" t="s">
        <v>144</v>
      </c>
      <c r="B142" s="34" t="s">
        <v>273</v>
      </c>
      <c r="C142" s="16" t="s">
        <v>393</v>
      </c>
      <c r="D142" s="17" t="n">
        <v>36739</v>
      </c>
      <c r="E142" s="17" t="n">
        <v>36830</v>
      </c>
      <c r="F142" s="15" t="s">
        <v>394</v>
      </c>
      <c r="G142" s="15" t="s">
        <v>395</v>
      </c>
      <c r="H142" s="34" t="s">
        <v>160</v>
      </c>
      <c r="I142" s="19" t="n">
        <f aca="false">4.2583/I$1</f>
        <v>0.137364516129032</v>
      </c>
      <c r="J142" s="20"/>
      <c r="K142" s="20"/>
      <c r="L142" s="20"/>
      <c r="M142" s="20"/>
      <c r="N142" s="20"/>
      <c r="O142" s="20"/>
      <c r="P142" s="156"/>
      <c r="Q142" s="16" t="n">
        <v>5000</v>
      </c>
      <c r="R142" s="15"/>
      <c r="S142" s="23" t="s">
        <v>401</v>
      </c>
      <c r="T142" s="23"/>
      <c r="U142" s="24"/>
      <c r="V142" s="24"/>
      <c r="W142" s="27"/>
    </row>
    <row r="143" customFormat="false" ht="12.75" hidden="false" customHeight="false" outlineLevel="0" collapsed="false">
      <c r="A143" s="15" t="s">
        <v>144</v>
      </c>
      <c r="B143" s="34" t="s">
        <v>273</v>
      </c>
      <c r="C143" s="16" t="s">
        <v>393</v>
      </c>
      <c r="D143" s="17" t="n">
        <v>36617</v>
      </c>
      <c r="E143" s="17" t="n">
        <v>36830</v>
      </c>
      <c r="F143" s="15" t="s">
        <v>402</v>
      </c>
      <c r="G143" s="15" t="s">
        <v>395</v>
      </c>
      <c r="H143" s="34" t="s">
        <v>160</v>
      </c>
      <c r="I143" s="19" t="n">
        <f aca="false">4.2583/I$1</f>
        <v>0.137364516129032</v>
      </c>
      <c r="J143" s="20"/>
      <c r="K143" s="20"/>
      <c r="L143" s="20"/>
      <c r="M143" s="20"/>
      <c r="N143" s="20"/>
      <c r="O143" s="20"/>
      <c r="P143" s="156" t="s">
        <v>403</v>
      </c>
      <c r="Q143" s="16" t="n">
        <v>15000</v>
      </c>
      <c r="R143" s="15" t="s">
        <v>404</v>
      </c>
      <c r="S143" s="23" t="n">
        <f aca="false">I143*$I$1*Q143</f>
        <v>63874.5</v>
      </c>
      <c r="T143" s="23"/>
      <c r="U143" s="24" t="n">
        <v>231538</v>
      </c>
      <c r="V143" s="24"/>
      <c r="W143" s="27"/>
    </row>
    <row r="144" customFormat="false" ht="12.75" hidden="false" customHeight="false" outlineLevel="0" collapsed="false">
      <c r="A144" s="15" t="s">
        <v>144</v>
      </c>
      <c r="B144" s="34" t="s">
        <v>273</v>
      </c>
      <c r="C144" s="16" t="s">
        <v>393</v>
      </c>
      <c r="D144" s="17" t="n">
        <v>36649</v>
      </c>
      <c r="E144" s="17" t="n">
        <v>36799</v>
      </c>
      <c r="F144" s="15" t="s">
        <v>402</v>
      </c>
      <c r="G144" s="15" t="s">
        <v>395</v>
      </c>
      <c r="H144" s="34" t="s">
        <v>160</v>
      </c>
      <c r="I144" s="19" t="n">
        <f aca="false">4.5625/I$1</f>
        <v>0.147177419354839</v>
      </c>
      <c r="J144" s="20"/>
      <c r="K144" s="20"/>
      <c r="L144" s="20"/>
      <c r="M144" s="20"/>
      <c r="N144" s="20"/>
      <c r="O144" s="20"/>
      <c r="P144" s="156" t="s">
        <v>405</v>
      </c>
      <c r="Q144" s="16" t="n">
        <v>10000</v>
      </c>
      <c r="R144" s="15" t="s">
        <v>406</v>
      </c>
      <c r="S144" s="23" t="n">
        <f aca="false">I144*29*Q144</f>
        <v>42681.4516129032</v>
      </c>
      <c r="T144" s="23"/>
      <c r="U144" s="24" t="n">
        <v>257467</v>
      </c>
      <c r="V144" s="24"/>
      <c r="W144" s="27"/>
    </row>
    <row r="145" customFormat="false" ht="12.75" hidden="false" customHeight="false" outlineLevel="0" collapsed="false">
      <c r="A145" s="15" t="s">
        <v>144</v>
      </c>
      <c r="B145" s="34" t="s">
        <v>273</v>
      </c>
      <c r="C145" s="16" t="s">
        <v>407</v>
      </c>
      <c r="D145" s="17" t="n">
        <v>36647</v>
      </c>
      <c r="E145" s="17" t="n">
        <v>36830</v>
      </c>
      <c r="F145" s="15" t="s">
        <v>408</v>
      </c>
      <c r="G145" s="15" t="s">
        <v>409</v>
      </c>
      <c r="H145" s="34" t="s">
        <v>160</v>
      </c>
      <c r="I145" s="19" t="n">
        <f aca="false">5.5055/I$1</f>
        <v>0.177596774193548</v>
      </c>
      <c r="J145" s="20"/>
      <c r="K145" s="20"/>
      <c r="L145" s="20"/>
      <c r="M145" s="20"/>
      <c r="N145" s="20"/>
      <c r="O145" s="20"/>
      <c r="P145" s="156" t="s">
        <v>410</v>
      </c>
      <c r="Q145" s="16" t="n">
        <v>20000</v>
      </c>
      <c r="R145" s="15" t="s">
        <v>411</v>
      </c>
      <c r="S145" s="23" t="n">
        <f aca="false">I145*$I$1*Q145</f>
        <v>110110</v>
      </c>
      <c r="T145" s="23"/>
      <c r="U145" s="24" t="n">
        <v>252358</v>
      </c>
      <c r="V145" s="24"/>
      <c r="W145" s="27"/>
    </row>
    <row r="146" customFormat="false" ht="12.75" hidden="false" customHeight="false" outlineLevel="0" collapsed="false">
      <c r="A146" s="15" t="s">
        <v>144</v>
      </c>
      <c r="B146" s="34" t="s">
        <v>273</v>
      </c>
      <c r="C146" s="16" t="s">
        <v>407</v>
      </c>
      <c r="D146" s="17" t="n">
        <v>36678</v>
      </c>
      <c r="E146" s="17" t="n">
        <v>36799</v>
      </c>
      <c r="F146" s="15" t="s">
        <v>408</v>
      </c>
      <c r="G146" s="15" t="s">
        <v>409</v>
      </c>
      <c r="H146" s="34" t="s">
        <v>160</v>
      </c>
      <c r="I146" s="19" t="n">
        <f aca="false">6.7405/I$1</f>
        <v>0.217435483870968</v>
      </c>
      <c r="J146" s="20"/>
      <c r="K146" s="20"/>
      <c r="L146" s="20"/>
      <c r="M146" s="20"/>
      <c r="N146" s="20"/>
      <c r="O146" s="20"/>
      <c r="P146" s="156" t="s">
        <v>412</v>
      </c>
      <c r="Q146" s="16" t="n">
        <v>10000</v>
      </c>
      <c r="R146" s="15" t="s">
        <v>413</v>
      </c>
      <c r="S146" s="23" t="n">
        <f aca="false">I146*$I$1*Q146</f>
        <v>67405</v>
      </c>
      <c r="T146" s="23"/>
      <c r="U146" s="24" t="n">
        <v>278680</v>
      </c>
      <c r="V146" s="24"/>
      <c r="W146" s="27"/>
    </row>
    <row r="147" customFormat="false" ht="12.75" hidden="false" customHeight="false" outlineLevel="0" collapsed="false">
      <c r="A147" s="15" t="s">
        <v>144</v>
      </c>
      <c r="B147" s="34" t="s">
        <v>273</v>
      </c>
      <c r="C147" s="16" t="s">
        <v>414</v>
      </c>
      <c r="D147" s="17" t="n">
        <v>36678</v>
      </c>
      <c r="E147" s="17" t="n">
        <v>36799</v>
      </c>
      <c r="F147" s="15" t="s">
        <v>408</v>
      </c>
      <c r="G147" s="15" t="s">
        <v>415</v>
      </c>
      <c r="H147" s="34" t="s">
        <v>160</v>
      </c>
      <c r="I147" s="19" t="n">
        <f aca="false">6.7405/I$1</f>
        <v>0.217435483870968</v>
      </c>
      <c r="J147" s="20"/>
      <c r="K147" s="20"/>
      <c r="L147" s="20"/>
      <c r="M147" s="20"/>
      <c r="N147" s="20"/>
      <c r="O147" s="20"/>
      <c r="P147" s="156" t="s">
        <v>416</v>
      </c>
      <c r="Q147" s="16" t="n">
        <v>10000</v>
      </c>
      <c r="R147" s="15" t="s">
        <v>417</v>
      </c>
      <c r="S147" s="23" t="n">
        <f aca="false">I147*$I$1*Q147</f>
        <v>67405</v>
      </c>
      <c r="T147" s="23"/>
      <c r="U147" s="24" t="n">
        <v>278664</v>
      </c>
      <c r="V147" s="24"/>
      <c r="W147" s="27"/>
    </row>
    <row r="148" customFormat="false" ht="12.75" hidden="false" customHeight="false" outlineLevel="0" collapsed="false">
      <c r="A148" s="15" t="s">
        <v>144</v>
      </c>
      <c r="B148" s="34" t="s">
        <v>273</v>
      </c>
      <c r="C148" s="16" t="s">
        <v>168</v>
      </c>
      <c r="D148" s="17" t="n">
        <v>36617</v>
      </c>
      <c r="E148" s="17" t="n">
        <v>36830</v>
      </c>
      <c r="F148" s="15" t="s">
        <v>418</v>
      </c>
      <c r="G148" s="15" t="s">
        <v>419</v>
      </c>
      <c r="H148" s="34" t="s">
        <v>160</v>
      </c>
      <c r="I148" s="19" t="n">
        <f aca="false">0.684/I$1</f>
        <v>0.0220645161290323</v>
      </c>
      <c r="J148" s="20"/>
      <c r="K148" s="20"/>
      <c r="L148" s="20"/>
      <c r="M148" s="20"/>
      <c r="N148" s="20"/>
      <c r="O148" s="20"/>
      <c r="P148" s="156" t="s">
        <v>420</v>
      </c>
      <c r="Q148" s="16" t="n">
        <v>2174</v>
      </c>
      <c r="R148" s="15" t="s">
        <v>421</v>
      </c>
      <c r="S148" s="23" t="n">
        <f aca="false">I148*$I$1*Q148</f>
        <v>1487.016</v>
      </c>
      <c r="T148" s="23"/>
      <c r="U148" s="24" t="n">
        <v>229958</v>
      </c>
      <c r="V148" s="24"/>
      <c r="W148" s="27"/>
    </row>
    <row r="149" customFormat="false" ht="12.75" hidden="false" customHeight="false" outlineLevel="0" collapsed="false">
      <c r="A149" s="38" t="s">
        <v>144</v>
      </c>
      <c r="B149" s="157" t="s">
        <v>273</v>
      </c>
      <c r="C149" s="76" t="s">
        <v>422</v>
      </c>
      <c r="D149" s="77" t="n">
        <v>36708</v>
      </c>
      <c r="E149" s="77" t="n">
        <v>36738</v>
      </c>
      <c r="F149" s="38" t="s">
        <v>419</v>
      </c>
      <c r="G149" s="38" t="s">
        <v>423</v>
      </c>
      <c r="H149" s="157" t="s">
        <v>160</v>
      </c>
      <c r="I149" s="78" t="n">
        <f aca="false">2.48/I$1</f>
        <v>0.08</v>
      </c>
      <c r="J149" s="79"/>
      <c r="K149" s="79"/>
      <c r="L149" s="79"/>
      <c r="M149" s="79"/>
      <c r="N149" s="79"/>
      <c r="O149" s="79"/>
      <c r="P149" s="158" t="s">
        <v>424</v>
      </c>
      <c r="Q149" s="76" t="n">
        <v>3000</v>
      </c>
      <c r="R149" s="38" t="s">
        <v>425</v>
      </c>
      <c r="S149" s="82" t="n">
        <f aca="false">I149*$I$1*Q149</f>
        <v>7440</v>
      </c>
      <c r="T149" s="82"/>
      <c r="U149" s="84" t="n">
        <v>315650</v>
      </c>
      <c r="V149" s="84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  <c r="AV149" s="159"/>
      <c r="AW149" s="159"/>
      <c r="AX149" s="159"/>
      <c r="AY149" s="159"/>
      <c r="AZ149" s="159"/>
      <c r="BA149" s="159"/>
      <c r="BB149" s="159"/>
      <c r="BC149" s="159"/>
      <c r="BD149" s="159"/>
      <c r="BE149" s="159"/>
      <c r="BF149" s="159"/>
      <c r="BG149" s="159"/>
      <c r="BH149" s="159"/>
      <c r="BI149" s="159"/>
      <c r="BJ149" s="159"/>
      <c r="BK149" s="159"/>
      <c r="BL149" s="159"/>
      <c r="BM149" s="159"/>
      <c r="BN149" s="159"/>
      <c r="BO149" s="159"/>
      <c r="BP149" s="159"/>
      <c r="BQ149" s="159"/>
      <c r="BR149" s="159"/>
      <c r="BS149" s="159"/>
      <c r="BT149" s="159"/>
      <c r="BU149" s="159"/>
      <c r="BV149" s="159"/>
      <c r="BW149" s="159"/>
      <c r="BX149" s="159"/>
      <c r="BY149" s="159"/>
      <c r="BZ149" s="159"/>
      <c r="CA149" s="159"/>
      <c r="CB149" s="159"/>
      <c r="CC149" s="159"/>
      <c r="CD149" s="159"/>
      <c r="CE149" s="159"/>
      <c r="CF149" s="159"/>
      <c r="CG149" s="159"/>
      <c r="CH149" s="159"/>
      <c r="CI149" s="159"/>
      <c r="CJ149" s="159"/>
      <c r="CK149" s="159"/>
      <c r="CL149" s="159"/>
      <c r="CM149" s="159"/>
      <c r="CN149" s="159"/>
      <c r="CO149" s="159"/>
      <c r="CP149" s="159"/>
      <c r="CQ149" s="159"/>
      <c r="CR149" s="159"/>
      <c r="CS149" s="159"/>
      <c r="CT149" s="159"/>
      <c r="CU149" s="159"/>
      <c r="CV149" s="159"/>
      <c r="CW149" s="159"/>
      <c r="CX149" s="159"/>
      <c r="CY149" s="159"/>
      <c r="CZ149" s="159"/>
      <c r="DA149" s="159"/>
      <c r="DB149" s="159"/>
      <c r="DC149" s="159"/>
      <c r="DD149" s="159"/>
      <c r="DE149" s="159"/>
      <c r="DF149" s="159"/>
      <c r="DG149" s="159"/>
      <c r="DH149" s="159"/>
      <c r="DI149" s="159"/>
      <c r="DJ149" s="159"/>
      <c r="DK149" s="159"/>
      <c r="DL149" s="159"/>
      <c r="DM149" s="159"/>
      <c r="DN149" s="159"/>
      <c r="DO149" s="159"/>
      <c r="DP149" s="159"/>
      <c r="DQ149" s="159"/>
      <c r="DR149" s="159"/>
      <c r="DS149" s="159"/>
      <c r="DT149" s="159"/>
      <c r="DU149" s="159"/>
      <c r="DV149" s="159"/>
      <c r="DW149" s="159"/>
      <c r="DX149" s="159"/>
      <c r="DY149" s="159"/>
      <c r="DZ149" s="159"/>
      <c r="EA149" s="159"/>
      <c r="EB149" s="159"/>
      <c r="EC149" s="159"/>
      <c r="ED149" s="159"/>
      <c r="EE149" s="159"/>
      <c r="EF149" s="159"/>
      <c r="EG149" s="159"/>
      <c r="EH149" s="159"/>
      <c r="EI149" s="159"/>
      <c r="EJ149" s="159"/>
      <c r="EK149" s="159"/>
      <c r="EL149" s="159"/>
      <c r="EM149" s="159"/>
      <c r="EN149" s="159"/>
      <c r="EO149" s="159"/>
      <c r="EP149" s="159"/>
      <c r="EQ149" s="159"/>
      <c r="ER149" s="159"/>
      <c r="ES149" s="159"/>
      <c r="ET149" s="159"/>
      <c r="EU149" s="159"/>
      <c r="EV149" s="159"/>
      <c r="EW149" s="159"/>
      <c r="EX149" s="159"/>
      <c r="EY149" s="159"/>
      <c r="EZ149" s="159"/>
      <c r="FA149" s="159"/>
      <c r="FB149" s="159"/>
      <c r="FC149" s="159"/>
      <c r="FD149" s="159"/>
      <c r="FE149" s="159"/>
      <c r="FF149" s="159"/>
      <c r="FG149" s="159"/>
      <c r="FH149" s="159"/>
      <c r="FI149" s="159"/>
      <c r="FJ149" s="159"/>
      <c r="FK149" s="159"/>
      <c r="FL149" s="159"/>
      <c r="FM149" s="159"/>
      <c r="FN149" s="159"/>
      <c r="FO149" s="159"/>
      <c r="FP149" s="159"/>
      <c r="FQ149" s="159"/>
      <c r="FR149" s="159"/>
      <c r="FS149" s="159"/>
      <c r="FT149" s="159"/>
      <c r="FU149" s="159"/>
      <c r="FV149" s="159"/>
      <c r="FW149" s="159"/>
      <c r="FX149" s="159"/>
      <c r="FY149" s="159"/>
      <c r="FZ149" s="159"/>
      <c r="GA149" s="159"/>
      <c r="GB149" s="159"/>
      <c r="GC149" s="159"/>
      <c r="GD149" s="159"/>
      <c r="GE149" s="159"/>
      <c r="GF149" s="159"/>
      <c r="GG149" s="159"/>
      <c r="GH149" s="159"/>
      <c r="GI149" s="159"/>
      <c r="GJ149" s="159"/>
      <c r="GK149" s="159"/>
      <c r="GL149" s="159"/>
      <c r="GM149" s="159"/>
      <c r="GN149" s="159"/>
      <c r="GO149" s="159"/>
      <c r="GP149" s="159"/>
      <c r="GQ149" s="159"/>
      <c r="GR149" s="159"/>
      <c r="GS149" s="159"/>
      <c r="GT149" s="159"/>
      <c r="GU149" s="159"/>
      <c r="GV149" s="159"/>
      <c r="GW149" s="159"/>
      <c r="GX149" s="159"/>
      <c r="GY149" s="159"/>
      <c r="GZ149" s="159"/>
      <c r="HA149" s="159"/>
      <c r="HB149" s="159"/>
      <c r="HC149" s="159"/>
      <c r="HD149" s="159"/>
      <c r="HE149" s="159"/>
      <c r="HF149" s="159"/>
      <c r="HG149" s="159"/>
      <c r="HH149" s="159"/>
      <c r="HI149" s="159"/>
      <c r="HJ149" s="159"/>
      <c r="HK149" s="159"/>
      <c r="HL149" s="159"/>
      <c r="HM149" s="159"/>
      <c r="HN149" s="159"/>
      <c r="HO149" s="159"/>
      <c r="HP149" s="159"/>
      <c r="HQ149" s="159"/>
      <c r="HR149" s="159"/>
      <c r="HS149" s="159"/>
      <c r="HT149" s="159"/>
      <c r="HU149" s="159"/>
      <c r="HV149" s="159"/>
      <c r="HW149" s="159"/>
      <c r="HX149" s="159"/>
      <c r="HY149" s="159"/>
      <c r="HZ149" s="159"/>
      <c r="IA149" s="159"/>
      <c r="IB149" s="159"/>
      <c r="IC149" s="159"/>
      <c r="ID149" s="159"/>
      <c r="IE149" s="159"/>
      <c r="IF149" s="159"/>
      <c r="IG149" s="159"/>
      <c r="IH149" s="159"/>
      <c r="II149" s="159"/>
      <c r="IJ149" s="159"/>
      <c r="IK149" s="159"/>
      <c r="IL149" s="159"/>
      <c r="IM149" s="159"/>
      <c r="IN149" s="159"/>
      <c r="IO149" s="159"/>
      <c r="IP149" s="159"/>
      <c r="IQ149" s="159"/>
      <c r="IR149" s="159"/>
      <c r="IS149" s="159"/>
      <c r="IT149" s="159"/>
      <c r="IU149" s="159"/>
      <c r="IV149" s="159"/>
      <c r="IW149" s="159"/>
    </row>
    <row r="150" customFormat="false" ht="12.75" hidden="false" customHeight="false" outlineLevel="0" collapsed="false">
      <c r="A150" s="42" t="s">
        <v>144</v>
      </c>
      <c r="B150" s="183" t="s">
        <v>273</v>
      </c>
      <c r="C150" s="43" t="s">
        <v>422</v>
      </c>
      <c r="D150" s="86" t="n">
        <v>36739</v>
      </c>
      <c r="E150" s="86" t="n">
        <v>36830</v>
      </c>
      <c r="F150" s="42" t="s">
        <v>419</v>
      </c>
      <c r="G150" s="42" t="s">
        <v>423</v>
      </c>
      <c r="H150" s="183" t="s">
        <v>160</v>
      </c>
      <c r="I150" s="87" t="n">
        <f aca="false">2.48/I$1</f>
        <v>0.08</v>
      </c>
      <c r="J150" s="88"/>
      <c r="K150" s="88"/>
      <c r="L150" s="88"/>
      <c r="M150" s="88"/>
      <c r="N150" s="88"/>
      <c r="O150" s="88"/>
      <c r="P150" s="184"/>
      <c r="Q150" s="43" t="n">
        <v>3000</v>
      </c>
      <c r="R150" s="42" t="s">
        <v>426</v>
      </c>
      <c r="S150" s="91" t="s">
        <v>427</v>
      </c>
      <c r="T150" s="91"/>
      <c r="U150" s="93"/>
      <c r="V150" s="93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5"/>
      <c r="AT150" s="185"/>
      <c r="AU150" s="185"/>
      <c r="AV150" s="185"/>
      <c r="AW150" s="185"/>
      <c r="AX150" s="185"/>
      <c r="AY150" s="185"/>
      <c r="AZ150" s="185"/>
      <c r="BA150" s="185"/>
      <c r="BB150" s="185"/>
      <c r="BC150" s="185"/>
      <c r="BD150" s="185"/>
      <c r="BE150" s="185"/>
      <c r="BF150" s="185"/>
      <c r="BG150" s="185"/>
      <c r="BH150" s="185"/>
      <c r="BI150" s="185"/>
      <c r="BJ150" s="185"/>
      <c r="BK150" s="185"/>
      <c r="BL150" s="185"/>
      <c r="BM150" s="185"/>
      <c r="BN150" s="185"/>
      <c r="BO150" s="185"/>
      <c r="BP150" s="185"/>
      <c r="BQ150" s="185"/>
      <c r="BR150" s="185"/>
      <c r="BS150" s="185"/>
      <c r="BT150" s="185"/>
      <c r="BU150" s="185"/>
      <c r="BV150" s="185"/>
      <c r="BW150" s="185"/>
      <c r="BX150" s="185"/>
      <c r="BY150" s="185"/>
      <c r="BZ150" s="185"/>
      <c r="CA150" s="185"/>
      <c r="CB150" s="185"/>
      <c r="CC150" s="185"/>
      <c r="CD150" s="185"/>
      <c r="CE150" s="185"/>
      <c r="CF150" s="185"/>
      <c r="CG150" s="185"/>
      <c r="CH150" s="185"/>
      <c r="CI150" s="185"/>
      <c r="CJ150" s="185"/>
      <c r="CK150" s="185"/>
      <c r="CL150" s="185"/>
      <c r="CM150" s="185"/>
      <c r="CN150" s="185"/>
      <c r="CO150" s="185"/>
      <c r="CP150" s="185"/>
      <c r="CQ150" s="185"/>
      <c r="CR150" s="185"/>
      <c r="CS150" s="185"/>
      <c r="CT150" s="185"/>
      <c r="CU150" s="185"/>
      <c r="CV150" s="185"/>
      <c r="CW150" s="185"/>
      <c r="CX150" s="185"/>
      <c r="CY150" s="185"/>
      <c r="CZ150" s="185"/>
      <c r="DA150" s="185"/>
      <c r="DB150" s="185"/>
      <c r="DC150" s="185"/>
      <c r="DD150" s="185"/>
      <c r="DE150" s="185"/>
      <c r="DF150" s="185"/>
      <c r="DG150" s="185"/>
      <c r="DH150" s="185"/>
      <c r="DI150" s="185"/>
      <c r="DJ150" s="185"/>
      <c r="DK150" s="185"/>
      <c r="DL150" s="185"/>
      <c r="DM150" s="185"/>
      <c r="DN150" s="185"/>
      <c r="DO150" s="185"/>
      <c r="DP150" s="185"/>
      <c r="DQ150" s="185"/>
      <c r="DR150" s="185"/>
      <c r="DS150" s="185"/>
      <c r="DT150" s="185"/>
      <c r="DU150" s="185"/>
      <c r="DV150" s="185"/>
      <c r="DW150" s="185"/>
      <c r="DX150" s="185"/>
      <c r="DY150" s="185"/>
      <c r="DZ150" s="185"/>
      <c r="EA150" s="185"/>
      <c r="EB150" s="185"/>
      <c r="EC150" s="185"/>
      <c r="ED150" s="185"/>
      <c r="EE150" s="185"/>
      <c r="EF150" s="185"/>
      <c r="EG150" s="185"/>
      <c r="EH150" s="185"/>
      <c r="EI150" s="185"/>
      <c r="EJ150" s="185"/>
      <c r="EK150" s="185"/>
      <c r="EL150" s="185"/>
      <c r="EM150" s="185"/>
      <c r="EN150" s="185"/>
      <c r="EO150" s="185"/>
      <c r="EP150" s="185"/>
      <c r="EQ150" s="185"/>
      <c r="ER150" s="185"/>
      <c r="ES150" s="185"/>
      <c r="ET150" s="185"/>
      <c r="EU150" s="185"/>
      <c r="EV150" s="185"/>
      <c r="EW150" s="185"/>
      <c r="EX150" s="185"/>
      <c r="EY150" s="185"/>
      <c r="EZ150" s="185"/>
      <c r="FA150" s="185"/>
      <c r="FB150" s="185"/>
      <c r="FC150" s="185"/>
      <c r="FD150" s="185"/>
      <c r="FE150" s="185"/>
      <c r="FF150" s="185"/>
      <c r="FG150" s="185"/>
      <c r="FH150" s="185"/>
      <c r="FI150" s="185"/>
      <c r="FJ150" s="185"/>
      <c r="FK150" s="185"/>
      <c r="FL150" s="185"/>
      <c r="FM150" s="185"/>
      <c r="FN150" s="185"/>
      <c r="FO150" s="185"/>
      <c r="FP150" s="185"/>
      <c r="FQ150" s="185"/>
      <c r="FR150" s="185"/>
      <c r="FS150" s="185"/>
      <c r="FT150" s="185"/>
      <c r="FU150" s="185"/>
      <c r="FV150" s="185"/>
      <c r="FW150" s="185"/>
      <c r="FX150" s="185"/>
      <c r="FY150" s="185"/>
      <c r="FZ150" s="185"/>
      <c r="GA150" s="185"/>
      <c r="GB150" s="185"/>
      <c r="GC150" s="185"/>
      <c r="GD150" s="185"/>
      <c r="GE150" s="185"/>
      <c r="GF150" s="185"/>
      <c r="GG150" s="185"/>
      <c r="GH150" s="185"/>
      <c r="GI150" s="185"/>
      <c r="GJ150" s="185"/>
      <c r="GK150" s="185"/>
      <c r="GL150" s="185"/>
      <c r="GM150" s="185"/>
      <c r="GN150" s="185"/>
      <c r="GO150" s="185"/>
      <c r="GP150" s="185"/>
      <c r="GQ150" s="185"/>
      <c r="GR150" s="185"/>
      <c r="GS150" s="185"/>
      <c r="GT150" s="185"/>
      <c r="GU150" s="185"/>
      <c r="GV150" s="185"/>
      <c r="GW150" s="185"/>
      <c r="GX150" s="185"/>
      <c r="GY150" s="185"/>
      <c r="GZ150" s="185"/>
      <c r="HA150" s="185"/>
      <c r="HB150" s="185"/>
      <c r="HC150" s="185"/>
      <c r="HD150" s="185"/>
      <c r="HE150" s="185"/>
      <c r="HF150" s="185"/>
      <c r="HG150" s="185"/>
      <c r="HH150" s="185"/>
      <c r="HI150" s="185"/>
      <c r="HJ150" s="185"/>
      <c r="HK150" s="185"/>
      <c r="HL150" s="185"/>
      <c r="HM150" s="185"/>
      <c r="HN150" s="185"/>
      <c r="HO150" s="185"/>
      <c r="HP150" s="185"/>
      <c r="HQ150" s="185"/>
      <c r="HR150" s="185"/>
      <c r="HS150" s="185"/>
      <c r="HT150" s="185"/>
      <c r="HU150" s="185"/>
      <c r="HV150" s="185"/>
      <c r="HW150" s="185"/>
      <c r="HX150" s="185"/>
      <c r="HY150" s="185"/>
      <c r="HZ150" s="185"/>
      <c r="IA150" s="185"/>
      <c r="IB150" s="185"/>
      <c r="IC150" s="185"/>
      <c r="ID150" s="185"/>
      <c r="IE150" s="185"/>
      <c r="IF150" s="185"/>
      <c r="IG150" s="185"/>
      <c r="IH150" s="185"/>
      <c r="II150" s="185"/>
      <c r="IJ150" s="185"/>
      <c r="IK150" s="185"/>
      <c r="IL150" s="185"/>
      <c r="IM150" s="185"/>
      <c r="IN150" s="185"/>
      <c r="IO150" s="185"/>
      <c r="IP150" s="185"/>
      <c r="IQ150" s="185"/>
      <c r="IR150" s="185"/>
      <c r="IS150" s="185"/>
      <c r="IT150" s="185"/>
      <c r="IU150" s="185"/>
      <c r="IV150" s="185"/>
      <c r="IW150" s="185"/>
    </row>
    <row r="151" customFormat="false" ht="12.75" hidden="false" customHeight="false" outlineLevel="0" collapsed="false">
      <c r="A151" s="39" t="s">
        <v>144</v>
      </c>
      <c r="B151" s="186" t="s">
        <v>273</v>
      </c>
      <c r="C151" s="187" t="s">
        <v>428</v>
      </c>
      <c r="D151" s="188" t="n">
        <v>36678</v>
      </c>
      <c r="E151" s="188" t="n">
        <v>36707</v>
      </c>
      <c r="F151" s="39" t="s">
        <v>429</v>
      </c>
      <c r="G151" s="39" t="s">
        <v>430</v>
      </c>
      <c r="H151" s="186" t="s">
        <v>154</v>
      </c>
      <c r="I151" s="189" t="n">
        <f aca="false">2.1/I$1</f>
        <v>0.067741935483871</v>
      </c>
      <c r="J151" s="190"/>
      <c r="K151" s="190"/>
      <c r="L151" s="190"/>
      <c r="M151" s="190"/>
      <c r="N151" s="190"/>
      <c r="O151" s="190"/>
      <c r="P151" s="191" t="s">
        <v>431</v>
      </c>
      <c r="Q151" s="187" t="n">
        <v>400</v>
      </c>
      <c r="R151" s="39" t="s">
        <v>432</v>
      </c>
      <c r="S151" s="192" t="n">
        <f aca="false">I151*$I$1*Q151</f>
        <v>840</v>
      </c>
      <c r="T151" s="192"/>
      <c r="U151" s="193" t="n">
        <v>284527</v>
      </c>
      <c r="V151" s="193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4"/>
      <c r="AT151" s="194"/>
      <c r="AU151" s="194"/>
      <c r="AV151" s="194"/>
      <c r="AW151" s="194"/>
      <c r="AX151" s="194"/>
      <c r="AY151" s="194"/>
      <c r="AZ151" s="194"/>
      <c r="BA151" s="194"/>
      <c r="BB151" s="194"/>
      <c r="BC151" s="194"/>
      <c r="BD151" s="194"/>
      <c r="BE151" s="194"/>
      <c r="BF151" s="194"/>
      <c r="BG151" s="194"/>
      <c r="BH151" s="194"/>
      <c r="BI151" s="194"/>
      <c r="BJ151" s="194"/>
      <c r="BK151" s="194"/>
      <c r="BL151" s="194"/>
      <c r="BM151" s="194"/>
      <c r="BN151" s="194"/>
      <c r="BO151" s="194"/>
      <c r="BP151" s="194"/>
      <c r="BQ151" s="194"/>
      <c r="BR151" s="194"/>
      <c r="BS151" s="194"/>
      <c r="BT151" s="194"/>
      <c r="BU151" s="194"/>
      <c r="BV151" s="194"/>
      <c r="BW151" s="194"/>
      <c r="BX151" s="194"/>
      <c r="BY151" s="194"/>
      <c r="BZ151" s="194"/>
      <c r="CA151" s="194"/>
      <c r="CB151" s="194"/>
      <c r="CC151" s="194"/>
      <c r="CD151" s="194"/>
      <c r="CE151" s="194"/>
      <c r="CF151" s="194"/>
      <c r="CG151" s="194"/>
      <c r="CH151" s="194"/>
      <c r="CI151" s="194"/>
      <c r="CJ151" s="194"/>
      <c r="CK151" s="194"/>
      <c r="CL151" s="194"/>
      <c r="CM151" s="194"/>
      <c r="CN151" s="194"/>
      <c r="CO151" s="194"/>
      <c r="CP151" s="194"/>
      <c r="CQ151" s="194"/>
      <c r="CR151" s="194"/>
      <c r="CS151" s="194"/>
      <c r="CT151" s="194"/>
      <c r="CU151" s="194"/>
      <c r="CV151" s="194"/>
      <c r="CW151" s="194"/>
      <c r="CX151" s="194"/>
      <c r="CY151" s="194"/>
      <c r="CZ151" s="194"/>
      <c r="DA151" s="194"/>
      <c r="DB151" s="194"/>
      <c r="DC151" s="194"/>
      <c r="DD151" s="194"/>
      <c r="DE151" s="194"/>
      <c r="DF151" s="194"/>
      <c r="DG151" s="194"/>
      <c r="DH151" s="194"/>
      <c r="DI151" s="194"/>
      <c r="DJ151" s="194"/>
      <c r="DK151" s="194"/>
      <c r="DL151" s="194"/>
      <c r="DM151" s="194"/>
      <c r="DN151" s="194"/>
      <c r="DO151" s="194"/>
      <c r="DP151" s="194"/>
      <c r="DQ151" s="194"/>
      <c r="DR151" s="194"/>
      <c r="DS151" s="194"/>
      <c r="DT151" s="194"/>
      <c r="DU151" s="194"/>
      <c r="DV151" s="194"/>
      <c r="DW151" s="194"/>
      <c r="DX151" s="194"/>
      <c r="DY151" s="194"/>
      <c r="DZ151" s="194"/>
      <c r="EA151" s="194"/>
      <c r="EB151" s="194"/>
      <c r="EC151" s="194"/>
      <c r="ED151" s="194"/>
      <c r="EE151" s="194"/>
      <c r="EF151" s="194"/>
      <c r="EG151" s="194"/>
      <c r="EH151" s="194"/>
      <c r="EI151" s="194"/>
      <c r="EJ151" s="194"/>
      <c r="EK151" s="194"/>
      <c r="EL151" s="194"/>
      <c r="EM151" s="194"/>
      <c r="EN151" s="194"/>
      <c r="EO151" s="194"/>
      <c r="EP151" s="194"/>
      <c r="EQ151" s="194"/>
      <c r="ER151" s="194"/>
      <c r="ES151" s="194"/>
      <c r="ET151" s="194"/>
      <c r="EU151" s="194"/>
      <c r="EV151" s="194"/>
      <c r="EW151" s="194"/>
      <c r="EX151" s="194"/>
      <c r="EY151" s="194"/>
      <c r="EZ151" s="194"/>
      <c r="FA151" s="194"/>
      <c r="FB151" s="194"/>
      <c r="FC151" s="194"/>
      <c r="FD151" s="194"/>
      <c r="FE151" s="194"/>
      <c r="FF151" s="194"/>
      <c r="FG151" s="194"/>
      <c r="FH151" s="194"/>
      <c r="FI151" s="194"/>
      <c r="FJ151" s="194"/>
      <c r="FK151" s="194"/>
      <c r="FL151" s="194"/>
      <c r="FM151" s="194"/>
      <c r="FN151" s="194"/>
      <c r="FO151" s="194"/>
      <c r="FP151" s="194"/>
      <c r="FQ151" s="194"/>
      <c r="FR151" s="194"/>
      <c r="FS151" s="194"/>
      <c r="FT151" s="194"/>
      <c r="FU151" s="194"/>
      <c r="FV151" s="194"/>
      <c r="FW151" s="194"/>
      <c r="FX151" s="194"/>
      <c r="FY151" s="194"/>
      <c r="FZ151" s="194"/>
      <c r="GA151" s="194"/>
      <c r="GB151" s="194"/>
      <c r="GC151" s="194"/>
      <c r="GD151" s="194"/>
      <c r="GE151" s="194"/>
      <c r="GF151" s="194"/>
      <c r="GG151" s="194"/>
      <c r="GH151" s="194"/>
      <c r="GI151" s="194"/>
      <c r="GJ151" s="194"/>
      <c r="GK151" s="194"/>
      <c r="GL151" s="194"/>
      <c r="GM151" s="194"/>
      <c r="GN151" s="194"/>
      <c r="GO151" s="194"/>
      <c r="GP151" s="194"/>
      <c r="GQ151" s="194"/>
      <c r="GR151" s="194"/>
      <c r="GS151" s="194"/>
      <c r="GT151" s="194"/>
      <c r="GU151" s="194"/>
      <c r="GV151" s="194"/>
      <c r="GW151" s="194"/>
      <c r="GX151" s="194"/>
      <c r="GY151" s="194"/>
      <c r="GZ151" s="194"/>
      <c r="HA151" s="194"/>
      <c r="HB151" s="194"/>
      <c r="HC151" s="194"/>
      <c r="HD151" s="194"/>
      <c r="HE151" s="194"/>
      <c r="HF151" s="194"/>
      <c r="HG151" s="194"/>
      <c r="HH151" s="194"/>
      <c r="HI151" s="194"/>
      <c r="HJ151" s="194"/>
      <c r="HK151" s="194"/>
      <c r="HL151" s="194"/>
      <c r="HM151" s="194"/>
      <c r="HN151" s="194"/>
      <c r="HO151" s="194"/>
      <c r="HP151" s="194"/>
      <c r="HQ151" s="194"/>
      <c r="HR151" s="194"/>
      <c r="HS151" s="194"/>
      <c r="HT151" s="194"/>
      <c r="HU151" s="194"/>
      <c r="HV151" s="194"/>
      <c r="HW151" s="194"/>
      <c r="HX151" s="194"/>
      <c r="HY151" s="194"/>
      <c r="HZ151" s="194"/>
      <c r="IA151" s="194"/>
      <c r="IB151" s="194"/>
      <c r="IC151" s="194"/>
      <c r="ID151" s="194"/>
      <c r="IE151" s="194"/>
      <c r="IF151" s="194"/>
      <c r="IG151" s="194"/>
      <c r="IH151" s="194"/>
      <c r="II151" s="194"/>
      <c r="IJ151" s="194"/>
      <c r="IK151" s="194"/>
      <c r="IL151" s="194"/>
      <c r="IM151" s="194"/>
      <c r="IN151" s="194"/>
      <c r="IO151" s="194"/>
      <c r="IP151" s="194"/>
      <c r="IQ151" s="194"/>
      <c r="IR151" s="194"/>
      <c r="IS151" s="194"/>
      <c r="IT151" s="194"/>
      <c r="IU151" s="194"/>
      <c r="IV151" s="194"/>
      <c r="IW151" s="194"/>
    </row>
    <row r="152" customFormat="false" ht="12.75" hidden="false" customHeight="false" outlineLevel="0" collapsed="false">
      <c r="A152" s="39" t="s">
        <v>144</v>
      </c>
      <c r="B152" s="186" t="s">
        <v>273</v>
      </c>
      <c r="C152" s="187" t="s">
        <v>428</v>
      </c>
      <c r="D152" s="188" t="n">
        <v>36678</v>
      </c>
      <c r="E152" s="188" t="n">
        <v>36707</v>
      </c>
      <c r="F152" s="39" t="s">
        <v>429</v>
      </c>
      <c r="G152" s="39" t="s">
        <v>430</v>
      </c>
      <c r="H152" s="186" t="s">
        <v>154</v>
      </c>
      <c r="I152" s="189" t="n">
        <f aca="false">2.1/I$1</f>
        <v>0.067741935483871</v>
      </c>
      <c r="J152" s="190"/>
      <c r="K152" s="190"/>
      <c r="L152" s="190"/>
      <c r="M152" s="190"/>
      <c r="N152" s="190"/>
      <c r="O152" s="190"/>
      <c r="P152" s="191" t="s">
        <v>433</v>
      </c>
      <c r="Q152" s="187" t="n">
        <v>2200</v>
      </c>
      <c r="R152" s="39" t="s">
        <v>434</v>
      </c>
      <c r="S152" s="192" t="n">
        <f aca="false">I152*$I$1*Q152</f>
        <v>4620</v>
      </c>
      <c r="T152" s="192"/>
      <c r="U152" s="193" t="n">
        <v>284532</v>
      </c>
      <c r="V152" s="193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4"/>
      <c r="AT152" s="194"/>
      <c r="AU152" s="194"/>
      <c r="AV152" s="194"/>
      <c r="AW152" s="194"/>
      <c r="AX152" s="194"/>
      <c r="AY152" s="194"/>
      <c r="AZ152" s="194"/>
      <c r="BA152" s="194"/>
      <c r="BB152" s="194"/>
      <c r="BC152" s="194"/>
      <c r="BD152" s="194"/>
      <c r="BE152" s="194"/>
      <c r="BF152" s="194"/>
      <c r="BG152" s="194"/>
      <c r="BH152" s="194"/>
      <c r="BI152" s="194"/>
      <c r="BJ152" s="194"/>
      <c r="BK152" s="194"/>
      <c r="BL152" s="194"/>
      <c r="BM152" s="194"/>
      <c r="BN152" s="194"/>
      <c r="BO152" s="194"/>
      <c r="BP152" s="194"/>
      <c r="BQ152" s="194"/>
      <c r="BR152" s="194"/>
      <c r="BS152" s="194"/>
      <c r="BT152" s="194"/>
      <c r="BU152" s="194"/>
      <c r="BV152" s="194"/>
      <c r="BW152" s="194"/>
      <c r="BX152" s="194"/>
      <c r="BY152" s="194"/>
      <c r="BZ152" s="194"/>
      <c r="CA152" s="194"/>
      <c r="CB152" s="194"/>
      <c r="CC152" s="194"/>
      <c r="CD152" s="194"/>
      <c r="CE152" s="194"/>
      <c r="CF152" s="194"/>
      <c r="CG152" s="194"/>
      <c r="CH152" s="194"/>
      <c r="CI152" s="194"/>
      <c r="CJ152" s="194"/>
      <c r="CK152" s="194"/>
      <c r="CL152" s="194"/>
      <c r="CM152" s="194"/>
      <c r="CN152" s="194"/>
      <c r="CO152" s="194"/>
      <c r="CP152" s="194"/>
      <c r="CQ152" s="194"/>
      <c r="CR152" s="194"/>
      <c r="CS152" s="194"/>
      <c r="CT152" s="194"/>
      <c r="CU152" s="194"/>
      <c r="CV152" s="194"/>
      <c r="CW152" s="194"/>
      <c r="CX152" s="194"/>
      <c r="CY152" s="194"/>
      <c r="CZ152" s="194"/>
      <c r="DA152" s="194"/>
      <c r="DB152" s="194"/>
      <c r="DC152" s="194"/>
      <c r="DD152" s="194"/>
      <c r="DE152" s="194"/>
      <c r="DF152" s="194"/>
      <c r="DG152" s="194"/>
      <c r="DH152" s="194"/>
      <c r="DI152" s="194"/>
      <c r="DJ152" s="194"/>
      <c r="DK152" s="194"/>
      <c r="DL152" s="194"/>
      <c r="DM152" s="194"/>
      <c r="DN152" s="194"/>
      <c r="DO152" s="194"/>
      <c r="DP152" s="194"/>
      <c r="DQ152" s="194"/>
      <c r="DR152" s="194"/>
      <c r="DS152" s="194"/>
      <c r="DT152" s="194"/>
      <c r="DU152" s="194"/>
      <c r="DV152" s="194"/>
      <c r="DW152" s="194"/>
      <c r="DX152" s="194"/>
      <c r="DY152" s="194"/>
      <c r="DZ152" s="194"/>
      <c r="EA152" s="194"/>
      <c r="EB152" s="194"/>
      <c r="EC152" s="194"/>
      <c r="ED152" s="194"/>
      <c r="EE152" s="194"/>
      <c r="EF152" s="194"/>
      <c r="EG152" s="194"/>
      <c r="EH152" s="194"/>
      <c r="EI152" s="194"/>
      <c r="EJ152" s="194"/>
      <c r="EK152" s="194"/>
      <c r="EL152" s="194"/>
      <c r="EM152" s="194"/>
      <c r="EN152" s="194"/>
      <c r="EO152" s="194"/>
      <c r="EP152" s="194"/>
      <c r="EQ152" s="194"/>
      <c r="ER152" s="194"/>
      <c r="ES152" s="194"/>
      <c r="ET152" s="194"/>
      <c r="EU152" s="194"/>
      <c r="EV152" s="194"/>
      <c r="EW152" s="194"/>
      <c r="EX152" s="194"/>
      <c r="EY152" s="194"/>
      <c r="EZ152" s="194"/>
      <c r="FA152" s="194"/>
      <c r="FB152" s="194"/>
      <c r="FC152" s="194"/>
      <c r="FD152" s="194"/>
      <c r="FE152" s="194"/>
      <c r="FF152" s="194"/>
      <c r="FG152" s="194"/>
      <c r="FH152" s="194"/>
      <c r="FI152" s="194"/>
      <c r="FJ152" s="194"/>
      <c r="FK152" s="194"/>
      <c r="FL152" s="194"/>
      <c r="FM152" s="194"/>
      <c r="FN152" s="194"/>
      <c r="FO152" s="194"/>
      <c r="FP152" s="194"/>
      <c r="FQ152" s="194"/>
      <c r="FR152" s="194"/>
      <c r="FS152" s="194"/>
      <c r="FT152" s="194"/>
      <c r="FU152" s="194"/>
      <c r="FV152" s="194"/>
      <c r="FW152" s="194"/>
      <c r="FX152" s="194"/>
      <c r="FY152" s="194"/>
      <c r="FZ152" s="194"/>
      <c r="GA152" s="194"/>
      <c r="GB152" s="194"/>
      <c r="GC152" s="194"/>
      <c r="GD152" s="194"/>
      <c r="GE152" s="194"/>
      <c r="GF152" s="194"/>
      <c r="GG152" s="194"/>
      <c r="GH152" s="194"/>
      <c r="GI152" s="194"/>
      <c r="GJ152" s="194"/>
      <c r="GK152" s="194"/>
      <c r="GL152" s="194"/>
      <c r="GM152" s="194"/>
      <c r="GN152" s="194"/>
      <c r="GO152" s="194"/>
      <c r="GP152" s="194"/>
      <c r="GQ152" s="194"/>
      <c r="GR152" s="194"/>
      <c r="GS152" s="194"/>
      <c r="GT152" s="194"/>
      <c r="GU152" s="194"/>
      <c r="GV152" s="194"/>
      <c r="GW152" s="194"/>
      <c r="GX152" s="194"/>
      <c r="GY152" s="194"/>
      <c r="GZ152" s="194"/>
      <c r="HA152" s="194"/>
      <c r="HB152" s="194"/>
      <c r="HC152" s="194"/>
      <c r="HD152" s="194"/>
      <c r="HE152" s="194"/>
      <c r="HF152" s="194"/>
      <c r="HG152" s="194"/>
      <c r="HH152" s="194"/>
      <c r="HI152" s="194"/>
      <c r="HJ152" s="194"/>
      <c r="HK152" s="194"/>
      <c r="HL152" s="194"/>
      <c r="HM152" s="194"/>
      <c r="HN152" s="194"/>
      <c r="HO152" s="194"/>
      <c r="HP152" s="194"/>
      <c r="HQ152" s="194"/>
      <c r="HR152" s="194"/>
      <c r="HS152" s="194"/>
      <c r="HT152" s="194"/>
      <c r="HU152" s="194"/>
      <c r="HV152" s="194"/>
      <c r="HW152" s="194"/>
      <c r="HX152" s="194"/>
      <c r="HY152" s="194"/>
      <c r="HZ152" s="194"/>
      <c r="IA152" s="194"/>
      <c r="IB152" s="194"/>
      <c r="IC152" s="194"/>
      <c r="ID152" s="194"/>
      <c r="IE152" s="194"/>
      <c r="IF152" s="194"/>
      <c r="IG152" s="194"/>
      <c r="IH152" s="194"/>
      <c r="II152" s="194"/>
      <c r="IJ152" s="194"/>
      <c r="IK152" s="194"/>
      <c r="IL152" s="194"/>
      <c r="IM152" s="194"/>
      <c r="IN152" s="194"/>
      <c r="IO152" s="194"/>
      <c r="IP152" s="194"/>
      <c r="IQ152" s="194"/>
      <c r="IR152" s="194"/>
      <c r="IS152" s="194"/>
      <c r="IT152" s="194"/>
      <c r="IU152" s="194"/>
      <c r="IV152" s="194"/>
      <c r="IW152" s="194"/>
    </row>
    <row r="153" customFormat="false" ht="12.75" hidden="false" customHeight="false" outlineLevel="0" collapsed="false">
      <c r="A153" s="39" t="s">
        <v>144</v>
      </c>
      <c r="B153" s="186" t="s">
        <v>273</v>
      </c>
      <c r="C153" s="187" t="s">
        <v>428</v>
      </c>
      <c r="D153" s="188" t="n">
        <v>36678</v>
      </c>
      <c r="E153" s="188" t="n">
        <v>36707</v>
      </c>
      <c r="F153" s="39" t="s">
        <v>429</v>
      </c>
      <c r="G153" s="39" t="s">
        <v>430</v>
      </c>
      <c r="H153" s="186" t="s">
        <v>154</v>
      </c>
      <c r="I153" s="189" t="n">
        <f aca="false">2.1/I$1</f>
        <v>0.067741935483871</v>
      </c>
      <c r="J153" s="190"/>
      <c r="K153" s="190"/>
      <c r="L153" s="190"/>
      <c r="M153" s="190"/>
      <c r="N153" s="190"/>
      <c r="O153" s="190"/>
      <c r="P153" s="191" t="s">
        <v>435</v>
      </c>
      <c r="Q153" s="187" t="n">
        <v>950</v>
      </c>
      <c r="R153" s="39" t="s">
        <v>436</v>
      </c>
      <c r="S153" s="192" t="n">
        <f aca="false">I153*$I$1*Q153</f>
        <v>1995</v>
      </c>
      <c r="T153" s="192"/>
      <c r="U153" s="193" t="n">
        <v>284534</v>
      </c>
      <c r="V153" s="193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4"/>
      <c r="AT153" s="194"/>
      <c r="AU153" s="194"/>
      <c r="AV153" s="194"/>
      <c r="AW153" s="194"/>
      <c r="AX153" s="194"/>
      <c r="AY153" s="194"/>
      <c r="AZ153" s="194"/>
      <c r="BA153" s="194"/>
      <c r="BB153" s="194"/>
      <c r="BC153" s="194"/>
      <c r="BD153" s="194"/>
      <c r="BE153" s="194"/>
      <c r="BF153" s="194"/>
      <c r="BG153" s="194"/>
      <c r="BH153" s="194"/>
      <c r="BI153" s="194"/>
      <c r="BJ153" s="194"/>
      <c r="BK153" s="194"/>
      <c r="BL153" s="194"/>
      <c r="BM153" s="194"/>
      <c r="BN153" s="194"/>
      <c r="BO153" s="194"/>
      <c r="BP153" s="194"/>
      <c r="BQ153" s="194"/>
      <c r="BR153" s="194"/>
      <c r="BS153" s="194"/>
      <c r="BT153" s="194"/>
      <c r="BU153" s="194"/>
      <c r="BV153" s="194"/>
      <c r="BW153" s="194"/>
      <c r="BX153" s="194"/>
      <c r="BY153" s="194"/>
      <c r="BZ153" s="194"/>
      <c r="CA153" s="194"/>
      <c r="CB153" s="194"/>
      <c r="CC153" s="194"/>
      <c r="CD153" s="194"/>
      <c r="CE153" s="194"/>
      <c r="CF153" s="194"/>
      <c r="CG153" s="194"/>
      <c r="CH153" s="194"/>
      <c r="CI153" s="194"/>
      <c r="CJ153" s="194"/>
      <c r="CK153" s="194"/>
      <c r="CL153" s="194"/>
      <c r="CM153" s="194"/>
      <c r="CN153" s="194"/>
      <c r="CO153" s="194"/>
      <c r="CP153" s="194"/>
      <c r="CQ153" s="194"/>
      <c r="CR153" s="194"/>
      <c r="CS153" s="194"/>
      <c r="CT153" s="194"/>
      <c r="CU153" s="194"/>
      <c r="CV153" s="194"/>
      <c r="CW153" s="194"/>
      <c r="CX153" s="194"/>
      <c r="CY153" s="194"/>
      <c r="CZ153" s="194"/>
      <c r="DA153" s="194"/>
      <c r="DB153" s="194"/>
      <c r="DC153" s="194"/>
      <c r="DD153" s="194"/>
      <c r="DE153" s="194"/>
      <c r="DF153" s="194"/>
      <c r="DG153" s="194"/>
      <c r="DH153" s="194"/>
      <c r="DI153" s="194"/>
      <c r="DJ153" s="194"/>
      <c r="DK153" s="194"/>
      <c r="DL153" s="194"/>
      <c r="DM153" s="194"/>
      <c r="DN153" s="194"/>
      <c r="DO153" s="194"/>
      <c r="DP153" s="194"/>
      <c r="DQ153" s="194"/>
      <c r="DR153" s="194"/>
      <c r="DS153" s="194"/>
      <c r="DT153" s="194"/>
      <c r="DU153" s="194"/>
      <c r="DV153" s="194"/>
      <c r="DW153" s="194"/>
      <c r="DX153" s="194"/>
      <c r="DY153" s="194"/>
      <c r="DZ153" s="194"/>
      <c r="EA153" s="194"/>
      <c r="EB153" s="194"/>
      <c r="EC153" s="194"/>
      <c r="ED153" s="194"/>
      <c r="EE153" s="194"/>
      <c r="EF153" s="194"/>
      <c r="EG153" s="194"/>
      <c r="EH153" s="194"/>
      <c r="EI153" s="194"/>
      <c r="EJ153" s="194"/>
      <c r="EK153" s="194"/>
      <c r="EL153" s="194"/>
      <c r="EM153" s="194"/>
      <c r="EN153" s="194"/>
      <c r="EO153" s="194"/>
      <c r="EP153" s="194"/>
      <c r="EQ153" s="194"/>
      <c r="ER153" s="194"/>
      <c r="ES153" s="194"/>
      <c r="ET153" s="194"/>
      <c r="EU153" s="194"/>
      <c r="EV153" s="194"/>
      <c r="EW153" s="194"/>
      <c r="EX153" s="194"/>
      <c r="EY153" s="194"/>
      <c r="EZ153" s="194"/>
      <c r="FA153" s="194"/>
      <c r="FB153" s="194"/>
      <c r="FC153" s="194"/>
      <c r="FD153" s="194"/>
      <c r="FE153" s="194"/>
      <c r="FF153" s="194"/>
      <c r="FG153" s="194"/>
      <c r="FH153" s="194"/>
      <c r="FI153" s="194"/>
      <c r="FJ153" s="194"/>
      <c r="FK153" s="194"/>
      <c r="FL153" s="194"/>
      <c r="FM153" s="194"/>
      <c r="FN153" s="194"/>
      <c r="FO153" s="194"/>
      <c r="FP153" s="194"/>
      <c r="FQ153" s="194"/>
      <c r="FR153" s="194"/>
      <c r="FS153" s="194"/>
      <c r="FT153" s="194"/>
      <c r="FU153" s="194"/>
      <c r="FV153" s="194"/>
      <c r="FW153" s="194"/>
      <c r="FX153" s="194"/>
      <c r="FY153" s="194"/>
      <c r="FZ153" s="194"/>
      <c r="GA153" s="194"/>
      <c r="GB153" s="194"/>
      <c r="GC153" s="194"/>
      <c r="GD153" s="194"/>
      <c r="GE153" s="194"/>
      <c r="GF153" s="194"/>
      <c r="GG153" s="194"/>
      <c r="GH153" s="194"/>
      <c r="GI153" s="194"/>
      <c r="GJ153" s="194"/>
      <c r="GK153" s="194"/>
      <c r="GL153" s="194"/>
      <c r="GM153" s="194"/>
      <c r="GN153" s="194"/>
      <c r="GO153" s="194"/>
      <c r="GP153" s="194"/>
      <c r="GQ153" s="194"/>
      <c r="GR153" s="194"/>
      <c r="GS153" s="194"/>
      <c r="GT153" s="194"/>
      <c r="GU153" s="194"/>
      <c r="GV153" s="194"/>
      <c r="GW153" s="194"/>
      <c r="GX153" s="194"/>
      <c r="GY153" s="194"/>
      <c r="GZ153" s="194"/>
      <c r="HA153" s="194"/>
      <c r="HB153" s="194"/>
      <c r="HC153" s="194"/>
      <c r="HD153" s="194"/>
      <c r="HE153" s="194"/>
      <c r="HF153" s="194"/>
      <c r="HG153" s="194"/>
      <c r="HH153" s="194"/>
      <c r="HI153" s="194"/>
      <c r="HJ153" s="194"/>
      <c r="HK153" s="194"/>
      <c r="HL153" s="194"/>
      <c r="HM153" s="194"/>
      <c r="HN153" s="194"/>
      <c r="HO153" s="194"/>
      <c r="HP153" s="194"/>
      <c r="HQ153" s="194"/>
      <c r="HR153" s="194"/>
      <c r="HS153" s="194"/>
      <c r="HT153" s="194"/>
      <c r="HU153" s="194"/>
      <c r="HV153" s="194"/>
      <c r="HW153" s="194"/>
      <c r="HX153" s="194"/>
      <c r="HY153" s="194"/>
      <c r="HZ153" s="194"/>
      <c r="IA153" s="194"/>
      <c r="IB153" s="194"/>
      <c r="IC153" s="194"/>
      <c r="ID153" s="194"/>
      <c r="IE153" s="194"/>
      <c r="IF153" s="194"/>
      <c r="IG153" s="194"/>
      <c r="IH153" s="194"/>
      <c r="II153" s="194"/>
      <c r="IJ153" s="194"/>
      <c r="IK153" s="194"/>
      <c r="IL153" s="194"/>
      <c r="IM153" s="194"/>
      <c r="IN153" s="194"/>
      <c r="IO153" s="194"/>
      <c r="IP153" s="194"/>
      <c r="IQ153" s="194"/>
      <c r="IR153" s="194"/>
      <c r="IS153" s="194"/>
      <c r="IT153" s="194"/>
      <c r="IU153" s="194"/>
      <c r="IV153" s="194"/>
      <c r="IW153" s="194"/>
    </row>
    <row r="154" customFormat="false" ht="12.75" hidden="false" customHeight="false" outlineLevel="0" collapsed="false">
      <c r="A154" s="39" t="s">
        <v>144</v>
      </c>
      <c r="B154" s="186" t="s">
        <v>273</v>
      </c>
      <c r="C154" s="187" t="s">
        <v>428</v>
      </c>
      <c r="D154" s="188" t="n">
        <v>36678</v>
      </c>
      <c r="E154" s="188" t="n">
        <v>36707</v>
      </c>
      <c r="F154" s="39" t="s">
        <v>429</v>
      </c>
      <c r="G154" s="39" t="s">
        <v>430</v>
      </c>
      <c r="H154" s="186" t="s">
        <v>154</v>
      </c>
      <c r="I154" s="189" t="n">
        <f aca="false">2.1/I$1</f>
        <v>0.067741935483871</v>
      </c>
      <c r="J154" s="190"/>
      <c r="K154" s="190"/>
      <c r="L154" s="190"/>
      <c r="M154" s="190"/>
      <c r="N154" s="190"/>
      <c r="O154" s="190"/>
      <c r="P154" s="191" t="s">
        <v>437</v>
      </c>
      <c r="Q154" s="187" t="n">
        <v>400</v>
      </c>
      <c r="R154" s="39" t="s">
        <v>438</v>
      </c>
      <c r="S154" s="192" t="n">
        <f aca="false">I154*$I$1*Q154</f>
        <v>840</v>
      </c>
      <c r="T154" s="192"/>
      <c r="U154" s="193" t="n">
        <v>284546</v>
      </c>
      <c r="V154" s="193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4"/>
      <c r="AT154" s="194"/>
      <c r="AU154" s="194"/>
      <c r="AV154" s="194"/>
      <c r="AW154" s="194"/>
      <c r="AX154" s="194"/>
      <c r="AY154" s="194"/>
      <c r="AZ154" s="194"/>
      <c r="BA154" s="194"/>
      <c r="BB154" s="194"/>
      <c r="BC154" s="194"/>
      <c r="BD154" s="194"/>
      <c r="BE154" s="194"/>
      <c r="BF154" s="194"/>
      <c r="BG154" s="194"/>
      <c r="BH154" s="194"/>
      <c r="BI154" s="194"/>
      <c r="BJ154" s="194"/>
      <c r="BK154" s="194"/>
      <c r="BL154" s="194"/>
      <c r="BM154" s="194"/>
      <c r="BN154" s="194"/>
      <c r="BO154" s="194"/>
      <c r="BP154" s="194"/>
      <c r="BQ154" s="194"/>
      <c r="BR154" s="194"/>
      <c r="BS154" s="194"/>
      <c r="BT154" s="194"/>
      <c r="BU154" s="194"/>
      <c r="BV154" s="194"/>
      <c r="BW154" s="194"/>
      <c r="BX154" s="194"/>
      <c r="BY154" s="194"/>
      <c r="BZ154" s="194"/>
      <c r="CA154" s="194"/>
      <c r="CB154" s="194"/>
      <c r="CC154" s="194"/>
      <c r="CD154" s="194"/>
      <c r="CE154" s="194"/>
      <c r="CF154" s="194"/>
      <c r="CG154" s="194"/>
      <c r="CH154" s="194"/>
      <c r="CI154" s="194"/>
      <c r="CJ154" s="194"/>
      <c r="CK154" s="194"/>
      <c r="CL154" s="194"/>
      <c r="CM154" s="194"/>
      <c r="CN154" s="194"/>
      <c r="CO154" s="194"/>
      <c r="CP154" s="194"/>
      <c r="CQ154" s="194"/>
      <c r="CR154" s="194"/>
      <c r="CS154" s="194"/>
      <c r="CT154" s="194"/>
      <c r="CU154" s="194"/>
      <c r="CV154" s="194"/>
      <c r="CW154" s="194"/>
      <c r="CX154" s="194"/>
      <c r="CY154" s="194"/>
      <c r="CZ154" s="194"/>
      <c r="DA154" s="194"/>
      <c r="DB154" s="194"/>
      <c r="DC154" s="194"/>
      <c r="DD154" s="194"/>
      <c r="DE154" s="194"/>
      <c r="DF154" s="194"/>
      <c r="DG154" s="194"/>
      <c r="DH154" s="194"/>
      <c r="DI154" s="194"/>
      <c r="DJ154" s="194"/>
      <c r="DK154" s="194"/>
      <c r="DL154" s="194"/>
      <c r="DM154" s="194"/>
      <c r="DN154" s="194"/>
      <c r="DO154" s="194"/>
      <c r="DP154" s="194"/>
      <c r="DQ154" s="194"/>
      <c r="DR154" s="194"/>
      <c r="DS154" s="194"/>
      <c r="DT154" s="194"/>
      <c r="DU154" s="194"/>
      <c r="DV154" s="194"/>
      <c r="DW154" s="194"/>
      <c r="DX154" s="194"/>
      <c r="DY154" s="194"/>
      <c r="DZ154" s="194"/>
      <c r="EA154" s="194"/>
      <c r="EB154" s="194"/>
      <c r="EC154" s="194"/>
      <c r="ED154" s="194"/>
      <c r="EE154" s="194"/>
      <c r="EF154" s="194"/>
      <c r="EG154" s="194"/>
      <c r="EH154" s="194"/>
      <c r="EI154" s="194"/>
      <c r="EJ154" s="194"/>
      <c r="EK154" s="194"/>
      <c r="EL154" s="194"/>
      <c r="EM154" s="194"/>
      <c r="EN154" s="194"/>
      <c r="EO154" s="194"/>
      <c r="EP154" s="194"/>
      <c r="EQ154" s="194"/>
      <c r="ER154" s="194"/>
      <c r="ES154" s="194"/>
      <c r="ET154" s="194"/>
      <c r="EU154" s="194"/>
      <c r="EV154" s="194"/>
      <c r="EW154" s="194"/>
      <c r="EX154" s="194"/>
      <c r="EY154" s="194"/>
      <c r="EZ154" s="194"/>
      <c r="FA154" s="194"/>
      <c r="FB154" s="194"/>
      <c r="FC154" s="194"/>
      <c r="FD154" s="194"/>
      <c r="FE154" s="194"/>
      <c r="FF154" s="194"/>
      <c r="FG154" s="194"/>
      <c r="FH154" s="194"/>
      <c r="FI154" s="194"/>
      <c r="FJ154" s="194"/>
      <c r="FK154" s="194"/>
      <c r="FL154" s="194"/>
      <c r="FM154" s="194"/>
      <c r="FN154" s="194"/>
      <c r="FO154" s="194"/>
      <c r="FP154" s="194"/>
      <c r="FQ154" s="194"/>
      <c r="FR154" s="194"/>
      <c r="FS154" s="194"/>
      <c r="FT154" s="194"/>
      <c r="FU154" s="194"/>
      <c r="FV154" s="194"/>
      <c r="FW154" s="194"/>
      <c r="FX154" s="194"/>
      <c r="FY154" s="194"/>
      <c r="FZ154" s="194"/>
      <c r="GA154" s="194"/>
      <c r="GB154" s="194"/>
      <c r="GC154" s="194"/>
      <c r="GD154" s="194"/>
      <c r="GE154" s="194"/>
      <c r="GF154" s="194"/>
      <c r="GG154" s="194"/>
      <c r="GH154" s="194"/>
      <c r="GI154" s="194"/>
      <c r="GJ154" s="194"/>
      <c r="GK154" s="194"/>
      <c r="GL154" s="194"/>
      <c r="GM154" s="194"/>
      <c r="GN154" s="194"/>
      <c r="GO154" s="194"/>
      <c r="GP154" s="194"/>
      <c r="GQ154" s="194"/>
      <c r="GR154" s="194"/>
      <c r="GS154" s="194"/>
      <c r="GT154" s="194"/>
      <c r="GU154" s="194"/>
      <c r="GV154" s="194"/>
      <c r="GW154" s="194"/>
      <c r="GX154" s="194"/>
      <c r="GY154" s="194"/>
      <c r="GZ154" s="194"/>
      <c r="HA154" s="194"/>
      <c r="HB154" s="194"/>
      <c r="HC154" s="194"/>
      <c r="HD154" s="194"/>
      <c r="HE154" s="194"/>
      <c r="HF154" s="194"/>
      <c r="HG154" s="194"/>
      <c r="HH154" s="194"/>
      <c r="HI154" s="194"/>
      <c r="HJ154" s="194"/>
      <c r="HK154" s="194"/>
      <c r="HL154" s="194"/>
      <c r="HM154" s="194"/>
      <c r="HN154" s="194"/>
      <c r="HO154" s="194"/>
      <c r="HP154" s="194"/>
      <c r="HQ154" s="194"/>
      <c r="HR154" s="194"/>
      <c r="HS154" s="194"/>
      <c r="HT154" s="194"/>
      <c r="HU154" s="194"/>
      <c r="HV154" s="194"/>
      <c r="HW154" s="194"/>
      <c r="HX154" s="194"/>
      <c r="HY154" s="194"/>
      <c r="HZ154" s="194"/>
      <c r="IA154" s="194"/>
      <c r="IB154" s="194"/>
      <c r="IC154" s="194"/>
      <c r="ID154" s="194"/>
      <c r="IE154" s="194"/>
      <c r="IF154" s="194"/>
      <c r="IG154" s="194"/>
      <c r="IH154" s="194"/>
      <c r="II154" s="194"/>
      <c r="IJ154" s="194"/>
      <c r="IK154" s="194"/>
      <c r="IL154" s="194"/>
      <c r="IM154" s="194"/>
      <c r="IN154" s="194"/>
      <c r="IO154" s="194"/>
      <c r="IP154" s="194"/>
      <c r="IQ154" s="194"/>
      <c r="IR154" s="194"/>
      <c r="IS154" s="194"/>
      <c r="IT154" s="194"/>
      <c r="IU154" s="194"/>
      <c r="IV154" s="194"/>
      <c r="IW154" s="194"/>
    </row>
    <row r="155" customFormat="false" ht="12.75" hidden="false" customHeight="false" outlineLevel="0" collapsed="false">
      <c r="A155" s="39" t="s">
        <v>144</v>
      </c>
      <c r="B155" s="186" t="s">
        <v>273</v>
      </c>
      <c r="C155" s="187" t="s">
        <v>428</v>
      </c>
      <c r="D155" s="188" t="n">
        <v>36678</v>
      </c>
      <c r="E155" s="188" t="n">
        <v>36707</v>
      </c>
      <c r="F155" s="39" t="s">
        <v>429</v>
      </c>
      <c r="G155" s="39" t="s">
        <v>430</v>
      </c>
      <c r="H155" s="186" t="s">
        <v>154</v>
      </c>
      <c r="I155" s="189" t="n">
        <f aca="false">2.1/I$1</f>
        <v>0.067741935483871</v>
      </c>
      <c r="J155" s="190"/>
      <c r="K155" s="190"/>
      <c r="L155" s="190"/>
      <c r="M155" s="190"/>
      <c r="N155" s="190"/>
      <c r="O155" s="190"/>
      <c r="P155" s="191" t="s">
        <v>439</v>
      </c>
      <c r="Q155" s="187" t="n">
        <v>450</v>
      </c>
      <c r="R155" s="39" t="s">
        <v>440</v>
      </c>
      <c r="S155" s="192" t="n">
        <f aca="false">I155*$I$1*Q155</f>
        <v>945</v>
      </c>
      <c r="T155" s="192"/>
      <c r="U155" s="193" t="n">
        <v>284548</v>
      </c>
      <c r="V155" s="193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4"/>
      <c r="AT155" s="194"/>
      <c r="AU155" s="194"/>
      <c r="AV155" s="194"/>
      <c r="AW155" s="194"/>
      <c r="AX155" s="194"/>
      <c r="AY155" s="194"/>
      <c r="AZ155" s="194"/>
      <c r="BA155" s="194"/>
      <c r="BB155" s="194"/>
      <c r="BC155" s="194"/>
      <c r="BD155" s="194"/>
      <c r="BE155" s="194"/>
      <c r="BF155" s="194"/>
      <c r="BG155" s="194"/>
      <c r="BH155" s="194"/>
      <c r="BI155" s="194"/>
      <c r="BJ155" s="194"/>
      <c r="BK155" s="194"/>
      <c r="BL155" s="194"/>
      <c r="BM155" s="194"/>
      <c r="BN155" s="194"/>
      <c r="BO155" s="194"/>
      <c r="BP155" s="194"/>
      <c r="BQ155" s="194"/>
      <c r="BR155" s="194"/>
      <c r="BS155" s="194"/>
      <c r="BT155" s="194"/>
      <c r="BU155" s="194"/>
      <c r="BV155" s="194"/>
      <c r="BW155" s="194"/>
      <c r="BX155" s="194"/>
      <c r="BY155" s="194"/>
      <c r="BZ155" s="194"/>
      <c r="CA155" s="194"/>
      <c r="CB155" s="194"/>
      <c r="CC155" s="194"/>
      <c r="CD155" s="194"/>
      <c r="CE155" s="194"/>
      <c r="CF155" s="194"/>
      <c r="CG155" s="194"/>
      <c r="CH155" s="194"/>
      <c r="CI155" s="194"/>
      <c r="CJ155" s="194"/>
      <c r="CK155" s="194"/>
      <c r="CL155" s="194"/>
      <c r="CM155" s="194"/>
      <c r="CN155" s="194"/>
      <c r="CO155" s="194"/>
      <c r="CP155" s="194"/>
      <c r="CQ155" s="194"/>
      <c r="CR155" s="194"/>
      <c r="CS155" s="194"/>
      <c r="CT155" s="194"/>
      <c r="CU155" s="194"/>
      <c r="CV155" s="194"/>
      <c r="CW155" s="194"/>
      <c r="CX155" s="194"/>
      <c r="CY155" s="194"/>
      <c r="CZ155" s="194"/>
      <c r="DA155" s="194"/>
      <c r="DB155" s="194"/>
      <c r="DC155" s="194"/>
      <c r="DD155" s="194"/>
      <c r="DE155" s="194"/>
      <c r="DF155" s="194"/>
      <c r="DG155" s="194"/>
      <c r="DH155" s="194"/>
      <c r="DI155" s="194"/>
      <c r="DJ155" s="194"/>
      <c r="DK155" s="194"/>
      <c r="DL155" s="194"/>
      <c r="DM155" s="194"/>
      <c r="DN155" s="194"/>
      <c r="DO155" s="194"/>
      <c r="DP155" s="194"/>
      <c r="DQ155" s="194"/>
      <c r="DR155" s="194"/>
      <c r="DS155" s="194"/>
      <c r="DT155" s="194"/>
      <c r="DU155" s="194"/>
      <c r="DV155" s="194"/>
      <c r="DW155" s="194"/>
      <c r="DX155" s="194"/>
      <c r="DY155" s="194"/>
      <c r="DZ155" s="194"/>
      <c r="EA155" s="194"/>
      <c r="EB155" s="194"/>
      <c r="EC155" s="194"/>
      <c r="ED155" s="194"/>
      <c r="EE155" s="194"/>
      <c r="EF155" s="194"/>
      <c r="EG155" s="194"/>
      <c r="EH155" s="194"/>
      <c r="EI155" s="194"/>
      <c r="EJ155" s="194"/>
      <c r="EK155" s="194"/>
      <c r="EL155" s="194"/>
      <c r="EM155" s="194"/>
      <c r="EN155" s="194"/>
      <c r="EO155" s="194"/>
      <c r="EP155" s="194"/>
      <c r="EQ155" s="194"/>
      <c r="ER155" s="194"/>
      <c r="ES155" s="194"/>
      <c r="ET155" s="194"/>
      <c r="EU155" s="194"/>
      <c r="EV155" s="194"/>
      <c r="EW155" s="194"/>
      <c r="EX155" s="194"/>
      <c r="EY155" s="194"/>
      <c r="EZ155" s="194"/>
      <c r="FA155" s="194"/>
      <c r="FB155" s="194"/>
      <c r="FC155" s="194"/>
      <c r="FD155" s="194"/>
      <c r="FE155" s="194"/>
      <c r="FF155" s="194"/>
      <c r="FG155" s="194"/>
      <c r="FH155" s="194"/>
      <c r="FI155" s="194"/>
      <c r="FJ155" s="194"/>
      <c r="FK155" s="194"/>
      <c r="FL155" s="194"/>
      <c r="FM155" s="194"/>
      <c r="FN155" s="194"/>
      <c r="FO155" s="194"/>
      <c r="FP155" s="194"/>
      <c r="FQ155" s="194"/>
      <c r="FR155" s="194"/>
      <c r="FS155" s="194"/>
      <c r="FT155" s="194"/>
      <c r="FU155" s="194"/>
      <c r="FV155" s="194"/>
      <c r="FW155" s="194"/>
      <c r="FX155" s="194"/>
      <c r="FY155" s="194"/>
      <c r="FZ155" s="194"/>
      <c r="GA155" s="194"/>
      <c r="GB155" s="194"/>
      <c r="GC155" s="194"/>
      <c r="GD155" s="194"/>
      <c r="GE155" s="194"/>
      <c r="GF155" s="194"/>
      <c r="GG155" s="194"/>
      <c r="GH155" s="194"/>
      <c r="GI155" s="194"/>
      <c r="GJ155" s="194"/>
      <c r="GK155" s="194"/>
      <c r="GL155" s="194"/>
      <c r="GM155" s="194"/>
      <c r="GN155" s="194"/>
      <c r="GO155" s="194"/>
      <c r="GP155" s="194"/>
      <c r="GQ155" s="194"/>
      <c r="GR155" s="194"/>
      <c r="GS155" s="194"/>
      <c r="GT155" s="194"/>
      <c r="GU155" s="194"/>
      <c r="GV155" s="194"/>
      <c r="GW155" s="194"/>
      <c r="GX155" s="194"/>
      <c r="GY155" s="194"/>
      <c r="GZ155" s="194"/>
      <c r="HA155" s="194"/>
      <c r="HB155" s="194"/>
      <c r="HC155" s="194"/>
      <c r="HD155" s="194"/>
      <c r="HE155" s="194"/>
      <c r="HF155" s="194"/>
      <c r="HG155" s="194"/>
      <c r="HH155" s="194"/>
      <c r="HI155" s="194"/>
      <c r="HJ155" s="194"/>
      <c r="HK155" s="194"/>
      <c r="HL155" s="194"/>
      <c r="HM155" s="194"/>
      <c r="HN155" s="194"/>
      <c r="HO155" s="194"/>
      <c r="HP155" s="194"/>
      <c r="HQ155" s="194"/>
      <c r="HR155" s="194"/>
      <c r="HS155" s="194"/>
      <c r="HT155" s="194"/>
      <c r="HU155" s="194"/>
      <c r="HV155" s="194"/>
      <c r="HW155" s="194"/>
      <c r="HX155" s="194"/>
      <c r="HY155" s="194"/>
      <c r="HZ155" s="194"/>
      <c r="IA155" s="194"/>
      <c r="IB155" s="194"/>
      <c r="IC155" s="194"/>
      <c r="ID155" s="194"/>
      <c r="IE155" s="194"/>
      <c r="IF155" s="194"/>
      <c r="IG155" s="194"/>
      <c r="IH155" s="194"/>
      <c r="II155" s="194"/>
      <c r="IJ155" s="194"/>
      <c r="IK155" s="194"/>
      <c r="IL155" s="194"/>
      <c r="IM155" s="194"/>
      <c r="IN155" s="194"/>
      <c r="IO155" s="194"/>
      <c r="IP155" s="194"/>
      <c r="IQ155" s="194"/>
      <c r="IR155" s="194"/>
      <c r="IS155" s="194"/>
      <c r="IT155" s="194"/>
      <c r="IU155" s="194"/>
      <c r="IV155" s="194"/>
      <c r="IW155" s="194"/>
    </row>
    <row r="156" customFormat="false" ht="12.75" hidden="false" customHeight="false" outlineLevel="0" collapsed="false">
      <c r="A156" s="39" t="s">
        <v>144</v>
      </c>
      <c r="B156" s="186" t="s">
        <v>273</v>
      </c>
      <c r="C156" s="187" t="s">
        <v>428</v>
      </c>
      <c r="D156" s="188" t="n">
        <v>36678</v>
      </c>
      <c r="E156" s="188" t="n">
        <v>36707</v>
      </c>
      <c r="F156" s="39" t="s">
        <v>429</v>
      </c>
      <c r="G156" s="39" t="s">
        <v>430</v>
      </c>
      <c r="H156" s="186" t="s">
        <v>154</v>
      </c>
      <c r="I156" s="189" t="n">
        <f aca="false">2.1/I$1</f>
        <v>0.067741935483871</v>
      </c>
      <c r="J156" s="190"/>
      <c r="K156" s="190"/>
      <c r="L156" s="190"/>
      <c r="M156" s="190"/>
      <c r="N156" s="190"/>
      <c r="O156" s="190"/>
      <c r="P156" s="191" t="s">
        <v>441</v>
      </c>
      <c r="Q156" s="187" t="n">
        <v>1800</v>
      </c>
      <c r="R156" s="39" t="s">
        <v>442</v>
      </c>
      <c r="S156" s="192" t="n">
        <f aca="false">I156*$I$1*Q156</f>
        <v>3780</v>
      </c>
      <c r="T156" s="192"/>
      <c r="U156" s="193" t="n">
        <v>284554</v>
      </c>
      <c r="V156" s="193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4"/>
      <c r="AT156" s="194"/>
      <c r="AU156" s="194"/>
      <c r="AV156" s="194"/>
      <c r="AW156" s="194"/>
      <c r="AX156" s="194"/>
      <c r="AY156" s="194"/>
      <c r="AZ156" s="194"/>
      <c r="BA156" s="194"/>
      <c r="BB156" s="194"/>
      <c r="BC156" s="194"/>
      <c r="BD156" s="194"/>
      <c r="BE156" s="194"/>
      <c r="BF156" s="194"/>
      <c r="BG156" s="194"/>
      <c r="BH156" s="194"/>
      <c r="BI156" s="194"/>
      <c r="BJ156" s="194"/>
      <c r="BK156" s="194"/>
      <c r="BL156" s="194"/>
      <c r="BM156" s="194"/>
      <c r="BN156" s="194"/>
      <c r="BO156" s="194"/>
      <c r="BP156" s="194"/>
      <c r="BQ156" s="194"/>
      <c r="BR156" s="194"/>
      <c r="BS156" s="194"/>
      <c r="BT156" s="194"/>
      <c r="BU156" s="194"/>
      <c r="BV156" s="194"/>
      <c r="BW156" s="194"/>
      <c r="BX156" s="194"/>
      <c r="BY156" s="194"/>
      <c r="BZ156" s="194"/>
      <c r="CA156" s="194"/>
      <c r="CB156" s="194"/>
      <c r="CC156" s="194"/>
      <c r="CD156" s="194"/>
      <c r="CE156" s="194"/>
      <c r="CF156" s="194"/>
      <c r="CG156" s="194"/>
      <c r="CH156" s="194"/>
      <c r="CI156" s="194"/>
      <c r="CJ156" s="194"/>
      <c r="CK156" s="194"/>
      <c r="CL156" s="194"/>
      <c r="CM156" s="194"/>
      <c r="CN156" s="194"/>
      <c r="CO156" s="194"/>
      <c r="CP156" s="194"/>
      <c r="CQ156" s="194"/>
      <c r="CR156" s="194"/>
      <c r="CS156" s="194"/>
      <c r="CT156" s="194"/>
      <c r="CU156" s="194"/>
      <c r="CV156" s="194"/>
      <c r="CW156" s="194"/>
      <c r="CX156" s="194"/>
      <c r="CY156" s="194"/>
      <c r="CZ156" s="194"/>
      <c r="DA156" s="194"/>
      <c r="DB156" s="194"/>
      <c r="DC156" s="194"/>
      <c r="DD156" s="194"/>
      <c r="DE156" s="194"/>
      <c r="DF156" s="194"/>
      <c r="DG156" s="194"/>
      <c r="DH156" s="194"/>
      <c r="DI156" s="194"/>
      <c r="DJ156" s="194"/>
      <c r="DK156" s="194"/>
      <c r="DL156" s="194"/>
      <c r="DM156" s="194"/>
      <c r="DN156" s="194"/>
      <c r="DO156" s="194"/>
      <c r="DP156" s="194"/>
      <c r="DQ156" s="194"/>
      <c r="DR156" s="194"/>
      <c r="DS156" s="194"/>
      <c r="DT156" s="194"/>
      <c r="DU156" s="194"/>
      <c r="DV156" s="194"/>
      <c r="DW156" s="194"/>
      <c r="DX156" s="194"/>
      <c r="DY156" s="194"/>
      <c r="DZ156" s="194"/>
      <c r="EA156" s="194"/>
      <c r="EB156" s="194"/>
      <c r="EC156" s="194"/>
      <c r="ED156" s="194"/>
      <c r="EE156" s="194"/>
      <c r="EF156" s="194"/>
      <c r="EG156" s="194"/>
      <c r="EH156" s="194"/>
      <c r="EI156" s="194"/>
      <c r="EJ156" s="194"/>
      <c r="EK156" s="194"/>
      <c r="EL156" s="194"/>
      <c r="EM156" s="194"/>
      <c r="EN156" s="194"/>
      <c r="EO156" s="194"/>
      <c r="EP156" s="194"/>
      <c r="EQ156" s="194"/>
      <c r="ER156" s="194"/>
      <c r="ES156" s="194"/>
      <c r="ET156" s="194"/>
      <c r="EU156" s="194"/>
      <c r="EV156" s="194"/>
      <c r="EW156" s="194"/>
      <c r="EX156" s="194"/>
      <c r="EY156" s="194"/>
      <c r="EZ156" s="194"/>
      <c r="FA156" s="194"/>
      <c r="FB156" s="194"/>
      <c r="FC156" s="194"/>
      <c r="FD156" s="194"/>
      <c r="FE156" s="194"/>
      <c r="FF156" s="194"/>
      <c r="FG156" s="194"/>
      <c r="FH156" s="194"/>
      <c r="FI156" s="194"/>
      <c r="FJ156" s="194"/>
      <c r="FK156" s="194"/>
      <c r="FL156" s="194"/>
      <c r="FM156" s="194"/>
      <c r="FN156" s="194"/>
      <c r="FO156" s="194"/>
      <c r="FP156" s="194"/>
      <c r="FQ156" s="194"/>
      <c r="FR156" s="194"/>
      <c r="FS156" s="194"/>
      <c r="FT156" s="194"/>
      <c r="FU156" s="194"/>
      <c r="FV156" s="194"/>
      <c r="FW156" s="194"/>
      <c r="FX156" s="194"/>
      <c r="FY156" s="194"/>
      <c r="FZ156" s="194"/>
      <c r="GA156" s="194"/>
      <c r="GB156" s="194"/>
      <c r="GC156" s="194"/>
      <c r="GD156" s="194"/>
      <c r="GE156" s="194"/>
      <c r="GF156" s="194"/>
      <c r="GG156" s="194"/>
      <c r="GH156" s="194"/>
      <c r="GI156" s="194"/>
      <c r="GJ156" s="194"/>
      <c r="GK156" s="194"/>
      <c r="GL156" s="194"/>
      <c r="GM156" s="194"/>
      <c r="GN156" s="194"/>
      <c r="GO156" s="194"/>
      <c r="GP156" s="194"/>
      <c r="GQ156" s="194"/>
      <c r="GR156" s="194"/>
      <c r="GS156" s="194"/>
      <c r="GT156" s="194"/>
      <c r="GU156" s="194"/>
      <c r="GV156" s="194"/>
      <c r="GW156" s="194"/>
      <c r="GX156" s="194"/>
      <c r="GY156" s="194"/>
      <c r="GZ156" s="194"/>
      <c r="HA156" s="194"/>
      <c r="HB156" s="194"/>
      <c r="HC156" s="194"/>
      <c r="HD156" s="194"/>
      <c r="HE156" s="194"/>
      <c r="HF156" s="194"/>
      <c r="HG156" s="194"/>
      <c r="HH156" s="194"/>
      <c r="HI156" s="194"/>
      <c r="HJ156" s="194"/>
      <c r="HK156" s="194"/>
      <c r="HL156" s="194"/>
      <c r="HM156" s="194"/>
      <c r="HN156" s="194"/>
      <c r="HO156" s="194"/>
      <c r="HP156" s="194"/>
      <c r="HQ156" s="194"/>
      <c r="HR156" s="194"/>
      <c r="HS156" s="194"/>
      <c r="HT156" s="194"/>
      <c r="HU156" s="194"/>
      <c r="HV156" s="194"/>
      <c r="HW156" s="194"/>
      <c r="HX156" s="194"/>
      <c r="HY156" s="194"/>
      <c r="HZ156" s="194"/>
      <c r="IA156" s="194"/>
      <c r="IB156" s="194"/>
      <c r="IC156" s="194"/>
      <c r="ID156" s="194"/>
      <c r="IE156" s="194"/>
      <c r="IF156" s="194"/>
      <c r="IG156" s="194"/>
      <c r="IH156" s="194"/>
      <c r="II156" s="194"/>
      <c r="IJ156" s="194"/>
      <c r="IK156" s="194"/>
      <c r="IL156" s="194"/>
      <c r="IM156" s="194"/>
      <c r="IN156" s="194"/>
      <c r="IO156" s="194"/>
      <c r="IP156" s="194"/>
      <c r="IQ156" s="194"/>
      <c r="IR156" s="194"/>
      <c r="IS156" s="194"/>
      <c r="IT156" s="194"/>
      <c r="IU156" s="194"/>
      <c r="IV156" s="194"/>
      <c r="IW156" s="194"/>
    </row>
    <row r="157" customFormat="false" ht="12.75" hidden="false" customHeight="false" outlineLevel="0" collapsed="false">
      <c r="A157" s="39" t="s">
        <v>144</v>
      </c>
      <c r="B157" s="186" t="s">
        <v>273</v>
      </c>
      <c r="C157" s="187" t="s">
        <v>428</v>
      </c>
      <c r="D157" s="188" t="n">
        <v>36678</v>
      </c>
      <c r="E157" s="188" t="n">
        <v>36707</v>
      </c>
      <c r="F157" s="39" t="s">
        <v>429</v>
      </c>
      <c r="G157" s="39" t="s">
        <v>430</v>
      </c>
      <c r="H157" s="186" t="s">
        <v>154</v>
      </c>
      <c r="I157" s="189" t="n">
        <f aca="false">2.1/I$1</f>
        <v>0.067741935483871</v>
      </c>
      <c r="J157" s="190"/>
      <c r="K157" s="190"/>
      <c r="L157" s="190"/>
      <c r="M157" s="190"/>
      <c r="N157" s="190"/>
      <c r="O157" s="190"/>
      <c r="P157" s="191" t="s">
        <v>443</v>
      </c>
      <c r="Q157" s="187" t="n">
        <v>3000</v>
      </c>
      <c r="R157" s="39" t="s">
        <v>444</v>
      </c>
      <c r="S157" s="192" t="n">
        <f aca="false">I157*$I$1*Q157</f>
        <v>6300</v>
      </c>
      <c r="T157" s="192"/>
      <c r="U157" s="193" t="n">
        <v>284565</v>
      </c>
      <c r="V157" s="193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4"/>
      <c r="AT157" s="194"/>
      <c r="AU157" s="194"/>
      <c r="AV157" s="194"/>
      <c r="AW157" s="194"/>
      <c r="AX157" s="194"/>
      <c r="AY157" s="194"/>
      <c r="AZ157" s="194"/>
      <c r="BA157" s="194"/>
      <c r="BB157" s="194"/>
      <c r="BC157" s="194"/>
      <c r="BD157" s="194"/>
      <c r="BE157" s="194"/>
      <c r="BF157" s="194"/>
      <c r="BG157" s="194"/>
      <c r="BH157" s="194"/>
      <c r="BI157" s="194"/>
      <c r="BJ157" s="194"/>
      <c r="BK157" s="194"/>
      <c r="BL157" s="194"/>
      <c r="BM157" s="194"/>
      <c r="BN157" s="194"/>
      <c r="BO157" s="194"/>
      <c r="BP157" s="194"/>
      <c r="BQ157" s="194"/>
      <c r="BR157" s="194"/>
      <c r="BS157" s="194"/>
      <c r="BT157" s="194"/>
      <c r="BU157" s="194"/>
      <c r="BV157" s="194"/>
      <c r="BW157" s="194"/>
      <c r="BX157" s="194"/>
      <c r="BY157" s="194"/>
      <c r="BZ157" s="194"/>
      <c r="CA157" s="194"/>
      <c r="CB157" s="194"/>
      <c r="CC157" s="194"/>
      <c r="CD157" s="194"/>
      <c r="CE157" s="194"/>
      <c r="CF157" s="194"/>
      <c r="CG157" s="194"/>
      <c r="CH157" s="194"/>
      <c r="CI157" s="194"/>
      <c r="CJ157" s="194"/>
      <c r="CK157" s="194"/>
      <c r="CL157" s="194"/>
      <c r="CM157" s="194"/>
      <c r="CN157" s="194"/>
      <c r="CO157" s="194"/>
      <c r="CP157" s="194"/>
      <c r="CQ157" s="194"/>
      <c r="CR157" s="194"/>
      <c r="CS157" s="194"/>
      <c r="CT157" s="194"/>
      <c r="CU157" s="194"/>
      <c r="CV157" s="194"/>
      <c r="CW157" s="194"/>
      <c r="CX157" s="194"/>
      <c r="CY157" s="194"/>
      <c r="CZ157" s="194"/>
      <c r="DA157" s="194"/>
      <c r="DB157" s="194"/>
      <c r="DC157" s="194"/>
      <c r="DD157" s="194"/>
      <c r="DE157" s="194"/>
      <c r="DF157" s="194"/>
      <c r="DG157" s="194"/>
      <c r="DH157" s="194"/>
      <c r="DI157" s="194"/>
      <c r="DJ157" s="194"/>
      <c r="DK157" s="194"/>
      <c r="DL157" s="194"/>
      <c r="DM157" s="194"/>
      <c r="DN157" s="194"/>
      <c r="DO157" s="194"/>
      <c r="DP157" s="194"/>
      <c r="DQ157" s="194"/>
      <c r="DR157" s="194"/>
      <c r="DS157" s="194"/>
      <c r="DT157" s="194"/>
      <c r="DU157" s="194"/>
      <c r="DV157" s="194"/>
      <c r="DW157" s="194"/>
      <c r="DX157" s="194"/>
      <c r="DY157" s="194"/>
      <c r="DZ157" s="194"/>
      <c r="EA157" s="194"/>
      <c r="EB157" s="194"/>
      <c r="EC157" s="194"/>
      <c r="ED157" s="194"/>
      <c r="EE157" s="194"/>
      <c r="EF157" s="194"/>
      <c r="EG157" s="194"/>
      <c r="EH157" s="194"/>
      <c r="EI157" s="194"/>
      <c r="EJ157" s="194"/>
      <c r="EK157" s="194"/>
      <c r="EL157" s="194"/>
      <c r="EM157" s="194"/>
      <c r="EN157" s="194"/>
      <c r="EO157" s="194"/>
      <c r="EP157" s="194"/>
      <c r="EQ157" s="194"/>
      <c r="ER157" s="194"/>
      <c r="ES157" s="194"/>
      <c r="ET157" s="194"/>
      <c r="EU157" s="194"/>
      <c r="EV157" s="194"/>
      <c r="EW157" s="194"/>
      <c r="EX157" s="194"/>
      <c r="EY157" s="194"/>
      <c r="EZ157" s="194"/>
      <c r="FA157" s="194"/>
      <c r="FB157" s="194"/>
      <c r="FC157" s="194"/>
      <c r="FD157" s="194"/>
      <c r="FE157" s="194"/>
      <c r="FF157" s="194"/>
      <c r="FG157" s="194"/>
      <c r="FH157" s="194"/>
      <c r="FI157" s="194"/>
      <c r="FJ157" s="194"/>
      <c r="FK157" s="194"/>
      <c r="FL157" s="194"/>
      <c r="FM157" s="194"/>
      <c r="FN157" s="194"/>
      <c r="FO157" s="194"/>
      <c r="FP157" s="194"/>
      <c r="FQ157" s="194"/>
      <c r="FR157" s="194"/>
      <c r="FS157" s="194"/>
      <c r="FT157" s="194"/>
      <c r="FU157" s="194"/>
      <c r="FV157" s="194"/>
      <c r="FW157" s="194"/>
      <c r="FX157" s="194"/>
      <c r="FY157" s="194"/>
      <c r="FZ157" s="194"/>
      <c r="GA157" s="194"/>
      <c r="GB157" s="194"/>
      <c r="GC157" s="194"/>
      <c r="GD157" s="194"/>
      <c r="GE157" s="194"/>
      <c r="GF157" s="194"/>
      <c r="GG157" s="194"/>
      <c r="GH157" s="194"/>
      <c r="GI157" s="194"/>
      <c r="GJ157" s="194"/>
      <c r="GK157" s="194"/>
      <c r="GL157" s="194"/>
      <c r="GM157" s="194"/>
      <c r="GN157" s="194"/>
      <c r="GO157" s="194"/>
      <c r="GP157" s="194"/>
      <c r="GQ157" s="194"/>
      <c r="GR157" s="194"/>
      <c r="GS157" s="194"/>
      <c r="GT157" s="194"/>
      <c r="GU157" s="194"/>
      <c r="GV157" s="194"/>
      <c r="GW157" s="194"/>
      <c r="GX157" s="194"/>
      <c r="GY157" s="194"/>
      <c r="GZ157" s="194"/>
      <c r="HA157" s="194"/>
      <c r="HB157" s="194"/>
      <c r="HC157" s="194"/>
      <c r="HD157" s="194"/>
      <c r="HE157" s="194"/>
      <c r="HF157" s="194"/>
      <c r="HG157" s="194"/>
      <c r="HH157" s="194"/>
      <c r="HI157" s="194"/>
      <c r="HJ157" s="194"/>
      <c r="HK157" s="194"/>
      <c r="HL157" s="194"/>
      <c r="HM157" s="194"/>
      <c r="HN157" s="194"/>
      <c r="HO157" s="194"/>
      <c r="HP157" s="194"/>
      <c r="HQ157" s="194"/>
      <c r="HR157" s="194"/>
      <c r="HS157" s="194"/>
      <c r="HT157" s="194"/>
      <c r="HU157" s="194"/>
      <c r="HV157" s="194"/>
      <c r="HW157" s="194"/>
      <c r="HX157" s="194"/>
      <c r="HY157" s="194"/>
      <c r="HZ157" s="194"/>
      <c r="IA157" s="194"/>
      <c r="IB157" s="194"/>
      <c r="IC157" s="194"/>
      <c r="ID157" s="194"/>
      <c r="IE157" s="194"/>
      <c r="IF157" s="194"/>
      <c r="IG157" s="194"/>
      <c r="IH157" s="194"/>
      <c r="II157" s="194"/>
      <c r="IJ157" s="194"/>
      <c r="IK157" s="194"/>
      <c r="IL157" s="194"/>
      <c r="IM157" s="194"/>
      <c r="IN157" s="194"/>
      <c r="IO157" s="194"/>
      <c r="IP157" s="194"/>
      <c r="IQ157" s="194"/>
      <c r="IR157" s="194"/>
      <c r="IS157" s="194"/>
      <c r="IT157" s="194"/>
      <c r="IU157" s="194"/>
      <c r="IV157" s="194"/>
      <c r="IW157" s="194"/>
    </row>
    <row r="158" customFormat="false" ht="12.75" hidden="false" customHeight="false" outlineLevel="0" collapsed="false">
      <c r="A158" s="39" t="s">
        <v>144</v>
      </c>
      <c r="B158" s="186" t="s">
        <v>273</v>
      </c>
      <c r="C158" s="187" t="s">
        <v>428</v>
      </c>
      <c r="D158" s="188" t="n">
        <v>36678</v>
      </c>
      <c r="E158" s="188" t="n">
        <v>36707</v>
      </c>
      <c r="F158" s="39" t="s">
        <v>429</v>
      </c>
      <c r="G158" s="39" t="s">
        <v>430</v>
      </c>
      <c r="H158" s="186" t="s">
        <v>154</v>
      </c>
      <c r="I158" s="189" t="n">
        <f aca="false">2.1/I$1</f>
        <v>0.067741935483871</v>
      </c>
      <c r="J158" s="190"/>
      <c r="K158" s="190"/>
      <c r="L158" s="190"/>
      <c r="M158" s="190"/>
      <c r="N158" s="190"/>
      <c r="O158" s="190"/>
      <c r="P158" s="191" t="s">
        <v>445</v>
      </c>
      <c r="Q158" s="187" t="n">
        <v>600</v>
      </c>
      <c r="R158" s="39" t="s">
        <v>446</v>
      </c>
      <c r="S158" s="192" t="n">
        <f aca="false">I158*$I$1*Q158</f>
        <v>1260</v>
      </c>
      <c r="T158" s="192"/>
      <c r="U158" s="193" t="n">
        <v>284572</v>
      </c>
      <c r="V158" s="193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4"/>
      <c r="AT158" s="194"/>
      <c r="AU158" s="194"/>
      <c r="AV158" s="194"/>
      <c r="AW158" s="194"/>
      <c r="AX158" s="194"/>
      <c r="AY158" s="194"/>
      <c r="AZ158" s="194"/>
      <c r="BA158" s="194"/>
      <c r="BB158" s="194"/>
      <c r="BC158" s="194"/>
      <c r="BD158" s="194"/>
      <c r="BE158" s="194"/>
      <c r="BF158" s="194"/>
      <c r="BG158" s="194"/>
      <c r="BH158" s="194"/>
      <c r="BI158" s="194"/>
      <c r="BJ158" s="194"/>
      <c r="BK158" s="194"/>
      <c r="BL158" s="194"/>
      <c r="BM158" s="194"/>
      <c r="BN158" s="194"/>
      <c r="BO158" s="194"/>
      <c r="BP158" s="194"/>
      <c r="BQ158" s="194"/>
      <c r="BR158" s="194"/>
      <c r="BS158" s="194"/>
      <c r="BT158" s="194"/>
      <c r="BU158" s="194"/>
      <c r="BV158" s="194"/>
      <c r="BW158" s="194"/>
      <c r="BX158" s="194"/>
      <c r="BY158" s="194"/>
      <c r="BZ158" s="194"/>
      <c r="CA158" s="194"/>
      <c r="CB158" s="194"/>
      <c r="CC158" s="194"/>
      <c r="CD158" s="194"/>
      <c r="CE158" s="194"/>
      <c r="CF158" s="194"/>
      <c r="CG158" s="194"/>
      <c r="CH158" s="194"/>
      <c r="CI158" s="194"/>
      <c r="CJ158" s="194"/>
      <c r="CK158" s="194"/>
      <c r="CL158" s="194"/>
      <c r="CM158" s="194"/>
      <c r="CN158" s="194"/>
      <c r="CO158" s="194"/>
      <c r="CP158" s="194"/>
      <c r="CQ158" s="194"/>
      <c r="CR158" s="194"/>
      <c r="CS158" s="194"/>
      <c r="CT158" s="194"/>
      <c r="CU158" s="194"/>
      <c r="CV158" s="194"/>
      <c r="CW158" s="194"/>
      <c r="CX158" s="194"/>
      <c r="CY158" s="194"/>
      <c r="CZ158" s="194"/>
      <c r="DA158" s="194"/>
      <c r="DB158" s="194"/>
      <c r="DC158" s="194"/>
      <c r="DD158" s="194"/>
      <c r="DE158" s="194"/>
      <c r="DF158" s="194"/>
      <c r="DG158" s="194"/>
      <c r="DH158" s="194"/>
      <c r="DI158" s="194"/>
      <c r="DJ158" s="194"/>
      <c r="DK158" s="194"/>
      <c r="DL158" s="194"/>
      <c r="DM158" s="194"/>
      <c r="DN158" s="194"/>
      <c r="DO158" s="194"/>
      <c r="DP158" s="194"/>
      <c r="DQ158" s="194"/>
      <c r="DR158" s="194"/>
      <c r="DS158" s="194"/>
      <c r="DT158" s="194"/>
      <c r="DU158" s="194"/>
      <c r="DV158" s="194"/>
      <c r="DW158" s="194"/>
      <c r="DX158" s="194"/>
      <c r="DY158" s="194"/>
      <c r="DZ158" s="194"/>
      <c r="EA158" s="194"/>
      <c r="EB158" s="194"/>
      <c r="EC158" s="194"/>
      <c r="ED158" s="194"/>
      <c r="EE158" s="194"/>
      <c r="EF158" s="194"/>
      <c r="EG158" s="194"/>
      <c r="EH158" s="194"/>
      <c r="EI158" s="194"/>
      <c r="EJ158" s="194"/>
      <c r="EK158" s="194"/>
      <c r="EL158" s="194"/>
      <c r="EM158" s="194"/>
      <c r="EN158" s="194"/>
      <c r="EO158" s="194"/>
      <c r="EP158" s="194"/>
      <c r="EQ158" s="194"/>
      <c r="ER158" s="194"/>
      <c r="ES158" s="194"/>
      <c r="ET158" s="194"/>
      <c r="EU158" s="194"/>
      <c r="EV158" s="194"/>
      <c r="EW158" s="194"/>
      <c r="EX158" s="194"/>
      <c r="EY158" s="194"/>
      <c r="EZ158" s="194"/>
      <c r="FA158" s="194"/>
      <c r="FB158" s="194"/>
      <c r="FC158" s="194"/>
      <c r="FD158" s="194"/>
      <c r="FE158" s="194"/>
      <c r="FF158" s="194"/>
      <c r="FG158" s="194"/>
      <c r="FH158" s="194"/>
      <c r="FI158" s="194"/>
      <c r="FJ158" s="194"/>
      <c r="FK158" s="194"/>
      <c r="FL158" s="194"/>
      <c r="FM158" s="194"/>
      <c r="FN158" s="194"/>
      <c r="FO158" s="194"/>
      <c r="FP158" s="194"/>
      <c r="FQ158" s="194"/>
      <c r="FR158" s="194"/>
      <c r="FS158" s="194"/>
      <c r="FT158" s="194"/>
      <c r="FU158" s="194"/>
      <c r="FV158" s="194"/>
      <c r="FW158" s="194"/>
      <c r="FX158" s="194"/>
      <c r="FY158" s="194"/>
      <c r="FZ158" s="194"/>
      <c r="GA158" s="194"/>
      <c r="GB158" s="194"/>
      <c r="GC158" s="194"/>
      <c r="GD158" s="194"/>
      <c r="GE158" s="194"/>
      <c r="GF158" s="194"/>
      <c r="GG158" s="194"/>
      <c r="GH158" s="194"/>
      <c r="GI158" s="194"/>
      <c r="GJ158" s="194"/>
      <c r="GK158" s="194"/>
      <c r="GL158" s="194"/>
      <c r="GM158" s="194"/>
      <c r="GN158" s="194"/>
      <c r="GO158" s="194"/>
      <c r="GP158" s="194"/>
      <c r="GQ158" s="194"/>
      <c r="GR158" s="194"/>
      <c r="GS158" s="194"/>
      <c r="GT158" s="194"/>
      <c r="GU158" s="194"/>
      <c r="GV158" s="194"/>
      <c r="GW158" s="194"/>
      <c r="GX158" s="194"/>
      <c r="GY158" s="194"/>
      <c r="GZ158" s="194"/>
      <c r="HA158" s="194"/>
      <c r="HB158" s="194"/>
      <c r="HC158" s="194"/>
      <c r="HD158" s="194"/>
      <c r="HE158" s="194"/>
      <c r="HF158" s="194"/>
      <c r="HG158" s="194"/>
      <c r="HH158" s="194"/>
      <c r="HI158" s="194"/>
      <c r="HJ158" s="194"/>
      <c r="HK158" s="194"/>
      <c r="HL158" s="194"/>
      <c r="HM158" s="194"/>
      <c r="HN158" s="194"/>
      <c r="HO158" s="194"/>
      <c r="HP158" s="194"/>
      <c r="HQ158" s="194"/>
      <c r="HR158" s="194"/>
      <c r="HS158" s="194"/>
      <c r="HT158" s="194"/>
      <c r="HU158" s="194"/>
      <c r="HV158" s="194"/>
      <c r="HW158" s="194"/>
      <c r="HX158" s="194"/>
      <c r="HY158" s="194"/>
      <c r="HZ158" s="194"/>
      <c r="IA158" s="194"/>
      <c r="IB158" s="194"/>
      <c r="IC158" s="194"/>
      <c r="ID158" s="194"/>
      <c r="IE158" s="194"/>
      <c r="IF158" s="194"/>
      <c r="IG158" s="194"/>
      <c r="IH158" s="194"/>
      <c r="II158" s="194"/>
      <c r="IJ158" s="194"/>
      <c r="IK158" s="194"/>
      <c r="IL158" s="194"/>
      <c r="IM158" s="194"/>
      <c r="IN158" s="194"/>
      <c r="IO158" s="194"/>
      <c r="IP158" s="194"/>
      <c r="IQ158" s="194"/>
      <c r="IR158" s="194"/>
      <c r="IS158" s="194"/>
      <c r="IT158" s="194"/>
      <c r="IU158" s="194"/>
      <c r="IV158" s="194"/>
      <c r="IW158" s="194"/>
    </row>
    <row r="159" customFormat="false" ht="12.75" hidden="false" customHeight="false" outlineLevel="0" collapsed="false">
      <c r="A159" s="39" t="s">
        <v>144</v>
      </c>
      <c r="B159" s="186" t="s">
        <v>273</v>
      </c>
      <c r="C159" s="187" t="s">
        <v>428</v>
      </c>
      <c r="D159" s="188" t="n">
        <v>36678</v>
      </c>
      <c r="E159" s="188" t="n">
        <v>36707</v>
      </c>
      <c r="F159" s="39" t="s">
        <v>429</v>
      </c>
      <c r="G159" s="39" t="s">
        <v>430</v>
      </c>
      <c r="H159" s="186" t="s">
        <v>154</v>
      </c>
      <c r="I159" s="189" t="n">
        <f aca="false">2.1/I$1</f>
        <v>0.067741935483871</v>
      </c>
      <c r="J159" s="190"/>
      <c r="K159" s="190"/>
      <c r="L159" s="190"/>
      <c r="M159" s="190"/>
      <c r="N159" s="190"/>
      <c r="O159" s="190"/>
      <c r="P159" s="191" t="s">
        <v>447</v>
      </c>
      <c r="Q159" s="187" t="n">
        <v>500</v>
      </c>
      <c r="R159" s="39" t="s">
        <v>448</v>
      </c>
      <c r="S159" s="192" t="n">
        <f aca="false">I159*$I$1*Q159</f>
        <v>1050</v>
      </c>
      <c r="T159" s="192"/>
      <c r="U159" s="193" t="n">
        <v>284577</v>
      </c>
      <c r="V159" s="193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194"/>
      <c r="AT159" s="194"/>
      <c r="AU159" s="194"/>
      <c r="AV159" s="194"/>
      <c r="AW159" s="194"/>
      <c r="AX159" s="194"/>
      <c r="AY159" s="194"/>
      <c r="AZ159" s="194"/>
      <c r="BA159" s="194"/>
      <c r="BB159" s="194"/>
      <c r="BC159" s="194"/>
      <c r="BD159" s="194"/>
      <c r="BE159" s="194"/>
      <c r="BF159" s="194"/>
      <c r="BG159" s="194"/>
      <c r="BH159" s="194"/>
      <c r="BI159" s="194"/>
      <c r="BJ159" s="194"/>
      <c r="BK159" s="194"/>
      <c r="BL159" s="194"/>
      <c r="BM159" s="194"/>
      <c r="BN159" s="194"/>
      <c r="BO159" s="194"/>
      <c r="BP159" s="194"/>
      <c r="BQ159" s="194"/>
      <c r="BR159" s="194"/>
      <c r="BS159" s="194"/>
      <c r="BT159" s="194"/>
      <c r="BU159" s="194"/>
      <c r="BV159" s="194"/>
      <c r="BW159" s="194"/>
      <c r="BX159" s="194"/>
      <c r="BY159" s="194"/>
      <c r="BZ159" s="194"/>
      <c r="CA159" s="194"/>
      <c r="CB159" s="194"/>
      <c r="CC159" s="194"/>
      <c r="CD159" s="194"/>
      <c r="CE159" s="194"/>
      <c r="CF159" s="194"/>
      <c r="CG159" s="194"/>
      <c r="CH159" s="194"/>
      <c r="CI159" s="194"/>
      <c r="CJ159" s="194"/>
      <c r="CK159" s="194"/>
      <c r="CL159" s="194"/>
      <c r="CM159" s="194"/>
      <c r="CN159" s="194"/>
      <c r="CO159" s="194"/>
      <c r="CP159" s="194"/>
      <c r="CQ159" s="194"/>
      <c r="CR159" s="194"/>
      <c r="CS159" s="194"/>
      <c r="CT159" s="194"/>
      <c r="CU159" s="194"/>
      <c r="CV159" s="194"/>
      <c r="CW159" s="194"/>
      <c r="CX159" s="194"/>
      <c r="CY159" s="194"/>
      <c r="CZ159" s="194"/>
      <c r="DA159" s="194"/>
      <c r="DB159" s="194"/>
      <c r="DC159" s="194"/>
      <c r="DD159" s="194"/>
      <c r="DE159" s="194"/>
      <c r="DF159" s="194"/>
      <c r="DG159" s="194"/>
      <c r="DH159" s="194"/>
      <c r="DI159" s="194"/>
      <c r="DJ159" s="194"/>
      <c r="DK159" s="194"/>
      <c r="DL159" s="194"/>
      <c r="DM159" s="194"/>
      <c r="DN159" s="194"/>
      <c r="DO159" s="194"/>
      <c r="DP159" s="194"/>
      <c r="DQ159" s="194"/>
      <c r="DR159" s="194"/>
      <c r="DS159" s="194"/>
      <c r="DT159" s="194"/>
      <c r="DU159" s="194"/>
      <c r="DV159" s="194"/>
      <c r="DW159" s="194"/>
      <c r="DX159" s="194"/>
      <c r="DY159" s="194"/>
      <c r="DZ159" s="194"/>
      <c r="EA159" s="194"/>
      <c r="EB159" s="194"/>
      <c r="EC159" s="194"/>
      <c r="ED159" s="194"/>
      <c r="EE159" s="194"/>
      <c r="EF159" s="194"/>
      <c r="EG159" s="194"/>
      <c r="EH159" s="194"/>
      <c r="EI159" s="194"/>
      <c r="EJ159" s="194"/>
      <c r="EK159" s="194"/>
      <c r="EL159" s="194"/>
      <c r="EM159" s="194"/>
      <c r="EN159" s="194"/>
      <c r="EO159" s="194"/>
      <c r="EP159" s="194"/>
      <c r="EQ159" s="194"/>
      <c r="ER159" s="194"/>
      <c r="ES159" s="194"/>
      <c r="ET159" s="194"/>
      <c r="EU159" s="194"/>
      <c r="EV159" s="194"/>
      <c r="EW159" s="194"/>
      <c r="EX159" s="194"/>
      <c r="EY159" s="194"/>
      <c r="EZ159" s="194"/>
      <c r="FA159" s="194"/>
      <c r="FB159" s="194"/>
      <c r="FC159" s="194"/>
      <c r="FD159" s="194"/>
      <c r="FE159" s="194"/>
      <c r="FF159" s="194"/>
      <c r="FG159" s="194"/>
      <c r="FH159" s="194"/>
      <c r="FI159" s="194"/>
      <c r="FJ159" s="194"/>
      <c r="FK159" s="194"/>
      <c r="FL159" s="194"/>
      <c r="FM159" s="194"/>
      <c r="FN159" s="194"/>
      <c r="FO159" s="194"/>
      <c r="FP159" s="194"/>
      <c r="FQ159" s="194"/>
      <c r="FR159" s="194"/>
      <c r="FS159" s="194"/>
      <c r="FT159" s="194"/>
      <c r="FU159" s="194"/>
      <c r="FV159" s="194"/>
      <c r="FW159" s="194"/>
      <c r="FX159" s="194"/>
      <c r="FY159" s="194"/>
      <c r="FZ159" s="194"/>
      <c r="GA159" s="194"/>
      <c r="GB159" s="194"/>
      <c r="GC159" s="194"/>
      <c r="GD159" s="194"/>
      <c r="GE159" s="194"/>
      <c r="GF159" s="194"/>
      <c r="GG159" s="194"/>
      <c r="GH159" s="194"/>
      <c r="GI159" s="194"/>
      <c r="GJ159" s="194"/>
      <c r="GK159" s="194"/>
      <c r="GL159" s="194"/>
      <c r="GM159" s="194"/>
      <c r="GN159" s="194"/>
      <c r="GO159" s="194"/>
      <c r="GP159" s="194"/>
      <c r="GQ159" s="194"/>
      <c r="GR159" s="194"/>
      <c r="GS159" s="194"/>
      <c r="GT159" s="194"/>
      <c r="GU159" s="194"/>
      <c r="GV159" s="194"/>
      <c r="GW159" s="194"/>
      <c r="GX159" s="194"/>
      <c r="GY159" s="194"/>
      <c r="GZ159" s="194"/>
      <c r="HA159" s="194"/>
      <c r="HB159" s="194"/>
      <c r="HC159" s="194"/>
      <c r="HD159" s="194"/>
      <c r="HE159" s="194"/>
      <c r="HF159" s="194"/>
      <c r="HG159" s="194"/>
      <c r="HH159" s="194"/>
      <c r="HI159" s="194"/>
      <c r="HJ159" s="194"/>
      <c r="HK159" s="194"/>
      <c r="HL159" s="194"/>
      <c r="HM159" s="194"/>
      <c r="HN159" s="194"/>
      <c r="HO159" s="194"/>
      <c r="HP159" s="194"/>
      <c r="HQ159" s="194"/>
      <c r="HR159" s="194"/>
      <c r="HS159" s="194"/>
      <c r="HT159" s="194"/>
      <c r="HU159" s="194"/>
      <c r="HV159" s="194"/>
      <c r="HW159" s="194"/>
      <c r="HX159" s="194"/>
      <c r="HY159" s="194"/>
      <c r="HZ159" s="194"/>
      <c r="IA159" s="194"/>
      <c r="IB159" s="194"/>
      <c r="IC159" s="194"/>
      <c r="ID159" s="194"/>
      <c r="IE159" s="194"/>
      <c r="IF159" s="194"/>
      <c r="IG159" s="194"/>
      <c r="IH159" s="194"/>
      <c r="II159" s="194"/>
      <c r="IJ159" s="194"/>
      <c r="IK159" s="194"/>
      <c r="IL159" s="194"/>
      <c r="IM159" s="194"/>
      <c r="IN159" s="194"/>
      <c r="IO159" s="194"/>
      <c r="IP159" s="194"/>
      <c r="IQ159" s="194"/>
      <c r="IR159" s="194"/>
      <c r="IS159" s="194"/>
      <c r="IT159" s="194"/>
      <c r="IU159" s="194"/>
      <c r="IV159" s="194"/>
      <c r="IW159" s="194"/>
    </row>
    <row r="160" customFormat="false" ht="12.75" hidden="false" customHeight="false" outlineLevel="0" collapsed="false">
      <c r="A160" s="39" t="s">
        <v>144</v>
      </c>
      <c r="B160" s="186" t="s">
        <v>273</v>
      </c>
      <c r="C160" s="187" t="s">
        <v>428</v>
      </c>
      <c r="D160" s="188" t="n">
        <v>36678</v>
      </c>
      <c r="E160" s="188" t="n">
        <v>36707</v>
      </c>
      <c r="F160" s="39" t="s">
        <v>429</v>
      </c>
      <c r="G160" s="39" t="s">
        <v>430</v>
      </c>
      <c r="H160" s="186" t="s">
        <v>154</v>
      </c>
      <c r="I160" s="189" t="n">
        <f aca="false">2.1/I$1</f>
        <v>0.067741935483871</v>
      </c>
      <c r="J160" s="190"/>
      <c r="K160" s="190"/>
      <c r="L160" s="190"/>
      <c r="M160" s="190"/>
      <c r="N160" s="190"/>
      <c r="O160" s="190"/>
      <c r="P160" s="191" t="s">
        <v>449</v>
      </c>
      <c r="Q160" s="187" t="n">
        <v>700</v>
      </c>
      <c r="R160" s="39" t="s">
        <v>450</v>
      </c>
      <c r="S160" s="192" t="n">
        <f aca="false">I160*$I$1*Q160</f>
        <v>1470</v>
      </c>
      <c r="T160" s="192"/>
      <c r="U160" s="193" t="n">
        <v>284580</v>
      </c>
      <c r="V160" s="193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194"/>
      <c r="AT160" s="194"/>
      <c r="AU160" s="194"/>
      <c r="AV160" s="194"/>
      <c r="AW160" s="194"/>
      <c r="AX160" s="194"/>
      <c r="AY160" s="194"/>
      <c r="AZ160" s="194"/>
      <c r="BA160" s="194"/>
      <c r="BB160" s="194"/>
      <c r="BC160" s="194"/>
      <c r="BD160" s="194"/>
      <c r="BE160" s="194"/>
      <c r="BF160" s="194"/>
      <c r="BG160" s="194"/>
      <c r="BH160" s="194"/>
      <c r="BI160" s="194"/>
      <c r="BJ160" s="194"/>
      <c r="BK160" s="194"/>
      <c r="BL160" s="194"/>
      <c r="BM160" s="194"/>
      <c r="BN160" s="194"/>
      <c r="BO160" s="194"/>
      <c r="BP160" s="194"/>
      <c r="BQ160" s="194"/>
      <c r="BR160" s="194"/>
      <c r="BS160" s="194"/>
      <c r="BT160" s="194"/>
      <c r="BU160" s="194"/>
      <c r="BV160" s="194"/>
      <c r="BW160" s="194"/>
      <c r="BX160" s="194"/>
      <c r="BY160" s="194"/>
      <c r="BZ160" s="194"/>
      <c r="CA160" s="194"/>
      <c r="CB160" s="194"/>
      <c r="CC160" s="194"/>
      <c r="CD160" s="194"/>
      <c r="CE160" s="194"/>
      <c r="CF160" s="194"/>
      <c r="CG160" s="194"/>
      <c r="CH160" s="194"/>
      <c r="CI160" s="194"/>
      <c r="CJ160" s="194"/>
      <c r="CK160" s="194"/>
      <c r="CL160" s="194"/>
      <c r="CM160" s="194"/>
      <c r="CN160" s="194"/>
      <c r="CO160" s="194"/>
      <c r="CP160" s="194"/>
      <c r="CQ160" s="194"/>
      <c r="CR160" s="194"/>
      <c r="CS160" s="194"/>
      <c r="CT160" s="194"/>
      <c r="CU160" s="194"/>
      <c r="CV160" s="194"/>
      <c r="CW160" s="194"/>
      <c r="CX160" s="194"/>
      <c r="CY160" s="194"/>
      <c r="CZ160" s="194"/>
      <c r="DA160" s="194"/>
      <c r="DB160" s="194"/>
      <c r="DC160" s="194"/>
      <c r="DD160" s="194"/>
      <c r="DE160" s="194"/>
      <c r="DF160" s="194"/>
      <c r="DG160" s="194"/>
      <c r="DH160" s="194"/>
      <c r="DI160" s="194"/>
      <c r="DJ160" s="194"/>
      <c r="DK160" s="194"/>
      <c r="DL160" s="194"/>
      <c r="DM160" s="194"/>
      <c r="DN160" s="194"/>
      <c r="DO160" s="194"/>
      <c r="DP160" s="194"/>
      <c r="DQ160" s="194"/>
      <c r="DR160" s="194"/>
      <c r="DS160" s="194"/>
      <c r="DT160" s="194"/>
      <c r="DU160" s="194"/>
      <c r="DV160" s="194"/>
      <c r="DW160" s="194"/>
      <c r="DX160" s="194"/>
      <c r="DY160" s="194"/>
      <c r="DZ160" s="194"/>
      <c r="EA160" s="194"/>
      <c r="EB160" s="194"/>
      <c r="EC160" s="194"/>
      <c r="ED160" s="194"/>
      <c r="EE160" s="194"/>
      <c r="EF160" s="194"/>
      <c r="EG160" s="194"/>
      <c r="EH160" s="194"/>
      <c r="EI160" s="194"/>
      <c r="EJ160" s="194"/>
      <c r="EK160" s="194"/>
      <c r="EL160" s="194"/>
      <c r="EM160" s="194"/>
      <c r="EN160" s="194"/>
      <c r="EO160" s="194"/>
      <c r="EP160" s="194"/>
      <c r="EQ160" s="194"/>
      <c r="ER160" s="194"/>
      <c r="ES160" s="194"/>
      <c r="ET160" s="194"/>
      <c r="EU160" s="194"/>
      <c r="EV160" s="194"/>
      <c r="EW160" s="194"/>
      <c r="EX160" s="194"/>
      <c r="EY160" s="194"/>
      <c r="EZ160" s="194"/>
      <c r="FA160" s="194"/>
      <c r="FB160" s="194"/>
      <c r="FC160" s="194"/>
      <c r="FD160" s="194"/>
      <c r="FE160" s="194"/>
      <c r="FF160" s="194"/>
      <c r="FG160" s="194"/>
      <c r="FH160" s="194"/>
      <c r="FI160" s="194"/>
      <c r="FJ160" s="194"/>
      <c r="FK160" s="194"/>
      <c r="FL160" s="194"/>
      <c r="FM160" s="194"/>
      <c r="FN160" s="194"/>
      <c r="FO160" s="194"/>
      <c r="FP160" s="194"/>
      <c r="FQ160" s="194"/>
      <c r="FR160" s="194"/>
      <c r="FS160" s="194"/>
      <c r="FT160" s="194"/>
      <c r="FU160" s="194"/>
      <c r="FV160" s="194"/>
      <c r="FW160" s="194"/>
      <c r="FX160" s="194"/>
      <c r="FY160" s="194"/>
      <c r="FZ160" s="194"/>
      <c r="GA160" s="194"/>
      <c r="GB160" s="194"/>
      <c r="GC160" s="194"/>
      <c r="GD160" s="194"/>
      <c r="GE160" s="194"/>
      <c r="GF160" s="194"/>
      <c r="GG160" s="194"/>
      <c r="GH160" s="194"/>
      <c r="GI160" s="194"/>
      <c r="GJ160" s="194"/>
      <c r="GK160" s="194"/>
      <c r="GL160" s="194"/>
      <c r="GM160" s="194"/>
      <c r="GN160" s="194"/>
      <c r="GO160" s="194"/>
      <c r="GP160" s="194"/>
      <c r="GQ160" s="194"/>
      <c r="GR160" s="194"/>
      <c r="GS160" s="194"/>
      <c r="GT160" s="194"/>
      <c r="GU160" s="194"/>
      <c r="GV160" s="194"/>
      <c r="GW160" s="194"/>
      <c r="GX160" s="194"/>
      <c r="GY160" s="194"/>
      <c r="GZ160" s="194"/>
      <c r="HA160" s="194"/>
      <c r="HB160" s="194"/>
      <c r="HC160" s="194"/>
      <c r="HD160" s="194"/>
      <c r="HE160" s="194"/>
      <c r="HF160" s="194"/>
      <c r="HG160" s="194"/>
      <c r="HH160" s="194"/>
      <c r="HI160" s="194"/>
      <c r="HJ160" s="194"/>
      <c r="HK160" s="194"/>
      <c r="HL160" s="194"/>
      <c r="HM160" s="194"/>
      <c r="HN160" s="194"/>
      <c r="HO160" s="194"/>
      <c r="HP160" s="194"/>
      <c r="HQ160" s="194"/>
      <c r="HR160" s="194"/>
      <c r="HS160" s="194"/>
      <c r="HT160" s="194"/>
      <c r="HU160" s="194"/>
      <c r="HV160" s="194"/>
      <c r="HW160" s="194"/>
      <c r="HX160" s="194"/>
      <c r="HY160" s="194"/>
      <c r="HZ160" s="194"/>
      <c r="IA160" s="194"/>
      <c r="IB160" s="194"/>
      <c r="IC160" s="194"/>
      <c r="ID160" s="194"/>
      <c r="IE160" s="194"/>
      <c r="IF160" s="194"/>
      <c r="IG160" s="194"/>
      <c r="IH160" s="194"/>
      <c r="II160" s="194"/>
      <c r="IJ160" s="194"/>
      <c r="IK160" s="194"/>
      <c r="IL160" s="194"/>
      <c r="IM160" s="194"/>
      <c r="IN160" s="194"/>
      <c r="IO160" s="194"/>
      <c r="IP160" s="194"/>
      <c r="IQ160" s="194"/>
      <c r="IR160" s="194"/>
      <c r="IS160" s="194"/>
      <c r="IT160" s="194"/>
      <c r="IU160" s="194"/>
      <c r="IV160" s="194"/>
      <c r="IW160" s="194"/>
    </row>
    <row r="161" customFormat="false" ht="12.75" hidden="false" customHeight="false" outlineLevel="0" collapsed="false">
      <c r="A161" s="39" t="s">
        <v>144</v>
      </c>
      <c r="B161" s="186" t="s">
        <v>273</v>
      </c>
      <c r="C161" s="187" t="s">
        <v>428</v>
      </c>
      <c r="D161" s="188" t="n">
        <v>36678</v>
      </c>
      <c r="E161" s="188" t="n">
        <v>36707</v>
      </c>
      <c r="F161" s="39" t="s">
        <v>429</v>
      </c>
      <c r="G161" s="39" t="s">
        <v>430</v>
      </c>
      <c r="H161" s="186" t="s">
        <v>154</v>
      </c>
      <c r="I161" s="189" t="n">
        <f aca="false">2.1/I$1</f>
        <v>0.067741935483871</v>
      </c>
      <c r="J161" s="190"/>
      <c r="K161" s="190"/>
      <c r="L161" s="190"/>
      <c r="M161" s="190"/>
      <c r="N161" s="190"/>
      <c r="O161" s="190"/>
      <c r="P161" s="191" t="s">
        <v>451</v>
      </c>
      <c r="Q161" s="187" t="n">
        <v>2000</v>
      </c>
      <c r="R161" s="39" t="s">
        <v>452</v>
      </c>
      <c r="S161" s="192" t="n">
        <f aca="false">I161*$I$1*Q161</f>
        <v>4200</v>
      </c>
      <c r="T161" s="192"/>
      <c r="U161" s="193" t="n">
        <v>284583</v>
      </c>
      <c r="V161" s="193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194"/>
      <c r="AT161" s="194"/>
      <c r="AU161" s="194"/>
      <c r="AV161" s="194"/>
      <c r="AW161" s="194"/>
      <c r="AX161" s="194"/>
      <c r="AY161" s="194"/>
      <c r="AZ161" s="194"/>
      <c r="BA161" s="194"/>
      <c r="BB161" s="194"/>
      <c r="BC161" s="194"/>
      <c r="BD161" s="194"/>
      <c r="BE161" s="194"/>
      <c r="BF161" s="194"/>
      <c r="BG161" s="194"/>
      <c r="BH161" s="194"/>
      <c r="BI161" s="194"/>
      <c r="BJ161" s="194"/>
      <c r="BK161" s="194"/>
      <c r="BL161" s="194"/>
      <c r="BM161" s="194"/>
      <c r="BN161" s="194"/>
      <c r="BO161" s="194"/>
      <c r="BP161" s="194"/>
      <c r="BQ161" s="194"/>
      <c r="BR161" s="194"/>
      <c r="BS161" s="194"/>
      <c r="BT161" s="194"/>
      <c r="BU161" s="194"/>
      <c r="BV161" s="194"/>
      <c r="BW161" s="194"/>
      <c r="BX161" s="194"/>
      <c r="BY161" s="194"/>
      <c r="BZ161" s="194"/>
      <c r="CA161" s="194"/>
      <c r="CB161" s="194"/>
      <c r="CC161" s="194"/>
      <c r="CD161" s="194"/>
      <c r="CE161" s="194"/>
      <c r="CF161" s="194"/>
      <c r="CG161" s="194"/>
      <c r="CH161" s="194"/>
      <c r="CI161" s="194"/>
      <c r="CJ161" s="194"/>
      <c r="CK161" s="194"/>
      <c r="CL161" s="194"/>
      <c r="CM161" s="194"/>
      <c r="CN161" s="194"/>
      <c r="CO161" s="194"/>
      <c r="CP161" s="194"/>
      <c r="CQ161" s="194"/>
      <c r="CR161" s="194"/>
      <c r="CS161" s="194"/>
      <c r="CT161" s="194"/>
      <c r="CU161" s="194"/>
      <c r="CV161" s="194"/>
      <c r="CW161" s="194"/>
      <c r="CX161" s="194"/>
      <c r="CY161" s="194"/>
      <c r="CZ161" s="194"/>
      <c r="DA161" s="194"/>
      <c r="DB161" s="194"/>
      <c r="DC161" s="194"/>
      <c r="DD161" s="194"/>
      <c r="DE161" s="194"/>
      <c r="DF161" s="194"/>
      <c r="DG161" s="194"/>
      <c r="DH161" s="194"/>
      <c r="DI161" s="194"/>
      <c r="DJ161" s="194"/>
      <c r="DK161" s="194"/>
      <c r="DL161" s="194"/>
      <c r="DM161" s="194"/>
      <c r="DN161" s="194"/>
      <c r="DO161" s="194"/>
      <c r="DP161" s="194"/>
      <c r="DQ161" s="194"/>
      <c r="DR161" s="194"/>
      <c r="DS161" s="194"/>
      <c r="DT161" s="194"/>
      <c r="DU161" s="194"/>
      <c r="DV161" s="194"/>
      <c r="DW161" s="194"/>
      <c r="DX161" s="194"/>
      <c r="DY161" s="194"/>
      <c r="DZ161" s="194"/>
      <c r="EA161" s="194"/>
      <c r="EB161" s="194"/>
      <c r="EC161" s="194"/>
      <c r="ED161" s="194"/>
      <c r="EE161" s="194"/>
      <c r="EF161" s="194"/>
      <c r="EG161" s="194"/>
      <c r="EH161" s="194"/>
      <c r="EI161" s="194"/>
      <c r="EJ161" s="194"/>
      <c r="EK161" s="194"/>
      <c r="EL161" s="194"/>
      <c r="EM161" s="194"/>
      <c r="EN161" s="194"/>
      <c r="EO161" s="194"/>
      <c r="EP161" s="194"/>
      <c r="EQ161" s="194"/>
      <c r="ER161" s="194"/>
      <c r="ES161" s="194"/>
      <c r="ET161" s="194"/>
      <c r="EU161" s="194"/>
      <c r="EV161" s="194"/>
      <c r="EW161" s="194"/>
      <c r="EX161" s="194"/>
      <c r="EY161" s="194"/>
      <c r="EZ161" s="194"/>
      <c r="FA161" s="194"/>
      <c r="FB161" s="194"/>
      <c r="FC161" s="194"/>
      <c r="FD161" s="194"/>
      <c r="FE161" s="194"/>
      <c r="FF161" s="194"/>
      <c r="FG161" s="194"/>
      <c r="FH161" s="194"/>
      <c r="FI161" s="194"/>
      <c r="FJ161" s="194"/>
      <c r="FK161" s="194"/>
      <c r="FL161" s="194"/>
      <c r="FM161" s="194"/>
      <c r="FN161" s="194"/>
      <c r="FO161" s="194"/>
      <c r="FP161" s="194"/>
      <c r="FQ161" s="194"/>
      <c r="FR161" s="194"/>
      <c r="FS161" s="194"/>
      <c r="FT161" s="194"/>
      <c r="FU161" s="194"/>
      <c r="FV161" s="194"/>
      <c r="FW161" s="194"/>
      <c r="FX161" s="194"/>
      <c r="FY161" s="194"/>
      <c r="FZ161" s="194"/>
      <c r="GA161" s="194"/>
      <c r="GB161" s="194"/>
      <c r="GC161" s="194"/>
      <c r="GD161" s="194"/>
      <c r="GE161" s="194"/>
      <c r="GF161" s="194"/>
      <c r="GG161" s="194"/>
      <c r="GH161" s="194"/>
      <c r="GI161" s="194"/>
      <c r="GJ161" s="194"/>
      <c r="GK161" s="194"/>
      <c r="GL161" s="194"/>
      <c r="GM161" s="194"/>
      <c r="GN161" s="194"/>
      <c r="GO161" s="194"/>
      <c r="GP161" s="194"/>
      <c r="GQ161" s="194"/>
      <c r="GR161" s="194"/>
      <c r="GS161" s="194"/>
      <c r="GT161" s="194"/>
      <c r="GU161" s="194"/>
      <c r="GV161" s="194"/>
      <c r="GW161" s="194"/>
      <c r="GX161" s="194"/>
      <c r="GY161" s="194"/>
      <c r="GZ161" s="194"/>
      <c r="HA161" s="194"/>
      <c r="HB161" s="194"/>
      <c r="HC161" s="194"/>
      <c r="HD161" s="194"/>
      <c r="HE161" s="194"/>
      <c r="HF161" s="194"/>
      <c r="HG161" s="194"/>
      <c r="HH161" s="194"/>
      <c r="HI161" s="194"/>
      <c r="HJ161" s="194"/>
      <c r="HK161" s="194"/>
      <c r="HL161" s="194"/>
      <c r="HM161" s="194"/>
      <c r="HN161" s="194"/>
      <c r="HO161" s="194"/>
      <c r="HP161" s="194"/>
      <c r="HQ161" s="194"/>
      <c r="HR161" s="194"/>
      <c r="HS161" s="194"/>
      <c r="HT161" s="194"/>
      <c r="HU161" s="194"/>
      <c r="HV161" s="194"/>
      <c r="HW161" s="194"/>
      <c r="HX161" s="194"/>
      <c r="HY161" s="194"/>
      <c r="HZ161" s="194"/>
      <c r="IA161" s="194"/>
      <c r="IB161" s="194"/>
      <c r="IC161" s="194"/>
      <c r="ID161" s="194"/>
      <c r="IE161" s="194"/>
      <c r="IF161" s="194"/>
      <c r="IG161" s="194"/>
      <c r="IH161" s="194"/>
      <c r="II161" s="194"/>
      <c r="IJ161" s="194"/>
      <c r="IK161" s="194"/>
      <c r="IL161" s="194"/>
      <c r="IM161" s="194"/>
      <c r="IN161" s="194"/>
      <c r="IO161" s="194"/>
      <c r="IP161" s="194"/>
      <c r="IQ161" s="194"/>
      <c r="IR161" s="194"/>
      <c r="IS161" s="194"/>
      <c r="IT161" s="194"/>
      <c r="IU161" s="194"/>
      <c r="IV161" s="194"/>
      <c r="IW161" s="194"/>
    </row>
    <row r="162" customFormat="false" ht="12.75" hidden="false" customHeight="false" outlineLevel="0" collapsed="false">
      <c r="A162" s="15" t="s">
        <v>264</v>
      </c>
      <c r="B162" s="34" t="s">
        <v>273</v>
      </c>
      <c r="C162" s="16" t="s">
        <v>149</v>
      </c>
      <c r="D162" s="17" t="n">
        <v>36617</v>
      </c>
      <c r="E162" s="17" t="n">
        <v>36646</v>
      </c>
      <c r="F162" s="15" t="s">
        <v>453</v>
      </c>
      <c r="G162" s="15" t="s">
        <v>454</v>
      </c>
      <c r="H162" s="34" t="s">
        <v>154</v>
      </c>
      <c r="I162" s="19" t="n">
        <v>0</v>
      </c>
      <c r="J162" s="20"/>
      <c r="K162" s="20"/>
      <c r="L162" s="20"/>
      <c r="M162" s="20"/>
      <c r="N162" s="20"/>
      <c r="O162" s="20"/>
      <c r="P162" s="156" t="s">
        <v>455</v>
      </c>
      <c r="Q162" s="16" t="n">
        <v>5000</v>
      </c>
      <c r="R162" s="15" t="s">
        <v>456</v>
      </c>
      <c r="S162" s="23"/>
      <c r="T162" s="23"/>
      <c r="U162" s="24" t="s">
        <v>457</v>
      </c>
      <c r="V162" s="24"/>
      <c r="W162" s="27"/>
    </row>
    <row r="163" customFormat="false" ht="12.75" hidden="false" customHeight="false" outlineLevel="0" collapsed="false">
      <c r="A163" s="15" t="s">
        <v>264</v>
      </c>
      <c r="B163" s="34" t="s">
        <v>273</v>
      </c>
      <c r="C163" s="16" t="s">
        <v>149</v>
      </c>
      <c r="D163" s="17" t="n">
        <v>36617</v>
      </c>
      <c r="E163" s="17" t="n">
        <v>36646</v>
      </c>
      <c r="F163" s="15" t="s">
        <v>454</v>
      </c>
      <c r="G163" s="15" t="s">
        <v>458</v>
      </c>
      <c r="H163" s="34" t="s">
        <v>154</v>
      </c>
      <c r="I163" s="19" t="n">
        <v>0</v>
      </c>
      <c r="J163" s="20"/>
      <c r="K163" s="20"/>
      <c r="L163" s="20"/>
      <c r="M163" s="20"/>
      <c r="N163" s="20"/>
      <c r="O163" s="20"/>
      <c r="P163" s="156" t="s">
        <v>459</v>
      </c>
      <c r="Q163" s="16" t="n">
        <v>5000</v>
      </c>
      <c r="R163" s="15" t="s">
        <v>460</v>
      </c>
      <c r="S163" s="23"/>
      <c r="T163" s="23"/>
      <c r="U163" s="24" t="s">
        <v>457</v>
      </c>
      <c r="V163" s="24"/>
      <c r="W163" s="27"/>
    </row>
    <row r="164" customFormat="false" ht="12.75" hidden="false" customHeight="false" outlineLevel="0" collapsed="false">
      <c r="A164" s="15" t="s">
        <v>264</v>
      </c>
      <c r="B164" s="34" t="s">
        <v>273</v>
      </c>
      <c r="C164" s="16" t="s">
        <v>149</v>
      </c>
      <c r="D164" s="17" t="n">
        <v>36617</v>
      </c>
      <c r="E164" s="17" t="n">
        <v>36646</v>
      </c>
      <c r="F164" s="15" t="s">
        <v>461</v>
      </c>
      <c r="G164" s="15" t="s">
        <v>462</v>
      </c>
      <c r="H164" s="34" t="s">
        <v>154</v>
      </c>
      <c r="I164" s="19" t="n">
        <v>0</v>
      </c>
      <c r="J164" s="20"/>
      <c r="K164" s="20"/>
      <c r="L164" s="20"/>
      <c r="M164" s="20"/>
      <c r="N164" s="20"/>
      <c r="O164" s="20"/>
      <c r="P164" s="156" t="s">
        <v>463</v>
      </c>
      <c r="Q164" s="16" t="n">
        <v>5000</v>
      </c>
      <c r="R164" s="15" t="s">
        <v>464</v>
      </c>
      <c r="S164" s="23"/>
      <c r="T164" s="23"/>
      <c r="U164" s="24" t="s">
        <v>457</v>
      </c>
      <c r="V164" s="24"/>
      <c r="W164" s="27"/>
    </row>
    <row r="165" customFormat="false" ht="12.75" hidden="false" customHeight="false" outlineLevel="0" collapsed="false">
      <c r="N165" s="27"/>
      <c r="P165" s="1"/>
      <c r="Q165" s="1"/>
      <c r="S165" s="160"/>
      <c r="W165" s="27"/>
    </row>
    <row r="166" customFormat="false" ht="12.75" hidden="false" customHeight="false" outlineLevel="0" collapsed="false">
      <c r="A166" s="95"/>
      <c r="B166" s="69"/>
      <c r="C166" s="69"/>
      <c r="D166" s="96"/>
      <c r="E166" s="96"/>
      <c r="F166" s="95"/>
      <c r="G166" s="95"/>
      <c r="H166" s="69"/>
      <c r="I166" s="98"/>
      <c r="J166" s="68"/>
      <c r="K166" s="68"/>
      <c r="L166" s="68"/>
      <c r="M166" s="68"/>
      <c r="N166" s="99"/>
      <c r="O166" s="68"/>
      <c r="P166" s="153"/>
      <c r="Q166" s="69" t="n">
        <f aca="false">SUM(Q138:Q165)</f>
        <v>131174</v>
      </c>
      <c r="R166" s="95" t="s">
        <v>164</v>
      </c>
      <c r="S166" s="35" t="n">
        <f aca="false">SUM(S138:S165)</f>
        <v>433794.467612903</v>
      </c>
      <c r="T166" s="35"/>
      <c r="U166" s="36"/>
      <c r="V166" s="37"/>
      <c r="W166" s="37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  <c r="BO166" s="154"/>
      <c r="BP166" s="154"/>
      <c r="BQ166" s="154"/>
      <c r="BR166" s="154"/>
      <c r="BS166" s="154"/>
      <c r="BT166" s="154"/>
      <c r="BU166" s="154"/>
      <c r="BV166" s="154"/>
      <c r="BW166" s="154"/>
      <c r="BX166" s="154"/>
      <c r="BY166" s="154"/>
      <c r="BZ166" s="154"/>
      <c r="CA166" s="154"/>
      <c r="CB166" s="154"/>
      <c r="CC166" s="154"/>
      <c r="CD166" s="154"/>
      <c r="CE166" s="154"/>
      <c r="CF166" s="154"/>
      <c r="CG166" s="154"/>
      <c r="CH166" s="154"/>
      <c r="CI166" s="154"/>
      <c r="CJ166" s="154"/>
      <c r="CK166" s="154"/>
      <c r="CL166" s="154"/>
      <c r="CM166" s="154"/>
      <c r="CN166" s="154"/>
      <c r="CO166" s="154"/>
      <c r="CP166" s="154"/>
      <c r="CQ166" s="154"/>
      <c r="CR166" s="154"/>
      <c r="CS166" s="154"/>
      <c r="CT166" s="154"/>
      <c r="CU166" s="154"/>
      <c r="CV166" s="154"/>
      <c r="CW166" s="154"/>
      <c r="CX166" s="154"/>
      <c r="CY166" s="154"/>
      <c r="CZ166" s="154"/>
      <c r="DA166" s="154"/>
      <c r="DB166" s="154"/>
      <c r="DC166" s="154"/>
      <c r="DD166" s="154"/>
      <c r="DE166" s="154"/>
      <c r="DF166" s="154"/>
      <c r="DG166" s="154"/>
      <c r="DH166" s="154"/>
      <c r="DI166" s="154"/>
      <c r="DJ166" s="154"/>
      <c r="DK166" s="154"/>
      <c r="DL166" s="154"/>
      <c r="DM166" s="154"/>
      <c r="DN166" s="154"/>
      <c r="DO166" s="154"/>
      <c r="DP166" s="154"/>
      <c r="DQ166" s="154"/>
      <c r="DR166" s="154"/>
      <c r="DS166" s="154"/>
      <c r="DT166" s="154"/>
      <c r="DU166" s="154"/>
      <c r="DV166" s="154"/>
      <c r="DW166" s="154"/>
      <c r="DX166" s="154"/>
      <c r="DY166" s="154"/>
      <c r="DZ166" s="154"/>
      <c r="EA166" s="154"/>
      <c r="EB166" s="154"/>
      <c r="EC166" s="154"/>
      <c r="ED166" s="154"/>
      <c r="EE166" s="154"/>
      <c r="EF166" s="154"/>
      <c r="EG166" s="154"/>
      <c r="EH166" s="154"/>
      <c r="EI166" s="154"/>
      <c r="EJ166" s="154"/>
      <c r="EK166" s="154"/>
      <c r="EL166" s="154"/>
      <c r="EM166" s="154"/>
      <c r="EN166" s="154"/>
      <c r="EO166" s="154"/>
      <c r="EP166" s="154"/>
      <c r="EQ166" s="154"/>
      <c r="ER166" s="154"/>
      <c r="ES166" s="154"/>
      <c r="ET166" s="154"/>
      <c r="EU166" s="154"/>
      <c r="EV166" s="154"/>
      <c r="EW166" s="154"/>
      <c r="EX166" s="154"/>
      <c r="EY166" s="154"/>
      <c r="EZ166" s="154"/>
      <c r="FA166" s="154"/>
      <c r="FB166" s="154"/>
      <c r="FC166" s="154"/>
      <c r="FD166" s="154"/>
      <c r="FE166" s="154"/>
      <c r="FF166" s="154"/>
      <c r="FG166" s="154"/>
      <c r="FH166" s="154"/>
      <c r="FI166" s="154"/>
      <c r="FJ166" s="154"/>
      <c r="FK166" s="154"/>
      <c r="FL166" s="154"/>
      <c r="FM166" s="154"/>
      <c r="FN166" s="154"/>
      <c r="FO166" s="154"/>
      <c r="FP166" s="154"/>
      <c r="FQ166" s="154"/>
      <c r="FR166" s="154"/>
      <c r="FS166" s="154"/>
      <c r="FT166" s="154"/>
      <c r="FU166" s="154"/>
      <c r="FV166" s="154"/>
      <c r="FW166" s="154"/>
      <c r="FX166" s="154"/>
      <c r="FY166" s="154"/>
      <c r="FZ166" s="154"/>
      <c r="GA166" s="154"/>
      <c r="GB166" s="154"/>
      <c r="GC166" s="154"/>
      <c r="GD166" s="154"/>
      <c r="GE166" s="154"/>
      <c r="GF166" s="154"/>
      <c r="GG166" s="154"/>
      <c r="GH166" s="154"/>
      <c r="GI166" s="154"/>
      <c r="GJ166" s="154"/>
      <c r="GK166" s="154"/>
      <c r="GL166" s="154"/>
      <c r="GM166" s="154"/>
      <c r="GN166" s="154"/>
      <c r="GO166" s="154"/>
      <c r="GP166" s="154"/>
      <c r="GQ166" s="154"/>
      <c r="GR166" s="154"/>
      <c r="GS166" s="154"/>
      <c r="GT166" s="154"/>
      <c r="GU166" s="154"/>
      <c r="GV166" s="154"/>
      <c r="GW166" s="154"/>
      <c r="GX166" s="154"/>
      <c r="GY166" s="154"/>
      <c r="GZ166" s="154"/>
      <c r="HA166" s="154"/>
      <c r="HB166" s="154"/>
      <c r="HC166" s="154"/>
      <c r="HD166" s="154"/>
      <c r="HE166" s="154"/>
      <c r="HF166" s="154"/>
      <c r="HG166" s="154"/>
      <c r="HH166" s="154"/>
      <c r="HI166" s="154"/>
      <c r="HJ166" s="154"/>
      <c r="HK166" s="154"/>
      <c r="HL166" s="154"/>
      <c r="HM166" s="154"/>
      <c r="HN166" s="154"/>
      <c r="HO166" s="154"/>
      <c r="HP166" s="154"/>
      <c r="HQ166" s="154"/>
      <c r="HR166" s="154"/>
      <c r="HS166" s="154"/>
      <c r="HT166" s="154"/>
      <c r="HU166" s="154"/>
      <c r="HV166" s="154"/>
      <c r="HW166" s="154"/>
      <c r="HX166" s="154"/>
      <c r="HY166" s="154"/>
      <c r="HZ166" s="154"/>
      <c r="IA166" s="154"/>
      <c r="IB166" s="154"/>
      <c r="IC166" s="154"/>
      <c r="ID166" s="154"/>
      <c r="IE166" s="154"/>
      <c r="IF166" s="154"/>
      <c r="IG166" s="154"/>
      <c r="IH166" s="154"/>
      <c r="II166" s="154"/>
      <c r="IJ166" s="154"/>
      <c r="IK166" s="154"/>
      <c r="IL166" s="154"/>
      <c r="IM166" s="154"/>
      <c r="IN166" s="154"/>
      <c r="IO166" s="154"/>
      <c r="IP166" s="154"/>
      <c r="IQ166" s="154"/>
      <c r="IR166" s="154"/>
      <c r="IS166" s="154"/>
      <c r="IT166" s="154"/>
      <c r="IU166" s="154"/>
      <c r="IV166" s="154"/>
      <c r="IW166" s="154"/>
    </row>
    <row r="167" customFormat="false" ht="12.75" hidden="false" customHeight="false" outlineLevel="0" collapsed="false">
      <c r="A167" s="15"/>
      <c r="B167" s="16"/>
      <c r="C167" s="16"/>
      <c r="D167" s="17"/>
      <c r="E167" s="17"/>
      <c r="F167" s="15"/>
      <c r="G167" s="15"/>
      <c r="H167" s="16"/>
      <c r="I167" s="19"/>
      <c r="J167" s="20"/>
      <c r="K167" s="20"/>
      <c r="L167" s="20"/>
      <c r="M167" s="20"/>
      <c r="N167" s="25"/>
      <c r="O167" s="20"/>
      <c r="P167" s="22"/>
      <c r="Q167" s="71"/>
      <c r="R167" s="95" t="s">
        <v>165</v>
      </c>
      <c r="S167" s="35" t="n">
        <v>0</v>
      </c>
      <c r="T167" s="23"/>
      <c r="U167" s="26"/>
      <c r="V167" s="24"/>
      <c r="W167" s="24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3.5" hidden="false" customHeight="false" outlineLevel="0" collapsed="false">
      <c r="A168" s="15"/>
      <c r="B168" s="16"/>
      <c r="C168" s="16"/>
      <c r="D168" s="17"/>
      <c r="E168" s="17"/>
      <c r="F168" s="15"/>
      <c r="G168" s="15"/>
      <c r="H168" s="16"/>
      <c r="I168" s="19"/>
      <c r="J168" s="20"/>
      <c r="K168" s="20"/>
      <c r="L168" s="20"/>
      <c r="M168" s="20"/>
      <c r="N168" s="25"/>
      <c r="O168" s="20"/>
      <c r="P168" s="22"/>
      <c r="Q168" s="71"/>
      <c r="R168" s="95" t="s">
        <v>166</v>
      </c>
      <c r="S168" s="181" t="n">
        <f aca="false">+S166-S167</f>
        <v>433794.467612903</v>
      </c>
      <c r="T168" s="23"/>
      <c r="U168" s="26"/>
      <c r="V168" s="24"/>
      <c r="W168" s="24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3.5" hidden="false" customHeight="false" outlineLevel="0" collapsed="false">
      <c r="A169" s="15"/>
      <c r="B169" s="16"/>
      <c r="C169" s="16"/>
      <c r="D169" s="17"/>
      <c r="E169" s="17"/>
      <c r="F169" s="15"/>
      <c r="G169" s="15"/>
      <c r="H169" s="16"/>
      <c r="I169" s="19"/>
      <c r="J169" s="20"/>
      <c r="K169" s="20"/>
      <c r="L169" s="20"/>
      <c r="M169" s="20"/>
      <c r="N169" s="25"/>
      <c r="O169" s="20"/>
      <c r="P169" s="22"/>
      <c r="Q169" s="16"/>
      <c r="R169" s="15"/>
      <c r="S169" s="23"/>
      <c r="T169" s="23"/>
      <c r="U169" s="26"/>
      <c r="V169" s="24"/>
      <c r="W169" s="24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27" t="s">
        <v>108</v>
      </c>
      <c r="B170" s="128" t="s">
        <v>109</v>
      </c>
      <c r="C170" s="128" t="s">
        <v>110</v>
      </c>
      <c r="D170" s="129" t="s">
        <v>111</v>
      </c>
      <c r="E170" s="129"/>
      <c r="F170" s="127" t="s">
        <v>112</v>
      </c>
      <c r="G170" s="127" t="s">
        <v>113</v>
      </c>
      <c r="H170" s="128" t="s">
        <v>228</v>
      </c>
      <c r="I170" s="130" t="s">
        <v>115</v>
      </c>
      <c r="J170" s="128" t="s">
        <v>116</v>
      </c>
      <c r="K170" s="128" t="s">
        <v>117</v>
      </c>
      <c r="L170" s="128" t="s">
        <v>118</v>
      </c>
      <c r="M170" s="128" t="s">
        <v>119</v>
      </c>
      <c r="N170" s="131" t="s">
        <v>120</v>
      </c>
      <c r="O170" s="128" t="s">
        <v>121</v>
      </c>
      <c r="P170" s="132" t="s">
        <v>147</v>
      </c>
      <c r="Q170" s="128" t="s">
        <v>123</v>
      </c>
      <c r="R170" s="127" t="s">
        <v>124</v>
      </c>
      <c r="S170" s="109" t="s">
        <v>125</v>
      </c>
      <c r="T170" s="109" t="s">
        <v>126</v>
      </c>
      <c r="U170" s="133" t="s">
        <v>148</v>
      </c>
      <c r="V170" s="112"/>
      <c r="W170" s="112"/>
      <c r="X170" s="134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  <c r="BD170" s="134"/>
      <c r="BE170" s="134"/>
      <c r="BF170" s="134"/>
      <c r="BG170" s="134"/>
      <c r="BH170" s="134"/>
      <c r="BI170" s="134"/>
      <c r="BJ170" s="134"/>
      <c r="BK170" s="134"/>
      <c r="BL170" s="134"/>
      <c r="BM170" s="134"/>
      <c r="BN170" s="134"/>
      <c r="BO170" s="134"/>
      <c r="BP170" s="134"/>
      <c r="BQ170" s="134"/>
      <c r="BR170" s="134"/>
      <c r="BS170" s="134"/>
      <c r="BT170" s="134"/>
      <c r="BU170" s="134"/>
      <c r="BV170" s="134"/>
      <c r="BW170" s="134"/>
      <c r="BX170" s="134"/>
      <c r="BY170" s="134"/>
      <c r="BZ170" s="134"/>
      <c r="CA170" s="134"/>
      <c r="CB170" s="134"/>
      <c r="CC170" s="134"/>
      <c r="CD170" s="134"/>
      <c r="CE170" s="134"/>
      <c r="CF170" s="134"/>
      <c r="CG170" s="134"/>
      <c r="CH170" s="134"/>
      <c r="CI170" s="134"/>
      <c r="CJ170" s="134"/>
      <c r="CK170" s="134"/>
      <c r="CL170" s="134"/>
      <c r="CM170" s="134"/>
      <c r="CN170" s="134"/>
      <c r="CO170" s="134"/>
      <c r="CP170" s="134"/>
      <c r="CQ170" s="134"/>
      <c r="CR170" s="134"/>
      <c r="CS170" s="134"/>
      <c r="CT170" s="134"/>
      <c r="CU170" s="134"/>
      <c r="CV170" s="134"/>
      <c r="CW170" s="134"/>
      <c r="CX170" s="134"/>
      <c r="CY170" s="134"/>
      <c r="CZ170" s="134"/>
      <c r="DA170" s="134"/>
      <c r="DB170" s="134"/>
      <c r="DC170" s="134"/>
      <c r="DD170" s="134"/>
      <c r="DE170" s="134"/>
      <c r="DF170" s="134"/>
      <c r="DG170" s="134"/>
      <c r="DH170" s="134"/>
      <c r="DI170" s="134"/>
      <c r="DJ170" s="134"/>
      <c r="DK170" s="134"/>
      <c r="DL170" s="134"/>
      <c r="DM170" s="134"/>
      <c r="DN170" s="134"/>
      <c r="DO170" s="134"/>
      <c r="DP170" s="134"/>
      <c r="DQ170" s="134"/>
      <c r="DR170" s="134"/>
      <c r="DS170" s="134"/>
      <c r="DT170" s="134"/>
      <c r="DU170" s="134"/>
      <c r="DV170" s="134"/>
      <c r="DW170" s="134"/>
      <c r="DX170" s="134"/>
      <c r="DY170" s="134"/>
      <c r="DZ170" s="134"/>
      <c r="EA170" s="134"/>
      <c r="EB170" s="134"/>
      <c r="EC170" s="134"/>
      <c r="ED170" s="134"/>
      <c r="EE170" s="134"/>
      <c r="EF170" s="134"/>
      <c r="EG170" s="134"/>
      <c r="EH170" s="134"/>
      <c r="EI170" s="134"/>
      <c r="EJ170" s="134"/>
      <c r="EK170" s="134"/>
      <c r="EL170" s="134"/>
      <c r="EM170" s="134"/>
      <c r="EN170" s="134"/>
      <c r="EO170" s="134"/>
      <c r="EP170" s="134"/>
      <c r="EQ170" s="134"/>
      <c r="ER170" s="134"/>
      <c r="ES170" s="134"/>
      <c r="ET170" s="134"/>
      <c r="EU170" s="134"/>
      <c r="EV170" s="134"/>
      <c r="EW170" s="134"/>
      <c r="EX170" s="134"/>
      <c r="EY170" s="134"/>
      <c r="EZ170" s="134"/>
      <c r="FA170" s="134"/>
      <c r="FB170" s="134"/>
      <c r="FC170" s="134"/>
      <c r="FD170" s="134"/>
      <c r="FE170" s="134"/>
      <c r="FF170" s="134"/>
      <c r="FG170" s="134"/>
      <c r="FH170" s="134"/>
      <c r="FI170" s="134"/>
      <c r="FJ170" s="134"/>
      <c r="FK170" s="134"/>
      <c r="FL170" s="134"/>
      <c r="FM170" s="134"/>
      <c r="FN170" s="134"/>
      <c r="FO170" s="134"/>
      <c r="FP170" s="134"/>
      <c r="FQ170" s="134"/>
      <c r="FR170" s="134"/>
      <c r="FS170" s="134"/>
      <c r="FT170" s="134"/>
      <c r="FU170" s="134"/>
      <c r="FV170" s="134"/>
      <c r="FW170" s="134"/>
      <c r="FX170" s="134"/>
      <c r="FY170" s="134"/>
      <c r="FZ170" s="134"/>
      <c r="GA170" s="134"/>
      <c r="GB170" s="134"/>
      <c r="GC170" s="134"/>
      <c r="GD170" s="134"/>
      <c r="GE170" s="134"/>
      <c r="GF170" s="134"/>
      <c r="GG170" s="134"/>
      <c r="GH170" s="134"/>
      <c r="GI170" s="134"/>
      <c r="GJ170" s="134"/>
      <c r="GK170" s="134"/>
      <c r="GL170" s="134"/>
      <c r="GM170" s="134"/>
      <c r="GN170" s="134"/>
      <c r="GO170" s="134"/>
      <c r="GP170" s="134"/>
      <c r="GQ170" s="134"/>
      <c r="GR170" s="134"/>
      <c r="GS170" s="134"/>
      <c r="GT170" s="134"/>
      <c r="GU170" s="134"/>
      <c r="GV170" s="134"/>
      <c r="GW170" s="134"/>
      <c r="GX170" s="134"/>
      <c r="GY170" s="134"/>
      <c r="GZ170" s="134"/>
      <c r="HA170" s="134"/>
      <c r="HB170" s="134"/>
      <c r="HC170" s="134"/>
      <c r="HD170" s="134"/>
      <c r="HE170" s="134"/>
      <c r="HF170" s="134"/>
      <c r="HG170" s="134"/>
      <c r="HH170" s="134"/>
      <c r="HI170" s="134"/>
      <c r="HJ170" s="134"/>
      <c r="HK170" s="134"/>
      <c r="HL170" s="134"/>
      <c r="HM170" s="134"/>
      <c r="HN170" s="134"/>
      <c r="HO170" s="134"/>
      <c r="HP170" s="134"/>
      <c r="HQ170" s="134"/>
      <c r="HR170" s="134"/>
      <c r="HS170" s="134"/>
      <c r="HT170" s="134"/>
      <c r="HU170" s="134"/>
      <c r="HV170" s="134"/>
      <c r="HW170" s="134"/>
      <c r="HX170" s="134"/>
      <c r="HY170" s="134"/>
      <c r="HZ170" s="134"/>
      <c r="IA170" s="134"/>
      <c r="IB170" s="134"/>
      <c r="IC170" s="134"/>
      <c r="ID170" s="134"/>
      <c r="IE170" s="134"/>
      <c r="IF170" s="134"/>
      <c r="IG170" s="134"/>
      <c r="IH170" s="134"/>
      <c r="II170" s="134"/>
      <c r="IJ170" s="134"/>
      <c r="IK170" s="134"/>
      <c r="IL170" s="134"/>
      <c r="IM170" s="134"/>
      <c r="IN170" s="134"/>
      <c r="IO170" s="134"/>
      <c r="IP170" s="134"/>
      <c r="IQ170" s="134"/>
      <c r="IR170" s="134"/>
      <c r="IS170" s="134"/>
      <c r="IT170" s="134"/>
      <c r="IU170" s="134"/>
      <c r="IV170" s="134"/>
      <c r="IW170" s="134"/>
    </row>
    <row r="171" customFormat="false" ht="12.75" hidden="false" customHeight="false" outlineLevel="0" collapsed="false">
      <c r="A171" s="15" t="s">
        <v>149</v>
      </c>
      <c r="B171" s="16" t="s">
        <v>465</v>
      </c>
      <c r="C171" s="16" t="s">
        <v>466</v>
      </c>
      <c r="D171" s="17"/>
      <c r="E171" s="17"/>
      <c r="F171" s="15"/>
      <c r="G171" s="15"/>
      <c r="H171" s="16"/>
      <c r="I171" s="19" t="n">
        <f aca="false">4.28/I$1</f>
        <v>0.138064516129032</v>
      </c>
      <c r="J171" s="20"/>
      <c r="K171" s="68"/>
      <c r="L171" s="20"/>
      <c r="M171" s="20"/>
      <c r="N171" s="25"/>
      <c r="O171" s="20"/>
      <c r="P171" s="22" t="n">
        <v>714638</v>
      </c>
      <c r="Q171" s="34" t="n">
        <v>40000</v>
      </c>
      <c r="R171" s="16"/>
      <c r="S171" s="23" t="n">
        <f aca="false">I171*I$1*Q171</f>
        <v>171200</v>
      </c>
      <c r="T171" s="23"/>
      <c r="U171" s="26"/>
      <c r="V171" s="24"/>
      <c r="W171" s="24"/>
    </row>
    <row r="172" customFormat="false" ht="12.75" hidden="false" customHeight="false" outlineLevel="0" collapsed="false">
      <c r="A172" s="15" t="s">
        <v>149</v>
      </c>
      <c r="B172" s="16" t="s">
        <v>465</v>
      </c>
      <c r="C172" s="16" t="s">
        <v>129</v>
      </c>
      <c r="D172" s="17"/>
      <c r="E172" s="17"/>
      <c r="F172" s="15"/>
      <c r="G172" s="15"/>
      <c r="H172" s="16"/>
      <c r="I172" s="19" t="n">
        <f aca="false">4.28/I$1</f>
        <v>0.138064516129032</v>
      </c>
      <c r="J172" s="20"/>
      <c r="K172" s="68"/>
      <c r="L172" s="20"/>
      <c r="M172" s="20"/>
      <c r="N172" s="25"/>
      <c r="O172" s="20"/>
      <c r="P172" s="22" t="n">
        <v>712131</v>
      </c>
      <c r="Q172" s="34" t="n">
        <v>3750</v>
      </c>
      <c r="R172" s="16"/>
      <c r="S172" s="23" t="n">
        <f aca="false">I172*I$1*Q172</f>
        <v>16050</v>
      </c>
      <c r="T172" s="23"/>
      <c r="U172" s="26"/>
      <c r="V172" s="24"/>
      <c r="W172" s="24"/>
    </row>
    <row r="173" customFormat="false" ht="12.75" hidden="false" customHeight="false" outlineLevel="0" collapsed="false">
      <c r="A173" s="15"/>
      <c r="B173" s="16"/>
      <c r="C173" s="16"/>
      <c r="D173" s="17"/>
      <c r="E173" s="17"/>
      <c r="F173" s="15"/>
      <c r="G173" s="15"/>
      <c r="H173" s="16"/>
      <c r="I173" s="19"/>
      <c r="J173" s="20"/>
      <c r="K173" s="68"/>
      <c r="L173" s="20"/>
      <c r="M173" s="20"/>
      <c r="N173" s="25"/>
      <c r="O173" s="20"/>
      <c r="P173" s="22"/>
      <c r="Q173" s="34"/>
      <c r="R173" s="16"/>
      <c r="S173" s="137"/>
      <c r="T173" s="23"/>
      <c r="U173" s="26"/>
      <c r="V173" s="24"/>
      <c r="W173" s="24"/>
    </row>
    <row r="174" customFormat="false" ht="12.75" hidden="false" customHeight="false" outlineLevel="0" collapsed="false">
      <c r="A174" s="95"/>
      <c r="B174" s="69"/>
      <c r="C174" s="69"/>
      <c r="D174" s="96"/>
      <c r="E174" s="96"/>
      <c r="F174" s="95"/>
      <c r="G174" s="95"/>
      <c r="H174" s="69"/>
      <c r="I174" s="98"/>
      <c r="J174" s="68"/>
      <c r="K174" s="68"/>
      <c r="L174" s="68"/>
      <c r="M174" s="68"/>
      <c r="N174" s="99"/>
      <c r="O174" s="68"/>
      <c r="P174" s="153"/>
      <c r="Q174" s="69" t="n">
        <f aca="false">SUM(Q171:Q173)</f>
        <v>43750</v>
      </c>
      <c r="R174" s="95" t="s">
        <v>164</v>
      </c>
      <c r="S174" s="35" t="n">
        <f aca="false">SUM(S171:S173)</f>
        <v>187250</v>
      </c>
      <c r="T174" s="35"/>
      <c r="U174" s="36"/>
      <c r="V174" s="37"/>
      <c r="W174" s="37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4"/>
      <c r="BN174" s="154"/>
      <c r="BO174" s="154"/>
      <c r="BP174" s="154"/>
      <c r="BQ174" s="154"/>
      <c r="BR174" s="154"/>
      <c r="BS174" s="154"/>
      <c r="BT174" s="154"/>
      <c r="BU174" s="154"/>
      <c r="BV174" s="154"/>
      <c r="BW174" s="154"/>
      <c r="BX174" s="154"/>
      <c r="BY174" s="154"/>
      <c r="BZ174" s="154"/>
      <c r="CA174" s="154"/>
      <c r="CB174" s="154"/>
      <c r="CC174" s="154"/>
      <c r="CD174" s="154"/>
      <c r="CE174" s="154"/>
      <c r="CF174" s="154"/>
      <c r="CG174" s="154"/>
      <c r="CH174" s="154"/>
      <c r="CI174" s="154"/>
      <c r="CJ174" s="154"/>
      <c r="CK174" s="154"/>
      <c r="CL174" s="154"/>
      <c r="CM174" s="154"/>
      <c r="CN174" s="154"/>
      <c r="CO174" s="154"/>
      <c r="CP174" s="154"/>
      <c r="CQ174" s="154"/>
      <c r="CR174" s="154"/>
      <c r="CS174" s="154"/>
      <c r="CT174" s="154"/>
      <c r="CU174" s="154"/>
      <c r="CV174" s="154"/>
      <c r="CW174" s="154"/>
      <c r="CX174" s="154"/>
      <c r="CY174" s="154"/>
      <c r="CZ174" s="154"/>
      <c r="DA174" s="154"/>
      <c r="DB174" s="154"/>
      <c r="DC174" s="154"/>
      <c r="DD174" s="154"/>
      <c r="DE174" s="154"/>
      <c r="DF174" s="154"/>
      <c r="DG174" s="154"/>
      <c r="DH174" s="154"/>
      <c r="DI174" s="154"/>
      <c r="DJ174" s="154"/>
      <c r="DK174" s="154"/>
      <c r="DL174" s="154"/>
      <c r="DM174" s="154"/>
      <c r="DN174" s="154"/>
      <c r="DO174" s="154"/>
      <c r="DP174" s="154"/>
      <c r="DQ174" s="154"/>
      <c r="DR174" s="154"/>
      <c r="DS174" s="154"/>
      <c r="DT174" s="154"/>
      <c r="DU174" s="154"/>
      <c r="DV174" s="154"/>
      <c r="DW174" s="154"/>
      <c r="DX174" s="154"/>
      <c r="DY174" s="154"/>
      <c r="DZ174" s="154"/>
      <c r="EA174" s="154"/>
      <c r="EB174" s="154"/>
      <c r="EC174" s="154"/>
      <c r="ED174" s="154"/>
      <c r="EE174" s="154"/>
      <c r="EF174" s="154"/>
      <c r="EG174" s="154"/>
      <c r="EH174" s="154"/>
      <c r="EI174" s="154"/>
      <c r="EJ174" s="154"/>
      <c r="EK174" s="154"/>
      <c r="EL174" s="154"/>
      <c r="EM174" s="154"/>
      <c r="EN174" s="154"/>
      <c r="EO174" s="154"/>
      <c r="EP174" s="154"/>
      <c r="EQ174" s="154"/>
      <c r="ER174" s="154"/>
      <c r="ES174" s="154"/>
      <c r="ET174" s="154"/>
      <c r="EU174" s="154"/>
      <c r="EV174" s="154"/>
      <c r="EW174" s="154"/>
      <c r="EX174" s="154"/>
      <c r="EY174" s="154"/>
      <c r="EZ174" s="154"/>
      <c r="FA174" s="154"/>
      <c r="FB174" s="154"/>
      <c r="FC174" s="154"/>
      <c r="FD174" s="154"/>
      <c r="FE174" s="154"/>
      <c r="FF174" s="154"/>
      <c r="FG174" s="154"/>
      <c r="FH174" s="154"/>
      <c r="FI174" s="154"/>
      <c r="FJ174" s="154"/>
      <c r="FK174" s="154"/>
      <c r="FL174" s="154"/>
      <c r="FM174" s="154"/>
      <c r="FN174" s="154"/>
      <c r="FO174" s="154"/>
      <c r="FP174" s="154"/>
      <c r="FQ174" s="154"/>
      <c r="FR174" s="154"/>
      <c r="FS174" s="154"/>
      <c r="FT174" s="154"/>
      <c r="FU174" s="154"/>
      <c r="FV174" s="154"/>
      <c r="FW174" s="154"/>
      <c r="FX174" s="154"/>
      <c r="FY174" s="154"/>
      <c r="FZ174" s="154"/>
      <c r="GA174" s="154"/>
      <c r="GB174" s="154"/>
      <c r="GC174" s="154"/>
      <c r="GD174" s="154"/>
      <c r="GE174" s="154"/>
      <c r="GF174" s="154"/>
      <c r="GG174" s="154"/>
      <c r="GH174" s="154"/>
      <c r="GI174" s="154"/>
      <c r="GJ174" s="154"/>
      <c r="GK174" s="154"/>
      <c r="GL174" s="154"/>
      <c r="GM174" s="154"/>
      <c r="GN174" s="154"/>
      <c r="GO174" s="154"/>
      <c r="GP174" s="154"/>
      <c r="GQ174" s="154"/>
      <c r="GR174" s="154"/>
      <c r="GS174" s="154"/>
      <c r="GT174" s="154"/>
      <c r="GU174" s="154"/>
      <c r="GV174" s="154"/>
      <c r="GW174" s="154"/>
      <c r="GX174" s="154"/>
      <c r="GY174" s="154"/>
      <c r="GZ174" s="154"/>
      <c r="HA174" s="154"/>
      <c r="HB174" s="154"/>
      <c r="HC174" s="154"/>
      <c r="HD174" s="154"/>
      <c r="HE174" s="154"/>
      <c r="HF174" s="154"/>
      <c r="HG174" s="154"/>
      <c r="HH174" s="154"/>
      <c r="HI174" s="154"/>
      <c r="HJ174" s="154"/>
      <c r="HK174" s="154"/>
      <c r="HL174" s="154"/>
      <c r="HM174" s="154"/>
      <c r="HN174" s="154"/>
      <c r="HO174" s="154"/>
      <c r="HP174" s="154"/>
      <c r="HQ174" s="154"/>
      <c r="HR174" s="154"/>
      <c r="HS174" s="154"/>
      <c r="HT174" s="154"/>
      <c r="HU174" s="154"/>
      <c r="HV174" s="154"/>
      <c r="HW174" s="154"/>
      <c r="HX174" s="154"/>
      <c r="HY174" s="154"/>
      <c r="HZ174" s="154"/>
      <c r="IA174" s="154"/>
      <c r="IB174" s="154"/>
      <c r="IC174" s="154"/>
      <c r="ID174" s="154"/>
      <c r="IE174" s="154"/>
      <c r="IF174" s="154"/>
      <c r="IG174" s="154"/>
      <c r="IH174" s="154"/>
      <c r="II174" s="154"/>
      <c r="IJ174" s="154"/>
      <c r="IK174" s="154"/>
      <c r="IL174" s="154"/>
      <c r="IM174" s="154"/>
      <c r="IN174" s="154"/>
      <c r="IO174" s="154"/>
      <c r="IP174" s="154"/>
      <c r="IQ174" s="154"/>
      <c r="IR174" s="154"/>
      <c r="IS174" s="154"/>
      <c r="IT174" s="154"/>
      <c r="IU174" s="154"/>
      <c r="IV174" s="154"/>
      <c r="IW174" s="154"/>
    </row>
    <row r="175" customFormat="false" ht="12.75" hidden="false" customHeight="false" outlineLevel="0" collapsed="false">
      <c r="A175" s="15"/>
      <c r="B175" s="16"/>
      <c r="C175" s="16"/>
      <c r="D175" s="17"/>
      <c r="E175" s="17"/>
      <c r="F175" s="15"/>
      <c r="G175" s="15"/>
      <c r="H175" s="16"/>
      <c r="I175" s="19"/>
      <c r="J175" s="20"/>
      <c r="K175" s="20"/>
      <c r="L175" s="20"/>
      <c r="M175" s="20"/>
      <c r="N175" s="25"/>
      <c r="O175" s="20"/>
      <c r="P175" s="22"/>
      <c r="Q175" s="71"/>
      <c r="R175" s="95" t="s">
        <v>165</v>
      </c>
      <c r="S175" s="35" t="n">
        <v>0</v>
      </c>
      <c r="T175" s="23"/>
      <c r="U175" s="26"/>
      <c r="V175" s="24"/>
      <c r="W175" s="24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3.5" hidden="false" customHeight="false" outlineLevel="0" collapsed="false">
      <c r="A176" s="15"/>
      <c r="B176" s="16"/>
      <c r="C176" s="16"/>
      <c r="D176" s="17"/>
      <c r="E176" s="17"/>
      <c r="F176" s="15"/>
      <c r="G176" s="15"/>
      <c r="H176" s="16"/>
      <c r="I176" s="19"/>
      <c r="J176" s="20"/>
      <c r="K176" s="20"/>
      <c r="L176" s="20"/>
      <c r="M176" s="20"/>
      <c r="N176" s="25"/>
      <c r="O176" s="20"/>
      <c r="P176" s="22"/>
      <c r="Q176" s="71"/>
      <c r="R176" s="95" t="s">
        <v>166</v>
      </c>
      <c r="S176" s="181" t="n">
        <f aca="false">+S174-S175</f>
        <v>187250</v>
      </c>
      <c r="T176" s="23"/>
      <c r="U176" s="26"/>
      <c r="V176" s="24"/>
      <c r="W176" s="24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3.5" hidden="false" customHeight="false" outlineLevel="0" collapsed="false">
      <c r="A177" s="15"/>
      <c r="B177" s="16"/>
      <c r="C177" s="16"/>
      <c r="D177" s="17"/>
      <c r="E177" s="17"/>
      <c r="F177" s="15"/>
      <c r="G177" s="15"/>
      <c r="H177" s="16"/>
      <c r="I177" s="19"/>
      <c r="J177" s="20"/>
      <c r="K177" s="68"/>
      <c r="L177" s="20"/>
      <c r="M177" s="20"/>
      <c r="N177" s="25"/>
      <c r="O177" s="20"/>
      <c r="P177" s="153"/>
      <c r="Q177" s="71"/>
      <c r="R177" s="69"/>
      <c r="S177" s="161"/>
      <c r="T177" s="35"/>
      <c r="U177" s="26"/>
      <c r="V177" s="24"/>
      <c r="W177" s="24"/>
    </row>
    <row r="178" customFormat="false" ht="12.75" hidden="false" customHeight="false" outlineLevel="0" collapsed="false">
      <c r="A178" s="15"/>
      <c r="B178" s="16"/>
      <c r="C178" s="16"/>
      <c r="D178" s="17"/>
      <c r="E178" s="17"/>
      <c r="F178" s="15"/>
      <c r="G178" s="15"/>
      <c r="H178" s="16"/>
      <c r="I178" s="19"/>
      <c r="J178" s="20"/>
      <c r="K178" s="68"/>
      <c r="L178" s="20"/>
      <c r="M178" s="20"/>
      <c r="N178" s="162"/>
      <c r="O178" s="20"/>
      <c r="P178" s="153"/>
      <c r="Q178" s="69"/>
      <c r="R178" s="69"/>
      <c r="S178" s="154"/>
      <c r="T178" s="73"/>
      <c r="V178" s="163"/>
      <c r="W178" s="163"/>
    </row>
    <row r="179" customFormat="false" ht="12.75" hidden="false" customHeight="false" outlineLevel="0" collapsed="false">
      <c r="A179" s="15"/>
      <c r="B179" s="16"/>
      <c r="C179" s="16"/>
      <c r="D179" s="17" t="s">
        <v>1</v>
      </c>
      <c r="E179" s="17"/>
      <c r="F179" s="15"/>
      <c r="G179" s="15"/>
      <c r="H179" s="16"/>
      <c r="I179" s="19"/>
      <c r="J179" s="20"/>
      <c r="K179" s="68"/>
      <c r="L179" s="20"/>
      <c r="M179" s="20"/>
      <c r="N179" s="25"/>
      <c r="O179" s="20"/>
      <c r="P179" s="153"/>
      <c r="Q179" s="45"/>
      <c r="R179" s="164"/>
      <c r="S179" s="165"/>
      <c r="T179" s="35"/>
      <c r="U179" s="36"/>
      <c r="V179" s="37"/>
      <c r="W179" s="37"/>
    </row>
    <row r="180" customFormat="false" ht="12.75" hidden="false" customHeight="false" outlineLevel="0" collapsed="false">
      <c r="A180" s="28"/>
      <c r="B180" s="16"/>
      <c r="C180" s="16"/>
      <c r="D180" s="17"/>
      <c r="E180" s="17"/>
      <c r="F180" s="15"/>
      <c r="G180" s="15"/>
      <c r="H180" s="16"/>
      <c r="I180" s="19"/>
      <c r="J180" s="20"/>
      <c r="K180" s="20"/>
      <c r="L180" s="20"/>
      <c r="M180" s="20"/>
      <c r="N180" s="25"/>
      <c r="O180" s="20"/>
      <c r="P180" s="153"/>
      <c r="Q180" s="71"/>
      <c r="R180" s="35"/>
      <c r="S180" s="195"/>
      <c r="T180" s="35"/>
      <c r="U180" s="36"/>
      <c r="V180" s="37"/>
      <c r="W180" s="37"/>
    </row>
    <row r="181" customFormat="false" ht="12.75" hidden="false" customHeight="false" outlineLevel="0" collapsed="false">
      <c r="A181" s="28"/>
      <c r="B181" s="16"/>
      <c r="C181" s="16"/>
      <c r="D181" s="17"/>
      <c r="E181" s="17"/>
      <c r="F181" s="15"/>
      <c r="G181" s="15"/>
      <c r="H181" s="16"/>
      <c r="I181" s="20"/>
      <c r="J181" s="20"/>
      <c r="K181" s="20"/>
      <c r="L181" s="20"/>
      <c r="M181" s="20"/>
      <c r="N181" s="25"/>
      <c r="O181" s="20"/>
      <c r="P181" s="153"/>
      <c r="Q181" s="71"/>
      <c r="R181" s="35"/>
      <c r="S181" s="195"/>
      <c r="T181" s="35"/>
      <c r="U181" s="36"/>
      <c r="V181" s="37"/>
      <c r="W181" s="37"/>
    </row>
    <row r="182" customFormat="false" ht="12.75" hidden="false" customHeight="false" outlineLevel="0" collapsed="false">
      <c r="A182" s="28"/>
      <c r="B182" s="16"/>
      <c r="C182" s="16"/>
      <c r="D182" s="17"/>
      <c r="E182" s="17"/>
      <c r="F182" s="15"/>
      <c r="G182" s="15"/>
      <c r="H182" s="16"/>
      <c r="I182" s="19"/>
      <c r="J182" s="20"/>
      <c r="K182" s="20"/>
      <c r="L182" s="20"/>
      <c r="M182" s="20"/>
      <c r="N182" s="25"/>
      <c r="O182" s="20"/>
      <c r="P182" s="153"/>
      <c r="Q182" s="71"/>
      <c r="R182" s="35"/>
      <c r="S182" s="35"/>
      <c r="T182" s="35"/>
      <c r="U182" s="36"/>
      <c r="V182" s="37"/>
      <c r="W182" s="37"/>
    </row>
    <row r="183" customFormat="false" ht="12.75" hidden="false" customHeight="false" outlineLevel="0" collapsed="false">
      <c r="A183" s="28"/>
      <c r="B183" s="16"/>
      <c r="C183" s="16"/>
      <c r="D183" s="17"/>
      <c r="E183" s="17"/>
      <c r="F183" s="15"/>
      <c r="G183" s="15"/>
      <c r="H183" s="16"/>
      <c r="I183" s="20"/>
      <c r="J183" s="20"/>
      <c r="K183" s="20"/>
      <c r="L183" s="20"/>
      <c r="M183" s="20"/>
      <c r="N183" s="25"/>
      <c r="O183" s="20"/>
      <c r="P183" s="153"/>
      <c r="Q183" s="71"/>
      <c r="R183" s="35"/>
      <c r="S183" s="35"/>
      <c r="T183" s="35"/>
      <c r="U183" s="36"/>
      <c r="V183" s="37"/>
      <c r="W183" s="37"/>
    </row>
    <row r="184" customFormat="false" ht="12.75" hidden="false" customHeight="false" outlineLevel="0" collapsed="false">
      <c r="A184" s="28"/>
      <c r="B184" s="16"/>
      <c r="C184" s="16"/>
      <c r="D184" s="17"/>
      <c r="E184" s="17"/>
      <c r="F184" s="15"/>
      <c r="G184" s="15"/>
      <c r="H184" s="16"/>
      <c r="I184" s="19"/>
      <c r="J184" s="20"/>
      <c r="K184" s="20"/>
      <c r="L184" s="20"/>
      <c r="M184" s="20"/>
      <c r="N184" s="25"/>
      <c r="O184" s="20"/>
      <c r="P184" s="153"/>
      <c r="Q184" s="71"/>
      <c r="R184" s="35"/>
      <c r="S184" s="35"/>
      <c r="T184" s="35"/>
      <c r="U184" s="36"/>
      <c r="V184" s="37"/>
      <c r="W184" s="37"/>
    </row>
    <row r="185" customFormat="false" ht="12.75" hidden="false" customHeight="false" outlineLevel="0" collapsed="false">
      <c r="A185" s="28"/>
      <c r="B185" s="16"/>
      <c r="C185" s="16"/>
      <c r="D185" s="17"/>
      <c r="E185" s="17"/>
      <c r="F185" s="15"/>
      <c r="G185" s="15"/>
      <c r="H185" s="16"/>
      <c r="I185" s="20"/>
      <c r="J185" s="20"/>
      <c r="K185" s="20"/>
      <c r="L185" s="20"/>
      <c r="M185" s="20"/>
      <c r="N185" s="25"/>
      <c r="O185" s="20"/>
      <c r="P185" s="153"/>
      <c r="Q185" s="71"/>
      <c r="R185" s="35"/>
      <c r="S185" s="35"/>
      <c r="T185" s="35"/>
      <c r="U185" s="36"/>
      <c r="V185" s="37"/>
      <c r="W185" s="37"/>
    </row>
    <row r="186" customFormat="false" ht="12.75" hidden="false" customHeight="false" outlineLevel="0" collapsed="false">
      <c r="A186" s="28"/>
      <c r="B186" s="16"/>
      <c r="C186" s="16"/>
      <c r="D186" s="17"/>
      <c r="E186" s="17"/>
      <c r="F186" s="15"/>
      <c r="G186" s="15"/>
      <c r="H186" s="16"/>
      <c r="I186" s="20"/>
      <c r="J186" s="20"/>
      <c r="K186" s="20"/>
      <c r="L186" s="20"/>
      <c r="M186" s="20"/>
      <c r="N186" s="25"/>
      <c r="O186" s="20"/>
      <c r="P186" s="153"/>
      <c r="Q186" s="71"/>
      <c r="R186" s="35"/>
      <c r="S186" s="35"/>
      <c r="T186" s="35"/>
      <c r="U186" s="36"/>
      <c r="V186" s="69"/>
      <c r="W186" s="37"/>
    </row>
    <row r="187" customFormat="false" ht="12.75" hidden="false" customHeight="false" outlineLevel="0" collapsed="false">
      <c r="A187" s="28"/>
      <c r="B187" s="16"/>
      <c r="C187" s="16"/>
      <c r="D187" s="17"/>
      <c r="E187" s="17"/>
      <c r="F187" s="15"/>
      <c r="G187" s="15"/>
      <c r="H187" s="16"/>
      <c r="I187" s="20"/>
      <c r="J187" s="20"/>
      <c r="K187" s="20"/>
      <c r="L187" s="20"/>
      <c r="M187" s="20"/>
      <c r="N187" s="25"/>
      <c r="O187" s="20"/>
      <c r="P187" s="153"/>
      <c r="Q187" s="71"/>
      <c r="R187" s="35"/>
      <c r="S187" s="35"/>
      <c r="T187" s="35"/>
      <c r="U187" s="36"/>
      <c r="V187" s="37"/>
      <c r="W187" s="37"/>
    </row>
    <row r="188" customFormat="false" ht="12.75" hidden="false" customHeight="false" outlineLevel="0" collapsed="false">
      <c r="A188" s="28"/>
      <c r="B188" s="16"/>
      <c r="C188" s="16"/>
      <c r="D188" s="17"/>
      <c r="E188" s="17"/>
      <c r="F188" s="15"/>
      <c r="G188" s="15"/>
      <c r="H188" s="16"/>
      <c r="I188" s="20"/>
      <c r="J188" s="20"/>
      <c r="K188" s="20"/>
      <c r="L188" s="20"/>
      <c r="M188" s="20"/>
      <c r="N188" s="25"/>
      <c r="O188" s="20"/>
      <c r="P188" s="153"/>
      <c r="Q188" s="71"/>
      <c r="R188" s="35"/>
      <c r="S188" s="35"/>
      <c r="T188" s="35"/>
      <c r="U188" s="36"/>
      <c r="V188" s="37"/>
      <c r="W188" s="37"/>
    </row>
    <row r="189" customFormat="false" ht="12.75" hidden="false" customHeight="false" outlineLevel="0" collapsed="false">
      <c r="A189" s="28"/>
      <c r="B189" s="16"/>
      <c r="C189" s="16"/>
      <c r="D189" s="17"/>
      <c r="E189" s="17"/>
      <c r="F189" s="15"/>
      <c r="G189" s="15"/>
      <c r="H189" s="16"/>
      <c r="I189" s="19"/>
      <c r="J189" s="20"/>
      <c r="K189" s="20"/>
      <c r="L189" s="20"/>
      <c r="M189" s="20"/>
      <c r="N189" s="25"/>
      <c r="O189" s="20"/>
      <c r="P189" s="153"/>
      <c r="Q189" s="71"/>
      <c r="R189" s="69"/>
      <c r="S189" s="35"/>
      <c r="T189" s="35"/>
      <c r="U189" s="36"/>
      <c r="V189" s="37"/>
      <c r="W189" s="37"/>
    </row>
    <row r="190" customFormat="false" ht="12.75" hidden="false" customHeight="false" outlineLevel="0" collapsed="false">
      <c r="A190" s="28"/>
      <c r="B190" s="16"/>
      <c r="C190" s="16"/>
      <c r="D190" s="17"/>
      <c r="E190" s="17"/>
      <c r="F190" s="15"/>
      <c r="G190" s="15"/>
      <c r="H190" s="16"/>
      <c r="I190" s="19"/>
      <c r="J190" s="20"/>
      <c r="K190" s="20"/>
      <c r="L190" s="20"/>
      <c r="M190" s="20"/>
      <c r="N190" s="25"/>
      <c r="O190" s="20"/>
      <c r="P190" s="153"/>
      <c r="Q190" s="71"/>
      <c r="R190" s="69"/>
      <c r="S190" s="35"/>
      <c r="T190" s="35"/>
      <c r="U190" s="36"/>
      <c r="V190" s="37"/>
      <c r="W190" s="37"/>
    </row>
    <row r="191" customFormat="false" ht="12.75" hidden="false" customHeight="false" outlineLevel="0" collapsed="false">
      <c r="P191" s="73"/>
      <c r="Q191" s="73"/>
      <c r="R191" s="73"/>
      <c r="S191" s="154"/>
      <c r="T191" s="73"/>
      <c r="U191" s="72"/>
      <c r="V191" s="72"/>
    </row>
    <row r="192" customFormat="false" ht="12.75" hidden="false" customHeight="false" outlineLevel="0" collapsed="false">
      <c r="P192" s="73"/>
      <c r="Q192" s="73"/>
      <c r="R192" s="73"/>
      <c r="S192" s="154"/>
      <c r="T192" s="73"/>
      <c r="U192" s="72"/>
      <c r="V19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false" hidden="false" outlineLevel="0" max="3" min="2" style="1" width="9.14"/>
    <col collapsed="false" customWidth="true" hidden="false" outlineLevel="0" max="5" min="4" style="1" width="9.85"/>
    <col collapsed="false" customWidth="true" hidden="false" outlineLevel="0" max="6" min="6" style="1" width="12.42"/>
    <col collapsed="false" customWidth="false" hidden="false" outlineLevel="0" max="7" min="7" style="1" width="9.14"/>
    <col collapsed="false" customWidth="true" hidden="false" outlineLevel="0" max="8" min="8" style="1" width="10.28"/>
    <col collapsed="false" customWidth="true" hidden="false" outlineLevel="0" max="9" min="9" style="1" width="7.7"/>
    <col collapsed="false" customWidth="true" hidden="false" outlineLevel="0" max="10" min="10" style="1" width="13.99"/>
    <col collapsed="false" customWidth="true" hidden="false" outlineLevel="0" max="11" min="11" style="1" width="8.14"/>
    <col collapsed="false" customWidth="true" hidden="false" outlineLevel="0" max="12" min="12" style="1" width="9.99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196" t="s">
        <v>1</v>
      </c>
      <c r="B1" s="196"/>
    </row>
    <row r="2" customFormat="false" ht="12.75" hidden="false" customHeight="false" outlineLevel="0" collapsed="false">
      <c r="B2" s="196"/>
    </row>
    <row r="3" customFormat="false" ht="12.75" hidden="false" customHeight="false" outlineLevel="0" collapsed="false">
      <c r="A3" s="197" t="s">
        <v>467</v>
      </c>
      <c r="B3" s="198"/>
      <c r="C3" s="198"/>
      <c r="D3" s="198"/>
      <c r="E3" s="198"/>
      <c r="F3" s="198"/>
      <c r="G3" s="198"/>
      <c r="H3" s="199"/>
      <c r="J3" s="200" t="s">
        <v>468</v>
      </c>
      <c r="K3" s="201" t="n">
        <f aca="false">+Rates!W17</f>
        <v>0.1231743600229</v>
      </c>
      <c r="Z3" s="1" t="n">
        <v>2.8</v>
      </c>
      <c r="AC3" s="1" t="n">
        <v>3.03</v>
      </c>
    </row>
    <row r="4" customFormat="false" ht="12.75" hidden="false" customHeight="false" outlineLevel="0" collapsed="false">
      <c r="A4" s="202"/>
      <c r="B4" s="203" t="n">
        <v>1</v>
      </c>
      <c r="C4" s="203" t="n">
        <v>2</v>
      </c>
      <c r="D4" s="203" t="n">
        <v>3</v>
      </c>
      <c r="E4" s="203" t="n">
        <v>4</v>
      </c>
      <c r="F4" s="203" t="s">
        <v>469</v>
      </c>
      <c r="G4" s="203" t="n">
        <v>5</v>
      </c>
      <c r="H4" s="204" t="n">
        <v>6</v>
      </c>
      <c r="J4" s="205" t="s">
        <v>470</v>
      </c>
      <c r="K4" s="206" t="n">
        <f aca="false">(E62/(1-0.02184))-Rates!W3</f>
        <v>0.1004743600229</v>
      </c>
    </row>
    <row r="5" customFormat="false" ht="12.75" hidden="false" customHeight="false" outlineLevel="0" collapsed="false">
      <c r="A5" s="207" t="n">
        <v>1</v>
      </c>
      <c r="B5" s="208" t="n">
        <f aca="false">+Rates!B17</f>
        <v>0.0413024084295029</v>
      </c>
      <c r="C5" s="208" t="n">
        <f aca="false">+Rates!B22</f>
        <v>0.0656359007964512</v>
      </c>
      <c r="D5" s="208" t="n">
        <f aca="false">+Rates!B27</f>
        <v>0.0895928701640673</v>
      </c>
      <c r="E5" s="208"/>
      <c r="F5" s="208"/>
      <c r="G5" s="208" t="n">
        <f aca="false">+Rates!B37</f>
        <v>0.279700650508865</v>
      </c>
      <c r="H5" s="209" t="n">
        <f aca="false">+Rates!B42</f>
        <v>0.32786826505769</v>
      </c>
      <c r="J5" s="203"/>
    </row>
    <row r="6" customFormat="false" ht="12.75" hidden="false" customHeight="false" outlineLevel="0" collapsed="false">
      <c r="A6" s="207" t="n">
        <v>2</v>
      </c>
      <c r="B6" s="208"/>
      <c r="C6" s="208"/>
      <c r="D6" s="208" t="n">
        <f aca="false">+Rates!B52</f>
        <v>0.0508627813099205</v>
      </c>
      <c r="E6" s="208"/>
      <c r="F6" s="208"/>
      <c r="G6" s="208" t="n">
        <f aca="false">+Rates!B62</f>
        <v>0.261134371733222</v>
      </c>
      <c r="H6" s="209" t="n">
        <f aca="false">+Rates!B67</f>
        <v>0.30926017717781</v>
      </c>
      <c r="J6" s="200" t="s">
        <v>471</v>
      </c>
      <c r="K6" s="210" t="n">
        <f aca="false">+Rates!Z17</f>
        <v>0.149493696275071</v>
      </c>
    </row>
    <row r="7" customFormat="false" ht="12.75" hidden="false" customHeight="false" outlineLevel="0" collapsed="false">
      <c r="A7" s="207" t="n">
        <v>3</v>
      </c>
      <c r="B7" s="208"/>
      <c r="C7" s="208"/>
      <c r="D7" s="208" t="n">
        <f aca="false">+Rates!B72</f>
        <v>0.0461483676544449</v>
      </c>
      <c r="E7" s="208" t="n">
        <f aca="false">+Rates!B77</f>
        <v>0.146960829493087</v>
      </c>
      <c r="F7" s="208"/>
      <c r="G7" s="208" t="n">
        <f aca="false">+Rates!B82</f>
        <v>0.230580898876404</v>
      </c>
      <c r="H7" s="209" t="n">
        <f aca="false">+Rates!B87</f>
        <v>0.277280352644836</v>
      </c>
      <c r="J7" s="205" t="s">
        <v>472</v>
      </c>
      <c r="K7" s="206" t="n">
        <f aca="false">(E61/(1-0.0228))-Rates!Z3</f>
        <v>0.107793696275071</v>
      </c>
    </row>
    <row r="8" customFormat="false" ht="12.75" hidden="false" customHeight="false" outlineLevel="0" collapsed="false">
      <c r="A8" s="207" t="n">
        <v>4</v>
      </c>
      <c r="B8" s="208"/>
      <c r="C8" s="208"/>
      <c r="D8" s="208"/>
      <c r="E8" s="208" t="n">
        <f aca="false">+Rates!B92</f>
        <v>0.120187563710499</v>
      </c>
      <c r="F8" s="208"/>
      <c r="G8" s="208"/>
      <c r="H8" s="209" t="n">
        <f aca="false">+Rates!B102</f>
        <v>0.245890546328214</v>
      </c>
      <c r="J8" s="196"/>
      <c r="K8" s="211"/>
    </row>
    <row r="9" customFormat="false" ht="12.75" hidden="false" customHeight="false" outlineLevel="0" collapsed="false">
      <c r="A9" s="212" t="s">
        <v>469</v>
      </c>
      <c r="B9" s="208"/>
      <c r="C9" s="208"/>
      <c r="D9" s="208"/>
      <c r="E9" s="208"/>
      <c r="F9" s="208" t="n">
        <f aca="false">+Rates!B107</f>
        <v>0.029276672366965</v>
      </c>
      <c r="G9" s="208"/>
      <c r="H9" s="209"/>
      <c r="K9" s="213"/>
    </row>
    <row r="10" customFormat="false" ht="12.75" hidden="false" customHeight="false" outlineLevel="0" collapsed="false">
      <c r="A10" s="207" t="n">
        <v>5</v>
      </c>
      <c r="B10" s="208"/>
      <c r="C10" s="208"/>
      <c r="D10" s="208"/>
      <c r="E10" s="208"/>
      <c r="F10" s="208"/>
      <c r="G10" s="208" t="n">
        <f aca="false">+Rates!B112</f>
        <v>0.104727317964862</v>
      </c>
      <c r="H10" s="209"/>
      <c r="K10" s="211"/>
    </row>
    <row r="11" customFormat="false" ht="12.75" hidden="false" customHeight="false" outlineLevel="0" collapsed="false">
      <c r="A11" s="207" t="n">
        <v>6</v>
      </c>
      <c r="B11" s="154"/>
      <c r="C11" s="154"/>
      <c r="D11" s="154"/>
      <c r="E11" s="154"/>
      <c r="F11" s="154"/>
      <c r="G11" s="154"/>
      <c r="H11" s="209" t="n">
        <f aca="false">+Rates!B122</f>
        <v>0.0704487696651876</v>
      </c>
      <c r="J11" s="197" t="s">
        <v>473</v>
      </c>
      <c r="K11" s="214"/>
    </row>
    <row r="12" customFormat="false" ht="12.75" hidden="false" customHeight="false" outlineLevel="0" collapsed="false">
      <c r="A12" s="215"/>
      <c r="B12" s="216" t="s">
        <v>474</v>
      </c>
      <c r="C12" s="216"/>
      <c r="D12" s="216"/>
      <c r="E12" s="216"/>
      <c r="F12" s="216"/>
      <c r="G12" s="216"/>
      <c r="H12" s="217"/>
      <c r="J12" s="218" t="s">
        <v>475</v>
      </c>
      <c r="K12" s="219" t="n">
        <f aca="false">SUM(Rates!AI17)-0.0072</f>
        <v>0.0104845845845847</v>
      </c>
    </row>
    <row r="13" customFormat="false" ht="12.75" hidden="false" customHeight="false" outlineLevel="0" collapsed="false">
      <c r="A13" s="220" t="s">
        <v>476</v>
      </c>
      <c r="B13" s="221" t="s">
        <v>477</v>
      </c>
      <c r="C13" s="222" t="s">
        <v>478</v>
      </c>
      <c r="D13" s="222" t="s">
        <v>479</v>
      </c>
      <c r="E13" s="222" t="s">
        <v>480</v>
      </c>
      <c r="F13" s="223"/>
      <c r="G13" s="223"/>
      <c r="H13" s="224"/>
      <c r="J13" s="218" t="s">
        <v>481</v>
      </c>
      <c r="K13" s="225" t="n">
        <f aca="false">SUM(Rates!H127)</f>
        <v>0.072629149922037</v>
      </c>
    </row>
    <row r="14" customFormat="false" ht="13.5" hidden="false" customHeight="false" outlineLevel="0" collapsed="false">
      <c r="A14" s="226" t="s">
        <v>482</v>
      </c>
      <c r="B14" s="227" t="n">
        <f aca="false">SUM(Rates!B69+Rates!B71)</f>
        <v>0.0236483676544449</v>
      </c>
      <c r="C14" s="227" t="n">
        <f aca="false">SUM(Rates!K22+Rates!B69+Rates!B71)</f>
        <v>0.156918274254056</v>
      </c>
      <c r="D14" s="227" t="n">
        <f aca="false">SUM(Rates!B69+Rates!B71+Rates!K47)</f>
        <v>0.125153832023901</v>
      </c>
      <c r="E14" s="227" t="n">
        <f aca="false">0.0522+B14</f>
        <v>0.0758483676544449</v>
      </c>
      <c r="F14" s="228" t="s">
        <v>483</v>
      </c>
      <c r="G14" s="228"/>
      <c r="H14" s="229"/>
      <c r="J14" s="202" t="s">
        <v>484</v>
      </c>
      <c r="K14" s="230" t="n">
        <f aca="false">SUM(K12:K13)</f>
        <v>0.0831137345066217</v>
      </c>
    </row>
    <row r="15" customFormat="false" ht="13.5" hidden="false" customHeight="false" outlineLevel="0" collapsed="false">
      <c r="A15" s="231"/>
      <c r="J15" s="202"/>
      <c r="K15" s="219"/>
    </row>
    <row r="16" customFormat="false" ht="12.75" hidden="false" customHeight="false" outlineLevel="0" collapsed="false">
      <c r="A16" s="232" t="s">
        <v>485</v>
      </c>
      <c r="B16" s="198"/>
      <c r="C16" s="198"/>
      <c r="D16" s="198"/>
      <c r="E16" s="198"/>
      <c r="F16" s="198"/>
      <c r="G16" s="198"/>
      <c r="H16" s="198"/>
      <c r="I16" s="198"/>
      <c r="J16" s="198"/>
      <c r="K16" s="233"/>
    </row>
    <row r="17" customFormat="false" ht="12.75" hidden="false" customHeight="false" outlineLevel="0" collapsed="false">
      <c r="A17" s="234"/>
      <c r="B17" s="154"/>
      <c r="C17" s="203" t="s">
        <v>486</v>
      </c>
      <c r="D17" s="154"/>
      <c r="E17" s="154"/>
      <c r="F17" s="154"/>
      <c r="G17" s="154"/>
      <c r="H17" s="154"/>
      <c r="I17" s="154"/>
      <c r="J17" s="154"/>
      <c r="K17" s="235"/>
    </row>
    <row r="18" customFormat="false" ht="12.75" hidden="false" customHeight="false" outlineLevel="0" collapsed="false">
      <c r="A18" s="234"/>
      <c r="B18" s="154"/>
      <c r="C18" s="203" t="s">
        <v>487</v>
      </c>
      <c r="D18" s="154" t="s">
        <v>488</v>
      </c>
      <c r="E18" s="154"/>
      <c r="F18" s="154"/>
      <c r="G18" s="154"/>
      <c r="H18" s="154"/>
      <c r="I18" s="154"/>
      <c r="J18" s="154"/>
      <c r="K18" s="235"/>
    </row>
    <row r="19" customFormat="false" ht="12.75" hidden="false" customHeight="false" outlineLevel="0" collapsed="false">
      <c r="A19" s="207"/>
      <c r="B19" s="203" t="s">
        <v>489</v>
      </c>
      <c r="C19" s="203" t="s">
        <v>490</v>
      </c>
      <c r="D19" s="203" t="s">
        <v>491</v>
      </c>
      <c r="E19" s="203" t="s">
        <v>492</v>
      </c>
      <c r="F19" s="203" t="s">
        <v>493</v>
      </c>
      <c r="G19" s="154" t="s">
        <v>494</v>
      </c>
      <c r="H19" s="203" t="s">
        <v>495</v>
      </c>
      <c r="I19" s="203" t="s">
        <v>268</v>
      </c>
      <c r="J19" s="211" t="s">
        <v>263</v>
      </c>
      <c r="K19" s="236" t="s">
        <v>262</v>
      </c>
    </row>
    <row r="20" customFormat="false" ht="12.75" hidden="false" customHeight="false" outlineLevel="0" collapsed="false">
      <c r="A20" s="212" t="s">
        <v>496</v>
      </c>
      <c r="B20" s="208" t="n">
        <f aca="false">+Rates!H22-0.0225+B28+B29</f>
        <v>0.239833851798083</v>
      </c>
      <c r="C20" s="208" t="n">
        <f aca="false">+Rates!H22-0.0072</f>
        <v>0.199269126691267</v>
      </c>
      <c r="D20" s="208" t="n">
        <f aca="false">+C20-0.0072</f>
        <v>0.192069126691267</v>
      </c>
      <c r="E20" s="208" t="n">
        <f aca="false">+D20-0.0225</f>
        <v>0.169569126691267</v>
      </c>
      <c r="F20" s="208" t="n">
        <f aca="false">+D20+0.0072</f>
        <v>0.199269126691267</v>
      </c>
      <c r="G20" s="208" t="n">
        <f aca="false">+Rates!H27</f>
        <v>0.296951637543162</v>
      </c>
      <c r="H20" s="208" t="n">
        <f aca="false">+Rates!H32</f>
        <v>0.328487784330245</v>
      </c>
      <c r="I20" s="208" t="n">
        <f aca="false">+Rates!H37</f>
        <v>0.386263694267516</v>
      </c>
      <c r="J20" s="213" t="n">
        <f aca="false">+Rates!H42</f>
        <v>0.442637221269297</v>
      </c>
      <c r="K20" s="209" t="n">
        <f aca="false">+Rates!H47</f>
        <v>0.515232404406999</v>
      </c>
    </row>
    <row r="21" customFormat="false" ht="12.75" hidden="false" customHeight="false" outlineLevel="0" collapsed="false">
      <c r="A21" s="212" t="s">
        <v>497</v>
      </c>
      <c r="B21" s="208"/>
      <c r="C21" s="208" t="n">
        <f aca="false">+Rates!H52-0.0072</f>
        <v>0.0949254416961133</v>
      </c>
      <c r="D21" s="208"/>
      <c r="E21" s="208"/>
      <c r="F21" s="208" t="n">
        <f aca="false">+C21+0.0072</f>
        <v>0.102125441696113</v>
      </c>
      <c r="G21" s="208"/>
      <c r="H21" s="208"/>
      <c r="I21" s="208"/>
      <c r="J21" s="237"/>
      <c r="K21" s="236"/>
    </row>
    <row r="22" customFormat="false" ht="12.75" hidden="false" customHeight="false" outlineLevel="0" collapsed="false">
      <c r="A22" s="207" t="n">
        <v>1</v>
      </c>
      <c r="B22" s="208" t="n">
        <f aca="false">+Rates!H57-0.0225+B28+B29</f>
        <v>0.197520676276704</v>
      </c>
      <c r="C22" s="208"/>
      <c r="D22" s="208" t="n">
        <f aca="false">+Rates!H57-0.0072</f>
        <v>0.156955951169889</v>
      </c>
      <c r="E22" s="208" t="n">
        <f aca="false">+D22-0.0225</f>
        <v>0.134455951169889</v>
      </c>
      <c r="F22" s="208"/>
      <c r="G22" s="208" t="n">
        <f aca="false">+Rates!H62</f>
        <v>0.253281798359464</v>
      </c>
      <c r="H22" s="208" t="n">
        <f aca="false">+Rates!H67</f>
        <v>0.284131396928221</v>
      </c>
      <c r="I22" s="208" t="n">
        <f aca="false">+Rates!H72</f>
        <v>0.342108194649252</v>
      </c>
      <c r="J22" s="208" t="n">
        <f aca="false">+Rates!H77</f>
        <v>0.397548229288525</v>
      </c>
      <c r="K22" s="209" t="n">
        <f aca="false">+Rates!H82</f>
        <v>0.469866077359906</v>
      </c>
    </row>
    <row r="23" customFormat="false" ht="12.75" hidden="false" customHeight="false" outlineLevel="0" collapsed="false">
      <c r="A23" s="207" t="n">
        <v>2</v>
      </c>
      <c r="B23" s="208"/>
      <c r="C23" s="208"/>
      <c r="D23" s="208"/>
      <c r="E23" s="208"/>
      <c r="F23" s="208"/>
      <c r="G23" s="208"/>
      <c r="H23" s="208"/>
      <c r="I23" s="208"/>
      <c r="J23" s="208" t="n">
        <f aca="false">SUM(Rates!H87)</f>
        <v>0.248840842148932</v>
      </c>
      <c r="K23" s="209"/>
    </row>
    <row r="24" customFormat="false" ht="12.75" hidden="false" customHeight="false" outlineLevel="0" collapsed="false">
      <c r="A24" s="207" t="n">
        <v>4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9" t="n">
        <f aca="false">+Rates!H97</f>
        <v>0.182753181076673</v>
      </c>
    </row>
    <row r="25" customFormat="false" ht="12.75" hidden="false" customHeight="false" outlineLevel="0" collapsed="false">
      <c r="A25" s="207" t="n">
        <v>5</v>
      </c>
      <c r="B25" s="208"/>
      <c r="C25" s="208"/>
      <c r="D25" s="208"/>
      <c r="E25" s="208"/>
      <c r="F25" s="208"/>
      <c r="G25" s="208"/>
      <c r="H25" s="208"/>
      <c r="I25" s="208" t="n">
        <f aca="false">+Rates!H132</f>
        <v>0.104944192863641</v>
      </c>
      <c r="J25" s="208" t="n">
        <f aca="false">+Rates!H102</f>
        <v>0.10643876353334</v>
      </c>
      <c r="K25" s="209" t="n">
        <f aca="false">+Rates!H112</f>
        <v>0.172892052170369</v>
      </c>
    </row>
    <row r="26" customFormat="false" ht="12.75" hidden="false" customHeight="false" outlineLevel="0" collapsed="false">
      <c r="A26" s="238" t="n">
        <v>6</v>
      </c>
      <c r="B26" s="239"/>
      <c r="C26" s="239"/>
      <c r="D26" s="239"/>
      <c r="E26" s="239"/>
      <c r="F26" s="208"/>
      <c r="G26" s="208"/>
      <c r="H26" s="208"/>
      <c r="I26" s="208"/>
      <c r="J26" s="208"/>
      <c r="K26" s="209" t="n">
        <f aca="false">+Rates!H122</f>
        <v>0.155853922967189</v>
      </c>
    </row>
    <row r="27" customFormat="false" ht="12.75" hidden="false" customHeight="false" outlineLevel="0" collapsed="false">
      <c r="A27" s="211"/>
      <c r="B27" s="208"/>
      <c r="C27" s="208"/>
      <c r="D27" s="208"/>
      <c r="E27" s="208"/>
      <c r="F27" s="240"/>
      <c r="G27" s="208"/>
      <c r="H27" s="208"/>
      <c r="I27" s="208"/>
      <c r="J27" s="208"/>
      <c r="K27" s="209"/>
    </row>
    <row r="28" customFormat="false" ht="12.75" hidden="false" customHeight="false" outlineLevel="0" collapsed="false">
      <c r="A28" s="241" t="s">
        <v>498</v>
      </c>
      <c r="B28" s="201" t="n">
        <f aca="false">0.0009+0.0022+0.0075</f>
        <v>0.0106</v>
      </c>
      <c r="F28" s="242" t="s">
        <v>499</v>
      </c>
      <c r="G28" s="154"/>
      <c r="H28" s="154"/>
      <c r="I28" s="154"/>
      <c r="J28" s="154"/>
      <c r="K28" s="236"/>
    </row>
    <row r="29" customFormat="false" ht="12.75" hidden="false" customHeight="false" outlineLevel="0" collapsed="false">
      <c r="A29" s="226" t="s">
        <v>500</v>
      </c>
      <c r="B29" s="243" t="n">
        <f aca="false">0.0101*(+Rates!H4+Rates!H57-0.0225)</f>
        <v>0.0452647251068159</v>
      </c>
      <c r="F29" s="242" t="s">
        <v>501</v>
      </c>
      <c r="G29" s="154"/>
      <c r="H29" s="154"/>
      <c r="I29" s="244" t="n">
        <f aca="false">+I20-I25</f>
        <v>0.281319501403875</v>
      </c>
      <c r="J29" s="244" t="n">
        <f aca="false">+J20-J25</f>
        <v>0.336198457735957</v>
      </c>
      <c r="K29" s="245" t="n">
        <f aca="false">+K20-K25</f>
        <v>0.34234035223663</v>
      </c>
    </row>
    <row r="30" customFormat="false" ht="12.75" hidden="false" customHeight="false" outlineLevel="0" collapsed="false">
      <c r="A30" s="154"/>
      <c r="B30" s="208"/>
      <c r="F30" s="246" t="s">
        <v>502</v>
      </c>
      <c r="G30" s="228"/>
      <c r="H30" s="228"/>
      <c r="I30" s="247" t="n">
        <f aca="false">+I22-I25</f>
        <v>0.23716400178561</v>
      </c>
      <c r="J30" s="247" t="n">
        <f aca="false">+J22-J25</f>
        <v>0.291109465755185</v>
      </c>
      <c r="K30" s="248" t="n">
        <f aca="false">+K22-K25</f>
        <v>0.296974025189537</v>
      </c>
    </row>
    <row r="31" customFormat="false" ht="12.75" hidden="false" customHeight="false" outlineLevel="0" collapsed="false">
      <c r="A31" s="154"/>
      <c r="B31" s="208"/>
    </row>
    <row r="32" customFormat="false" ht="12.75" hidden="false" customHeight="false" outlineLevel="0" collapsed="false">
      <c r="A32" s="232" t="s">
        <v>503</v>
      </c>
      <c r="B32" s="198"/>
      <c r="C32" s="198"/>
      <c r="D32" s="198"/>
      <c r="E32" s="198"/>
      <c r="F32" s="198"/>
      <c r="G32" s="198"/>
      <c r="H32" s="198"/>
      <c r="I32" s="198"/>
      <c r="J32" s="249"/>
      <c r="K32" s="250"/>
      <c r="L32" s="154"/>
    </row>
    <row r="33" customFormat="false" ht="12.75" hidden="false" customHeight="false" outlineLevel="0" collapsed="false">
      <c r="A33" s="207"/>
      <c r="B33" s="203" t="s">
        <v>478</v>
      </c>
      <c r="C33" s="203" t="s">
        <v>504</v>
      </c>
      <c r="D33" s="203" t="s">
        <v>505</v>
      </c>
      <c r="E33" s="203" t="s">
        <v>506</v>
      </c>
      <c r="F33" s="203" t="s">
        <v>507</v>
      </c>
      <c r="G33" s="203" t="s">
        <v>508</v>
      </c>
      <c r="H33" s="251" t="s">
        <v>509</v>
      </c>
      <c r="I33" s="154"/>
      <c r="J33" s="251" t="s">
        <v>510</v>
      </c>
      <c r="K33" s="252" t="s">
        <v>511</v>
      </c>
      <c r="L33" s="154"/>
    </row>
    <row r="34" customFormat="false" ht="12.75" hidden="false" customHeight="false" outlineLevel="0" collapsed="false">
      <c r="A34" s="212" t="s">
        <v>478</v>
      </c>
      <c r="B34" s="208" t="n">
        <f aca="false">+Rates!K17</f>
        <v>0.132848698503792</v>
      </c>
      <c r="C34" s="208" t="n">
        <f aca="false">+Rates!K27</f>
        <v>0.179288787753413</v>
      </c>
      <c r="D34" s="208" t="n">
        <f aca="false">+Rates!K22</f>
        <v>0.133269906599611</v>
      </c>
      <c r="E34" s="208" t="n">
        <f aca="false">+Rates!K32</f>
        <v>0.334824841034337</v>
      </c>
      <c r="F34" s="208" t="n">
        <f aca="false">+Rates!K37</f>
        <v>0.424216179001721</v>
      </c>
      <c r="G34" s="208" t="n">
        <f aca="false">+Rates!K42</f>
        <v>0.485425350429207</v>
      </c>
      <c r="H34" s="253" t="n">
        <f aca="false">ROUND(+F34*0.6+G34*0.4,3)</f>
        <v>0.449</v>
      </c>
      <c r="I34" s="154"/>
      <c r="J34" s="254" t="n">
        <f aca="false">+Rates!N17</f>
        <v>0.892316179001721</v>
      </c>
      <c r="K34" s="255" t="n">
        <f aca="false">SUM(Rates!N22)</f>
        <v>17.3995216748768</v>
      </c>
      <c r="L34" s="154"/>
    </row>
    <row r="35" customFormat="false" ht="12.75" hidden="false" customHeight="false" outlineLevel="0" collapsed="false">
      <c r="A35" s="212" t="s">
        <v>512</v>
      </c>
      <c r="B35" s="208"/>
      <c r="C35" s="208" t="n">
        <f aca="false">+Rates!K87</f>
        <v>0.133944262295082</v>
      </c>
      <c r="D35" s="256" t="n">
        <f aca="false">+D37</f>
        <v>0.128913114754098</v>
      </c>
      <c r="E35" s="208" t="n">
        <f aca="false">+E37</f>
        <v>0.290286565910999</v>
      </c>
      <c r="F35" s="208" t="n">
        <f aca="false">+F37</f>
        <v>0.379926672347678</v>
      </c>
      <c r="G35" s="208" t="n">
        <f aca="false">+G37</f>
        <v>0.441293921463152</v>
      </c>
      <c r="H35" s="253" t="n">
        <f aca="false">ROUND(+F35*0.6+G35*0.4,3)</f>
        <v>0.404</v>
      </c>
      <c r="I35" s="154"/>
      <c r="J35" s="254" t="n">
        <f aca="false">SUM(Rates!N37)</f>
        <v>0.691926672347678</v>
      </c>
      <c r="K35" s="255" t="n">
        <f aca="false">SUM(Rates!N42)</f>
        <v>0.842993921463152</v>
      </c>
      <c r="L35" s="154"/>
    </row>
    <row r="36" customFormat="false" ht="12.75" hidden="false" customHeight="false" outlineLevel="0" collapsed="false">
      <c r="A36" s="212" t="s">
        <v>479</v>
      </c>
      <c r="B36" s="208"/>
      <c r="C36" s="208" t="n">
        <f aca="false">+Rates!K52</f>
        <v>0.14855269214961</v>
      </c>
      <c r="D36" s="208" t="n">
        <f aca="false">+Rates!K47</f>
        <v>0.101505464369456</v>
      </c>
      <c r="E36" s="208" t="n">
        <f aca="false">+Rates!K57</f>
        <v>0.304784210526316</v>
      </c>
      <c r="F36" s="208" t="n">
        <f aca="false">+Rates!K62</f>
        <v>0.394594017094017</v>
      </c>
      <c r="G36" s="208" t="n">
        <f aca="false">+Rates!K67</f>
        <v>0.456080263299881</v>
      </c>
      <c r="H36" s="253" t="n">
        <f aca="false">ROUND(+F36*0.6+G36*0.4,3)</f>
        <v>0.419</v>
      </c>
      <c r="I36" s="154"/>
      <c r="J36" s="254" t="n">
        <f aca="false">SUM(Rates!N27)</f>
        <v>0.722894017094017</v>
      </c>
      <c r="K36" s="255" t="n">
        <f aca="false">SUM(Rates!N32)</f>
        <v>0.874080263299881</v>
      </c>
      <c r="L36" s="154"/>
    </row>
    <row r="37" customFormat="false" ht="12.75" hidden="false" customHeight="false" outlineLevel="0" collapsed="false">
      <c r="A37" s="212" t="s">
        <v>480</v>
      </c>
      <c r="B37" s="208"/>
      <c r="C37" s="208" t="n">
        <f aca="false">+Rates!K87</f>
        <v>0.133944262295082</v>
      </c>
      <c r="D37" s="208" t="n">
        <f aca="false">+Rates!K77</f>
        <v>0.128913114754098</v>
      </c>
      <c r="E37" s="208" t="n">
        <f aca="false">+Rates!K112</f>
        <v>0.290286565910999</v>
      </c>
      <c r="F37" s="208" t="n">
        <f aca="false">+Rates!K117</f>
        <v>0.379926672347678</v>
      </c>
      <c r="G37" s="208" t="n">
        <f aca="false">+Rates!K122</f>
        <v>0.441293921463152</v>
      </c>
      <c r="H37" s="253" t="n">
        <f aca="false">ROUND(+F37*0.6+G37*0.4,3)</f>
        <v>0.404</v>
      </c>
      <c r="I37" s="154"/>
      <c r="J37" s="254" t="n">
        <f aca="false">SUM(Rates!N37)</f>
        <v>0.691926672347678</v>
      </c>
      <c r="K37" s="255" t="n">
        <f aca="false">SUM(Rates!N42)</f>
        <v>0.842993921463152</v>
      </c>
      <c r="L37" s="154"/>
    </row>
    <row r="38" customFormat="false" ht="12.75" hidden="false" customHeight="false" outlineLevel="0" collapsed="false">
      <c r="A38" s="257" t="s">
        <v>513</v>
      </c>
      <c r="B38" s="154"/>
      <c r="C38" s="154"/>
      <c r="D38" s="154"/>
      <c r="E38" s="258" t="n">
        <f aca="false">+Rates!K127</f>
        <v>0.162292055692056</v>
      </c>
      <c r="F38" s="208" t="n">
        <f aca="false">+Rates!K132</f>
        <v>0.249936019941836</v>
      </c>
      <c r="G38" s="208" t="n">
        <f aca="false">+Rates!K137</f>
        <v>0.309916255899318</v>
      </c>
      <c r="H38" s="208" t="n">
        <f aca="false">ROUND(+F38*0.6+G38*0.4,3)</f>
        <v>0.274</v>
      </c>
      <c r="I38" s="154"/>
      <c r="J38" s="254" t="n">
        <f aca="false">SUM(Rates!N47)</f>
        <v>0.495136019941836</v>
      </c>
      <c r="K38" s="255" t="n">
        <f aca="false">SUM(Rates!N52)</f>
        <v>0.644816255899318</v>
      </c>
    </row>
    <row r="39" customFormat="false" ht="12.75" hidden="false" customHeight="false" outlineLevel="0" collapsed="false">
      <c r="A39" s="257" t="s">
        <v>373</v>
      </c>
      <c r="B39" s="154"/>
      <c r="C39" s="154"/>
      <c r="D39" s="154"/>
      <c r="E39" s="258"/>
      <c r="F39" s="208" t="n">
        <f aca="false">+Rates!K142</f>
        <v>0.200021452145215</v>
      </c>
      <c r="G39" s="208" t="n">
        <f aca="false">+Rates!K147</f>
        <v>0.26743386105614</v>
      </c>
      <c r="H39" s="253" t="n">
        <f aca="false">ROUND(+F39*0.6+G39*0.4,3)</f>
        <v>0.227</v>
      </c>
      <c r="I39" s="154"/>
      <c r="J39" s="254"/>
      <c r="K39" s="255" t="n">
        <f aca="false">SUM(Rates!N57)</f>
        <v>0.53823386105614</v>
      </c>
    </row>
    <row r="40" customFormat="false" ht="12.75" hidden="false" customHeight="false" outlineLevel="0" collapsed="false">
      <c r="A40" s="259" t="s">
        <v>358</v>
      </c>
      <c r="B40" s="228"/>
      <c r="C40" s="228"/>
      <c r="D40" s="228"/>
      <c r="E40" s="260"/>
      <c r="F40" s="228"/>
      <c r="G40" s="239" t="n">
        <f aca="false">+Rates!K152</f>
        <v>0.188097125256673</v>
      </c>
      <c r="H40" s="261"/>
      <c r="I40" s="228"/>
      <c r="J40" s="262"/>
      <c r="K40" s="263" t="n">
        <f aca="false">SUM(Rates!N62)</f>
        <v>0.327397125256673</v>
      </c>
    </row>
    <row r="41" customFormat="false" ht="12.75" hidden="false" customHeight="false" outlineLevel="0" collapsed="false">
      <c r="A41" s="264"/>
      <c r="E41" s="258"/>
      <c r="G41" s="208"/>
      <c r="H41" s="265"/>
      <c r="J41" s="254"/>
      <c r="K41" s="254"/>
    </row>
    <row r="42" customFormat="false" ht="12.75" hidden="false" customHeight="false" outlineLevel="0" collapsed="false">
      <c r="F42" s="197" t="s">
        <v>514</v>
      </c>
      <c r="G42" s="198"/>
      <c r="H42" s="198"/>
      <c r="I42" s="198"/>
      <c r="J42" s="199"/>
    </row>
    <row r="43" customFormat="false" ht="12.75" hidden="false" customHeight="false" outlineLevel="0" collapsed="false">
      <c r="A43" s="197" t="s">
        <v>515</v>
      </c>
      <c r="B43" s="266" t="s">
        <v>516</v>
      </c>
      <c r="C43" s="266" t="s">
        <v>517</v>
      </c>
      <c r="D43" s="266" t="s">
        <v>518</v>
      </c>
      <c r="E43" s="266" t="s">
        <v>519</v>
      </c>
      <c r="F43" s="202"/>
      <c r="G43" s="154" t="s">
        <v>520</v>
      </c>
      <c r="H43" s="154" t="s">
        <v>521</v>
      </c>
      <c r="I43" s="203" t="s">
        <v>522</v>
      </c>
      <c r="J43" s="204" t="s">
        <v>523</v>
      </c>
    </row>
    <row r="44" customFormat="false" ht="12.75" hidden="false" customHeight="false" outlineLevel="0" collapsed="false">
      <c r="A44" s="226"/>
      <c r="B44" s="227" t="n">
        <f aca="false">+Rates!Q17</f>
        <v>0.0828619289340104</v>
      </c>
      <c r="C44" s="227" t="n">
        <f aca="false">SUM(Rates!Q22)</f>
        <v>0.0848619289340104</v>
      </c>
      <c r="D44" s="227" t="n">
        <f aca="false">SUM(Rates!Q27)</f>
        <v>0.126688638689867</v>
      </c>
      <c r="E44" s="227" t="n">
        <f aca="false">SUM(Rates!Q32)</f>
        <v>0.148654620123204</v>
      </c>
      <c r="F44" s="218" t="s">
        <v>524</v>
      </c>
      <c r="G44" s="253" t="n">
        <f aca="false">+Rates!AF17</f>
        <v>0.0261123672078574</v>
      </c>
      <c r="H44" s="267" t="n">
        <f aca="false">0.0075+G49</f>
        <v>0.0558982297324479</v>
      </c>
      <c r="I44" s="268" t="n">
        <f aca="false">+Rates!AF35</f>
        <v>0.104324239650087</v>
      </c>
      <c r="J44" s="269" t="n">
        <f aca="false">+Rates!AF23</f>
        <v>0.163004973284012</v>
      </c>
    </row>
    <row r="45" customFormat="false" ht="12.75" hidden="false" customHeight="false" outlineLevel="0" collapsed="false">
      <c r="F45" s="226" t="n">
        <v>1</v>
      </c>
      <c r="G45" s="228"/>
      <c r="H45" s="228"/>
      <c r="I45" s="228"/>
      <c r="J45" s="270" t="n">
        <f aca="false">SUM(Rates!AF29)</f>
        <v>0.160204973284012</v>
      </c>
    </row>
    <row r="46" customFormat="false" ht="12.75" hidden="false" customHeight="false" outlineLevel="0" collapsed="false">
      <c r="I46" s="271"/>
      <c r="J46" s="154"/>
      <c r="K46" s="154"/>
      <c r="L46" s="154"/>
      <c r="M46" s="154"/>
    </row>
    <row r="47" customFormat="false" ht="12.75" hidden="false" customHeight="false" outlineLevel="0" collapsed="false">
      <c r="A47" s="197" t="s">
        <v>525</v>
      </c>
      <c r="B47" s="198"/>
      <c r="C47" s="198"/>
      <c r="D47" s="198"/>
      <c r="E47" s="199"/>
      <c r="F47" s="272" t="s">
        <v>526</v>
      </c>
      <c r="G47" s="199"/>
      <c r="I47" s="197" t="s">
        <v>527</v>
      </c>
      <c r="J47" s="198"/>
      <c r="K47" s="198"/>
      <c r="L47" s="199"/>
      <c r="M47" s="154"/>
    </row>
    <row r="48" customFormat="false" ht="13.5" hidden="false" customHeight="false" outlineLevel="0" collapsed="false">
      <c r="A48" s="207"/>
      <c r="B48" s="203" t="s">
        <v>528</v>
      </c>
      <c r="C48" s="203" t="s">
        <v>529</v>
      </c>
      <c r="D48" s="203" t="s">
        <v>220</v>
      </c>
      <c r="E48" s="204"/>
      <c r="F48" s="273" t="s">
        <v>530</v>
      </c>
      <c r="G48" s="236"/>
      <c r="I48" s="274" t="s">
        <v>531</v>
      </c>
      <c r="J48" s="271" t="s">
        <v>532</v>
      </c>
      <c r="K48" s="275" t="s">
        <v>533</v>
      </c>
      <c r="L48" s="276" t="s">
        <v>534</v>
      </c>
      <c r="M48" s="154"/>
    </row>
    <row r="49" customFormat="false" ht="13.5" hidden="false" customHeight="false" outlineLevel="0" collapsed="false">
      <c r="A49" s="212" t="s">
        <v>528</v>
      </c>
      <c r="B49" s="208" t="n">
        <f aca="false">+Rates!T32</f>
        <v>0.111291015063661</v>
      </c>
      <c r="C49" s="208" t="n">
        <f aca="false">+C50+B49</f>
        <v>0.176783973603657</v>
      </c>
      <c r="D49" s="208" t="n">
        <f aca="false">SUM(Rates!T27,Rates!T37,Rates!T32)</f>
        <v>0.32540566530977</v>
      </c>
      <c r="E49" s="209"/>
      <c r="F49" s="277" t="s">
        <v>535</v>
      </c>
      <c r="G49" s="209" t="n">
        <f aca="false">Rates!AC34</f>
        <v>0.0483982297324479</v>
      </c>
      <c r="H49" s="278"/>
      <c r="I49" s="279" t="n">
        <v>41101</v>
      </c>
      <c r="J49" s="280" t="s">
        <v>536</v>
      </c>
      <c r="K49" s="281" t="n">
        <v>20500</v>
      </c>
      <c r="L49" s="282" t="s">
        <v>537</v>
      </c>
      <c r="M49" s="154"/>
    </row>
    <row r="50" customFormat="false" ht="12.75" hidden="false" customHeight="false" outlineLevel="0" collapsed="false">
      <c r="A50" s="212" t="s">
        <v>529</v>
      </c>
      <c r="B50" s="208"/>
      <c r="C50" s="208" t="n">
        <f aca="false">+Rates!T37</f>
        <v>0.0654929585399964</v>
      </c>
      <c r="D50" s="208" t="n">
        <f aca="false">+Rates!T37+Rates!T27</f>
        <v>0.214114650246109</v>
      </c>
      <c r="E50" s="209"/>
      <c r="F50" s="283"/>
      <c r="G50" s="198"/>
      <c r="I50" s="284" t="n">
        <v>40120</v>
      </c>
      <c r="J50" s="285" t="s">
        <v>538</v>
      </c>
      <c r="K50" s="286" t="n">
        <v>20550</v>
      </c>
      <c r="L50" s="287" t="s">
        <v>539</v>
      </c>
      <c r="M50" s="154"/>
    </row>
    <row r="51" customFormat="false" ht="12.75" hidden="false" customHeight="false" outlineLevel="0" collapsed="false">
      <c r="A51" s="212" t="s">
        <v>540</v>
      </c>
      <c r="B51" s="208"/>
      <c r="C51" s="208"/>
      <c r="D51" s="208" t="n">
        <f aca="false">+Rates!T27</f>
        <v>0.148621691706113</v>
      </c>
      <c r="E51" s="209"/>
      <c r="F51" s="208"/>
      <c r="G51" s="208"/>
      <c r="I51" s="284" t="n">
        <v>40114</v>
      </c>
      <c r="J51" s="285" t="s">
        <v>541</v>
      </c>
      <c r="K51" s="286" t="n">
        <v>20600</v>
      </c>
      <c r="L51" s="287" t="s">
        <v>542</v>
      </c>
      <c r="M51" s="154"/>
    </row>
    <row r="52" customFormat="false" ht="12.75" hidden="false" customHeight="false" outlineLevel="0" collapsed="false">
      <c r="A52" s="288"/>
      <c r="B52" s="239" t="s">
        <v>543</v>
      </c>
      <c r="C52" s="239"/>
      <c r="D52" s="239"/>
      <c r="E52" s="243"/>
      <c r="F52" s="208"/>
      <c r="G52" s="208"/>
      <c r="I52" s="284" t="n">
        <v>40103</v>
      </c>
      <c r="J52" s="285" t="s">
        <v>544</v>
      </c>
      <c r="K52" s="286" t="n">
        <v>20700</v>
      </c>
      <c r="L52" s="287" t="s">
        <v>545</v>
      </c>
      <c r="M52" s="154"/>
    </row>
    <row r="53" customFormat="false" ht="12.75" hidden="false" customHeight="false" outlineLevel="0" collapsed="false">
      <c r="I53" s="284" t="n">
        <v>40301</v>
      </c>
      <c r="J53" s="285" t="s">
        <v>546</v>
      </c>
      <c r="K53" s="286" t="n">
        <v>21100</v>
      </c>
      <c r="L53" s="287" t="s">
        <v>547</v>
      </c>
      <c r="M53" s="154"/>
    </row>
    <row r="54" customFormat="false" ht="13.5" hidden="false" customHeight="false" outlineLevel="0" collapsed="false">
      <c r="F54" s="289"/>
      <c r="I54" s="284"/>
      <c r="J54" s="285"/>
      <c r="K54" s="286" t="n">
        <v>20100</v>
      </c>
      <c r="L54" s="287" t="s">
        <v>548</v>
      </c>
      <c r="M54" s="154"/>
    </row>
    <row r="55" customFormat="false" ht="13.5" hidden="false" customHeight="false" outlineLevel="0" collapsed="false">
      <c r="A55" s="290" t="s">
        <v>549</v>
      </c>
      <c r="B55" s="291"/>
      <c r="C55" s="291"/>
      <c r="D55" s="291"/>
      <c r="E55" s="291"/>
      <c r="F55" s="292" t="n">
        <f aca="false">Rates!A1</f>
        <v>36700</v>
      </c>
      <c r="G55" s="293"/>
      <c r="H55" s="154"/>
      <c r="I55" s="284"/>
      <c r="J55" s="285"/>
      <c r="K55" s="286" t="n">
        <v>20200</v>
      </c>
      <c r="L55" s="287" t="s">
        <v>550</v>
      </c>
      <c r="M55" s="154"/>
    </row>
    <row r="56" customFormat="false" ht="12.75" hidden="false" customHeight="false" outlineLevel="0" collapsed="false">
      <c r="A56" s="265" t="s">
        <v>551</v>
      </c>
      <c r="B56" s="258" t="n">
        <f aca="false">+Rates!B6</f>
        <v>4.67</v>
      </c>
      <c r="D56" s="294" t="s">
        <v>552</v>
      </c>
      <c r="E56" s="258" t="n">
        <f aca="false">Rates!T3</f>
        <v>4.4</v>
      </c>
      <c r="F56" s="295" t="str">
        <f aca="false">Rates!A2</f>
        <v>Gas Daily </v>
      </c>
      <c r="I56" s="296"/>
      <c r="J56" s="297"/>
      <c r="K56" s="298"/>
      <c r="L56" s="299"/>
      <c r="M56" s="154"/>
    </row>
    <row r="57" customFormat="false" ht="13.5" hidden="false" customHeight="false" outlineLevel="0" collapsed="false">
      <c r="A57" s="203" t="s">
        <v>553</v>
      </c>
      <c r="B57" s="300" t="n">
        <f aca="false">+Rates!B5</f>
        <v>4.7</v>
      </c>
      <c r="C57" s="203"/>
      <c r="D57" s="237" t="s">
        <v>554</v>
      </c>
      <c r="E57" s="258" t="n">
        <f aca="false">Rates!T4</f>
        <v>4.46</v>
      </c>
      <c r="F57" s="301" t="str">
        <f aca="false">Rates!B2</f>
        <v>Even</v>
      </c>
      <c r="I57" s="302"/>
      <c r="J57" s="303"/>
      <c r="K57" s="304"/>
      <c r="L57" s="305"/>
      <c r="M57" s="154"/>
    </row>
    <row r="58" customFormat="false" ht="12.75" hidden="false" customHeight="false" outlineLevel="0" collapsed="false">
      <c r="A58" s="203" t="s">
        <v>555</v>
      </c>
      <c r="B58" s="258" t="n">
        <f aca="false">Rates!B4</f>
        <v>4.59</v>
      </c>
      <c r="C58" s="208"/>
      <c r="D58" s="213" t="s">
        <v>556</v>
      </c>
      <c r="E58" s="258" t="n">
        <f aca="false">+Rates!AF3</f>
        <v>4.405</v>
      </c>
      <c r="I58" s="285"/>
      <c r="J58" s="285"/>
      <c r="K58" s="285"/>
      <c r="L58" s="285"/>
      <c r="M58" s="154"/>
    </row>
    <row r="59" customFormat="false" ht="13.5" hidden="false" customHeight="false" outlineLevel="0" collapsed="false">
      <c r="A59" s="265" t="s">
        <v>557</v>
      </c>
      <c r="B59" s="258" t="n">
        <f aca="false">Rates!B3</f>
        <v>4.45</v>
      </c>
      <c r="C59" s="208"/>
      <c r="D59" s="1" t="s">
        <v>558</v>
      </c>
      <c r="E59" s="258" t="n">
        <f aca="false">+Rates!H4</f>
        <v>4.34</v>
      </c>
      <c r="I59" s="285"/>
      <c r="J59" s="285"/>
      <c r="K59" s="285"/>
      <c r="L59" s="285"/>
      <c r="M59" s="154"/>
    </row>
    <row r="60" customFormat="false" ht="14.25" hidden="false" customHeight="false" outlineLevel="0" collapsed="false">
      <c r="A60" s="265" t="s">
        <v>559</v>
      </c>
      <c r="B60" s="258" t="n">
        <f aca="false">Rates!B7</f>
        <v>5.07</v>
      </c>
      <c r="C60" s="208"/>
      <c r="D60" s="294" t="s">
        <v>560</v>
      </c>
      <c r="E60" s="258" t="n">
        <f aca="false">+Rates!H5</f>
        <v>4.59</v>
      </c>
      <c r="I60" s="306" t="s">
        <v>561</v>
      </c>
      <c r="J60" s="307" t="s">
        <v>562</v>
      </c>
      <c r="K60" s="308" t="n">
        <f aca="false">+Rates!AR35</f>
        <v>0.105312244897959</v>
      </c>
      <c r="L60" s="309" t="s">
        <v>35</v>
      </c>
      <c r="M60" s="154"/>
    </row>
    <row r="61" customFormat="false" ht="13.5" hidden="false" customHeight="false" outlineLevel="0" collapsed="false">
      <c r="A61" s="203" t="s">
        <v>363</v>
      </c>
      <c r="B61" s="258" t="n">
        <f aca="false">Rates!K5</f>
        <v>4.26</v>
      </c>
      <c r="D61" s="213" t="s">
        <v>563</v>
      </c>
      <c r="E61" s="258" t="n">
        <f aca="false">Rates!Z3</f>
        <v>4.62</v>
      </c>
      <c r="I61" s="285"/>
      <c r="J61" s="285"/>
      <c r="K61" s="285"/>
      <c r="L61" s="285"/>
      <c r="M61" s="154"/>
    </row>
    <row r="62" customFormat="false" ht="12.75" hidden="false" customHeight="false" outlineLevel="0" collapsed="false">
      <c r="A62" s="203" t="s">
        <v>564</v>
      </c>
      <c r="B62" s="258" t="n">
        <f aca="false">Rates!K4</f>
        <v>4.345</v>
      </c>
      <c r="D62" s="213" t="s">
        <v>46</v>
      </c>
      <c r="E62" s="258" t="n">
        <f aca="false">Rates!W3</f>
        <v>4.5</v>
      </c>
      <c r="I62" s="285"/>
      <c r="J62" s="285"/>
      <c r="K62" s="285"/>
      <c r="L62" s="285"/>
      <c r="M62" s="154"/>
    </row>
    <row r="63" customFormat="false" ht="12.75" hidden="false" customHeight="false" outlineLevel="0" collapsed="false">
      <c r="A63" s="265" t="s">
        <v>370</v>
      </c>
      <c r="B63" s="258" t="n">
        <f aca="false">Rates!K3</f>
        <v>4.36</v>
      </c>
      <c r="D63" s="294" t="s">
        <v>84</v>
      </c>
      <c r="E63" s="258" t="n">
        <f aca="false">Rates!AI3</f>
        <v>4.58</v>
      </c>
      <c r="I63" s="285"/>
      <c r="J63" s="285"/>
      <c r="K63" s="285"/>
      <c r="L63" s="285"/>
      <c r="M63" s="154"/>
    </row>
    <row r="64" customFormat="false" ht="12.75" hidden="false" customHeight="false" outlineLevel="0" collapsed="false">
      <c r="A64" s="265" t="s">
        <v>513</v>
      </c>
      <c r="B64" s="258" t="n">
        <f aca="false">Rates!K6</f>
        <v>4.45</v>
      </c>
      <c r="E64" s="258"/>
      <c r="I64" s="285"/>
      <c r="J64" s="285"/>
      <c r="K64" s="285"/>
      <c r="L64" s="285"/>
      <c r="M64" s="154"/>
    </row>
    <row r="65" customFormat="false" ht="12.75" hidden="false" customHeight="false" outlineLevel="0" collapsed="false">
      <c r="A65" s="265" t="s">
        <v>358</v>
      </c>
      <c r="B65" s="258" t="n">
        <f aca="false">Rates!K7</f>
        <v>4.765</v>
      </c>
      <c r="E65" s="258"/>
      <c r="I65" s="285"/>
      <c r="J65" s="285"/>
      <c r="K65" s="285"/>
      <c r="L65" s="285"/>
      <c r="M65" s="154"/>
    </row>
    <row r="66" customFormat="false" ht="12.75" hidden="false" customHeight="false" outlineLevel="0" collapsed="false">
      <c r="I66" s="285"/>
      <c r="J66" s="285"/>
      <c r="K66" s="285"/>
      <c r="L66" s="285"/>
      <c r="M66" s="154"/>
    </row>
    <row r="67" customFormat="false" ht="12.75" hidden="false" customHeight="false" outlineLevel="0" collapsed="false">
      <c r="I67" s="285"/>
      <c r="J67" s="285"/>
      <c r="K67" s="285"/>
      <c r="L67" s="285"/>
      <c r="M67" s="154"/>
    </row>
    <row r="68" customFormat="false" ht="12.75" hidden="false" customHeight="false" outlineLevel="0" collapsed="false">
      <c r="I68" s="285"/>
      <c r="J68" s="285"/>
      <c r="K68" s="285"/>
      <c r="L68" s="285"/>
      <c r="M68" s="154"/>
    </row>
    <row r="69" customFormat="false" ht="12.75" hidden="false" customHeight="false" outlineLevel="0" collapsed="false">
      <c r="I69" s="285"/>
      <c r="J69" s="285"/>
      <c r="K69" s="285"/>
      <c r="L69" s="285"/>
      <c r="M69" s="154"/>
    </row>
    <row r="70" customFormat="false" ht="12.75" hidden="false" customHeight="false" outlineLevel="0" collapsed="false">
      <c r="I70" s="271"/>
      <c r="J70" s="154"/>
      <c r="K70" s="154"/>
      <c r="L70" s="154"/>
      <c r="M70" s="154"/>
    </row>
    <row r="71" customFormat="false" ht="12.75" hidden="false" customHeight="false" outlineLevel="0" collapsed="false">
      <c r="I71" s="154"/>
      <c r="J71" s="271"/>
      <c r="K71" s="154"/>
      <c r="L71" s="271"/>
      <c r="M71" s="154"/>
    </row>
    <row r="72" customFormat="false" ht="12.75" hidden="false" customHeight="false" outlineLevel="0" collapsed="false">
      <c r="I72" s="285"/>
      <c r="J72" s="285"/>
      <c r="K72" s="285"/>
      <c r="L72" s="285"/>
      <c r="M72" s="154"/>
    </row>
    <row r="73" customFormat="false" ht="12.75" hidden="false" customHeight="false" outlineLevel="0" collapsed="false">
      <c r="I73" s="285"/>
      <c r="J73" s="285"/>
      <c r="K73" s="285"/>
      <c r="L73" s="285"/>
      <c r="M73" s="154"/>
    </row>
    <row r="74" customFormat="false" ht="12.75" hidden="false" customHeight="false" outlineLevel="0" collapsed="false">
      <c r="I74" s="285"/>
      <c r="J74" s="285"/>
      <c r="K74" s="285"/>
      <c r="L74" s="285"/>
      <c r="M74" s="154"/>
    </row>
    <row r="75" customFormat="false" ht="12.75" hidden="false" customHeight="false" outlineLevel="0" collapsed="false">
      <c r="I75" s="285"/>
      <c r="J75" s="285"/>
      <c r="K75" s="285"/>
      <c r="L75" s="285"/>
      <c r="M75" s="154"/>
    </row>
    <row r="76" customFormat="false" ht="12.75" hidden="false" customHeight="false" outlineLevel="0" collapsed="false">
      <c r="I76" s="285"/>
      <c r="J76" s="285"/>
      <c r="K76" s="285"/>
      <c r="L76" s="285"/>
      <c r="M76" s="154"/>
    </row>
    <row r="77" customFormat="false" ht="12.75" hidden="false" customHeight="false" outlineLevel="0" collapsed="false">
      <c r="I77" s="285"/>
      <c r="J77" s="285"/>
      <c r="K77" s="285"/>
      <c r="L77" s="285"/>
    </row>
    <row r="78" customFormat="false" ht="12.75" hidden="false" customHeight="false" outlineLevel="0" collapsed="false">
      <c r="I78" s="285"/>
      <c r="J78" s="285"/>
      <c r="K78" s="285"/>
      <c r="L78" s="285"/>
    </row>
    <row r="79" customFormat="false" ht="12.75" hidden="false" customHeight="false" outlineLevel="0" collapsed="false">
      <c r="I79" s="310"/>
      <c r="J79" s="310"/>
      <c r="K79" s="310"/>
      <c r="L79" s="310"/>
    </row>
    <row r="80" customFormat="false" ht="12.75" hidden="false" customHeight="false" outlineLevel="0" collapsed="false">
      <c r="I80" s="310"/>
      <c r="J80" s="310"/>
      <c r="K80" s="310"/>
      <c r="L80" s="310"/>
    </row>
    <row r="81" customFormat="false" ht="12.75" hidden="false" customHeight="false" outlineLevel="0" collapsed="false">
      <c r="I81" s="310"/>
      <c r="J81" s="310"/>
      <c r="K81" s="310"/>
      <c r="L81" s="310"/>
    </row>
    <row r="82" customFormat="false" ht="12.75" hidden="false" customHeight="false" outlineLevel="0" collapsed="false">
      <c r="I82" s="310"/>
      <c r="J82" s="310"/>
      <c r="K82" s="310"/>
      <c r="L82" s="310"/>
    </row>
    <row r="83" customFormat="false" ht="12.75" hidden="false" customHeight="false" outlineLevel="0" collapsed="false">
      <c r="I83" s="310"/>
      <c r="J83" s="310"/>
      <c r="K83" s="310"/>
      <c r="L83" s="3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&amp;C&amp;14June Rates Using Current Cash Prices</oddHeader>
    <oddFooter>&amp;L&amp;D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13" activeCellId="0" sqref="A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11.85"/>
    <col collapsed="false" customWidth="true" hidden="false" outlineLevel="0" max="2" min="2" style="27" width="10.85"/>
    <col collapsed="false" customWidth="true" hidden="false" outlineLevel="0" max="3" min="3" style="27" width="3.99"/>
    <col collapsed="false" customWidth="true" hidden="false" outlineLevel="0" max="4" min="4" style="27" width="11.85"/>
    <col collapsed="false" customWidth="true" hidden="false" outlineLevel="0" max="5" min="5" style="27" width="11.99"/>
    <col collapsed="false" customWidth="true" hidden="false" outlineLevel="0" max="6" min="6" style="27" width="2.84"/>
    <col collapsed="false" customWidth="true" hidden="false" outlineLevel="0" max="8" min="7" style="159" width="10.85"/>
    <col collapsed="false" customWidth="true" hidden="false" outlineLevel="0" max="9" min="9" style="27" width="2.84"/>
    <col collapsed="false" customWidth="true" hidden="false" outlineLevel="0" max="11" min="10" style="159" width="10.85"/>
    <col collapsed="false" customWidth="true" hidden="false" outlineLevel="0" max="12" min="12" style="27" width="2.84"/>
    <col collapsed="false" customWidth="true" hidden="false" outlineLevel="0" max="14" min="13" style="159" width="10.85"/>
    <col collapsed="false" customWidth="true" hidden="false" outlineLevel="0" max="15" min="15" style="27" width="2.84"/>
    <col collapsed="false" customWidth="true" hidden="false" outlineLevel="0" max="17" min="16" style="311" width="10.85"/>
    <col collapsed="false" customWidth="true" hidden="false" outlineLevel="0" max="18" min="18" style="311" width="2.84"/>
    <col collapsed="false" customWidth="true" hidden="false" outlineLevel="0" max="20" min="19" style="27" width="10.85"/>
    <col collapsed="false" customWidth="true" hidden="false" outlineLevel="0" max="21" min="21" style="27" width="2.84"/>
    <col collapsed="false" customWidth="true" hidden="false" outlineLevel="0" max="23" min="22" style="27" width="10.85"/>
    <col collapsed="false" customWidth="true" hidden="false" outlineLevel="0" max="24" min="24" style="27" width="2.84"/>
    <col collapsed="false" customWidth="true" hidden="false" outlineLevel="0" max="26" min="25" style="27" width="10.85"/>
    <col collapsed="false" customWidth="true" hidden="false" outlineLevel="0" max="27" min="27" style="27" width="3.42"/>
    <col collapsed="false" customWidth="true" hidden="false" outlineLevel="0" max="28" min="28" style="159" width="9.28"/>
    <col collapsed="false" customWidth="false" hidden="false" outlineLevel="0" max="29" min="29" style="159" width="9.14"/>
    <col collapsed="false" customWidth="true" hidden="false" outlineLevel="0" max="30" min="30" style="27" width="3.42"/>
    <col collapsed="false" customWidth="false" hidden="false" outlineLevel="0" max="32" min="31" style="312" width="9.14"/>
    <col collapsed="false" customWidth="true" hidden="false" outlineLevel="0" max="33" min="33" style="27" width="3.42"/>
    <col collapsed="false" customWidth="false" hidden="false" outlineLevel="0" max="35" min="34" style="27" width="9.14"/>
    <col collapsed="false" customWidth="true" hidden="false" outlineLevel="0" max="36" min="36" style="27" width="3.42"/>
    <col collapsed="false" customWidth="false" hidden="false" outlineLevel="0" max="38" min="37" style="27" width="9.14"/>
    <col collapsed="false" customWidth="true" hidden="false" outlineLevel="0" max="39" min="39" style="27" width="3.42"/>
    <col collapsed="false" customWidth="false" hidden="false" outlineLevel="0" max="41" min="40" style="27" width="9.14"/>
    <col collapsed="false" customWidth="true" hidden="false" outlineLevel="0" max="42" min="42" style="27" width="3.42"/>
    <col collapsed="false" customWidth="false" hidden="false" outlineLevel="0" max="257" min="43" style="27" width="9.14"/>
  </cols>
  <sheetData>
    <row r="1" customFormat="false" ht="13.5" hidden="false" customHeight="false" outlineLevel="0" collapsed="false">
      <c r="A1" s="313" t="n">
        <v>36700</v>
      </c>
      <c r="AK1" s="27" t="s">
        <v>565</v>
      </c>
    </row>
    <row r="2" customFormat="false" ht="13.5" hidden="false" customHeight="false" outlineLevel="0" collapsed="false">
      <c r="A2" s="314" t="s">
        <v>566</v>
      </c>
      <c r="B2" s="315" t="s">
        <v>567</v>
      </c>
      <c r="C2" s="314"/>
      <c r="D2" s="316"/>
      <c r="E2" s="317" t="s">
        <v>568</v>
      </c>
      <c r="F2" s="314"/>
      <c r="G2" s="318" t="s">
        <v>1</v>
      </c>
      <c r="H2" s="318"/>
      <c r="I2" s="318"/>
      <c r="J2" s="319" t="s">
        <v>569</v>
      </c>
      <c r="K2" s="320" t="n">
        <v>4.32</v>
      </c>
      <c r="L2" s="314"/>
      <c r="M2" s="318"/>
      <c r="N2" s="317" t="s">
        <v>568</v>
      </c>
      <c r="O2" s="314"/>
      <c r="P2" s="321"/>
      <c r="Q2" s="322"/>
      <c r="R2" s="321"/>
      <c r="S2" s="314"/>
      <c r="T2" s="323"/>
      <c r="U2" s="314"/>
      <c r="V2" s="314"/>
      <c r="W2" s="323"/>
      <c r="X2" s="314" t="s">
        <v>1</v>
      </c>
      <c r="Y2" s="314" t="s">
        <v>1</v>
      </c>
      <c r="Z2" s="314" t="s">
        <v>1</v>
      </c>
      <c r="AH2" s="324" t="s">
        <v>570</v>
      </c>
      <c r="AL2" s="325" t="s">
        <v>571</v>
      </c>
      <c r="AO2" s="325" t="s">
        <v>571</v>
      </c>
    </row>
    <row r="3" customFormat="false" ht="12.75" hidden="false" customHeight="false" outlineLevel="0" collapsed="false">
      <c r="A3" s="326" t="s">
        <v>572</v>
      </c>
      <c r="B3" s="327" t="n">
        <v>4.45</v>
      </c>
      <c r="C3" s="314"/>
      <c r="D3" s="326" t="s">
        <v>572</v>
      </c>
      <c r="E3" s="328" t="n">
        <f aca="false">+B3</f>
        <v>4.45</v>
      </c>
      <c r="F3" s="314"/>
      <c r="G3" s="329" t="s">
        <v>573</v>
      </c>
      <c r="H3" s="330" t="n">
        <v>4.305</v>
      </c>
      <c r="I3" s="314"/>
      <c r="J3" s="319" t="s">
        <v>574</v>
      </c>
      <c r="K3" s="320" t="n">
        <v>4.36</v>
      </c>
      <c r="L3" s="314"/>
      <c r="M3" s="319" t="s">
        <v>574</v>
      </c>
      <c r="N3" s="328" t="n">
        <f aca="false">+K3</f>
        <v>4.36</v>
      </c>
      <c r="O3" s="314"/>
      <c r="P3" s="331" t="s">
        <v>575</v>
      </c>
      <c r="Q3" s="332" t="n">
        <v>4.43</v>
      </c>
      <c r="R3" s="321" t="s">
        <v>1</v>
      </c>
      <c r="S3" s="326" t="s">
        <v>576</v>
      </c>
      <c r="T3" s="333" t="n">
        <v>4.4</v>
      </c>
      <c r="U3" s="314" t="s">
        <v>1</v>
      </c>
      <c r="V3" s="326" t="s">
        <v>46</v>
      </c>
      <c r="W3" s="333" t="n">
        <v>4.5</v>
      </c>
      <c r="X3" s="314"/>
      <c r="Y3" s="326" t="s">
        <v>577</v>
      </c>
      <c r="Z3" s="333" t="n">
        <v>4.62</v>
      </c>
      <c r="AB3" s="319" t="s">
        <v>358</v>
      </c>
      <c r="AC3" s="334" t="n">
        <f aca="false">K7</f>
        <v>4.765</v>
      </c>
      <c r="AE3" s="335" t="s">
        <v>578</v>
      </c>
      <c r="AF3" s="336" t="n">
        <v>4.405</v>
      </c>
      <c r="AH3" s="326" t="s">
        <v>579</v>
      </c>
      <c r="AI3" s="333" t="n">
        <v>4.58</v>
      </c>
      <c r="AK3" s="326" t="s">
        <v>48</v>
      </c>
      <c r="AL3" s="337" t="n">
        <f aca="false">+Z3</f>
        <v>4.62</v>
      </c>
      <c r="AN3" s="326" t="s">
        <v>580</v>
      </c>
      <c r="AO3" s="337" t="n">
        <f aca="false">+H3</f>
        <v>4.305</v>
      </c>
      <c r="AQ3" s="326" t="s">
        <v>561</v>
      </c>
      <c r="AR3" s="332" t="n">
        <f aca="false">H5+0.095</f>
        <v>4.685</v>
      </c>
    </row>
    <row r="4" customFormat="false" ht="12.75" hidden="false" customHeight="false" outlineLevel="0" collapsed="false">
      <c r="A4" s="326" t="s">
        <v>581</v>
      </c>
      <c r="B4" s="338" t="n">
        <v>4.59</v>
      </c>
      <c r="C4" s="203"/>
      <c r="D4" s="326" t="s">
        <v>581</v>
      </c>
      <c r="E4" s="328" t="n">
        <f aca="false">+B4</f>
        <v>4.59</v>
      </c>
      <c r="F4" s="203"/>
      <c r="G4" s="329" t="s">
        <v>582</v>
      </c>
      <c r="H4" s="339" t="n">
        <v>4.34</v>
      </c>
      <c r="I4" s="314"/>
      <c r="J4" s="319" t="s">
        <v>583</v>
      </c>
      <c r="K4" s="320" t="n">
        <v>4.345</v>
      </c>
      <c r="L4" s="314"/>
      <c r="M4" s="319" t="s">
        <v>583</v>
      </c>
      <c r="N4" s="328" t="n">
        <f aca="false">+K4</f>
        <v>4.345</v>
      </c>
      <c r="O4" s="314"/>
      <c r="P4" s="331"/>
      <c r="Q4" s="332"/>
      <c r="R4" s="321"/>
      <c r="S4" s="326" t="s">
        <v>584</v>
      </c>
      <c r="T4" s="333" t="n">
        <v>4.46</v>
      </c>
      <c r="U4" s="314"/>
      <c r="V4" s="326"/>
      <c r="W4" s="333" t="n">
        <f aca="false">+W17+W3</f>
        <v>4.6231743600229</v>
      </c>
      <c r="X4" s="314"/>
      <c r="Y4" s="314"/>
      <c r="Z4" s="314"/>
      <c r="AB4" s="340" t="s">
        <v>585</v>
      </c>
      <c r="AE4" s="335" t="s">
        <v>586</v>
      </c>
      <c r="AQ4" s="27" t="s">
        <v>247</v>
      </c>
    </row>
    <row r="5" customFormat="false" ht="12.75" hidden="false" customHeight="false" outlineLevel="0" collapsed="false">
      <c r="A5" s="326" t="s">
        <v>587</v>
      </c>
      <c r="B5" s="341" t="n">
        <v>4.7</v>
      </c>
      <c r="C5" s="208"/>
      <c r="D5" s="326" t="s">
        <v>587</v>
      </c>
      <c r="E5" s="328" t="n">
        <f aca="false">+B5</f>
        <v>4.7</v>
      </c>
      <c r="F5" s="208"/>
      <c r="G5" s="329" t="s">
        <v>247</v>
      </c>
      <c r="H5" s="342" t="n">
        <v>4.59</v>
      </c>
      <c r="I5" s="314"/>
      <c r="J5" s="319" t="s">
        <v>588</v>
      </c>
      <c r="K5" s="320" t="n">
        <v>4.26</v>
      </c>
      <c r="L5" s="314"/>
      <c r="M5" s="319" t="s">
        <v>588</v>
      </c>
      <c r="N5" s="328" t="n">
        <f aca="false">+K5</f>
        <v>4.26</v>
      </c>
      <c r="O5" s="314"/>
      <c r="P5" s="331"/>
      <c r="Q5" s="322"/>
      <c r="R5" s="321"/>
      <c r="S5" s="326"/>
      <c r="T5" s="323"/>
      <c r="U5" s="314"/>
      <c r="V5" s="326"/>
      <c r="W5" s="323"/>
      <c r="X5" s="314"/>
      <c r="Y5" s="314"/>
      <c r="Z5" s="343"/>
    </row>
    <row r="6" customFormat="false" ht="12.75" hidden="false" customHeight="false" outlineLevel="0" collapsed="false">
      <c r="A6" s="344" t="s">
        <v>589</v>
      </c>
      <c r="B6" s="341" t="n">
        <v>4.67</v>
      </c>
      <c r="C6" s="208"/>
      <c r="D6" s="344" t="s">
        <v>589</v>
      </c>
      <c r="E6" s="328" t="n">
        <f aca="false">+B6</f>
        <v>4.67</v>
      </c>
      <c r="F6" s="208"/>
      <c r="G6" s="345"/>
      <c r="H6" s="345"/>
      <c r="I6" s="275"/>
      <c r="J6" s="329" t="s">
        <v>590</v>
      </c>
      <c r="K6" s="346" t="n">
        <v>4.45</v>
      </c>
      <c r="L6" s="275"/>
      <c r="M6" s="329" t="s">
        <v>590</v>
      </c>
      <c r="N6" s="328" t="n">
        <f aca="false">+K6</f>
        <v>4.45</v>
      </c>
      <c r="O6" s="275"/>
      <c r="P6" s="347"/>
      <c r="Q6" s="348"/>
      <c r="R6" s="349"/>
      <c r="S6" s="344"/>
      <c r="T6" s="350" t="n">
        <f aca="false">+T4-T3</f>
        <v>0.0599999999999996</v>
      </c>
      <c r="U6" s="275"/>
      <c r="V6" s="344"/>
      <c r="W6" s="350"/>
      <c r="X6" s="275"/>
      <c r="Y6" s="275"/>
      <c r="Z6" s="350"/>
      <c r="AA6" s="154"/>
      <c r="AB6" s="345"/>
      <c r="AC6" s="345"/>
      <c r="AD6" s="154"/>
      <c r="AE6" s="351"/>
      <c r="AF6" s="351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</row>
    <row r="7" customFormat="false" ht="12.75" hidden="false" customHeight="false" outlineLevel="0" collapsed="false">
      <c r="A7" s="352" t="s">
        <v>591</v>
      </c>
      <c r="B7" s="341" t="n">
        <f aca="false">4.7+0.37</f>
        <v>5.07</v>
      </c>
      <c r="C7" s="208"/>
      <c r="D7" s="352" t="s">
        <v>591</v>
      </c>
      <c r="E7" s="328" t="n">
        <f aca="false">+B7</f>
        <v>5.07</v>
      </c>
      <c r="F7" s="208"/>
      <c r="G7" s="353"/>
      <c r="H7" s="353"/>
      <c r="I7" s="354"/>
      <c r="J7" s="355" t="s">
        <v>358</v>
      </c>
      <c r="K7" s="356" t="n">
        <v>4.765</v>
      </c>
      <c r="L7" s="354"/>
      <c r="M7" s="355" t="s">
        <v>358</v>
      </c>
      <c r="N7" s="328" t="n">
        <f aca="false">+K7</f>
        <v>4.765</v>
      </c>
      <c r="O7" s="354"/>
      <c r="P7" s="357"/>
      <c r="Q7" s="358"/>
      <c r="R7" s="359"/>
      <c r="S7" s="352"/>
      <c r="T7" s="360"/>
      <c r="U7" s="354"/>
      <c r="V7" s="352"/>
      <c r="W7" s="360"/>
      <c r="X7" s="354"/>
      <c r="Y7" s="354"/>
      <c r="Z7" s="360"/>
      <c r="AA7" s="228"/>
      <c r="AB7" s="361"/>
      <c r="AC7" s="361"/>
      <c r="AD7" s="228"/>
      <c r="AE7" s="362"/>
      <c r="AF7" s="362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  <c r="EE7" s="228"/>
      <c r="EF7" s="228"/>
      <c r="EG7" s="228"/>
      <c r="EH7" s="228"/>
      <c r="EI7" s="228"/>
      <c r="EJ7" s="228"/>
      <c r="EK7" s="228"/>
      <c r="EL7" s="228"/>
      <c r="EM7" s="228"/>
      <c r="EN7" s="228"/>
      <c r="EO7" s="228"/>
      <c r="EP7" s="228"/>
      <c r="EQ7" s="228"/>
      <c r="ER7" s="228"/>
      <c r="ES7" s="228"/>
      <c r="ET7" s="228"/>
      <c r="EU7" s="228"/>
      <c r="EV7" s="228"/>
      <c r="EW7" s="228"/>
      <c r="EX7" s="228"/>
      <c r="EY7" s="228"/>
      <c r="EZ7" s="228"/>
      <c r="FA7" s="228"/>
      <c r="FB7" s="228"/>
      <c r="FC7" s="228"/>
      <c r="FD7" s="228"/>
      <c r="FE7" s="228"/>
      <c r="FF7" s="228"/>
      <c r="FG7" s="228"/>
      <c r="FH7" s="228"/>
      <c r="FI7" s="228"/>
      <c r="FJ7" s="228"/>
      <c r="FK7" s="228"/>
      <c r="FL7" s="228"/>
      <c r="FM7" s="228"/>
      <c r="FN7" s="228"/>
      <c r="FO7" s="228"/>
      <c r="FP7" s="228"/>
      <c r="FQ7" s="228"/>
      <c r="FR7" s="228"/>
      <c r="FS7" s="228"/>
      <c r="FT7" s="228"/>
      <c r="FU7" s="228"/>
      <c r="FV7" s="228"/>
      <c r="FW7" s="228"/>
      <c r="FX7" s="228"/>
      <c r="FY7" s="228"/>
      <c r="FZ7" s="228"/>
      <c r="GA7" s="228"/>
      <c r="GB7" s="228"/>
      <c r="GC7" s="228"/>
      <c r="GD7" s="228"/>
      <c r="GE7" s="228"/>
      <c r="GF7" s="228"/>
      <c r="GG7" s="228"/>
      <c r="GH7" s="228"/>
      <c r="GI7" s="228"/>
      <c r="GJ7" s="228"/>
      <c r="GK7" s="228"/>
      <c r="GL7" s="228"/>
      <c r="GM7" s="228"/>
      <c r="GN7" s="228"/>
      <c r="GO7" s="228"/>
      <c r="GP7" s="228"/>
      <c r="GQ7" s="228"/>
      <c r="GR7" s="228"/>
      <c r="GS7" s="228"/>
      <c r="GT7" s="228"/>
      <c r="GU7" s="228"/>
      <c r="GV7" s="228"/>
      <c r="GW7" s="228"/>
      <c r="GX7" s="228"/>
      <c r="GY7" s="228"/>
      <c r="GZ7" s="228"/>
      <c r="HA7" s="228"/>
      <c r="HB7" s="228"/>
      <c r="HC7" s="228"/>
      <c r="HD7" s="228"/>
      <c r="HE7" s="228"/>
      <c r="HF7" s="228"/>
      <c r="HG7" s="228"/>
      <c r="HH7" s="228"/>
      <c r="HI7" s="228"/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8"/>
      <c r="IF7" s="228"/>
      <c r="IG7" s="228"/>
      <c r="IH7" s="228"/>
      <c r="II7" s="228"/>
      <c r="IJ7" s="228"/>
      <c r="IK7" s="228"/>
      <c r="IL7" s="228"/>
      <c r="IM7" s="228"/>
      <c r="IN7" s="228"/>
      <c r="IO7" s="228"/>
      <c r="IP7" s="228"/>
      <c r="IQ7" s="228"/>
      <c r="IR7" s="228"/>
      <c r="IS7" s="228"/>
      <c r="IT7" s="228"/>
      <c r="IU7" s="228"/>
      <c r="IV7" s="228"/>
      <c r="IW7" s="228"/>
    </row>
    <row r="8" customFormat="false" ht="12.75" hidden="false" customHeight="false" outlineLevel="0" collapsed="false">
      <c r="A8" s="326" t="s">
        <v>592</v>
      </c>
      <c r="B8" s="208"/>
      <c r="C8" s="208"/>
      <c r="D8" s="208"/>
      <c r="E8" s="208"/>
      <c r="F8" s="208"/>
      <c r="G8" s="363" t="s">
        <v>593</v>
      </c>
      <c r="H8" s="364"/>
      <c r="I8" s="365"/>
      <c r="J8" s="366" t="s">
        <v>594</v>
      </c>
      <c r="K8" s="367"/>
      <c r="L8" s="314"/>
      <c r="M8" s="329" t="s">
        <v>595</v>
      </c>
      <c r="N8" s="346"/>
      <c r="O8" s="314"/>
      <c r="P8" s="331"/>
      <c r="Q8" s="322"/>
      <c r="R8" s="321"/>
      <c r="S8" s="365" t="s">
        <v>596</v>
      </c>
      <c r="T8" s="323"/>
      <c r="U8" s="314"/>
      <c r="V8" s="326" t="s">
        <v>597</v>
      </c>
      <c r="W8" s="323"/>
      <c r="X8" s="314"/>
      <c r="Y8" s="326" t="s">
        <v>598</v>
      </c>
      <c r="Z8" s="314"/>
      <c r="AB8" s="159" t="s">
        <v>599</v>
      </c>
      <c r="AE8" s="312" t="s">
        <v>600</v>
      </c>
      <c r="AH8" s="27" t="s">
        <v>601</v>
      </c>
      <c r="AK8" s="27" t="s">
        <v>602</v>
      </c>
      <c r="AQ8" s="27" t="s">
        <v>603</v>
      </c>
    </row>
    <row r="9" customFormat="false" ht="12.75" hidden="false" customHeight="false" outlineLevel="0" collapsed="false">
      <c r="A9" s="344" t="s">
        <v>604</v>
      </c>
      <c r="B9" s="208"/>
      <c r="C9" s="208"/>
      <c r="D9" s="208"/>
      <c r="E9" s="208"/>
      <c r="F9" s="208"/>
      <c r="G9" s="364" t="s">
        <v>605</v>
      </c>
      <c r="H9" s="364"/>
      <c r="I9" s="368"/>
      <c r="J9" s="369" t="s">
        <v>606</v>
      </c>
      <c r="K9" s="367"/>
      <c r="L9" s="314"/>
      <c r="M9" s="85" t="s">
        <v>607</v>
      </c>
      <c r="N9" s="346"/>
      <c r="O9" s="314"/>
      <c r="P9" s="370" t="s">
        <v>608</v>
      </c>
      <c r="Q9" s="348"/>
      <c r="R9" s="349"/>
      <c r="S9" s="344" t="s">
        <v>609</v>
      </c>
      <c r="T9" s="350"/>
      <c r="U9" s="275"/>
      <c r="V9" s="344" t="s">
        <v>500</v>
      </c>
      <c r="W9" s="350"/>
      <c r="X9" s="314"/>
      <c r="Y9" s="326" t="s">
        <v>500</v>
      </c>
      <c r="Z9" s="314"/>
      <c r="AB9" s="159" t="s">
        <v>610</v>
      </c>
      <c r="AE9" s="312" t="s">
        <v>611</v>
      </c>
      <c r="AH9" s="27" t="s">
        <v>612</v>
      </c>
      <c r="AK9" s="27" t="s">
        <v>613</v>
      </c>
      <c r="AQ9" s="27" t="s">
        <v>614</v>
      </c>
    </row>
    <row r="10" customFormat="false" ht="12.75" hidden="false" customHeight="false" outlineLevel="0" collapsed="false">
      <c r="A10" s="344"/>
      <c r="B10" s="208"/>
      <c r="C10" s="208"/>
      <c r="D10" s="208"/>
      <c r="E10" s="208"/>
      <c r="F10" s="208"/>
      <c r="G10" s="364" t="s">
        <v>615</v>
      </c>
      <c r="H10" s="364"/>
      <c r="I10" s="368"/>
      <c r="J10" s="371" t="s">
        <v>616</v>
      </c>
      <c r="K10" s="367"/>
      <c r="L10" s="314"/>
      <c r="M10" s="372" t="s">
        <v>616</v>
      </c>
      <c r="N10" s="346"/>
      <c r="O10" s="314"/>
      <c r="P10" s="370" t="s">
        <v>617</v>
      </c>
      <c r="Q10" s="348"/>
      <c r="R10" s="349"/>
      <c r="S10" s="344" t="s">
        <v>618</v>
      </c>
      <c r="T10" s="350"/>
      <c r="U10" s="275"/>
      <c r="V10" s="344" t="s">
        <v>619</v>
      </c>
      <c r="W10" s="350"/>
      <c r="X10" s="314"/>
      <c r="Y10" s="319" t="s">
        <v>620</v>
      </c>
      <c r="Z10" s="326"/>
      <c r="AB10" s="159" t="s">
        <v>621</v>
      </c>
      <c r="AE10" s="312" t="s">
        <v>622</v>
      </c>
      <c r="AH10" s="27" t="s">
        <v>623</v>
      </c>
      <c r="AK10" s="373" t="n">
        <v>36526</v>
      </c>
      <c r="AN10" s="373"/>
      <c r="AQ10" s="27" t="s">
        <v>624</v>
      </c>
    </row>
    <row r="11" customFormat="false" ht="12.75" hidden="false" customHeight="false" outlineLevel="0" collapsed="false">
      <c r="A11" s="344"/>
      <c r="B11" s="1"/>
      <c r="C11" s="1"/>
      <c r="D11" s="1"/>
      <c r="E11" s="1"/>
      <c r="F11" s="1"/>
      <c r="G11" s="369" t="s">
        <v>625</v>
      </c>
      <c r="H11" s="364"/>
      <c r="I11" s="368"/>
      <c r="J11" s="372" t="s">
        <v>626</v>
      </c>
      <c r="K11" s="346"/>
      <c r="L11" s="314"/>
      <c r="M11" s="372" t="s">
        <v>627</v>
      </c>
      <c r="N11" s="346"/>
      <c r="O11" s="314"/>
      <c r="P11" s="370" t="s">
        <v>628</v>
      </c>
      <c r="Q11" s="348"/>
      <c r="R11" s="349"/>
      <c r="S11" s="344"/>
      <c r="T11" s="350"/>
      <c r="U11" s="275"/>
      <c r="V11" s="329" t="s">
        <v>629</v>
      </c>
      <c r="W11" s="350"/>
      <c r="X11" s="314"/>
      <c r="Y11" s="326"/>
      <c r="Z11" s="326"/>
      <c r="AB11" s="159" t="s">
        <v>630</v>
      </c>
      <c r="AE11" s="312" t="s">
        <v>631</v>
      </c>
      <c r="AK11" s="373"/>
      <c r="AN11" s="373"/>
      <c r="AQ11" s="27" t="s">
        <v>632</v>
      </c>
    </row>
    <row r="12" customFormat="false" ht="12.75" hidden="false" customHeight="false" outlineLevel="0" collapsed="false">
      <c r="A12" s="329" t="s">
        <v>633</v>
      </c>
      <c r="B12" s="374"/>
      <c r="C12" s="314"/>
      <c r="D12" s="319" t="s">
        <v>633</v>
      </c>
      <c r="E12" s="375"/>
      <c r="F12" s="376"/>
      <c r="G12" s="377" t="s">
        <v>634</v>
      </c>
      <c r="H12" s="378"/>
      <c r="I12" s="314"/>
      <c r="J12" s="372" t="s">
        <v>635</v>
      </c>
      <c r="K12" s="320"/>
      <c r="L12" s="314"/>
      <c r="M12" s="319" t="s">
        <v>11</v>
      </c>
      <c r="N12" s="320"/>
      <c r="O12" s="314"/>
      <c r="P12" s="347" t="s">
        <v>636</v>
      </c>
      <c r="Q12" s="322"/>
      <c r="R12" s="321"/>
      <c r="S12" s="326"/>
      <c r="T12" s="323"/>
      <c r="U12" s="314"/>
      <c r="V12" s="326"/>
      <c r="W12" s="323"/>
      <c r="X12" s="314"/>
      <c r="Y12" s="326"/>
      <c r="Z12" s="326"/>
      <c r="AE12" s="159" t="s">
        <v>637</v>
      </c>
      <c r="AK12" s="373" t="s">
        <v>638</v>
      </c>
      <c r="AN12" s="373"/>
      <c r="AQ12" s="373" t="n">
        <v>36526</v>
      </c>
      <c r="AT12" s="27" t="s">
        <v>639</v>
      </c>
      <c r="AU12" s="379" t="n">
        <v>2.025</v>
      </c>
    </row>
    <row r="13" customFormat="false" ht="12.75" hidden="false" customHeight="false" outlineLevel="0" collapsed="false">
      <c r="A13" s="380" t="s">
        <v>93</v>
      </c>
      <c r="B13" s="381" t="s">
        <v>640</v>
      </c>
      <c r="C13" s="382"/>
      <c r="D13" s="27" t="s">
        <v>93</v>
      </c>
      <c r="E13" s="27" t="s">
        <v>641</v>
      </c>
      <c r="F13" s="383"/>
      <c r="G13" s="384" t="s">
        <v>642</v>
      </c>
      <c r="H13" s="385" t="s">
        <v>643</v>
      </c>
      <c r="I13" s="376"/>
      <c r="J13" s="386" t="s">
        <v>644</v>
      </c>
      <c r="K13" s="387" t="s">
        <v>645</v>
      </c>
      <c r="L13" s="376"/>
      <c r="M13" s="388" t="s">
        <v>644</v>
      </c>
      <c r="N13" s="389" t="s">
        <v>646</v>
      </c>
      <c r="O13" s="376"/>
      <c r="P13" s="390" t="s">
        <v>515</v>
      </c>
      <c r="Q13" s="391" t="s">
        <v>647</v>
      </c>
      <c r="R13" s="392"/>
      <c r="S13" s="380" t="s">
        <v>648</v>
      </c>
      <c r="T13" s="393" t="s">
        <v>649</v>
      </c>
      <c r="U13" s="382"/>
      <c r="V13" s="380" t="s">
        <v>650</v>
      </c>
      <c r="W13" s="393" t="s">
        <v>651</v>
      </c>
      <c r="X13" s="382"/>
      <c r="Y13" s="380" t="s">
        <v>48</v>
      </c>
      <c r="Z13" s="393" t="s">
        <v>652</v>
      </c>
      <c r="AB13" s="394" t="s">
        <v>150</v>
      </c>
      <c r="AC13" s="395" t="s">
        <v>535</v>
      </c>
      <c r="AE13" s="312" t="s">
        <v>653</v>
      </c>
      <c r="AH13" s="380" t="s">
        <v>570</v>
      </c>
      <c r="AI13" s="393" t="s">
        <v>654</v>
      </c>
      <c r="AK13" s="380" t="s">
        <v>655</v>
      </c>
      <c r="AL13" s="393" t="s">
        <v>656</v>
      </c>
      <c r="AN13" s="380" t="s">
        <v>657</v>
      </c>
      <c r="AO13" s="393" t="s">
        <v>11</v>
      </c>
      <c r="AQ13" s="380" t="s">
        <v>658</v>
      </c>
      <c r="AR13" s="393" t="s">
        <v>659</v>
      </c>
      <c r="AT13" s="196" t="s">
        <v>660</v>
      </c>
      <c r="AU13" s="379"/>
    </row>
    <row r="14" customFormat="false" ht="12.75" hidden="false" customHeight="false" outlineLevel="0" collapsed="false">
      <c r="A14" s="396" t="s">
        <v>661</v>
      </c>
      <c r="B14" s="397" t="n">
        <v>0.0024</v>
      </c>
      <c r="C14" s="383"/>
      <c r="D14" s="396" t="s">
        <v>662</v>
      </c>
      <c r="E14" s="398" t="n">
        <v>0.0653</v>
      </c>
      <c r="F14" s="383"/>
      <c r="G14" s="399" t="s">
        <v>661</v>
      </c>
      <c r="H14" s="400" t="n">
        <v>0.0439</v>
      </c>
      <c r="I14" s="383"/>
      <c r="J14" s="401" t="s">
        <v>661</v>
      </c>
      <c r="K14" s="400" t="n">
        <v>0.0178</v>
      </c>
      <c r="L14" s="383"/>
      <c r="M14" s="402" t="s">
        <v>661</v>
      </c>
      <c r="N14" s="403" t="n">
        <v>0.5603</v>
      </c>
      <c r="O14" s="383"/>
      <c r="P14" s="404" t="s">
        <v>661</v>
      </c>
      <c r="Q14" s="405" t="n">
        <v>0.006</v>
      </c>
      <c r="R14" s="406"/>
      <c r="S14" s="396" t="s">
        <v>661</v>
      </c>
      <c r="T14" s="407" t="n">
        <v>0.0002</v>
      </c>
      <c r="U14" s="383"/>
      <c r="V14" s="396" t="s">
        <v>661</v>
      </c>
      <c r="W14" s="407" t="n">
        <v>0.0133</v>
      </c>
      <c r="X14" s="383"/>
      <c r="Y14" s="396" t="s">
        <v>661</v>
      </c>
      <c r="Z14" s="407" t="n">
        <v>0.0395</v>
      </c>
      <c r="AB14" s="408" t="s">
        <v>661</v>
      </c>
      <c r="AC14" s="403" t="n">
        <v>0.0112</v>
      </c>
      <c r="AE14" s="399" t="s">
        <v>661</v>
      </c>
      <c r="AF14" s="400" t="n">
        <f aca="false">0.005+0.002</f>
        <v>0.007</v>
      </c>
      <c r="AH14" s="396" t="s">
        <v>661</v>
      </c>
      <c r="AI14" s="397" t="n">
        <v>0.003</v>
      </c>
      <c r="AK14" s="396" t="s">
        <v>661</v>
      </c>
      <c r="AL14" s="397" t="n">
        <v>0.2127</v>
      </c>
      <c r="AN14" s="396" t="s">
        <v>661</v>
      </c>
      <c r="AO14" s="397" t="n">
        <v>0.017</v>
      </c>
      <c r="AQ14" s="396" t="s">
        <v>661</v>
      </c>
      <c r="AR14" s="397" t="n">
        <v>0.0064</v>
      </c>
      <c r="AT14" s="27" t="s">
        <v>662</v>
      </c>
      <c r="AU14" s="379" t="n">
        <v>0.01</v>
      </c>
    </row>
    <row r="15" customFormat="false" ht="12.75" hidden="false" customHeight="false" outlineLevel="0" collapsed="false">
      <c r="A15" s="396" t="s">
        <v>119</v>
      </c>
      <c r="B15" s="397" t="n">
        <f aca="false">0.0022+0.0072+0.0131</f>
        <v>0.0225</v>
      </c>
      <c r="C15" s="383"/>
      <c r="D15" s="396" t="s">
        <v>119</v>
      </c>
      <c r="E15" s="398" t="n">
        <f aca="false">0.0072+0.0022+0.0131</f>
        <v>0.0225</v>
      </c>
      <c r="F15" s="409"/>
      <c r="G15" s="399" t="s">
        <v>119</v>
      </c>
      <c r="H15" s="400" t="n">
        <f aca="false">0.0022+0.0072+0.0225</f>
        <v>0.0319</v>
      </c>
      <c r="I15" s="383"/>
      <c r="J15" s="401" t="s">
        <v>119</v>
      </c>
      <c r="K15" s="400" t="n">
        <f aca="false">0.0022+0.0072</f>
        <v>0.0094</v>
      </c>
      <c r="L15" s="383"/>
      <c r="M15" s="402" t="s">
        <v>119</v>
      </c>
      <c r="N15" s="403" t="n">
        <f aca="false">0.0022+0.0072</f>
        <v>0.0094</v>
      </c>
      <c r="O15" s="383"/>
      <c r="P15" s="404" t="s">
        <v>119</v>
      </c>
      <c r="Q15" s="405" t="n">
        <f aca="false">0.0022+0.0072</f>
        <v>0.0094</v>
      </c>
      <c r="R15" s="406"/>
      <c r="S15" s="396" t="s">
        <v>119</v>
      </c>
      <c r="T15" s="407" t="n">
        <v>0.0022</v>
      </c>
      <c r="U15" s="383"/>
      <c r="V15" s="396" t="s">
        <v>119</v>
      </c>
      <c r="W15" s="407" t="n">
        <f aca="false">0.0022+0.0072</f>
        <v>0.0094</v>
      </c>
      <c r="X15" s="383"/>
      <c r="Y15" s="396" t="s">
        <v>119</v>
      </c>
      <c r="Z15" s="397" t="n">
        <v>0.0022</v>
      </c>
      <c r="AB15" s="408" t="s">
        <v>119</v>
      </c>
      <c r="AC15" s="403" t="n">
        <f aca="false">0.0022+0.0072</f>
        <v>0.0094</v>
      </c>
      <c r="AE15" s="399" t="s">
        <v>119</v>
      </c>
      <c r="AF15" s="400" t="n">
        <f aca="false">0.0022+0.0072</f>
        <v>0.0094</v>
      </c>
      <c r="AH15" s="396" t="s">
        <v>119</v>
      </c>
      <c r="AI15" s="397" t="n">
        <f aca="false">0.0022+0.0072+0.0007</f>
        <v>0.0101</v>
      </c>
      <c r="AK15" s="396" t="s">
        <v>119</v>
      </c>
      <c r="AL15" s="397" t="n">
        <f aca="false">0.0022+0.0072</f>
        <v>0.0094</v>
      </c>
      <c r="AN15" s="396" t="s">
        <v>119</v>
      </c>
      <c r="AO15" s="397" t="n">
        <v>0</v>
      </c>
      <c r="AQ15" s="396" t="s">
        <v>119</v>
      </c>
      <c r="AR15" s="397" t="n">
        <f aca="false">0.0072+0.0022</f>
        <v>0.0094</v>
      </c>
      <c r="AT15" s="27" t="s">
        <v>663</v>
      </c>
      <c r="AU15" s="379" t="n">
        <v>0.0022</v>
      </c>
    </row>
    <row r="16" customFormat="false" ht="12.75" hidden="false" customHeight="false" outlineLevel="0" collapsed="false">
      <c r="A16" s="396" t="s">
        <v>664</v>
      </c>
      <c r="B16" s="410" t="n">
        <f aca="false">B6/(1-0.0035)-B6</f>
        <v>0.0164024084295029</v>
      </c>
      <c r="C16" s="409"/>
      <c r="D16" s="396" t="s">
        <v>664</v>
      </c>
      <c r="E16" s="410" t="n">
        <f aca="false">(E6)/(1-0.0035)-E6</f>
        <v>0.0164024084295029</v>
      </c>
      <c r="F16" s="411"/>
      <c r="G16" s="399" t="s">
        <v>665</v>
      </c>
      <c r="H16" s="412" t="n">
        <f aca="false">(H3)/(1-0.0084)-H3</f>
        <v>0.0364683340056473</v>
      </c>
      <c r="I16" s="409"/>
      <c r="J16" s="401" t="s">
        <v>666</v>
      </c>
      <c r="K16" s="413" t="n">
        <f aca="false">(K5)/(1-0.0242)-K5</f>
        <v>0.105648698503792</v>
      </c>
      <c r="L16" s="409"/>
      <c r="M16" s="402" t="s">
        <v>667</v>
      </c>
      <c r="N16" s="414" t="n">
        <f aca="false">(N5)/(1-0.0704)-N5</f>
        <v>0.322616179001721</v>
      </c>
      <c r="O16" s="409"/>
      <c r="P16" s="404" t="s">
        <v>668</v>
      </c>
      <c r="Q16" s="415" t="n">
        <f aca="false">+Q$3/(1-0.015)-Q$3</f>
        <v>0.0674619289340104</v>
      </c>
      <c r="R16" s="416"/>
      <c r="S16" s="396" t="s">
        <v>669</v>
      </c>
      <c r="T16" s="410" t="n">
        <f aca="false">(+T3-0.108)/(1-0.00489)-(T3-0.108)</f>
        <v>0.0210910150636607</v>
      </c>
      <c r="U16" s="409"/>
      <c r="V16" s="417" t="n">
        <v>0.02184</v>
      </c>
      <c r="W16" s="410" t="n">
        <f aca="false">+W3/(1-0.02184)-W3</f>
        <v>0.1004743600229</v>
      </c>
      <c r="X16" s="409"/>
      <c r="Y16" s="418" t="s">
        <v>670</v>
      </c>
      <c r="Z16" s="410" t="n">
        <f aca="false">Z3/(1-0.0228)-Z3</f>
        <v>0.107793696275071</v>
      </c>
      <c r="AB16" s="417" t="n">
        <v>0.0058</v>
      </c>
      <c r="AC16" s="414" t="n">
        <f aca="false">+AC3/(1-AB16)-AC3</f>
        <v>0.0277982297324479</v>
      </c>
      <c r="AE16" s="399" t="s">
        <v>671</v>
      </c>
      <c r="AF16" s="413" t="n">
        <f aca="false">+AF3/(1-0.0022)-AF3</f>
        <v>0.0097123672078574</v>
      </c>
      <c r="AH16" s="396" t="s">
        <v>672</v>
      </c>
      <c r="AI16" s="410" t="n">
        <f aca="false">+AI3/(1-0.001)-AI3</f>
        <v>0.00458458458458466</v>
      </c>
      <c r="AK16" s="396" t="s">
        <v>673</v>
      </c>
      <c r="AL16" s="410" t="n">
        <f aca="false">+AL3/(1-0.03)-AL3</f>
        <v>0.142886597938144</v>
      </c>
      <c r="AN16" s="396" t="s">
        <v>674</v>
      </c>
      <c r="AO16" s="410" t="n">
        <f aca="false">+AO3/(1-0)-AO3</f>
        <v>0</v>
      </c>
      <c r="AQ16" s="396" t="s">
        <v>675</v>
      </c>
      <c r="AR16" s="410" t="n">
        <f aca="false">+AR3/(1-0.02)-AR3</f>
        <v>0.0956122448979588</v>
      </c>
      <c r="AT16" s="27" t="s">
        <v>676</v>
      </c>
      <c r="AU16" s="379" t="n">
        <v>0</v>
      </c>
    </row>
    <row r="17" customFormat="false" ht="12.75" hidden="false" customHeight="false" outlineLevel="0" collapsed="false">
      <c r="A17" s="419"/>
      <c r="B17" s="420" t="n">
        <f aca="false">SUM(B14:B16)</f>
        <v>0.0413024084295029</v>
      </c>
      <c r="C17" s="411"/>
      <c r="D17" s="396"/>
      <c r="E17" s="420" t="n">
        <f aca="false">SUM(E14:E16)</f>
        <v>0.104202408429503</v>
      </c>
      <c r="F17" s="376"/>
      <c r="G17" s="421"/>
      <c r="H17" s="422" t="n">
        <f aca="false">SUM(H14:H16)</f>
        <v>0.112268334005647</v>
      </c>
      <c r="I17" s="411"/>
      <c r="J17" s="401"/>
      <c r="K17" s="422" t="n">
        <f aca="false">SUM(K14:K16)</f>
        <v>0.132848698503792</v>
      </c>
      <c r="L17" s="411"/>
      <c r="M17" s="402"/>
      <c r="N17" s="423" t="n">
        <f aca="false">SUM(N14:N16)</f>
        <v>0.892316179001721</v>
      </c>
      <c r="O17" s="411"/>
      <c r="P17" s="424"/>
      <c r="Q17" s="425" t="n">
        <f aca="false">SUM(Q14:Q16)</f>
        <v>0.0828619289340104</v>
      </c>
      <c r="R17" s="426"/>
      <c r="S17" s="419"/>
      <c r="T17" s="420" t="n">
        <f aca="false">SUM(T14:T16)</f>
        <v>0.0234910150636607</v>
      </c>
      <c r="U17" s="411"/>
      <c r="V17" s="419"/>
      <c r="W17" s="420" t="n">
        <f aca="false">SUM(W14:W16)</f>
        <v>0.1231743600229</v>
      </c>
      <c r="X17" s="411" t="n">
        <v>0</v>
      </c>
      <c r="Y17" s="419"/>
      <c r="Z17" s="420" t="n">
        <f aca="false">SUM(Z14:Z16)</f>
        <v>0.149493696275071</v>
      </c>
      <c r="AB17" s="427"/>
      <c r="AC17" s="423" t="n">
        <f aca="false">SUM(AC14:AC16)</f>
        <v>0.0483982297324479</v>
      </c>
      <c r="AE17" s="421"/>
      <c r="AF17" s="422" t="n">
        <f aca="false">SUM(AF14:AF16)</f>
        <v>0.0261123672078574</v>
      </c>
      <c r="AH17" s="419"/>
      <c r="AI17" s="420" t="n">
        <f aca="false">SUM(AI14:AI16)</f>
        <v>0.0176845845845847</v>
      </c>
      <c r="AK17" s="419"/>
      <c r="AL17" s="420" t="n">
        <f aca="false">SUM(AL14:AL16)</f>
        <v>0.364986597938144</v>
      </c>
      <c r="AN17" s="419"/>
      <c r="AO17" s="420" t="n">
        <f aca="false">SUM(AO14:AO16)</f>
        <v>0.017</v>
      </c>
      <c r="AQ17" s="419"/>
      <c r="AR17" s="420" t="n">
        <f aca="false">SUM(AR14:AR16)</f>
        <v>0.111412244897959</v>
      </c>
      <c r="AT17" s="27" t="s">
        <v>677</v>
      </c>
      <c r="AU17" s="27" t="n">
        <v>0.016</v>
      </c>
    </row>
    <row r="18" customFormat="false" ht="12.75" hidden="false" customHeight="false" outlineLevel="0" collapsed="false">
      <c r="A18" s="428" t="s">
        <v>93</v>
      </c>
      <c r="B18" s="381" t="s">
        <v>678</v>
      </c>
      <c r="C18" s="382"/>
      <c r="D18" s="27" t="s">
        <v>93</v>
      </c>
      <c r="E18" s="27" t="s">
        <v>679</v>
      </c>
      <c r="F18" s="383"/>
      <c r="G18" s="429" t="s">
        <v>642</v>
      </c>
      <c r="H18" s="430" t="s">
        <v>680</v>
      </c>
      <c r="I18" s="376"/>
      <c r="J18" s="386" t="s">
        <v>644</v>
      </c>
      <c r="K18" s="387" t="s">
        <v>681</v>
      </c>
      <c r="L18" s="376"/>
      <c r="M18" s="388" t="s">
        <v>644</v>
      </c>
      <c r="N18" s="389" t="s">
        <v>682</v>
      </c>
      <c r="O18" s="376"/>
      <c r="P18" s="431" t="s">
        <v>515</v>
      </c>
      <c r="Q18" s="432" t="s">
        <v>683</v>
      </c>
      <c r="R18" s="392"/>
      <c r="S18" s="428" t="s">
        <v>648</v>
      </c>
      <c r="T18" s="433" t="s">
        <v>684</v>
      </c>
      <c r="U18" s="382"/>
      <c r="V18" s="428" t="s">
        <v>650</v>
      </c>
      <c r="W18" s="433" t="s">
        <v>685</v>
      </c>
      <c r="X18" s="382"/>
      <c r="Y18" s="380" t="s">
        <v>48</v>
      </c>
      <c r="Z18" s="393" t="s">
        <v>686</v>
      </c>
      <c r="AN18" s="73"/>
      <c r="AO18" s="73"/>
      <c r="AT18" s="27" t="s">
        <v>687</v>
      </c>
      <c r="AU18" s="379" t="n">
        <f aca="false">+AU12/(1-AU17)-AU12</f>
        <v>0.0329268292682925</v>
      </c>
    </row>
    <row r="19" customFormat="false" ht="12.75" hidden="false" customHeight="false" outlineLevel="0" collapsed="false">
      <c r="A19" s="396" t="s">
        <v>661</v>
      </c>
      <c r="B19" s="397" t="n">
        <v>0.005</v>
      </c>
      <c r="C19" s="383"/>
      <c r="D19" s="396" t="s">
        <v>661</v>
      </c>
      <c r="E19" s="398" t="n">
        <v>0.0899</v>
      </c>
      <c r="F19" s="383"/>
      <c r="G19" s="399" t="s">
        <v>661</v>
      </c>
      <c r="H19" s="400" t="n">
        <v>0.0669</v>
      </c>
      <c r="I19" s="383"/>
      <c r="J19" s="401" t="s">
        <v>661</v>
      </c>
      <c r="K19" s="400" t="n">
        <v>0.0187</v>
      </c>
      <c r="L19" s="383"/>
      <c r="M19" s="402" t="s">
        <v>661</v>
      </c>
      <c r="N19" s="403" t="n">
        <v>0.6649</v>
      </c>
      <c r="O19" s="383"/>
      <c r="P19" s="404" t="s">
        <v>661</v>
      </c>
      <c r="Q19" s="405" t="n">
        <v>0.008</v>
      </c>
      <c r="R19" s="406"/>
      <c r="S19" s="396" t="s">
        <v>661</v>
      </c>
      <c r="T19" s="407" t="n">
        <v>0.0017</v>
      </c>
      <c r="U19" s="383"/>
      <c r="V19" s="396" t="s">
        <v>661</v>
      </c>
      <c r="W19" s="407" t="n">
        <v>0.1541</v>
      </c>
      <c r="X19" s="383"/>
      <c r="Y19" s="396" t="s">
        <v>661</v>
      </c>
      <c r="Z19" s="407" t="n">
        <v>0.1943</v>
      </c>
      <c r="AB19" s="394" t="s">
        <v>150</v>
      </c>
      <c r="AC19" s="395" t="s">
        <v>688</v>
      </c>
      <c r="AE19" s="312" t="s">
        <v>689</v>
      </c>
      <c r="AH19" s="380" t="s">
        <v>570</v>
      </c>
      <c r="AI19" s="393" t="s">
        <v>690</v>
      </c>
      <c r="AK19" s="380" t="s">
        <v>655</v>
      </c>
      <c r="AL19" s="393" t="s">
        <v>209</v>
      </c>
      <c r="AN19" s="434"/>
      <c r="AO19" s="382"/>
      <c r="AQ19" s="380" t="s">
        <v>658</v>
      </c>
      <c r="AR19" s="393" t="s">
        <v>691</v>
      </c>
      <c r="AT19" s="27" t="s">
        <v>692</v>
      </c>
      <c r="AU19" s="435" t="n">
        <f aca="false">+AU18+AU16+AU15+AU14</f>
        <v>0.0451268292682925</v>
      </c>
    </row>
    <row r="20" customFormat="false" ht="13.5" hidden="false" customHeight="false" outlineLevel="0" collapsed="false">
      <c r="A20" s="396" t="s">
        <v>119</v>
      </c>
      <c r="B20" s="397" t="n">
        <f aca="false">0.0022+0.0072+0.0131</f>
        <v>0.0225</v>
      </c>
      <c r="C20" s="383"/>
      <c r="D20" s="396" t="s">
        <v>119</v>
      </c>
      <c r="E20" s="398" t="n">
        <f aca="false">0.0072+0.0022+0.0131</f>
        <v>0.0225</v>
      </c>
      <c r="F20" s="409"/>
      <c r="G20" s="399" t="s">
        <v>119</v>
      </c>
      <c r="H20" s="400" t="n">
        <f aca="false">0.0022+0.0072+0.0225</f>
        <v>0.0319</v>
      </c>
      <c r="I20" s="383"/>
      <c r="J20" s="401" t="s">
        <v>119</v>
      </c>
      <c r="K20" s="400" t="n">
        <f aca="false">0.0022</f>
        <v>0.0022</v>
      </c>
      <c r="L20" s="383"/>
      <c r="M20" s="402" t="s">
        <v>119</v>
      </c>
      <c r="N20" s="403" t="n">
        <f aca="false">0.0022+0.0072</f>
        <v>0.0094</v>
      </c>
      <c r="O20" s="383"/>
      <c r="P20" s="404" t="s">
        <v>119</v>
      </c>
      <c r="Q20" s="405" t="n">
        <f aca="false">0.0022+0.0072</f>
        <v>0.0094</v>
      </c>
      <c r="R20" s="406"/>
      <c r="S20" s="396" t="s">
        <v>119</v>
      </c>
      <c r="T20" s="407" t="n">
        <v>0.0022</v>
      </c>
      <c r="U20" s="383"/>
      <c r="V20" s="396" t="s">
        <v>119</v>
      </c>
      <c r="W20" s="407" t="n">
        <f aca="false">0.0022+0.0072</f>
        <v>0.0094</v>
      </c>
      <c r="X20" s="383"/>
      <c r="Y20" s="396" t="s">
        <v>119</v>
      </c>
      <c r="Z20" s="397" t="n">
        <v>0.0022</v>
      </c>
      <c r="AB20" s="408" t="s">
        <v>661</v>
      </c>
      <c r="AC20" s="403" t="n">
        <v>0</v>
      </c>
      <c r="AE20" s="399" t="s">
        <v>661</v>
      </c>
      <c r="AF20" s="400" t="n">
        <f aca="false">0.0303+0.002</f>
        <v>0.0323</v>
      </c>
      <c r="AH20" s="396" t="s">
        <v>661</v>
      </c>
      <c r="AI20" s="397" t="n">
        <v>0.0054</v>
      </c>
      <c r="AK20" s="396" t="s">
        <v>661</v>
      </c>
      <c r="AL20" s="397" t="n">
        <v>0.0092</v>
      </c>
      <c r="AN20" s="436"/>
      <c r="AO20" s="383"/>
      <c r="AQ20" s="396" t="s">
        <v>661</v>
      </c>
      <c r="AR20" s="397" t="n">
        <f aca="false">0.0001</f>
        <v>0.0001</v>
      </c>
      <c r="AT20" s="27" t="s">
        <v>693</v>
      </c>
      <c r="AU20" s="437"/>
      <c r="AW20" s="27" t="s">
        <v>694</v>
      </c>
    </row>
    <row r="21" customFormat="false" ht="13.5" hidden="false" customHeight="false" outlineLevel="0" collapsed="false">
      <c r="A21" s="396" t="s">
        <v>695</v>
      </c>
      <c r="B21" s="410" t="n">
        <f aca="false">B6/(1-0.0081)-B6</f>
        <v>0.0381359007964512</v>
      </c>
      <c r="C21" s="409"/>
      <c r="D21" s="396" t="s">
        <v>695</v>
      </c>
      <c r="E21" s="410" t="n">
        <f aca="false">(E6)/(1-0.0081)-E6</f>
        <v>0.0381359007964512</v>
      </c>
      <c r="F21" s="411"/>
      <c r="G21" s="399" t="s">
        <v>696</v>
      </c>
      <c r="H21" s="412" t="n">
        <f aca="false">(H3)/(1-0.0244)-H3</f>
        <v>0.107669126691267</v>
      </c>
      <c r="I21" s="409"/>
      <c r="J21" s="401" t="s">
        <v>697</v>
      </c>
      <c r="K21" s="413" t="n">
        <f aca="false">(K5)/(1-0.0257)-K5</f>
        <v>0.112369906599611</v>
      </c>
      <c r="L21" s="409"/>
      <c r="M21" s="402" t="s">
        <v>698</v>
      </c>
      <c r="N21" s="414" t="n">
        <f aca="false">(N5)/(1-0.797)-N5</f>
        <v>16.7252216748769</v>
      </c>
      <c r="O21" s="409"/>
      <c r="P21" s="404" t="s">
        <v>668</v>
      </c>
      <c r="Q21" s="415" t="n">
        <f aca="false">+Q$3/(1-0.015)-Q$3</f>
        <v>0.0674619289340104</v>
      </c>
      <c r="R21" s="416"/>
      <c r="S21" s="396" t="s">
        <v>699</v>
      </c>
      <c r="T21" s="410" t="n">
        <f aca="false">+T3/(1-0.00603)-T3</f>
        <v>0.0266929585399964</v>
      </c>
      <c r="U21" s="409"/>
      <c r="V21" s="396" t="s">
        <v>700</v>
      </c>
      <c r="W21" s="410" t="n">
        <f aca="false">+W3/(1-0.02184)-W3</f>
        <v>0.1004743600229</v>
      </c>
      <c r="X21" s="409"/>
      <c r="Y21" s="396" t="s">
        <v>670</v>
      </c>
      <c r="Z21" s="410" t="n">
        <f aca="false">(Z3)/(1-0.0228)-Z3</f>
        <v>0.107793696275071</v>
      </c>
      <c r="AB21" s="408" t="s">
        <v>119</v>
      </c>
      <c r="AC21" s="403" t="n">
        <f aca="false">0.0022+0.0072</f>
        <v>0.0094</v>
      </c>
      <c r="AE21" s="399" t="s">
        <v>119</v>
      </c>
      <c r="AF21" s="400" t="n">
        <f aca="false">0.0072+0.0022</f>
        <v>0.0094</v>
      </c>
      <c r="AH21" s="396" t="s">
        <v>119</v>
      </c>
      <c r="AI21" s="397" t="n">
        <f aca="false">0.0022+0.0072+0.0012</f>
        <v>0.0106</v>
      </c>
      <c r="AK21" s="396" t="s">
        <v>119</v>
      </c>
      <c r="AL21" s="397" t="n">
        <f aca="false">0.0022+0.0072</f>
        <v>0.0094</v>
      </c>
      <c r="AN21" s="436"/>
      <c r="AO21" s="383"/>
      <c r="AQ21" s="396" t="s">
        <v>119</v>
      </c>
      <c r="AR21" s="397" t="n">
        <f aca="false">0.0072+0.0022</f>
        <v>0.0094</v>
      </c>
    </row>
    <row r="22" customFormat="false" ht="12.75" hidden="false" customHeight="false" outlineLevel="0" collapsed="false">
      <c r="A22" s="419" t="s">
        <v>1</v>
      </c>
      <c r="B22" s="420" t="n">
        <f aca="false">SUM(B19:B21)</f>
        <v>0.0656359007964512</v>
      </c>
      <c r="C22" s="411"/>
      <c r="D22" s="396"/>
      <c r="E22" s="420" t="n">
        <f aca="false">SUM(E19:E21)</f>
        <v>0.150535900796451</v>
      </c>
      <c r="F22" s="411"/>
      <c r="G22" s="421"/>
      <c r="H22" s="422" t="n">
        <f aca="false">SUM(H19:H21)</f>
        <v>0.206469126691267</v>
      </c>
      <c r="I22" s="411"/>
      <c r="J22" s="401"/>
      <c r="K22" s="422" t="n">
        <f aca="false">SUM(K19:K21)</f>
        <v>0.133269906599611</v>
      </c>
      <c r="L22" s="411"/>
      <c r="M22" s="402"/>
      <c r="N22" s="423" t="n">
        <f aca="false">SUM(N19:N21)</f>
        <v>17.3995216748768</v>
      </c>
      <c r="O22" s="411"/>
      <c r="P22" s="424"/>
      <c r="Q22" s="425" t="n">
        <f aca="false">SUM(Q19:Q21)</f>
        <v>0.0848619289340104</v>
      </c>
      <c r="R22" s="426"/>
      <c r="S22" s="419"/>
      <c r="T22" s="420" t="n">
        <f aca="false">SUM(T19:T21)</f>
        <v>0.0305929585399964</v>
      </c>
      <c r="U22" s="411"/>
      <c r="V22" s="419"/>
      <c r="W22" s="420" t="n">
        <f aca="false">SUM(W19:W21)</f>
        <v>0.2639743600229</v>
      </c>
      <c r="X22" s="411"/>
      <c r="Y22" s="419"/>
      <c r="Z22" s="420" t="n">
        <f aca="false">SUM(Z19:Z21)</f>
        <v>0.304293696275071</v>
      </c>
      <c r="AB22" s="417" t="n">
        <v>0.0058</v>
      </c>
      <c r="AC22" s="414" t="n">
        <f aca="false">+AC$3/(1-AB22)-AC3</f>
        <v>0.0277982297324479</v>
      </c>
      <c r="AE22" s="399" t="s">
        <v>701</v>
      </c>
      <c r="AF22" s="413" t="n">
        <f aca="false">+AF3/(1-0.0268)-AF3</f>
        <v>0.121304973284012</v>
      </c>
      <c r="AH22" s="396" t="s">
        <v>702</v>
      </c>
      <c r="AI22" s="410" t="n">
        <f aca="false">+AI3/(1-0.002)-AI3</f>
        <v>0.00917835671342715</v>
      </c>
      <c r="AK22" s="396" t="s">
        <v>673</v>
      </c>
      <c r="AL22" s="410" t="n">
        <f aca="false">+AL3/(1-0.03)-AL3</f>
        <v>0.142886597938144</v>
      </c>
      <c r="AN22" s="436"/>
      <c r="AO22" s="409"/>
      <c r="AQ22" s="396" t="s">
        <v>675</v>
      </c>
      <c r="AR22" s="410" t="n">
        <f aca="false">+AR3/(1-0.02)-AR3</f>
        <v>0.0956122448979588</v>
      </c>
    </row>
    <row r="23" customFormat="false" ht="12.75" hidden="false" customHeight="false" outlineLevel="0" collapsed="false">
      <c r="A23" s="428" t="s">
        <v>93</v>
      </c>
      <c r="B23" s="381" t="s">
        <v>703</v>
      </c>
      <c r="C23" s="382"/>
      <c r="D23" s="438" t="s">
        <v>93</v>
      </c>
      <c r="E23" s="420" t="s">
        <v>704</v>
      </c>
      <c r="F23" s="439"/>
      <c r="G23" s="429" t="s">
        <v>642</v>
      </c>
      <c r="H23" s="430" t="s">
        <v>705</v>
      </c>
      <c r="I23" s="411"/>
      <c r="J23" s="440" t="s">
        <v>644</v>
      </c>
      <c r="K23" s="441" t="s">
        <v>706</v>
      </c>
      <c r="L23" s="411"/>
      <c r="M23" s="388" t="s">
        <v>644</v>
      </c>
      <c r="N23" s="389" t="s">
        <v>707</v>
      </c>
      <c r="O23" s="411"/>
      <c r="P23" s="431" t="s">
        <v>515</v>
      </c>
      <c r="Q23" s="432" t="s">
        <v>708</v>
      </c>
      <c r="R23" s="392"/>
      <c r="S23" s="428" t="s">
        <v>648</v>
      </c>
      <c r="T23" s="433" t="s">
        <v>709</v>
      </c>
      <c r="U23" s="382"/>
      <c r="V23" s="428" t="s">
        <v>650</v>
      </c>
      <c r="W23" s="433" t="s">
        <v>710</v>
      </c>
      <c r="X23" s="382"/>
      <c r="Y23" s="382"/>
      <c r="Z23" s="382"/>
      <c r="AB23" s="427"/>
      <c r="AC23" s="423" t="n">
        <f aca="false">SUM(AC20:AC22)</f>
        <v>0.0371982297324479</v>
      </c>
      <c r="AE23" s="421"/>
      <c r="AF23" s="422" t="n">
        <f aca="false">SUM(AF20:AF22)</f>
        <v>0.163004973284012</v>
      </c>
      <c r="AH23" s="419"/>
      <c r="AI23" s="420" t="n">
        <f aca="false">SUM(AI20:AI22)</f>
        <v>0.0251783567134272</v>
      </c>
      <c r="AK23" s="419"/>
      <c r="AL23" s="420" t="n">
        <f aca="false">SUM(AL20:AL22)</f>
        <v>0.161486597938144</v>
      </c>
      <c r="AN23" s="73"/>
      <c r="AO23" s="411"/>
      <c r="AQ23" s="419"/>
      <c r="AR23" s="420" t="n">
        <f aca="false">SUM(AR20:AR22)</f>
        <v>0.105112244897959</v>
      </c>
    </row>
    <row r="24" customFormat="false" ht="12.75" hidden="false" customHeight="false" outlineLevel="0" collapsed="false">
      <c r="A24" s="396" t="s">
        <v>661</v>
      </c>
      <c r="B24" s="397" t="n">
        <v>0.0075</v>
      </c>
      <c r="C24" s="383"/>
      <c r="D24" s="396" t="s">
        <v>661</v>
      </c>
      <c r="E24" s="398" t="n">
        <v>0.1243</v>
      </c>
      <c r="F24" s="439"/>
      <c r="G24" s="399" t="s">
        <v>661</v>
      </c>
      <c r="H24" s="400" t="n">
        <v>0.088</v>
      </c>
      <c r="I24" s="439"/>
      <c r="J24" s="401" t="s">
        <v>661</v>
      </c>
      <c r="K24" s="400" t="n">
        <v>0.0236</v>
      </c>
      <c r="L24" s="439"/>
      <c r="M24" s="402" t="s">
        <v>661</v>
      </c>
      <c r="N24" s="403" t="n">
        <v>0.4164</v>
      </c>
      <c r="O24" s="439"/>
      <c r="P24" s="404" t="s">
        <v>661</v>
      </c>
      <c r="Q24" s="405" t="n">
        <v>0.013</v>
      </c>
      <c r="R24" s="406"/>
      <c r="S24" s="396" t="s">
        <v>661</v>
      </c>
      <c r="T24" s="407" t="n">
        <v>0.017</v>
      </c>
      <c r="U24" s="383"/>
      <c r="V24" s="396" t="s">
        <v>661</v>
      </c>
      <c r="W24" s="407" t="n">
        <v>0.2197</v>
      </c>
      <c r="X24" s="383"/>
      <c r="Y24" s="380" t="s">
        <v>48</v>
      </c>
      <c r="Z24" s="393" t="s">
        <v>711</v>
      </c>
      <c r="AN24" s="73"/>
      <c r="AO24" s="73"/>
    </row>
    <row r="25" customFormat="false" ht="12.75" hidden="false" customHeight="false" outlineLevel="0" collapsed="false">
      <c r="A25" s="396" t="s">
        <v>119</v>
      </c>
      <c r="B25" s="397" t="n">
        <f aca="false">0.0022+0.0072+0.0131</f>
        <v>0.0225</v>
      </c>
      <c r="C25" s="383"/>
      <c r="D25" s="396" t="s">
        <v>119</v>
      </c>
      <c r="E25" s="398" t="n">
        <f aca="false">0.0072+0.0022+0.0131</f>
        <v>0.0225</v>
      </c>
      <c r="F25" s="409"/>
      <c r="G25" s="399" t="s">
        <v>119</v>
      </c>
      <c r="H25" s="400" t="n">
        <f aca="false">0.0022+0.0072</f>
        <v>0.0094</v>
      </c>
      <c r="I25" s="439"/>
      <c r="J25" s="401" t="s">
        <v>119</v>
      </c>
      <c r="K25" s="400" t="n">
        <f aca="false">0.0022+0.0072</f>
        <v>0.0094</v>
      </c>
      <c r="L25" s="439"/>
      <c r="M25" s="402" t="s">
        <v>119</v>
      </c>
      <c r="N25" s="403" t="n">
        <f aca="false">0.0022+0.0072</f>
        <v>0.0094</v>
      </c>
      <c r="O25" s="439"/>
      <c r="P25" s="404" t="s">
        <v>119</v>
      </c>
      <c r="Q25" s="405" t="n">
        <f aca="false">0.0022+0.0072</f>
        <v>0.0094</v>
      </c>
      <c r="R25" s="406"/>
      <c r="S25" s="396" t="s">
        <v>119</v>
      </c>
      <c r="T25" s="407" t="n">
        <v>0.0022</v>
      </c>
      <c r="U25" s="383"/>
      <c r="V25" s="396" t="s">
        <v>119</v>
      </c>
      <c r="W25" s="407" t="n">
        <f aca="false">0.0022+0.0072</f>
        <v>0.0094</v>
      </c>
      <c r="X25" s="383"/>
      <c r="Y25" s="396" t="s">
        <v>661</v>
      </c>
      <c r="Z25" s="397" t="n">
        <v>0.15</v>
      </c>
      <c r="AB25" s="159" t="s">
        <v>600</v>
      </c>
      <c r="AE25" s="312" t="s">
        <v>712</v>
      </c>
      <c r="AH25" s="380" t="s">
        <v>570</v>
      </c>
      <c r="AI25" s="393" t="s">
        <v>713</v>
      </c>
      <c r="AK25" s="434"/>
      <c r="AL25" s="382"/>
      <c r="AN25" s="434"/>
      <c r="AO25" s="382"/>
      <c r="AQ25" s="380" t="s">
        <v>658</v>
      </c>
      <c r="AR25" s="393" t="s">
        <v>714</v>
      </c>
    </row>
    <row r="26" customFormat="false" ht="12.75" hidden="false" customHeight="false" outlineLevel="0" collapsed="false">
      <c r="A26" s="396" t="s">
        <v>715</v>
      </c>
      <c r="B26" s="410" t="n">
        <f aca="false">B6/(1-0.0126)-B6</f>
        <v>0.0595928701640673</v>
      </c>
      <c r="C26" s="409"/>
      <c r="D26" s="396" t="s">
        <v>715</v>
      </c>
      <c r="E26" s="410" t="n">
        <f aca="false">E6/(1-0.0126)-E6</f>
        <v>0.0595928701640673</v>
      </c>
      <c r="F26" s="411"/>
      <c r="G26" s="399" t="s">
        <v>716</v>
      </c>
      <c r="H26" s="412" t="n">
        <f aca="false">(H3)/(1-0.0443)-H3</f>
        <v>0.199551637543162</v>
      </c>
      <c r="I26" s="409"/>
      <c r="J26" s="401" t="s">
        <v>717</v>
      </c>
      <c r="K26" s="413" t="n">
        <f aca="false">(K5)/(1-0.0332)-K5</f>
        <v>0.146288787753413</v>
      </c>
      <c r="L26" s="409"/>
      <c r="M26" s="402" t="s">
        <v>718</v>
      </c>
      <c r="N26" s="414" t="n">
        <f aca="false">(N4)/(1-0.064)-N4</f>
        <v>0.297094017094017</v>
      </c>
      <c r="O26" s="409"/>
      <c r="P26" s="404" t="s">
        <v>719</v>
      </c>
      <c r="Q26" s="415" t="n">
        <f aca="false">+Q$3/(1-0.023)-Q$3</f>
        <v>0.104288638689867</v>
      </c>
      <c r="R26" s="416"/>
      <c r="S26" s="396" t="s">
        <v>720</v>
      </c>
      <c r="T26" s="410" t="n">
        <f aca="false">+T4/(1-0.0282)-T4</f>
        <v>0.129421691706113</v>
      </c>
      <c r="U26" s="409"/>
      <c r="V26" s="396" t="s">
        <v>700</v>
      </c>
      <c r="W26" s="410" t="n">
        <f aca="false">+W3/(1-0.02184)-W3</f>
        <v>0.1004743600229</v>
      </c>
      <c r="X26" s="409"/>
      <c r="Y26" s="396" t="s">
        <v>119</v>
      </c>
      <c r="Z26" s="397" t="n">
        <v>0.0022</v>
      </c>
      <c r="AB26" s="159" t="s">
        <v>721</v>
      </c>
      <c r="AE26" s="399" t="s">
        <v>661</v>
      </c>
      <c r="AF26" s="400" t="n">
        <f aca="false">0.0275+0.002</f>
        <v>0.0295</v>
      </c>
      <c r="AH26" s="396" t="s">
        <v>661</v>
      </c>
      <c r="AI26" s="397" t="n">
        <v>0.4693</v>
      </c>
      <c r="AK26" s="436"/>
      <c r="AL26" s="383"/>
      <c r="AN26" s="436"/>
      <c r="AO26" s="383"/>
      <c r="AQ26" s="396" t="s">
        <v>661</v>
      </c>
      <c r="AR26" s="397" t="n">
        <v>0.0009</v>
      </c>
    </row>
    <row r="27" customFormat="false" ht="12.75" hidden="false" customHeight="false" outlineLevel="0" collapsed="false">
      <c r="A27" s="419"/>
      <c r="B27" s="420" t="n">
        <f aca="false">SUM(B24:B26)</f>
        <v>0.0895928701640673</v>
      </c>
      <c r="C27" s="411"/>
      <c r="D27" s="396"/>
      <c r="E27" s="420" t="n">
        <f aca="false">SUM(E24:E26)</f>
        <v>0.206392870164067</v>
      </c>
      <c r="F27" s="382"/>
      <c r="G27" s="421"/>
      <c r="H27" s="422" t="n">
        <f aca="false">SUM(H24:H26)</f>
        <v>0.296951637543162</v>
      </c>
      <c r="I27" s="411"/>
      <c r="J27" s="401"/>
      <c r="K27" s="422" t="n">
        <f aca="false">SUM(K24:K26)</f>
        <v>0.179288787753413</v>
      </c>
      <c r="L27" s="411"/>
      <c r="M27" s="402"/>
      <c r="N27" s="423" t="n">
        <f aca="false">SUM(N24:N26)</f>
        <v>0.722894017094017</v>
      </c>
      <c r="O27" s="411"/>
      <c r="P27" s="424"/>
      <c r="Q27" s="425" t="n">
        <f aca="false">SUM(Q24:Q26)</f>
        <v>0.126688638689867</v>
      </c>
      <c r="R27" s="426"/>
      <c r="S27" s="419"/>
      <c r="T27" s="420" t="n">
        <f aca="false">SUM(T24:T26)</f>
        <v>0.148621691706113</v>
      </c>
      <c r="U27" s="411"/>
      <c r="V27" s="419"/>
      <c r="W27" s="420" t="n">
        <f aca="false">SUM(W24:W26)</f>
        <v>0.3295743600229</v>
      </c>
      <c r="X27" s="411"/>
      <c r="Y27" s="396" t="s">
        <v>670</v>
      </c>
      <c r="Z27" s="410" t="n">
        <f aca="false">(Z3)/(1-0.0228)-Z3</f>
        <v>0.107793696275071</v>
      </c>
      <c r="AB27" s="159" t="s">
        <v>621</v>
      </c>
      <c r="AE27" s="399" t="s">
        <v>119</v>
      </c>
      <c r="AF27" s="400" t="n">
        <f aca="false">0.0072+0.0022</f>
        <v>0.0094</v>
      </c>
      <c r="AH27" s="396" t="s">
        <v>119</v>
      </c>
      <c r="AI27" s="397" t="n">
        <f aca="false">0.0022+0.0072+0.0012</f>
        <v>0.0106</v>
      </c>
      <c r="AK27" s="436"/>
      <c r="AL27" s="383"/>
      <c r="AN27" s="436"/>
      <c r="AO27" s="383"/>
      <c r="AQ27" s="396" t="s">
        <v>119</v>
      </c>
      <c r="AR27" s="397" t="n">
        <f aca="false">0.0072+0.0022</f>
        <v>0.0094</v>
      </c>
    </row>
    <row r="28" customFormat="false" ht="12.75" hidden="false" customHeight="false" outlineLevel="0" collapsed="false">
      <c r="A28" s="380" t="s">
        <v>93</v>
      </c>
      <c r="B28" s="381" t="s">
        <v>722</v>
      </c>
      <c r="D28" s="27" t="s">
        <v>93</v>
      </c>
      <c r="E28" s="27" t="s">
        <v>723</v>
      </c>
      <c r="F28" s="383"/>
      <c r="G28" s="429" t="s">
        <v>642</v>
      </c>
      <c r="H28" s="442" t="s">
        <v>724</v>
      </c>
      <c r="I28" s="382"/>
      <c r="J28" s="386" t="s">
        <v>644</v>
      </c>
      <c r="K28" s="387" t="s">
        <v>725</v>
      </c>
      <c r="L28" s="382"/>
      <c r="M28" s="388" t="s">
        <v>644</v>
      </c>
      <c r="N28" s="389" t="s">
        <v>726</v>
      </c>
      <c r="O28" s="382"/>
      <c r="P28" s="431" t="s">
        <v>515</v>
      </c>
      <c r="Q28" s="432" t="s">
        <v>727</v>
      </c>
      <c r="S28" s="380" t="s">
        <v>648</v>
      </c>
      <c r="T28" s="393" t="s">
        <v>728</v>
      </c>
      <c r="V28" s="380" t="s">
        <v>650</v>
      </c>
      <c r="W28" s="393" t="s">
        <v>729</v>
      </c>
      <c r="Y28" s="419"/>
      <c r="Z28" s="420" t="n">
        <f aca="false">SUM(Z25:Z27)</f>
        <v>0.259993696275071</v>
      </c>
      <c r="AB28" s="159" t="s">
        <v>630</v>
      </c>
      <c r="AE28" s="399" t="s">
        <v>701</v>
      </c>
      <c r="AF28" s="413" t="n">
        <f aca="false">+AF3/(1-0.0268)-AF3</f>
        <v>0.121304973284012</v>
      </c>
      <c r="AH28" s="396" t="s">
        <v>702</v>
      </c>
      <c r="AI28" s="410" t="n">
        <f aca="false">+AI3/(1-0.002)-AI3</f>
        <v>0.00917835671342715</v>
      </c>
      <c r="AK28" s="436"/>
      <c r="AL28" s="409"/>
      <c r="AN28" s="436"/>
      <c r="AO28" s="409"/>
      <c r="AQ28" s="396" t="s">
        <v>675</v>
      </c>
      <c r="AR28" s="410" t="n">
        <f aca="false">+AR3/(1-0.02)-AR3</f>
        <v>0.0956122448979588</v>
      </c>
    </row>
    <row r="29" customFormat="false" ht="12.75" hidden="false" customHeight="false" outlineLevel="0" collapsed="false">
      <c r="A29" s="396" t="s">
        <v>661</v>
      </c>
      <c r="B29" s="397" t="n">
        <v>0.0186</v>
      </c>
      <c r="D29" s="396" t="s">
        <v>661</v>
      </c>
      <c r="E29" s="398" t="n">
        <v>0.2511</v>
      </c>
      <c r="F29" s="383"/>
      <c r="G29" s="421" t="s">
        <v>661</v>
      </c>
      <c r="H29" s="400" t="n">
        <v>0.0978</v>
      </c>
      <c r="I29" s="383"/>
      <c r="J29" s="401" t="s">
        <v>661</v>
      </c>
      <c r="K29" s="400" t="n">
        <v>0.0708</v>
      </c>
      <c r="L29" s="383"/>
      <c r="M29" s="402" t="s">
        <v>661</v>
      </c>
      <c r="N29" s="403" t="n">
        <v>0.521</v>
      </c>
      <c r="O29" s="383"/>
      <c r="P29" s="404" t="s">
        <v>661</v>
      </c>
      <c r="Q29" s="405" t="n">
        <v>0.021</v>
      </c>
      <c r="S29" s="396" t="s">
        <v>661</v>
      </c>
      <c r="T29" s="407" t="n">
        <v>0.088</v>
      </c>
      <c r="V29" s="396" t="s">
        <v>661</v>
      </c>
      <c r="W29" s="397" t="s">
        <v>730</v>
      </c>
      <c r="Y29" s="383" t="s">
        <v>1</v>
      </c>
      <c r="Z29" s="383" t="s">
        <v>1</v>
      </c>
      <c r="AE29" s="421"/>
      <c r="AF29" s="422" t="n">
        <f aca="false">SUM(AF26:AF28)</f>
        <v>0.160204973284012</v>
      </c>
      <c r="AH29" s="419"/>
      <c r="AI29" s="420" t="n">
        <f aca="false">SUM(AI26:AI28)</f>
        <v>0.489078356713427</v>
      </c>
      <c r="AK29" s="73"/>
      <c r="AL29" s="411"/>
      <c r="AN29" s="73"/>
      <c r="AO29" s="411"/>
      <c r="AQ29" s="419"/>
      <c r="AR29" s="420" t="n">
        <f aca="false">SUM(AR26:AR28)</f>
        <v>0.105912244897959</v>
      </c>
    </row>
    <row r="30" customFormat="false" ht="12.75" hidden="false" customHeight="false" outlineLevel="0" collapsed="false">
      <c r="A30" s="396" t="s">
        <v>119</v>
      </c>
      <c r="B30" s="397" t="n">
        <f aca="false">0.0022+0.0072+0.0131</f>
        <v>0.0225</v>
      </c>
      <c r="C30" s="439"/>
      <c r="D30" s="396" t="s">
        <v>119</v>
      </c>
      <c r="E30" s="398" t="n">
        <f aca="false">0.0072+0.0131+0.0022</f>
        <v>0.0225</v>
      </c>
      <c r="F30" s="409"/>
      <c r="G30" s="421" t="s">
        <v>119</v>
      </c>
      <c r="H30" s="400" t="n">
        <f aca="false">0.0022</f>
        <v>0.0022</v>
      </c>
      <c r="I30" s="383"/>
      <c r="J30" s="401" t="s">
        <v>119</v>
      </c>
      <c r="K30" s="400" t="n">
        <f aca="false">0.0022+0.0072</f>
        <v>0.0094</v>
      </c>
      <c r="L30" s="383"/>
      <c r="M30" s="402" t="s">
        <v>119</v>
      </c>
      <c r="N30" s="403" t="n">
        <f aca="false">0.0022+0.0072</f>
        <v>0.0094</v>
      </c>
      <c r="O30" s="383"/>
      <c r="P30" s="404" t="s">
        <v>119</v>
      </c>
      <c r="Q30" s="405" t="n">
        <f aca="false">0.0022+0.0072</f>
        <v>0.0094</v>
      </c>
      <c r="R30" s="443"/>
      <c r="S30" s="396" t="s">
        <v>119</v>
      </c>
      <c r="T30" s="407" t="n">
        <v>0.0022</v>
      </c>
      <c r="U30" s="439"/>
      <c r="V30" s="396" t="s">
        <v>119</v>
      </c>
      <c r="W30" s="397" t="n">
        <v>0</v>
      </c>
      <c r="X30" s="439"/>
      <c r="Y30" s="383" t="s">
        <v>1</v>
      </c>
      <c r="Z30" s="383" t="s">
        <v>1</v>
      </c>
      <c r="AB30" s="394" t="s">
        <v>150</v>
      </c>
      <c r="AC30" s="395" t="s">
        <v>535</v>
      </c>
      <c r="AL30" s="444"/>
      <c r="AN30" s="73"/>
      <c r="AO30" s="444"/>
    </row>
    <row r="31" customFormat="false" ht="12.75" hidden="false" customHeight="false" outlineLevel="0" collapsed="false">
      <c r="A31" s="396" t="s">
        <v>731</v>
      </c>
      <c r="B31" s="410" t="n">
        <f aca="false">B6/(1-0.0316)-B6</f>
        <v>0.152387443205287</v>
      </c>
      <c r="C31" s="409"/>
      <c r="D31" s="396" t="s">
        <v>731</v>
      </c>
      <c r="E31" s="410" t="n">
        <f aca="false">+E6/(1-0.0316)-E6</f>
        <v>0.152387443205287</v>
      </c>
      <c r="F31" s="411"/>
      <c r="G31" s="421" t="s">
        <v>732</v>
      </c>
      <c r="H31" s="412" t="n">
        <f aca="false">(H3)/(1-0.0504)-H3</f>
        <v>0.228487784330245</v>
      </c>
      <c r="I31" s="409"/>
      <c r="J31" s="401" t="s">
        <v>733</v>
      </c>
      <c r="K31" s="413" t="n">
        <f aca="false">(K5)/(1-0.0564)-K5</f>
        <v>0.254624841034337</v>
      </c>
      <c r="L31" s="409"/>
      <c r="M31" s="402" t="s">
        <v>734</v>
      </c>
      <c r="N31" s="414" t="n">
        <f aca="false">(N4)/(1-0.0733)-N4</f>
        <v>0.343680263299881</v>
      </c>
      <c r="O31" s="409"/>
      <c r="P31" s="404" t="s">
        <v>735</v>
      </c>
      <c r="Q31" s="415" t="n">
        <f aca="false">+Q$3/(1-0.026)-Q$3</f>
        <v>0.118254620123204</v>
      </c>
      <c r="R31" s="416"/>
      <c r="S31" s="396" t="s">
        <v>669</v>
      </c>
      <c r="T31" s="410" t="n">
        <f aca="false">(+T3-0.108)/(1-0.00489)-(T3-0.108)</f>
        <v>0.0210910150636607</v>
      </c>
      <c r="U31" s="409"/>
      <c r="V31" s="396" t="s">
        <v>700</v>
      </c>
      <c r="W31" s="410" t="n">
        <f aca="false">+W3/(1-0.02184)-W3</f>
        <v>0.1004743600229</v>
      </c>
      <c r="X31" s="409"/>
      <c r="Y31" s="409"/>
      <c r="Z31" s="409"/>
      <c r="AB31" s="408" t="s">
        <v>661</v>
      </c>
      <c r="AC31" s="403" t="n">
        <v>0.0112</v>
      </c>
      <c r="AE31" s="312" t="s">
        <v>736</v>
      </c>
      <c r="AH31" s="380" t="s">
        <v>570</v>
      </c>
      <c r="AI31" s="393" t="s">
        <v>737</v>
      </c>
      <c r="AL31" s="444"/>
      <c r="AO31" s="444"/>
      <c r="AQ31" s="380" t="s">
        <v>658</v>
      </c>
      <c r="AR31" s="393" t="s">
        <v>738</v>
      </c>
    </row>
    <row r="32" customFormat="false" ht="12.75" hidden="false" customHeight="false" outlineLevel="0" collapsed="false">
      <c r="A32" s="419"/>
      <c r="B32" s="420" t="n">
        <f aca="false">SUM(B29:B31)</f>
        <v>0.193487443205287</v>
      </c>
      <c r="C32" s="411"/>
      <c r="D32" s="396"/>
      <c r="E32" s="420" t="n">
        <f aca="false">SUM(E29:E31)</f>
        <v>0.425987443205287</v>
      </c>
      <c r="F32" s="382"/>
      <c r="G32" s="421"/>
      <c r="H32" s="422" t="n">
        <f aca="false">SUM(H29:H31)</f>
        <v>0.328487784330245</v>
      </c>
      <c r="I32" s="411"/>
      <c r="J32" s="401"/>
      <c r="K32" s="422" t="n">
        <f aca="false">SUM(K29:K31)</f>
        <v>0.334824841034337</v>
      </c>
      <c r="L32" s="411"/>
      <c r="M32" s="402"/>
      <c r="N32" s="423" t="n">
        <f aca="false">SUM(N29:N31)</f>
        <v>0.874080263299881</v>
      </c>
      <c r="O32" s="411"/>
      <c r="P32" s="424"/>
      <c r="Q32" s="425" t="n">
        <f aca="false">SUM(Q29:Q31)</f>
        <v>0.148654620123204</v>
      </c>
      <c r="R32" s="426"/>
      <c r="S32" s="419"/>
      <c r="T32" s="420" t="n">
        <f aca="false">SUM(T29:T31)</f>
        <v>0.111291015063661</v>
      </c>
      <c r="U32" s="411"/>
      <c r="V32" s="419"/>
      <c r="W32" s="420" t="n">
        <f aca="false">SUM(W29:W31)</f>
        <v>0.1004743600229</v>
      </c>
      <c r="X32" s="411"/>
      <c r="Y32" s="411"/>
      <c r="Z32" s="411"/>
      <c r="AB32" s="408" t="s">
        <v>119</v>
      </c>
      <c r="AC32" s="403" t="n">
        <f aca="false">0.0022+0.0072</f>
        <v>0.0094</v>
      </c>
      <c r="AE32" s="399" t="s">
        <v>661</v>
      </c>
      <c r="AF32" s="400" t="n">
        <f aca="false">0.0152+0.002</f>
        <v>0.0172</v>
      </c>
      <c r="AH32" s="396" t="s">
        <v>661</v>
      </c>
      <c r="AI32" s="397" t="n">
        <v>0.115</v>
      </c>
      <c r="AK32" s="445"/>
      <c r="AN32" s="445"/>
      <c r="AQ32" s="396" t="s">
        <v>661</v>
      </c>
      <c r="AR32" s="397" t="n">
        <v>0.0003</v>
      </c>
    </row>
    <row r="33" customFormat="false" ht="12.75" hidden="false" customHeight="false" outlineLevel="0" collapsed="false">
      <c r="A33" s="380" t="s">
        <v>93</v>
      </c>
      <c r="B33" s="381" t="s">
        <v>739</v>
      </c>
      <c r="C33" s="382"/>
      <c r="D33" s="27" t="s">
        <v>93</v>
      </c>
      <c r="E33" s="27" t="s">
        <v>740</v>
      </c>
      <c r="F33" s="383"/>
      <c r="G33" s="429" t="s">
        <v>642</v>
      </c>
      <c r="H33" s="442" t="s">
        <v>741</v>
      </c>
      <c r="I33" s="382"/>
      <c r="J33" s="386" t="s">
        <v>644</v>
      </c>
      <c r="K33" s="387" t="s">
        <v>646</v>
      </c>
      <c r="L33" s="382"/>
      <c r="M33" s="388" t="s">
        <v>644</v>
      </c>
      <c r="N33" s="389" t="s">
        <v>742</v>
      </c>
      <c r="O33" s="382"/>
      <c r="P33" s="446"/>
      <c r="Q33" s="392"/>
      <c r="R33" s="392"/>
      <c r="S33" s="428" t="s">
        <v>648</v>
      </c>
      <c r="T33" s="433" t="s">
        <v>743</v>
      </c>
      <c r="U33" s="382"/>
      <c r="V33" s="428" t="s">
        <v>650</v>
      </c>
      <c r="W33" s="433" t="s">
        <v>744</v>
      </c>
      <c r="X33" s="382"/>
      <c r="Y33" s="382"/>
      <c r="Z33" s="382"/>
      <c r="AB33" s="417" t="n">
        <v>0.0058</v>
      </c>
      <c r="AC33" s="414" t="n">
        <f aca="false">+AC3/(1-0.0058)-AC3</f>
        <v>0.0277982297324479</v>
      </c>
      <c r="AE33" s="399" t="s">
        <v>119</v>
      </c>
      <c r="AF33" s="400" t="n">
        <f aca="false">0.002+0.0072+0.0022</f>
        <v>0.0114</v>
      </c>
      <c r="AH33" s="396" t="s">
        <v>119</v>
      </c>
      <c r="AI33" s="397" t="n">
        <f aca="false">0.0022+0.0012</f>
        <v>0.0034</v>
      </c>
      <c r="AK33" s="447"/>
      <c r="AL33" s="444"/>
      <c r="AN33" s="447"/>
      <c r="AO33" s="444"/>
      <c r="AQ33" s="396" t="s">
        <v>119</v>
      </c>
      <c r="AR33" s="397" t="n">
        <f aca="false">0.0072+0.0022</f>
        <v>0.0094</v>
      </c>
    </row>
    <row r="34" customFormat="false" ht="12.75" hidden="false" customHeight="false" outlineLevel="0" collapsed="false">
      <c r="A34" s="396" t="s">
        <v>661</v>
      </c>
      <c r="B34" s="397" t="n">
        <v>0.0274</v>
      </c>
      <c r="C34" s="383"/>
      <c r="D34" s="396" t="s">
        <v>661</v>
      </c>
      <c r="E34" s="398" t="n">
        <v>0.0694</v>
      </c>
      <c r="F34" s="383"/>
      <c r="G34" s="421" t="s">
        <v>661</v>
      </c>
      <c r="H34" s="400" t="n">
        <v>0.1118</v>
      </c>
      <c r="I34" s="383"/>
      <c r="J34" s="401" t="s">
        <v>661</v>
      </c>
      <c r="K34" s="400" t="n">
        <v>0.0922</v>
      </c>
      <c r="L34" s="383"/>
      <c r="M34" s="402" t="s">
        <v>661</v>
      </c>
      <c r="N34" s="403" t="n">
        <v>0.3983</v>
      </c>
      <c r="O34" s="383"/>
      <c r="P34" s="448"/>
      <c r="Q34" s="406"/>
      <c r="R34" s="406"/>
      <c r="S34" s="396" t="s">
        <v>661</v>
      </c>
      <c r="T34" s="407" t="n">
        <v>0.0366</v>
      </c>
      <c r="U34" s="383"/>
      <c r="V34" s="396" t="s">
        <v>661</v>
      </c>
      <c r="W34" s="397" t="n">
        <v>0.05</v>
      </c>
      <c r="X34" s="383"/>
      <c r="Y34" s="383"/>
      <c r="Z34" s="383"/>
      <c r="AB34" s="427"/>
      <c r="AC34" s="423" t="n">
        <f aca="false">SUM(AC31:AC33)</f>
        <v>0.0483982297324479</v>
      </c>
      <c r="AE34" s="399" t="s">
        <v>745</v>
      </c>
      <c r="AF34" s="413" t="n">
        <f aca="false">+AF3/(1-0.0169)-AF3</f>
        <v>0.0757242396500866</v>
      </c>
      <c r="AH34" s="396" t="s">
        <v>702</v>
      </c>
      <c r="AI34" s="410" t="n">
        <f aca="false">+AI3/(1-0.002)-AI3</f>
        <v>0.00917835671342715</v>
      </c>
      <c r="AL34" s="444"/>
      <c r="AO34" s="444"/>
      <c r="AQ34" s="396" t="s">
        <v>675</v>
      </c>
      <c r="AR34" s="410" t="n">
        <f aca="false">+AR3/(1-0.02)-AR3</f>
        <v>0.0956122448979588</v>
      </c>
    </row>
    <row r="35" customFormat="false" ht="12.75" hidden="false" customHeight="false" outlineLevel="0" collapsed="false">
      <c r="A35" s="396" t="s">
        <v>119</v>
      </c>
      <c r="B35" s="397" t="n">
        <f aca="false">0.0022+0.0072+0.0131</f>
        <v>0.0225</v>
      </c>
      <c r="C35" s="383"/>
      <c r="D35" s="396" t="s">
        <v>119</v>
      </c>
      <c r="E35" s="398" t="n">
        <v>0</v>
      </c>
      <c r="F35" s="409"/>
      <c r="G35" s="421" t="s">
        <v>119</v>
      </c>
      <c r="H35" s="400" t="n">
        <f aca="false">0.0022+0.0072</f>
        <v>0.0094</v>
      </c>
      <c r="I35" s="383"/>
      <c r="J35" s="401" t="s">
        <v>119</v>
      </c>
      <c r="K35" s="400" t="n">
        <f aca="false">0.0022+0.0072</f>
        <v>0.0094</v>
      </c>
      <c r="L35" s="383"/>
      <c r="M35" s="402" t="s">
        <v>119</v>
      </c>
      <c r="N35" s="403" t="n">
        <f aca="false">0.0022+0.0072</f>
        <v>0.0094</v>
      </c>
      <c r="O35" s="383"/>
      <c r="P35" s="448"/>
      <c r="Q35" s="406"/>
      <c r="R35" s="406"/>
      <c r="S35" s="396" t="s">
        <v>119</v>
      </c>
      <c r="T35" s="407" t="n">
        <v>0.0022</v>
      </c>
      <c r="U35" s="383"/>
      <c r="V35" s="396" t="s">
        <v>119</v>
      </c>
      <c r="W35" s="397" t="n">
        <f aca="false">0.0022</f>
        <v>0.0022</v>
      </c>
      <c r="X35" s="383"/>
      <c r="Y35" s="383"/>
      <c r="Z35" s="383"/>
      <c r="AE35" s="421"/>
      <c r="AF35" s="422" t="n">
        <f aca="false">SUM(AF32:AF34)</f>
        <v>0.104324239650087</v>
      </c>
      <c r="AH35" s="419"/>
      <c r="AI35" s="420" t="n">
        <f aca="false">SUM(AI32:AI34)</f>
        <v>0.127578356713427</v>
      </c>
      <c r="AL35" s="444"/>
      <c r="AO35" s="444"/>
      <c r="AQ35" s="419"/>
      <c r="AR35" s="420" t="n">
        <f aca="false">SUM(AR32:AR34)</f>
        <v>0.105312244897959</v>
      </c>
    </row>
    <row r="36" customFormat="false" ht="12.75" hidden="false" customHeight="false" outlineLevel="0" collapsed="false">
      <c r="A36" s="396" t="s">
        <v>746</v>
      </c>
      <c r="B36" s="410" t="n">
        <f aca="false">B6/(1-0.0469)-B6</f>
        <v>0.229800650508865</v>
      </c>
      <c r="C36" s="409"/>
      <c r="D36" s="396" t="s">
        <v>747</v>
      </c>
      <c r="E36" s="410" t="n">
        <f aca="false">+E5/(1-0.0046)-E5</f>
        <v>0.0217199115933298</v>
      </c>
      <c r="F36" s="411"/>
      <c r="G36" s="421" t="s">
        <v>748</v>
      </c>
      <c r="H36" s="412" t="n">
        <f aca="false">(H3)/(1-0.058)-H3</f>
        <v>0.265063694267516</v>
      </c>
      <c r="I36" s="409"/>
      <c r="J36" s="401" t="s">
        <v>667</v>
      </c>
      <c r="K36" s="413" t="n">
        <f aca="false">(K5)/(1-0.0704)-K5</f>
        <v>0.322616179001721</v>
      </c>
      <c r="L36" s="409"/>
      <c r="M36" s="402" t="s">
        <v>749</v>
      </c>
      <c r="N36" s="414" t="n">
        <f aca="false">(N3)/(1-0.0612)-N3</f>
        <v>0.284226672347678</v>
      </c>
      <c r="O36" s="409"/>
      <c r="P36" s="448"/>
      <c r="Q36" s="416"/>
      <c r="R36" s="416"/>
      <c r="S36" s="396" t="s">
        <v>699</v>
      </c>
      <c r="T36" s="410" t="n">
        <f aca="false">T3/(1-0.00603)-T3</f>
        <v>0.0266929585399964</v>
      </c>
      <c r="U36" s="409"/>
      <c r="V36" s="396" t="s">
        <v>700</v>
      </c>
      <c r="W36" s="410" t="n">
        <f aca="false">+W3/(1-0.02184)-W3</f>
        <v>0.1004743600229</v>
      </c>
      <c r="X36" s="409"/>
      <c r="Y36" s="409"/>
      <c r="Z36" s="409"/>
      <c r="AB36" s="394" t="s">
        <v>150</v>
      </c>
      <c r="AC36" s="395" t="s">
        <v>688</v>
      </c>
      <c r="AI36" s="449" t="n">
        <f aca="false">SUM(AI35,AI3)</f>
        <v>4.70757835671343</v>
      </c>
      <c r="AR36" s="449"/>
    </row>
    <row r="37" customFormat="false" ht="12.75" hidden="false" customHeight="false" outlineLevel="0" collapsed="false">
      <c r="A37" s="419"/>
      <c r="B37" s="420" t="n">
        <f aca="false">SUM(B34:B36)</f>
        <v>0.279700650508865</v>
      </c>
      <c r="C37" s="411"/>
      <c r="D37" s="396"/>
      <c r="E37" s="420" t="n">
        <f aca="false">SUM(E34:E36)</f>
        <v>0.0911199115933298</v>
      </c>
      <c r="F37" s="382"/>
      <c r="G37" s="421"/>
      <c r="H37" s="422" t="n">
        <f aca="false">SUM(H34:H36)</f>
        <v>0.386263694267516</v>
      </c>
      <c r="I37" s="411"/>
      <c r="J37" s="401"/>
      <c r="K37" s="422" t="n">
        <f aca="false">SUM(K34:K36)</f>
        <v>0.424216179001721</v>
      </c>
      <c r="L37" s="411"/>
      <c r="M37" s="402"/>
      <c r="N37" s="423" t="n">
        <f aca="false">SUM(N34:N36)</f>
        <v>0.691926672347678</v>
      </c>
      <c r="O37" s="411"/>
      <c r="P37" s="450"/>
      <c r="Q37" s="451"/>
      <c r="R37" s="426"/>
      <c r="S37" s="419"/>
      <c r="T37" s="452" t="n">
        <f aca="false">SUM(T34:T36)</f>
        <v>0.0654929585399964</v>
      </c>
      <c r="U37" s="411"/>
      <c r="V37" s="419"/>
      <c r="W37" s="420" t="n">
        <f aca="false">SUM(W34:W36)</f>
        <v>0.1526743600229</v>
      </c>
      <c r="X37" s="411"/>
      <c r="Y37" s="411"/>
      <c r="Z37" s="411"/>
      <c r="AB37" s="408" t="s">
        <v>661</v>
      </c>
      <c r="AC37" s="403" t="n">
        <v>0</v>
      </c>
      <c r="AE37" s="312" t="s">
        <v>750</v>
      </c>
      <c r="AH37" s="380" t="s">
        <v>570</v>
      </c>
      <c r="AI37" s="393" t="s">
        <v>751</v>
      </c>
      <c r="AK37" s="445"/>
      <c r="AN37" s="445"/>
      <c r="AQ37" s="434"/>
      <c r="AR37" s="382"/>
    </row>
    <row r="38" customFormat="false" ht="12.75" hidden="false" customHeight="false" outlineLevel="0" collapsed="false">
      <c r="A38" s="428" t="s">
        <v>93</v>
      </c>
      <c r="B38" s="381" t="s">
        <v>752</v>
      </c>
      <c r="C38" s="382"/>
      <c r="D38" s="438" t="s">
        <v>93</v>
      </c>
      <c r="E38" s="420" t="s">
        <v>753</v>
      </c>
      <c r="F38" s="383"/>
      <c r="G38" s="429" t="s">
        <v>642</v>
      </c>
      <c r="H38" s="442" t="s">
        <v>754</v>
      </c>
      <c r="I38" s="382"/>
      <c r="J38" s="386" t="s">
        <v>644</v>
      </c>
      <c r="K38" s="387" t="s">
        <v>682</v>
      </c>
      <c r="L38" s="382"/>
      <c r="M38" s="388" t="s">
        <v>644</v>
      </c>
      <c r="N38" s="389" t="s">
        <v>755</v>
      </c>
      <c r="O38" s="382"/>
      <c r="P38" s="446"/>
      <c r="Q38" s="392"/>
      <c r="R38" s="392"/>
      <c r="S38" s="428" t="s">
        <v>648</v>
      </c>
      <c r="T38" s="433" t="s">
        <v>756</v>
      </c>
      <c r="U38" s="382"/>
      <c r="V38" s="428"/>
      <c r="W38" s="433"/>
      <c r="X38" s="382"/>
      <c r="Y38" s="382"/>
      <c r="Z38" s="382"/>
      <c r="AB38" s="408" t="s">
        <v>119</v>
      </c>
      <c r="AC38" s="403" t="n">
        <f aca="false">0.0022+0.0072</f>
        <v>0.0094</v>
      </c>
      <c r="AE38" s="399" t="s">
        <v>661</v>
      </c>
      <c r="AF38" s="400" t="n">
        <f aca="false">0.0152+0.002</f>
        <v>0.0172</v>
      </c>
      <c r="AH38" s="396" t="s">
        <v>661</v>
      </c>
      <c r="AI38" s="397" t="n">
        <v>0.07</v>
      </c>
      <c r="AK38" s="447"/>
      <c r="AL38" s="444"/>
      <c r="AN38" s="447"/>
      <c r="AO38" s="444"/>
      <c r="AQ38" s="436"/>
      <c r="AR38" s="383"/>
    </row>
    <row r="39" customFormat="false" ht="12.75" hidden="false" customHeight="false" outlineLevel="0" collapsed="false">
      <c r="A39" s="396" t="s">
        <v>661</v>
      </c>
      <c r="B39" s="397" t="n">
        <v>0.032</v>
      </c>
      <c r="C39" s="383"/>
      <c r="D39" s="396" t="s">
        <v>661</v>
      </c>
      <c r="E39" s="398" t="n">
        <v>0.1038</v>
      </c>
      <c r="F39" s="383"/>
      <c r="G39" s="421" t="s">
        <v>661</v>
      </c>
      <c r="H39" s="400" t="n">
        <v>0.1231</v>
      </c>
      <c r="I39" s="383"/>
      <c r="J39" s="401" t="s">
        <v>661</v>
      </c>
      <c r="K39" s="400" t="n">
        <v>0.1071</v>
      </c>
      <c r="L39" s="383"/>
      <c r="M39" s="402" t="s">
        <v>661</v>
      </c>
      <c r="N39" s="403" t="n">
        <v>0.5029</v>
      </c>
      <c r="O39" s="383"/>
      <c r="P39" s="448"/>
      <c r="Q39" s="406"/>
      <c r="R39" s="406"/>
      <c r="S39" s="396" t="s">
        <v>661</v>
      </c>
      <c r="T39" s="407" t="n">
        <v>0.1204</v>
      </c>
      <c r="U39" s="383"/>
      <c r="V39" s="396"/>
      <c r="W39" s="397"/>
      <c r="X39" s="383"/>
      <c r="Y39" s="383"/>
      <c r="Z39" s="383"/>
      <c r="AB39" s="417" t="n">
        <v>0.0058</v>
      </c>
      <c r="AC39" s="414" t="n">
        <f aca="false">+AC3/(1-0.0058)-AC3</f>
        <v>0.0277982297324479</v>
      </c>
      <c r="AE39" s="399" t="s">
        <v>119</v>
      </c>
      <c r="AF39" s="400" t="n">
        <f aca="false">0.0072+0.0022</f>
        <v>0.0094</v>
      </c>
      <c r="AH39" s="396" t="s">
        <v>119</v>
      </c>
      <c r="AI39" s="397" t="n">
        <f aca="false">0.0022+0.0007</f>
        <v>0.0029</v>
      </c>
      <c r="AL39" s="444"/>
      <c r="AO39" s="444"/>
      <c r="AQ39" s="436"/>
      <c r="AR39" s="383"/>
    </row>
    <row r="40" customFormat="false" ht="12.75" hidden="false" customHeight="false" outlineLevel="0" collapsed="false">
      <c r="A40" s="396" t="s">
        <v>119</v>
      </c>
      <c r="B40" s="397" t="n">
        <f aca="false">0.0022+0.0072+0.0131</f>
        <v>0.0225</v>
      </c>
      <c r="C40" s="383"/>
      <c r="D40" s="396" t="s">
        <v>119</v>
      </c>
      <c r="E40" s="398" t="n">
        <f aca="false">0.0072+0.0022+0.0131</f>
        <v>0.0225</v>
      </c>
      <c r="F40" s="409"/>
      <c r="G40" s="421" t="s">
        <v>119</v>
      </c>
      <c r="H40" s="400" t="n">
        <f aca="false">0.0022+0.0072</f>
        <v>0.0094</v>
      </c>
      <c r="I40" s="383"/>
      <c r="J40" s="401" t="s">
        <v>119</v>
      </c>
      <c r="K40" s="400" t="n">
        <f aca="false">0.0022+0.0072</f>
        <v>0.0094</v>
      </c>
      <c r="L40" s="383"/>
      <c r="M40" s="402" t="s">
        <v>119</v>
      </c>
      <c r="N40" s="403" t="n">
        <f aca="false">0.0022+0.0072</f>
        <v>0.0094</v>
      </c>
      <c r="O40" s="383"/>
      <c r="P40" s="448"/>
      <c r="Q40" s="406"/>
      <c r="R40" s="406"/>
      <c r="S40" s="396" t="s">
        <v>119</v>
      </c>
      <c r="T40" s="407" t="n">
        <v>0.0022</v>
      </c>
      <c r="U40" s="383"/>
      <c r="V40" s="396"/>
      <c r="W40" s="397"/>
      <c r="X40" s="383"/>
      <c r="Y40" s="383"/>
      <c r="Z40" s="383"/>
      <c r="AB40" s="427"/>
      <c r="AC40" s="423" t="n">
        <f aca="false">SUM(AC37:AC39)</f>
        <v>0.0371982297324479</v>
      </c>
      <c r="AE40" s="399" t="s">
        <v>674</v>
      </c>
      <c r="AF40" s="413" t="n">
        <v>0</v>
      </c>
      <c r="AH40" s="396" t="s">
        <v>672</v>
      </c>
      <c r="AI40" s="410" t="n">
        <f aca="false">+AI3/(1-0.001)-AI3</f>
        <v>0.00458458458458466</v>
      </c>
      <c r="AL40" s="444"/>
      <c r="AO40" s="444"/>
      <c r="AQ40" s="436"/>
      <c r="AR40" s="409"/>
    </row>
    <row r="41" customFormat="false" ht="12.75" hidden="false" customHeight="false" outlineLevel="0" collapsed="false">
      <c r="A41" s="396" t="s">
        <v>757</v>
      </c>
      <c r="B41" s="410" t="n">
        <f aca="false">B6/(1-0.0553)-B6</f>
        <v>0.27336826505769</v>
      </c>
      <c r="C41" s="409"/>
      <c r="D41" s="396" t="s">
        <v>758</v>
      </c>
      <c r="E41" s="410" t="n">
        <f aca="false">E5/(1-0.0091)-E5</f>
        <v>0.0431627813099205</v>
      </c>
      <c r="F41" s="411"/>
      <c r="G41" s="421" t="s">
        <v>759</v>
      </c>
      <c r="H41" s="412" t="n">
        <f aca="false">(H3)/(1-0.0672)-H3</f>
        <v>0.310137221269297</v>
      </c>
      <c r="I41" s="409"/>
      <c r="J41" s="401" t="s">
        <v>698</v>
      </c>
      <c r="K41" s="413" t="n">
        <f aca="false">(K5)/(1-0.0797)-K5</f>
        <v>0.368925350429207</v>
      </c>
      <c r="L41" s="409"/>
      <c r="M41" s="402" t="s">
        <v>760</v>
      </c>
      <c r="N41" s="414" t="n">
        <f aca="false">(N3)/(1-0.0705)-N3</f>
        <v>0.330693921463152</v>
      </c>
      <c r="O41" s="409"/>
      <c r="P41" s="448"/>
      <c r="Q41" s="416"/>
      <c r="R41" s="416"/>
      <c r="S41" s="396" t="s">
        <v>720</v>
      </c>
      <c r="T41" s="410" t="n">
        <f aca="false">T4/(1-0.0282)-T4</f>
        <v>0.129421691706113</v>
      </c>
      <c r="U41" s="409"/>
      <c r="V41" s="396"/>
      <c r="W41" s="410"/>
      <c r="X41" s="409"/>
      <c r="Y41" s="409"/>
      <c r="Z41" s="409"/>
      <c r="AE41" s="421"/>
      <c r="AF41" s="422" t="n">
        <f aca="false">SUM(AF38:AF40)</f>
        <v>0.0266</v>
      </c>
      <c r="AH41" s="419"/>
      <c r="AI41" s="420" t="n">
        <f aca="false">SUM(AI38:AI40)</f>
        <v>0.0774845845845847</v>
      </c>
      <c r="AQ41" s="73"/>
      <c r="AR41" s="411"/>
    </row>
    <row r="42" customFormat="false" ht="12.75" hidden="false" customHeight="false" outlineLevel="0" collapsed="false">
      <c r="A42" s="419"/>
      <c r="B42" s="420" t="n">
        <f aca="false">SUM(B39:B41)</f>
        <v>0.32786826505769</v>
      </c>
      <c r="C42" s="411"/>
      <c r="D42" s="396"/>
      <c r="E42" s="420" t="n">
        <f aca="false">SUM(E39:E41)</f>
        <v>0.16946278130992</v>
      </c>
      <c r="F42" s="382"/>
      <c r="G42" s="421"/>
      <c r="H42" s="422" t="n">
        <f aca="false">SUM(H39:H41)</f>
        <v>0.442637221269297</v>
      </c>
      <c r="I42" s="411"/>
      <c r="J42" s="401"/>
      <c r="K42" s="422" t="n">
        <f aca="false">SUM(K39:K41)</f>
        <v>0.485425350429207</v>
      </c>
      <c r="L42" s="411"/>
      <c r="M42" s="402"/>
      <c r="N42" s="423" t="n">
        <f aca="false">SUM(N39:N41)</f>
        <v>0.842993921463152</v>
      </c>
      <c r="O42" s="411"/>
      <c r="P42" s="450"/>
      <c r="Q42" s="426"/>
      <c r="R42" s="426"/>
      <c r="S42" s="419"/>
      <c r="T42" s="420" t="n">
        <f aca="false">SUM(T39:T41)</f>
        <v>0.252021691706113</v>
      </c>
      <c r="U42" s="411"/>
      <c r="V42" s="419"/>
      <c r="W42" s="420"/>
      <c r="X42" s="411"/>
      <c r="Y42" s="411"/>
      <c r="Z42" s="411"/>
      <c r="AI42" s="453" t="n">
        <f aca="false">+AI41+AI3</f>
        <v>4.65748458458458</v>
      </c>
      <c r="AK42" s="445"/>
      <c r="AN42" s="445"/>
      <c r="AQ42" s="73"/>
      <c r="AR42" s="454"/>
    </row>
    <row r="43" customFormat="false" ht="12.75" hidden="false" customHeight="false" outlineLevel="0" collapsed="false">
      <c r="A43" s="428" t="s">
        <v>93</v>
      </c>
      <c r="B43" s="381" t="s">
        <v>761</v>
      </c>
      <c r="C43" s="382"/>
      <c r="D43" s="27" t="s">
        <v>93</v>
      </c>
      <c r="E43" s="27" t="s">
        <v>762</v>
      </c>
      <c r="F43" s="383"/>
      <c r="G43" s="429" t="s">
        <v>642</v>
      </c>
      <c r="H43" s="442" t="s">
        <v>763</v>
      </c>
      <c r="I43" s="382"/>
      <c r="J43" s="386" t="s">
        <v>644</v>
      </c>
      <c r="K43" s="387" t="s">
        <v>764</v>
      </c>
      <c r="L43" s="382"/>
      <c r="M43" s="388" t="s">
        <v>644</v>
      </c>
      <c r="N43" s="389" t="s">
        <v>765</v>
      </c>
      <c r="O43" s="382"/>
      <c r="P43" s="392"/>
      <c r="Q43" s="392"/>
      <c r="R43" s="392"/>
      <c r="S43" s="382"/>
      <c r="T43" s="382"/>
      <c r="U43" s="382"/>
      <c r="V43" s="382"/>
      <c r="W43" s="382"/>
      <c r="X43" s="382"/>
      <c r="Y43" s="455"/>
      <c r="Z43" s="455"/>
      <c r="AH43" s="27" t="s">
        <v>766</v>
      </c>
      <c r="AK43" s="447"/>
      <c r="AL43" s="444"/>
      <c r="AN43" s="447"/>
      <c r="AO43" s="444"/>
    </row>
    <row r="44" customFormat="false" ht="12.75" hidden="false" customHeight="false" outlineLevel="0" collapsed="false">
      <c r="A44" s="396" t="s">
        <v>661</v>
      </c>
      <c r="B44" s="397" t="n">
        <v>0.003</v>
      </c>
      <c r="C44" s="383"/>
      <c r="D44" s="396" t="s">
        <v>661</v>
      </c>
      <c r="E44" s="398" t="n">
        <v>0.2306</v>
      </c>
      <c r="F44" s="383"/>
      <c r="G44" s="421" t="s">
        <v>661</v>
      </c>
      <c r="H44" s="400" t="n">
        <v>0.1608</v>
      </c>
      <c r="I44" s="383"/>
      <c r="J44" s="401" t="s">
        <v>661</v>
      </c>
      <c r="K44" s="400" t="n">
        <v>0.0147</v>
      </c>
      <c r="L44" s="383"/>
      <c r="M44" s="402" t="s">
        <v>661</v>
      </c>
      <c r="N44" s="403" t="n">
        <v>0.3138</v>
      </c>
      <c r="O44" s="383"/>
      <c r="P44" s="446"/>
      <c r="Q44" s="392"/>
      <c r="R44" s="406"/>
      <c r="S44" s="428" t="s">
        <v>648</v>
      </c>
      <c r="T44" s="433" t="s">
        <v>767</v>
      </c>
      <c r="U44" s="383"/>
      <c r="V44" s="428"/>
      <c r="W44" s="433"/>
      <c r="X44" s="383"/>
      <c r="Y44" s="383"/>
      <c r="Z44" s="383"/>
      <c r="AL44" s="444"/>
      <c r="AO44" s="444"/>
    </row>
    <row r="45" customFormat="false" ht="12.75" hidden="false" customHeight="false" outlineLevel="0" collapsed="false">
      <c r="A45" s="396" t="s">
        <v>119</v>
      </c>
      <c r="B45" s="397" t="n">
        <f aca="false">0.0022+0.0072+0.0131</f>
        <v>0.0225</v>
      </c>
      <c r="C45" s="383"/>
      <c r="D45" s="396" t="s">
        <v>119</v>
      </c>
      <c r="E45" s="398" t="n">
        <f aca="false">0.0072+0.0022+0.0131</f>
        <v>0.0225</v>
      </c>
      <c r="F45" s="409"/>
      <c r="G45" s="421" t="s">
        <v>119</v>
      </c>
      <c r="H45" s="400" t="n">
        <f aca="false">0.0022+0.0072</f>
        <v>0.0094</v>
      </c>
      <c r="I45" s="383"/>
      <c r="J45" s="401" t="s">
        <v>119</v>
      </c>
      <c r="K45" s="400" t="n">
        <f aca="false">0.0022</f>
        <v>0.0022</v>
      </c>
      <c r="L45" s="383"/>
      <c r="M45" s="402" t="s">
        <v>119</v>
      </c>
      <c r="N45" s="403" t="n">
        <f aca="false">0.0022+0.0072</f>
        <v>0.0094</v>
      </c>
      <c r="O45" s="383"/>
      <c r="P45" s="448"/>
      <c r="Q45" s="406"/>
      <c r="R45" s="406"/>
      <c r="S45" s="396" t="s">
        <v>661</v>
      </c>
      <c r="T45" s="397" t="n">
        <v>0.03</v>
      </c>
      <c r="U45" s="383"/>
      <c r="V45" s="396"/>
      <c r="W45" s="397"/>
      <c r="X45" s="383"/>
      <c r="Y45" s="383"/>
      <c r="Z45" s="383"/>
      <c r="AH45" s="445" t="n">
        <v>36678</v>
      </c>
      <c r="AL45" s="444"/>
      <c r="AO45" s="444"/>
      <c r="AQ45" s="445"/>
    </row>
    <row r="46" customFormat="false" ht="12.75" hidden="false" customHeight="false" outlineLevel="0" collapsed="false">
      <c r="A46" s="396" t="s">
        <v>747</v>
      </c>
      <c r="B46" s="410" t="n">
        <f aca="false">B4/(1-0.0046)-B4</f>
        <v>0.02121157323689</v>
      </c>
      <c r="C46" s="409"/>
      <c r="D46" s="396" t="s">
        <v>768</v>
      </c>
      <c r="E46" s="410" t="n">
        <f aca="false">(E5)/(1-0.0281)-E5</f>
        <v>0.135888465891552</v>
      </c>
      <c r="F46" s="411"/>
      <c r="G46" s="421" t="s">
        <v>769</v>
      </c>
      <c r="H46" s="412" t="n">
        <f aca="false">(H3)/(1-0.0742)-H3</f>
        <v>0.345032404406999</v>
      </c>
      <c r="I46" s="409"/>
      <c r="J46" s="401" t="s">
        <v>770</v>
      </c>
      <c r="K46" s="413" t="n">
        <f aca="false">(K4)/(1-0.0191)-K4</f>
        <v>0.0846054643694565</v>
      </c>
      <c r="L46" s="409"/>
      <c r="M46" s="402" t="s">
        <v>771</v>
      </c>
      <c r="N46" s="414" t="n">
        <f aca="false">(N6)/(1-0.0372)-(N6)</f>
        <v>0.171936019941836</v>
      </c>
      <c r="O46" s="409"/>
      <c r="P46" s="448"/>
      <c r="Q46" s="406"/>
      <c r="R46" s="416"/>
      <c r="S46" s="396" t="s">
        <v>119</v>
      </c>
      <c r="T46" s="397" t="n">
        <v>0.0022</v>
      </c>
      <c r="U46" s="409"/>
      <c r="V46" s="396"/>
      <c r="W46" s="397"/>
      <c r="X46" s="409"/>
      <c r="Y46" s="409"/>
      <c r="Z46" s="409"/>
      <c r="AH46" s="447" t="s">
        <v>772</v>
      </c>
      <c r="AI46" s="444" t="n">
        <v>0.0001</v>
      </c>
      <c r="AQ46" s="447"/>
      <c r="AR46" s="444"/>
    </row>
    <row r="47" customFormat="false" ht="12.75" hidden="false" customHeight="false" outlineLevel="0" collapsed="false">
      <c r="A47" s="419"/>
      <c r="B47" s="420" t="n">
        <f aca="false">SUM(B44:B46)</f>
        <v>0.04671157323689</v>
      </c>
      <c r="C47" s="411"/>
      <c r="D47" s="396"/>
      <c r="E47" s="420" t="n">
        <f aca="false">SUM(E44:E46)</f>
        <v>0.388988465891552</v>
      </c>
      <c r="F47" s="455"/>
      <c r="G47" s="421"/>
      <c r="H47" s="422" t="n">
        <f aca="false">SUM(H44:H46)</f>
        <v>0.515232404406999</v>
      </c>
      <c r="I47" s="411"/>
      <c r="J47" s="401"/>
      <c r="K47" s="422" t="n">
        <f aca="false">SUM(K44:K46)</f>
        <v>0.101505464369456</v>
      </c>
      <c r="L47" s="411"/>
      <c r="M47" s="402"/>
      <c r="N47" s="423" t="n">
        <f aca="false">SUM(N44:N46)</f>
        <v>0.495136019941836</v>
      </c>
      <c r="O47" s="411"/>
      <c r="P47" s="448"/>
      <c r="Q47" s="416"/>
      <c r="R47" s="426"/>
      <c r="S47" s="396" t="s">
        <v>699</v>
      </c>
      <c r="T47" s="410" t="n">
        <f aca="false">T3/(1-0.00603)-T3</f>
        <v>0.0266929585399964</v>
      </c>
      <c r="U47" s="411"/>
      <c r="V47" s="396"/>
      <c r="W47" s="410"/>
      <c r="X47" s="411"/>
      <c r="Y47" s="411"/>
      <c r="Z47" s="411"/>
      <c r="AH47" s="27" t="s">
        <v>773</v>
      </c>
      <c r="AI47" s="444" t="n">
        <v>0.0002</v>
      </c>
      <c r="AK47" s="445"/>
      <c r="AN47" s="445"/>
      <c r="AR47" s="444"/>
    </row>
    <row r="48" customFormat="false" ht="12.75" hidden="false" customHeight="false" outlineLevel="0" collapsed="false">
      <c r="A48" s="382" t="s">
        <v>93</v>
      </c>
      <c r="B48" s="381" t="s">
        <v>774</v>
      </c>
      <c r="C48" s="382"/>
      <c r="D48" s="438" t="s">
        <v>93</v>
      </c>
      <c r="E48" s="420" t="s">
        <v>775</v>
      </c>
      <c r="F48" s="383"/>
      <c r="G48" s="429" t="s">
        <v>642</v>
      </c>
      <c r="H48" s="430" t="s">
        <v>776</v>
      </c>
      <c r="I48" s="455"/>
      <c r="J48" s="386" t="s">
        <v>644</v>
      </c>
      <c r="K48" s="387" t="s">
        <v>777</v>
      </c>
      <c r="L48" s="455"/>
      <c r="M48" s="388" t="s">
        <v>644</v>
      </c>
      <c r="N48" s="389" t="s">
        <v>778</v>
      </c>
      <c r="O48" s="455"/>
      <c r="P48" s="450"/>
      <c r="Q48" s="426"/>
      <c r="R48" s="392"/>
      <c r="S48" s="419"/>
      <c r="T48" s="420" t="n">
        <f aca="false">SUM(T45:T47)</f>
        <v>0.0588929585399964</v>
      </c>
      <c r="U48" s="382"/>
      <c r="V48" s="419"/>
      <c r="W48" s="420"/>
      <c r="X48" s="382"/>
      <c r="Y48" s="455"/>
      <c r="Z48" s="455"/>
      <c r="AH48" s="27" t="s">
        <v>779</v>
      </c>
      <c r="AI48" s="444" t="n">
        <v>0.0001</v>
      </c>
      <c r="AK48" s="447"/>
      <c r="AL48" s="444"/>
      <c r="AN48" s="447"/>
      <c r="AO48" s="444"/>
      <c r="AR48" s="444"/>
    </row>
    <row r="49" customFormat="false" ht="12.75" hidden="false" customHeight="false" outlineLevel="0" collapsed="false">
      <c r="A49" s="428" t="s">
        <v>661</v>
      </c>
      <c r="B49" s="397" t="n">
        <v>0.0055</v>
      </c>
      <c r="C49" s="383"/>
      <c r="D49" s="396" t="s">
        <v>661</v>
      </c>
      <c r="E49" s="398" t="n">
        <v>0.0792</v>
      </c>
      <c r="F49" s="383"/>
      <c r="G49" s="399" t="s">
        <v>661</v>
      </c>
      <c r="H49" s="400" t="n">
        <v>0.0286</v>
      </c>
      <c r="I49" s="383"/>
      <c r="J49" s="401" t="s">
        <v>661</v>
      </c>
      <c r="K49" s="400" t="n">
        <v>0.0195</v>
      </c>
      <c r="L49" s="383"/>
      <c r="M49" s="402" t="s">
        <v>661</v>
      </c>
      <c r="N49" s="403" t="n">
        <v>0.4184</v>
      </c>
      <c r="O49" s="383"/>
      <c r="P49" s="450"/>
      <c r="Q49" s="426"/>
      <c r="R49" s="406"/>
      <c r="S49" s="419"/>
      <c r="T49" s="420"/>
      <c r="U49" s="383"/>
      <c r="V49" s="419"/>
      <c r="W49" s="420"/>
      <c r="X49" s="383"/>
      <c r="Y49" s="383"/>
      <c r="Z49" s="383"/>
      <c r="AL49" s="444"/>
      <c r="AO49" s="444"/>
      <c r="AR49" s="444"/>
    </row>
    <row r="50" customFormat="false" ht="12.75" hidden="false" customHeight="false" outlineLevel="0" collapsed="false">
      <c r="A50" s="396" t="s">
        <v>119</v>
      </c>
      <c r="B50" s="397" t="n">
        <v>0.0022</v>
      </c>
      <c r="C50" s="383"/>
      <c r="D50" s="396" t="s">
        <v>119</v>
      </c>
      <c r="E50" s="398" t="n">
        <f aca="false">0.0072+0.0022+0.0131</f>
        <v>0.0225</v>
      </c>
      <c r="F50" s="409"/>
      <c r="G50" s="399" t="s">
        <v>119</v>
      </c>
      <c r="H50" s="400" t="n">
        <f aca="false">0.0022+0.0072+0.0225</f>
        <v>0.0319</v>
      </c>
      <c r="I50" s="383"/>
      <c r="J50" s="401" t="s">
        <v>119</v>
      </c>
      <c r="K50" s="400" t="n">
        <f aca="false">0.0022+0.0072</f>
        <v>0.0094</v>
      </c>
      <c r="L50" s="383"/>
      <c r="M50" s="402" t="s">
        <v>119</v>
      </c>
      <c r="N50" s="403" t="n">
        <f aca="false">0.0022+0.0072</f>
        <v>0.0094</v>
      </c>
      <c r="O50" s="383"/>
      <c r="P50" s="446"/>
      <c r="Q50" s="392"/>
      <c r="R50" s="406"/>
      <c r="S50" s="428" t="s">
        <v>648</v>
      </c>
      <c r="T50" s="433" t="s">
        <v>780</v>
      </c>
      <c r="U50" s="383"/>
      <c r="V50" s="428"/>
      <c r="W50" s="433"/>
      <c r="X50" s="383"/>
      <c r="Y50" s="383"/>
      <c r="Z50" s="383"/>
      <c r="AH50" s="445" t="n">
        <v>36647</v>
      </c>
      <c r="AL50" s="444"/>
      <c r="AO50" s="444"/>
      <c r="AQ50" s="445"/>
    </row>
    <row r="51" customFormat="false" ht="12.75" hidden="false" customHeight="false" outlineLevel="0" collapsed="false">
      <c r="A51" s="396" t="s">
        <v>781</v>
      </c>
      <c r="B51" s="410" t="n">
        <f aca="false">B5/(1-0.0091)-B5</f>
        <v>0.0431627813099205</v>
      </c>
      <c r="C51" s="409"/>
      <c r="D51" s="396" t="s">
        <v>782</v>
      </c>
      <c r="E51" s="410" t="n">
        <f aca="false">(E4)/(1-0.0045)-E4</f>
        <v>0.0207483676544449</v>
      </c>
      <c r="F51" s="411"/>
      <c r="G51" s="399" t="s">
        <v>783</v>
      </c>
      <c r="H51" s="456" t="n">
        <f aca="false">(H4)/(1-0.0095)-H4</f>
        <v>0.0416254416961133</v>
      </c>
      <c r="I51" s="409"/>
      <c r="J51" s="401" t="s">
        <v>701</v>
      </c>
      <c r="K51" s="413" t="n">
        <f aca="false">(K4)/(1-0.0268)-K4</f>
        <v>0.11965269214961</v>
      </c>
      <c r="L51" s="409"/>
      <c r="M51" s="402" t="s">
        <v>784</v>
      </c>
      <c r="N51" s="414" t="n">
        <f aca="false">(N6)/(1-0.0465)-(N6)</f>
        <v>0.217016255899318</v>
      </c>
      <c r="O51" s="409"/>
      <c r="P51" s="448"/>
      <c r="Q51" s="406"/>
      <c r="R51" s="416"/>
      <c r="S51" s="396" t="s">
        <v>661</v>
      </c>
      <c r="T51" s="397" t="n">
        <v>0.03</v>
      </c>
      <c r="U51" s="409"/>
      <c r="V51" s="396"/>
      <c r="W51" s="397"/>
      <c r="X51" s="409"/>
      <c r="Y51" s="409"/>
      <c r="Z51" s="409"/>
      <c r="AH51" s="447" t="s">
        <v>772</v>
      </c>
      <c r="AI51" s="444" t="n">
        <v>0</v>
      </c>
      <c r="AQ51" s="447"/>
      <c r="AR51" s="444"/>
    </row>
    <row r="52" customFormat="false" ht="12.75" hidden="false" customHeight="false" outlineLevel="0" collapsed="false">
      <c r="A52" s="396"/>
      <c r="B52" s="420" t="n">
        <f aca="false">SUM(B49:B51)</f>
        <v>0.0508627813099205</v>
      </c>
      <c r="C52" s="411"/>
      <c r="D52" s="396"/>
      <c r="E52" s="420" t="n">
        <f aca="false">SUM(E49:E51)</f>
        <v>0.122448367654445</v>
      </c>
      <c r="F52" s="455"/>
      <c r="G52" s="421"/>
      <c r="H52" s="422" t="n">
        <f aca="false">SUM(H49:H51)</f>
        <v>0.102125441696113</v>
      </c>
      <c r="I52" s="411"/>
      <c r="J52" s="401"/>
      <c r="K52" s="422" t="n">
        <f aca="false">SUM(K49:K51)</f>
        <v>0.14855269214961</v>
      </c>
      <c r="L52" s="411"/>
      <c r="M52" s="402"/>
      <c r="N52" s="423" t="n">
        <f aca="false">SUM(N49:N51)</f>
        <v>0.644816255899318</v>
      </c>
      <c r="O52" s="411"/>
      <c r="P52" s="448"/>
      <c r="Q52" s="406"/>
      <c r="R52" s="426"/>
      <c r="S52" s="396" t="s">
        <v>119</v>
      </c>
      <c r="T52" s="397" t="n">
        <v>0.0022</v>
      </c>
      <c r="U52" s="411"/>
      <c r="V52" s="396"/>
      <c r="W52" s="397"/>
      <c r="X52" s="411"/>
      <c r="Y52" s="411"/>
      <c r="Z52" s="411"/>
      <c r="AH52" s="27" t="s">
        <v>773</v>
      </c>
      <c r="AI52" s="444" t="n">
        <v>0</v>
      </c>
      <c r="AR52" s="444"/>
    </row>
    <row r="53" customFormat="false" ht="12.75" hidden="false" customHeight="false" outlineLevel="0" collapsed="false">
      <c r="A53" s="419" t="s">
        <v>93</v>
      </c>
      <c r="B53" s="381" t="s">
        <v>785</v>
      </c>
      <c r="C53" s="455"/>
      <c r="D53" s="27" t="s">
        <v>93</v>
      </c>
      <c r="E53" s="27" t="s">
        <v>786</v>
      </c>
      <c r="F53" s="383"/>
      <c r="G53" s="429" t="s">
        <v>642</v>
      </c>
      <c r="H53" s="430" t="s">
        <v>787</v>
      </c>
      <c r="I53" s="455"/>
      <c r="J53" s="386" t="s">
        <v>644</v>
      </c>
      <c r="K53" s="387" t="s">
        <v>788</v>
      </c>
      <c r="L53" s="455"/>
      <c r="M53" s="388" t="s">
        <v>644</v>
      </c>
      <c r="N53" s="423" t="s">
        <v>789</v>
      </c>
      <c r="O53" s="455"/>
      <c r="P53" s="448"/>
      <c r="Q53" s="416"/>
      <c r="R53" s="457"/>
      <c r="S53" s="396" t="s">
        <v>720</v>
      </c>
      <c r="T53" s="410" t="n">
        <f aca="false">T4/(1-0.0282)-T4</f>
        <v>0.129421691706113</v>
      </c>
      <c r="U53" s="455"/>
      <c r="V53" s="396"/>
      <c r="W53" s="410"/>
      <c r="X53" s="455"/>
      <c r="Y53" s="382"/>
      <c r="Z53" s="382"/>
      <c r="AH53" s="27" t="s">
        <v>779</v>
      </c>
      <c r="AI53" s="444" t="n">
        <v>0</v>
      </c>
      <c r="AR53" s="444"/>
    </row>
    <row r="54" customFormat="false" ht="12.75" hidden="false" customHeight="false" outlineLevel="0" collapsed="false">
      <c r="A54" s="419" t="s">
        <v>661</v>
      </c>
      <c r="B54" s="397" t="n">
        <v>0.0166</v>
      </c>
      <c r="C54" s="383"/>
      <c r="D54" s="396" t="s">
        <v>661</v>
      </c>
      <c r="E54" s="398" t="n">
        <v>0.206</v>
      </c>
      <c r="F54" s="383"/>
      <c r="G54" s="399" t="s">
        <v>661</v>
      </c>
      <c r="H54" s="400" t="n">
        <v>0.0572</v>
      </c>
      <c r="I54" s="383"/>
      <c r="J54" s="401" t="s">
        <v>661</v>
      </c>
      <c r="K54" s="400" t="n">
        <v>0.0667</v>
      </c>
      <c r="L54" s="383"/>
      <c r="M54" s="402" t="s">
        <v>661</v>
      </c>
      <c r="N54" s="458" t="n">
        <v>0.3439</v>
      </c>
      <c r="O54" s="383"/>
      <c r="P54" s="450"/>
      <c r="Q54" s="426"/>
      <c r="R54" s="406"/>
      <c r="S54" s="419"/>
      <c r="T54" s="420" t="n">
        <f aca="false">SUM(T51:T53)</f>
        <v>0.161621691706113</v>
      </c>
      <c r="U54" s="383"/>
      <c r="V54" s="419"/>
      <c r="W54" s="420"/>
      <c r="X54" s="383"/>
      <c r="Y54" s="383"/>
      <c r="Z54" s="383"/>
      <c r="AR54" s="444"/>
    </row>
    <row r="55" customFormat="false" ht="12.75" hidden="false" customHeight="false" outlineLevel="0" collapsed="false">
      <c r="A55" s="428" t="s">
        <v>119</v>
      </c>
      <c r="B55" s="397" t="n">
        <f aca="false">0.0022+0.0072+0.0131</f>
        <v>0.0225</v>
      </c>
      <c r="C55" s="383"/>
      <c r="D55" s="396" t="s">
        <v>119</v>
      </c>
      <c r="E55" s="398" t="n">
        <f aca="false">0.0072+0.0022+0.0131</f>
        <v>0.0225</v>
      </c>
      <c r="F55" s="409"/>
      <c r="G55" s="399" t="s">
        <v>119</v>
      </c>
      <c r="H55" s="400" t="n">
        <f aca="false">0.0022+0.0072+0.0225</f>
        <v>0.0319</v>
      </c>
      <c r="I55" s="383"/>
      <c r="J55" s="401" t="s">
        <v>119</v>
      </c>
      <c r="K55" s="400" t="n">
        <f aca="false">0.0022+0.0072</f>
        <v>0.0094</v>
      </c>
      <c r="L55" s="383"/>
      <c r="M55" s="402" t="s">
        <v>119</v>
      </c>
      <c r="N55" s="403" t="n">
        <f aca="false">0.0022+0.0072</f>
        <v>0.0094</v>
      </c>
      <c r="O55" s="383"/>
      <c r="P55" s="392"/>
      <c r="Q55" s="426"/>
      <c r="R55" s="406"/>
      <c r="S55" s="382"/>
      <c r="T55" s="411" t="n">
        <f aca="false">+T54+T48</f>
        <v>0.220514650246109</v>
      </c>
      <c r="U55" s="383"/>
      <c r="V55" s="382"/>
      <c r="W55" s="411"/>
      <c r="X55" s="383"/>
      <c r="Y55" s="383"/>
      <c r="Z55" s="383"/>
      <c r="AH55" s="445" t="n">
        <v>36617</v>
      </c>
      <c r="AQ55" s="445"/>
    </row>
    <row r="56" customFormat="false" ht="12.75" hidden="false" customHeight="false" outlineLevel="0" collapsed="false">
      <c r="A56" s="396" t="s">
        <v>768</v>
      </c>
      <c r="B56" s="410" t="n">
        <f aca="false">B$5/(1-0.0281)-B$5</f>
        <v>0.135888465891552</v>
      </c>
      <c r="C56" s="409"/>
      <c r="D56" s="396" t="s">
        <v>790</v>
      </c>
      <c r="E56" s="410" t="n">
        <f aca="false">(E4)/(1-0.0235)-E4</f>
        <v>0.110460829493087</v>
      </c>
      <c r="F56" s="411"/>
      <c r="G56" s="399" t="s">
        <v>791</v>
      </c>
      <c r="H56" s="456" t="n">
        <f aca="false">(H4)/(1-0.017)-H4</f>
        <v>0.0750559511698885</v>
      </c>
      <c r="I56" s="409"/>
      <c r="J56" s="401" t="s">
        <v>792</v>
      </c>
      <c r="K56" s="413" t="n">
        <f aca="false">(K4)/(1-0.05)-K4</f>
        <v>0.228684210526316</v>
      </c>
      <c r="L56" s="409"/>
      <c r="M56" s="402" t="s">
        <v>793</v>
      </c>
      <c r="N56" s="414" t="n">
        <f aca="false">(N6)/(1-0.0399)-N6</f>
        <v>0.18493386105614</v>
      </c>
      <c r="O56" s="409"/>
      <c r="P56" s="446"/>
      <c r="Q56" s="392"/>
      <c r="R56" s="416"/>
      <c r="S56" s="380" t="s">
        <v>1</v>
      </c>
      <c r="T56" s="393" t="s">
        <v>1</v>
      </c>
      <c r="U56" s="409"/>
      <c r="V56" s="380"/>
      <c r="W56" s="393"/>
      <c r="X56" s="409"/>
      <c r="Y56" s="409"/>
      <c r="Z56" s="409"/>
      <c r="AH56" s="447" t="s">
        <v>772</v>
      </c>
      <c r="AI56" s="444" t="n">
        <v>0.004</v>
      </c>
      <c r="AQ56" s="447"/>
      <c r="AR56" s="444"/>
    </row>
    <row r="57" customFormat="false" ht="12.75" hidden="false" customHeight="false" outlineLevel="0" collapsed="false">
      <c r="A57" s="396"/>
      <c r="B57" s="420" t="n">
        <f aca="false">SUM(B54:B56)</f>
        <v>0.174988465891552</v>
      </c>
      <c r="C57" s="411"/>
      <c r="D57" s="396"/>
      <c r="E57" s="420" t="n">
        <f aca="false">SUM(E54:E56)</f>
        <v>0.338960829493087</v>
      </c>
      <c r="F57" s="382"/>
      <c r="G57" s="421"/>
      <c r="H57" s="422" t="n">
        <f aca="false">SUM(H54:H56)</f>
        <v>0.164155951169889</v>
      </c>
      <c r="I57" s="411"/>
      <c r="J57" s="401"/>
      <c r="K57" s="422" t="n">
        <f aca="false">SUM(K54:K56)</f>
        <v>0.304784210526316</v>
      </c>
      <c r="L57" s="411"/>
      <c r="M57" s="402"/>
      <c r="N57" s="423" t="n">
        <f aca="false">SUM(N54:N56)</f>
        <v>0.53823386105614</v>
      </c>
      <c r="O57" s="411"/>
      <c r="P57" s="448"/>
      <c r="Q57" s="406"/>
      <c r="R57" s="426"/>
      <c r="S57" s="396"/>
      <c r="T57" s="397" t="s">
        <v>1</v>
      </c>
      <c r="U57" s="411"/>
      <c r="V57" s="396"/>
      <c r="W57" s="397"/>
      <c r="X57" s="411"/>
      <c r="Y57" s="411"/>
      <c r="Z57" s="411"/>
      <c r="AH57" s="27" t="s">
        <v>773</v>
      </c>
      <c r="AI57" s="444" t="n">
        <v>0.008</v>
      </c>
      <c r="AR57" s="444"/>
    </row>
    <row r="58" customFormat="false" ht="12.75" hidden="false" customHeight="false" outlineLevel="0" collapsed="false">
      <c r="A58" s="419" t="s">
        <v>93</v>
      </c>
      <c r="B58" s="381" t="s">
        <v>794</v>
      </c>
      <c r="C58" s="455"/>
      <c r="D58" s="27" t="s">
        <v>93</v>
      </c>
      <c r="E58" s="27" t="s">
        <v>795</v>
      </c>
      <c r="F58" s="383"/>
      <c r="G58" s="429" t="s">
        <v>642</v>
      </c>
      <c r="H58" s="430" t="s">
        <v>796</v>
      </c>
      <c r="I58" s="382"/>
      <c r="J58" s="386" t="s">
        <v>644</v>
      </c>
      <c r="K58" s="387" t="s">
        <v>707</v>
      </c>
      <c r="L58" s="382"/>
      <c r="M58" s="388" t="s">
        <v>644</v>
      </c>
      <c r="N58" s="423" t="s">
        <v>797</v>
      </c>
      <c r="O58" s="382"/>
      <c r="P58" s="448"/>
      <c r="Q58" s="406"/>
      <c r="R58" s="457"/>
      <c r="S58" s="396"/>
      <c r="T58" s="397"/>
      <c r="U58" s="455"/>
      <c r="V58" s="396"/>
      <c r="W58" s="397"/>
      <c r="X58" s="455"/>
      <c r="Y58" s="382"/>
      <c r="Z58" s="382"/>
      <c r="AH58" s="27" t="s">
        <v>779</v>
      </c>
      <c r="AI58" s="444" t="n">
        <v>0.004</v>
      </c>
      <c r="AR58" s="444"/>
    </row>
    <row r="59" customFormat="false" ht="12.75" hidden="false" customHeight="false" outlineLevel="0" collapsed="false">
      <c r="A59" s="419" t="s">
        <v>661</v>
      </c>
      <c r="B59" s="397" t="n">
        <v>0.0254</v>
      </c>
      <c r="C59" s="383"/>
      <c r="D59" s="396" t="s">
        <v>661</v>
      </c>
      <c r="E59" s="398" t="n">
        <v>0.3528</v>
      </c>
      <c r="F59" s="383"/>
      <c r="G59" s="399" t="s">
        <v>661</v>
      </c>
      <c r="H59" s="400" t="n">
        <v>0.0776</v>
      </c>
      <c r="I59" s="383"/>
      <c r="J59" s="401" t="s">
        <v>661</v>
      </c>
      <c r="K59" s="400" t="n">
        <v>0.0881</v>
      </c>
      <c r="L59" s="383"/>
      <c r="M59" s="402" t="s">
        <v>661</v>
      </c>
      <c r="N59" s="458" t="n">
        <v>0.1908</v>
      </c>
      <c r="O59" s="383"/>
      <c r="P59" s="448"/>
      <c r="Q59" s="416"/>
      <c r="R59" s="406"/>
      <c r="S59" s="396"/>
      <c r="T59" s="410"/>
      <c r="U59" s="383"/>
      <c r="V59" s="396"/>
      <c r="W59" s="410"/>
      <c r="X59" s="383"/>
      <c r="Y59" s="383"/>
      <c r="Z59" s="383"/>
      <c r="AI59" s="444"/>
      <c r="AR59" s="444"/>
    </row>
    <row r="60" customFormat="false" ht="12.75" hidden="false" customHeight="false" outlineLevel="0" collapsed="false">
      <c r="A60" s="428" t="s">
        <v>119</v>
      </c>
      <c r="B60" s="397" t="n">
        <f aca="false">0.0022+0.0072+0.0131</f>
        <v>0.0225</v>
      </c>
      <c r="C60" s="383"/>
      <c r="D60" s="396" t="s">
        <v>119</v>
      </c>
      <c r="E60" s="398" t="n">
        <f aca="false">0.0131+0.0072+0.0022</f>
        <v>0.0225</v>
      </c>
      <c r="F60" s="409"/>
      <c r="G60" s="399" t="s">
        <v>119</v>
      </c>
      <c r="H60" s="400" t="n">
        <f aca="false">0.0022+0.0072</f>
        <v>0.0094</v>
      </c>
      <c r="I60" s="383"/>
      <c r="J60" s="401" t="s">
        <v>119</v>
      </c>
      <c r="K60" s="400" t="n">
        <f aca="false">0.0022+0.0072</f>
        <v>0.0094</v>
      </c>
      <c r="L60" s="383"/>
      <c r="M60" s="402" t="s">
        <v>119</v>
      </c>
      <c r="N60" s="403" t="n">
        <f aca="false">0.0022+0.0072</f>
        <v>0.0094</v>
      </c>
      <c r="O60" s="383"/>
      <c r="P60" s="450"/>
      <c r="Q60" s="426"/>
      <c r="R60" s="406"/>
      <c r="S60" s="419" t="s">
        <v>1</v>
      </c>
      <c r="T60" s="420" t="s">
        <v>1</v>
      </c>
      <c r="U60" s="383"/>
      <c r="V60" s="419"/>
      <c r="W60" s="420"/>
      <c r="X60" s="383"/>
      <c r="Y60" s="383"/>
      <c r="Z60" s="383"/>
      <c r="AH60" s="445" t="n">
        <v>36586</v>
      </c>
      <c r="AQ60" s="445"/>
    </row>
    <row r="61" customFormat="false" ht="12.75" hidden="false" customHeight="false" outlineLevel="0" collapsed="false">
      <c r="A61" s="396" t="s">
        <v>798</v>
      </c>
      <c r="B61" s="410" t="n">
        <f aca="false">B5/(1-0.0434)-B5</f>
        <v>0.213234371733222</v>
      </c>
      <c r="C61" s="409"/>
      <c r="D61" s="396" t="s">
        <v>799</v>
      </c>
      <c r="E61" s="410" t="n">
        <f aca="false">(E4)/(1-0.0472)-E4</f>
        <v>0.227380352644836</v>
      </c>
      <c r="F61" s="411"/>
      <c r="G61" s="399" t="s">
        <v>800</v>
      </c>
      <c r="H61" s="412" t="n">
        <f aca="false">(H4)/(1-0.0369)-H4</f>
        <v>0.166281798359464</v>
      </c>
      <c r="I61" s="409"/>
      <c r="J61" s="401" t="s">
        <v>718</v>
      </c>
      <c r="K61" s="413" t="n">
        <f aca="false">(K4)/(1-0.064)-K4</f>
        <v>0.297094017094017</v>
      </c>
      <c r="L61" s="409"/>
      <c r="M61" s="402" t="s">
        <v>735</v>
      </c>
      <c r="N61" s="414" t="n">
        <f aca="false">(N7)/(1-0.026)-N7</f>
        <v>0.127197125256673</v>
      </c>
      <c r="O61" s="409"/>
      <c r="P61" s="446"/>
      <c r="Q61" s="392"/>
      <c r="R61" s="416"/>
      <c r="S61" s="428" t="s">
        <v>1</v>
      </c>
      <c r="T61" s="433" t="s">
        <v>1</v>
      </c>
      <c r="U61" s="409"/>
      <c r="V61" s="428"/>
      <c r="W61" s="433"/>
      <c r="X61" s="409"/>
      <c r="Y61" s="409"/>
      <c r="Z61" s="409"/>
      <c r="AH61" s="447" t="s">
        <v>772</v>
      </c>
      <c r="AI61" s="444" t="n">
        <v>0.005</v>
      </c>
      <c r="AQ61" s="447"/>
      <c r="AR61" s="444"/>
    </row>
    <row r="62" customFormat="false" ht="12.75" hidden="false" customHeight="false" outlineLevel="0" collapsed="false">
      <c r="A62" s="396"/>
      <c r="B62" s="420" t="n">
        <f aca="false">SUM(B59:B61)</f>
        <v>0.261134371733222</v>
      </c>
      <c r="C62" s="411"/>
      <c r="D62" s="396"/>
      <c r="E62" s="420" t="n">
        <f aca="false">SUM(E59:E61)</f>
        <v>0.602680352644836</v>
      </c>
      <c r="F62" s="382"/>
      <c r="G62" s="421"/>
      <c r="H62" s="422" t="n">
        <f aca="false">SUM(H59:H61)</f>
        <v>0.253281798359464</v>
      </c>
      <c r="I62" s="411"/>
      <c r="J62" s="401"/>
      <c r="K62" s="422" t="n">
        <f aca="false">SUM(K59:K61)</f>
        <v>0.394594017094017</v>
      </c>
      <c r="L62" s="411"/>
      <c r="M62" s="402"/>
      <c r="N62" s="423" t="n">
        <f aca="false">SUM(N59:N61)</f>
        <v>0.327397125256673</v>
      </c>
      <c r="O62" s="411"/>
      <c r="P62" s="448"/>
      <c r="Q62" s="406"/>
      <c r="R62" s="426"/>
      <c r="S62" s="396" t="s">
        <v>1</v>
      </c>
      <c r="T62" s="397" t="s">
        <v>1</v>
      </c>
      <c r="U62" s="411"/>
      <c r="V62" s="396"/>
      <c r="W62" s="397"/>
      <c r="X62" s="411"/>
      <c r="Y62" s="411"/>
      <c r="Z62" s="411"/>
      <c r="AH62" s="27" t="s">
        <v>773</v>
      </c>
      <c r="AI62" s="444" t="n">
        <v>0.01</v>
      </c>
      <c r="AR62" s="444"/>
    </row>
    <row r="63" customFormat="false" ht="12.75" hidden="false" customHeight="false" outlineLevel="0" collapsed="false">
      <c r="A63" s="396" t="s">
        <v>93</v>
      </c>
      <c r="B63" s="381" t="s">
        <v>801</v>
      </c>
      <c r="C63" s="382"/>
      <c r="D63" s="27" t="s">
        <v>93</v>
      </c>
      <c r="E63" s="27" t="s">
        <v>802</v>
      </c>
      <c r="F63" s="383"/>
      <c r="G63" s="429" t="s">
        <v>642</v>
      </c>
      <c r="H63" s="430" t="s">
        <v>803</v>
      </c>
      <c r="I63" s="382"/>
      <c r="J63" s="386" t="s">
        <v>644</v>
      </c>
      <c r="K63" s="387" t="s">
        <v>726</v>
      </c>
      <c r="L63" s="382"/>
      <c r="M63" s="459"/>
      <c r="N63" s="460"/>
      <c r="O63" s="382"/>
      <c r="P63" s="448"/>
      <c r="Q63" s="406"/>
      <c r="R63" s="392"/>
      <c r="S63" s="396" t="s">
        <v>1</v>
      </c>
      <c r="T63" s="397" t="s">
        <v>1</v>
      </c>
      <c r="U63" s="382"/>
      <c r="V63" s="396"/>
      <c r="W63" s="397"/>
      <c r="X63" s="382"/>
      <c r="Y63" s="376"/>
      <c r="Z63" s="376"/>
      <c r="AH63" s="27" t="s">
        <v>779</v>
      </c>
      <c r="AI63" s="444" t="n">
        <v>0.005</v>
      </c>
      <c r="AR63" s="444"/>
    </row>
    <row r="64" customFormat="false" ht="12.75" hidden="false" customHeight="false" outlineLevel="0" collapsed="false">
      <c r="A64" s="419" t="s">
        <v>661</v>
      </c>
      <c r="B64" s="397" t="n">
        <v>0.03</v>
      </c>
      <c r="C64" s="383"/>
      <c r="D64" s="396" t="s">
        <v>661</v>
      </c>
      <c r="E64" s="398" t="n">
        <v>0.1716</v>
      </c>
      <c r="F64" s="383"/>
      <c r="G64" s="399" t="s">
        <v>661</v>
      </c>
      <c r="H64" s="400" t="n">
        <v>0.0874</v>
      </c>
      <c r="I64" s="383"/>
      <c r="J64" s="401" t="s">
        <v>661</v>
      </c>
      <c r="K64" s="400" t="n">
        <v>0.103</v>
      </c>
      <c r="L64" s="383"/>
      <c r="M64" s="461"/>
      <c r="N64" s="462"/>
      <c r="O64" s="383"/>
      <c r="P64" s="448"/>
      <c r="Q64" s="416"/>
      <c r="R64" s="406"/>
      <c r="S64" s="396" t="s">
        <v>1</v>
      </c>
      <c r="T64" s="410" t="s">
        <v>1</v>
      </c>
      <c r="U64" s="383"/>
      <c r="V64" s="396"/>
      <c r="W64" s="410"/>
      <c r="X64" s="383"/>
      <c r="Y64" s="383"/>
      <c r="Z64" s="383"/>
      <c r="AI64" s="444"/>
      <c r="AR64" s="444"/>
    </row>
    <row r="65" customFormat="false" ht="12.75" hidden="false" customHeight="false" outlineLevel="0" collapsed="false">
      <c r="A65" s="154" t="s">
        <v>119</v>
      </c>
      <c r="B65" s="397" t="n">
        <f aca="false">0.0022+0.0072+0.0131</f>
        <v>0.0225</v>
      </c>
      <c r="C65" s="383"/>
      <c r="D65" s="396" t="s">
        <v>119</v>
      </c>
      <c r="E65" s="398" t="n">
        <v>0</v>
      </c>
      <c r="F65" s="409"/>
      <c r="G65" s="399" t="s">
        <v>119</v>
      </c>
      <c r="H65" s="400" t="n">
        <f aca="false">0.0022</f>
        <v>0.0022</v>
      </c>
      <c r="I65" s="383"/>
      <c r="J65" s="401" t="s">
        <v>119</v>
      </c>
      <c r="K65" s="400" t="n">
        <f aca="false">0.0022+0.0072</f>
        <v>0.0094</v>
      </c>
      <c r="L65" s="383"/>
      <c r="M65" s="461"/>
      <c r="N65" s="461"/>
      <c r="O65" s="383"/>
      <c r="P65" s="450"/>
      <c r="Q65" s="426"/>
      <c r="R65" s="406"/>
      <c r="S65" s="419"/>
      <c r="T65" s="420" t="s">
        <v>1</v>
      </c>
      <c r="U65" s="383"/>
      <c r="V65" s="419"/>
      <c r="W65" s="420"/>
      <c r="X65" s="383"/>
      <c r="Y65" s="383"/>
      <c r="Z65" s="383"/>
      <c r="AH65" s="445" t="n">
        <v>36465</v>
      </c>
      <c r="AQ65" s="445"/>
    </row>
    <row r="66" customFormat="false" ht="12.75" hidden="false" customHeight="false" outlineLevel="0" collapsed="false">
      <c r="A66" s="463" t="s">
        <v>804</v>
      </c>
      <c r="B66" s="410" t="n">
        <f aca="false">B5/(1-0.0518)-B5</f>
        <v>0.25676017717781</v>
      </c>
      <c r="C66" s="409"/>
      <c r="D66" s="396" t="s">
        <v>805</v>
      </c>
      <c r="E66" s="410" t="n">
        <f aca="false">(E3)/(1-0.019)-E3</f>
        <v>0.0861875637104994</v>
      </c>
      <c r="F66" s="411"/>
      <c r="G66" s="399" t="s">
        <v>806</v>
      </c>
      <c r="H66" s="413" t="n">
        <f aca="false">(H4)/(1-0.0429)-H4</f>
        <v>0.194531396928221</v>
      </c>
      <c r="I66" s="409"/>
      <c r="J66" s="401" t="s">
        <v>734</v>
      </c>
      <c r="K66" s="413" t="n">
        <f aca="false">(K4)/(1-0.0733)-K4</f>
        <v>0.343680263299881</v>
      </c>
      <c r="L66" s="409"/>
      <c r="M66" s="461"/>
      <c r="N66" s="464"/>
      <c r="O66" s="409"/>
      <c r="P66" s="446"/>
      <c r="Q66" s="392"/>
      <c r="R66" s="416"/>
      <c r="S66" s="428" t="s">
        <v>1</v>
      </c>
      <c r="T66" s="433" t="s">
        <v>1</v>
      </c>
      <c r="U66" s="409"/>
      <c r="V66" s="428"/>
      <c r="W66" s="433"/>
      <c r="X66" s="409"/>
      <c r="Y66" s="409"/>
      <c r="Z66" s="409"/>
      <c r="AH66" s="447" t="s">
        <v>772</v>
      </c>
      <c r="AI66" s="444" t="n">
        <v>0</v>
      </c>
      <c r="AQ66" s="447"/>
      <c r="AR66" s="444"/>
    </row>
    <row r="67" customFormat="false" ht="12.75" hidden="false" customHeight="false" outlineLevel="0" collapsed="false">
      <c r="A67" s="396"/>
      <c r="B67" s="420" t="n">
        <f aca="false">SUM(B64:B66)</f>
        <v>0.30926017717781</v>
      </c>
      <c r="C67" s="411"/>
      <c r="D67" s="396"/>
      <c r="E67" s="420" t="n">
        <f aca="false">SUM(E64:E66)</f>
        <v>0.257787563710499</v>
      </c>
      <c r="F67" s="376"/>
      <c r="G67" s="421"/>
      <c r="H67" s="422" t="n">
        <f aca="false">SUM(H64:H66)</f>
        <v>0.284131396928221</v>
      </c>
      <c r="I67" s="411"/>
      <c r="J67" s="401"/>
      <c r="K67" s="422" t="n">
        <f aca="false">SUM(K64:K66)</f>
        <v>0.456080263299881</v>
      </c>
      <c r="L67" s="411"/>
      <c r="M67" s="461"/>
      <c r="N67" s="460"/>
      <c r="O67" s="411"/>
      <c r="P67" s="448"/>
      <c r="Q67" s="406"/>
      <c r="R67" s="426"/>
      <c r="S67" s="396"/>
      <c r="T67" s="397"/>
      <c r="U67" s="411"/>
      <c r="V67" s="396"/>
      <c r="W67" s="397"/>
      <c r="X67" s="411"/>
      <c r="Y67" s="411"/>
      <c r="Z67" s="411"/>
      <c r="AH67" s="27" t="s">
        <v>773</v>
      </c>
      <c r="AI67" s="444" t="n">
        <v>0.007</v>
      </c>
      <c r="AR67" s="444"/>
    </row>
    <row r="68" customFormat="false" ht="12.75" hidden="false" customHeight="false" outlineLevel="0" collapsed="false">
      <c r="A68" s="396" t="s">
        <v>93</v>
      </c>
      <c r="B68" s="381" t="s">
        <v>807</v>
      </c>
      <c r="C68" s="382"/>
      <c r="D68" s="27" t="s">
        <v>808</v>
      </c>
      <c r="E68" s="27" t="s">
        <v>809</v>
      </c>
      <c r="F68" s="383"/>
      <c r="G68" s="429" t="s">
        <v>642</v>
      </c>
      <c r="H68" s="430" t="s">
        <v>810</v>
      </c>
      <c r="I68" s="376"/>
      <c r="J68" s="386" t="s">
        <v>644</v>
      </c>
      <c r="K68" s="387" t="s">
        <v>811</v>
      </c>
      <c r="L68" s="376"/>
      <c r="M68" s="461"/>
      <c r="N68" s="461"/>
      <c r="O68" s="376"/>
      <c r="P68" s="448"/>
      <c r="Q68" s="406"/>
      <c r="R68" s="392"/>
      <c r="S68" s="396"/>
      <c r="T68" s="397"/>
      <c r="U68" s="382"/>
      <c r="V68" s="396"/>
      <c r="W68" s="397"/>
      <c r="X68" s="382"/>
      <c r="Y68" s="376"/>
      <c r="Z68" s="376"/>
      <c r="AH68" s="27" t="s">
        <v>779</v>
      </c>
      <c r="AI68" s="444" t="n">
        <v>0</v>
      </c>
      <c r="AR68" s="444"/>
    </row>
    <row r="69" customFormat="false" ht="12.75" hidden="false" customHeight="false" outlineLevel="0" collapsed="false">
      <c r="A69" s="396" t="s">
        <v>661</v>
      </c>
      <c r="B69" s="397" t="n">
        <v>0.0029</v>
      </c>
      <c r="C69" s="383"/>
      <c r="D69" s="396" t="s">
        <v>661</v>
      </c>
      <c r="E69" s="398" t="n">
        <v>0.076</v>
      </c>
      <c r="F69" s="383"/>
      <c r="G69" s="399" t="s">
        <v>661</v>
      </c>
      <c r="H69" s="400" t="n">
        <v>0.1014</v>
      </c>
      <c r="I69" s="383"/>
      <c r="J69" s="401" t="s">
        <v>661</v>
      </c>
      <c r="K69" s="400" t="n">
        <v>0.0236</v>
      </c>
      <c r="L69" s="383"/>
      <c r="M69" s="461"/>
      <c r="N69" s="461"/>
      <c r="O69" s="383"/>
      <c r="P69" s="448"/>
      <c r="Q69" s="416"/>
      <c r="R69" s="406"/>
      <c r="S69" s="396"/>
      <c r="T69" s="410"/>
      <c r="U69" s="383"/>
      <c r="V69" s="396"/>
      <c r="W69" s="410"/>
      <c r="X69" s="383"/>
      <c r="Y69" s="383"/>
      <c r="Z69" s="383"/>
      <c r="AI69" s="444"/>
      <c r="AR69" s="444"/>
    </row>
    <row r="70" customFormat="false" ht="12.75" hidden="false" customHeight="false" outlineLevel="0" collapsed="false">
      <c r="A70" s="419" t="s">
        <v>119</v>
      </c>
      <c r="B70" s="397" t="n">
        <f aca="false">0.0022+0.0072+0.0131</f>
        <v>0.0225</v>
      </c>
      <c r="C70" s="383"/>
      <c r="D70" s="396" t="s">
        <v>119</v>
      </c>
      <c r="E70" s="398" t="n">
        <v>0</v>
      </c>
      <c r="F70" s="409"/>
      <c r="G70" s="399" t="s">
        <v>119</v>
      </c>
      <c r="H70" s="400" t="n">
        <f aca="false">0.0022+0.0072</f>
        <v>0.0094</v>
      </c>
      <c r="I70" s="383"/>
      <c r="J70" s="401" t="s">
        <v>119</v>
      </c>
      <c r="K70" s="400" t="n">
        <f aca="false">0.0022+0.0072</f>
        <v>0.0094</v>
      </c>
      <c r="L70" s="383"/>
      <c r="M70" s="464"/>
      <c r="N70" s="464"/>
      <c r="O70" s="383"/>
      <c r="P70" s="424"/>
      <c r="Q70" s="425"/>
      <c r="R70" s="406"/>
      <c r="S70" s="419"/>
      <c r="T70" s="420"/>
      <c r="U70" s="383"/>
      <c r="V70" s="419"/>
      <c r="W70" s="420"/>
      <c r="X70" s="383"/>
      <c r="Y70" s="383"/>
      <c r="Z70" s="383"/>
      <c r="AH70" s="445" t="n">
        <v>36434</v>
      </c>
      <c r="AQ70" s="445"/>
    </row>
    <row r="71" customFormat="false" ht="12.75" hidden="false" customHeight="false" outlineLevel="0" collapsed="false">
      <c r="A71" s="428" t="s">
        <v>812</v>
      </c>
      <c r="B71" s="410" t="n">
        <f aca="false">(B4)/(1-0.0045)-B4</f>
        <v>0.0207483676544449</v>
      </c>
      <c r="C71" s="409"/>
      <c r="D71" s="396" t="s">
        <v>813</v>
      </c>
      <c r="E71" s="410" t="n">
        <f aca="false">(+E3)/(1-0.0059)-E3</f>
        <v>0.026410823860779</v>
      </c>
      <c r="F71" s="411"/>
      <c r="G71" s="399" t="s">
        <v>814</v>
      </c>
      <c r="H71" s="456" t="n">
        <f aca="false">(H4)/(1-0.0506)-H4</f>
        <v>0.231308194649252</v>
      </c>
      <c r="I71" s="409"/>
      <c r="J71" s="401" t="s">
        <v>666</v>
      </c>
      <c r="K71" s="413" t="n">
        <f aca="false">(K3)/(1-0.0242)-K3</f>
        <v>0.108128714900595</v>
      </c>
      <c r="L71" s="409"/>
      <c r="M71" s="460"/>
      <c r="N71" s="460"/>
      <c r="O71" s="409"/>
      <c r="P71" s="392"/>
      <c r="Q71" s="392"/>
      <c r="R71" s="416"/>
      <c r="S71" s="382"/>
      <c r="T71" s="382"/>
      <c r="U71" s="409"/>
      <c r="V71" s="382"/>
      <c r="W71" s="382"/>
      <c r="X71" s="409"/>
      <c r="Y71" s="409"/>
      <c r="Z71" s="409"/>
      <c r="AH71" s="447" t="s">
        <v>772</v>
      </c>
      <c r="AI71" s="444" t="n">
        <v>0</v>
      </c>
      <c r="AQ71" s="447"/>
      <c r="AR71" s="444"/>
    </row>
    <row r="72" customFormat="false" ht="12.75" hidden="false" customHeight="false" outlineLevel="0" collapsed="false">
      <c r="A72" s="396"/>
      <c r="B72" s="420" t="n">
        <f aca="false">SUM(B69:B71)</f>
        <v>0.0461483676544449</v>
      </c>
      <c r="C72" s="411"/>
      <c r="D72" s="396"/>
      <c r="E72" s="420" t="n">
        <f aca="false">SUM(E69:E71)</f>
        <v>0.102410823860779</v>
      </c>
      <c r="F72" s="376"/>
      <c r="G72" s="421"/>
      <c r="H72" s="422" t="n">
        <f aca="false">SUM(H69:H71)</f>
        <v>0.342108194649252</v>
      </c>
      <c r="I72" s="411"/>
      <c r="J72" s="401"/>
      <c r="K72" s="422" t="n">
        <f aca="false">SUM(K69:K71)</f>
        <v>0.141128714900595</v>
      </c>
      <c r="L72" s="411"/>
      <c r="M72" s="465"/>
      <c r="N72" s="465"/>
      <c r="O72" s="411"/>
      <c r="P72" s="406"/>
      <c r="Q72" s="406"/>
      <c r="R72" s="426"/>
      <c r="S72" s="383"/>
      <c r="T72" s="383"/>
      <c r="U72" s="411"/>
      <c r="V72" s="383"/>
      <c r="W72" s="383"/>
      <c r="X72" s="411"/>
      <c r="Y72" s="411"/>
      <c r="Z72" s="411"/>
      <c r="AH72" s="27" t="s">
        <v>773</v>
      </c>
      <c r="AI72" s="444" t="n">
        <v>0.007</v>
      </c>
      <c r="AR72" s="444"/>
    </row>
    <row r="73" customFormat="false" ht="12.75" hidden="false" customHeight="false" outlineLevel="0" collapsed="false">
      <c r="A73" s="396" t="s">
        <v>93</v>
      </c>
      <c r="B73" s="420" t="s">
        <v>815</v>
      </c>
      <c r="C73" s="376"/>
      <c r="F73" s="383"/>
      <c r="G73" s="429" t="s">
        <v>642</v>
      </c>
      <c r="H73" s="430" t="s">
        <v>816</v>
      </c>
      <c r="I73" s="376"/>
      <c r="J73" s="386" t="s">
        <v>644</v>
      </c>
      <c r="K73" s="387" t="s">
        <v>817</v>
      </c>
      <c r="L73" s="376"/>
      <c r="M73" s="461"/>
      <c r="N73" s="461"/>
      <c r="O73" s="376"/>
      <c r="P73" s="416"/>
      <c r="Q73" s="416"/>
      <c r="R73" s="466"/>
      <c r="S73" s="409"/>
      <c r="T73" s="409"/>
      <c r="U73" s="376"/>
      <c r="V73" s="409"/>
      <c r="W73" s="409"/>
      <c r="X73" s="376"/>
      <c r="Y73" s="376"/>
      <c r="Z73" s="376"/>
      <c r="AH73" s="27" t="s">
        <v>779</v>
      </c>
      <c r="AI73" s="444" t="n">
        <v>0</v>
      </c>
      <c r="AR73" s="444"/>
    </row>
    <row r="74" customFormat="false" ht="12.75" hidden="false" customHeight="false" outlineLevel="0" collapsed="false">
      <c r="A74" s="396" t="s">
        <v>661</v>
      </c>
      <c r="B74" s="398" t="n">
        <v>0.014</v>
      </c>
      <c r="C74" s="383"/>
      <c r="D74" s="438" t="s">
        <v>818</v>
      </c>
      <c r="E74" s="420" t="s">
        <v>819</v>
      </c>
      <c r="F74" s="383"/>
      <c r="G74" s="399" t="s">
        <v>661</v>
      </c>
      <c r="H74" s="400" t="n">
        <v>0.1126</v>
      </c>
      <c r="I74" s="383"/>
      <c r="J74" s="401" t="s">
        <v>661</v>
      </c>
      <c r="K74" s="400" t="n">
        <v>0.0195</v>
      </c>
      <c r="L74" s="383"/>
      <c r="M74" s="461"/>
      <c r="N74" s="461"/>
      <c r="O74" s="383"/>
      <c r="P74" s="426"/>
      <c r="Q74" s="426"/>
      <c r="R74" s="406"/>
      <c r="S74" s="411"/>
      <c r="T74" s="411"/>
      <c r="U74" s="383"/>
      <c r="V74" s="411"/>
      <c r="W74" s="411"/>
      <c r="X74" s="383"/>
      <c r="Y74" s="383"/>
      <c r="Z74" s="383"/>
      <c r="AI74" s="444"/>
      <c r="AR74" s="444"/>
    </row>
    <row r="75" customFormat="false" ht="12.75" hidden="false" customHeight="false" outlineLevel="0" collapsed="false">
      <c r="A75" s="419" t="s">
        <v>119</v>
      </c>
      <c r="B75" s="398" t="n">
        <f aca="false">0.0022+0.0072+0.0131</f>
        <v>0.0225</v>
      </c>
      <c r="C75" s="383"/>
      <c r="D75" s="396" t="s">
        <v>661</v>
      </c>
      <c r="E75" s="398" t="n">
        <v>0.0972</v>
      </c>
      <c r="F75" s="409"/>
      <c r="G75" s="399" t="s">
        <v>119</v>
      </c>
      <c r="H75" s="400" t="n">
        <f aca="false">0.0022+0.0072</f>
        <v>0.0094</v>
      </c>
      <c r="I75" s="383"/>
      <c r="J75" s="401" t="s">
        <v>119</v>
      </c>
      <c r="K75" s="400" t="n">
        <f aca="false">0.0022</f>
        <v>0.0022</v>
      </c>
      <c r="L75" s="383"/>
      <c r="M75" s="464"/>
      <c r="N75" s="464"/>
      <c r="O75" s="383"/>
      <c r="P75" s="392"/>
      <c r="Q75" s="392"/>
      <c r="R75" s="406"/>
      <c r="S75" s="382"/>
      <c r="T75" s="382"/>
      <c r="U75" s="383"/>
      <c r="V75" s="382"/>
      <c r="W75" s="382"/>
      <c r="X75" s="383"/>
      <c r="Y75" s="383"/>
      <c r="Z75" s="383"/>
      <c r="AH75" s="445" t="n">
        <v>36404</v>
      </c>
      <c r="AQ75" s="445"/>
    </row>
    <row r="76" customFormat="false" ht="12.75" hidden="false" customHeight="false" outlineLevel="0" collapsed="false">
      <c r="A76" s="428" t="s">
        <v>790</v>
      </c>
      <c r="B76" s="410" t="n">
        <f aca="false">(+B4)/(1-0.0235)-B4</f>
        <v>0.110460829493087</v>
      </c>
      <c r="C76" s="409"/>
      <c r="D76" s="396" t="s">
        <v>119</v>
      </c>
      <c r="E76" s="398" t="n">
        <f aca="false">0.0072+0.0022+0.0131</f>
        <v>0.0225</v>
      </c>
      <c r="F76" s="411"/>
      <c r="G76" s="399" t="s">
        <v>820</v>
      </c>
      <c r="H76" s="456" t="n">
        <f aca="false">(H4)/(1-0.0597)-H4</f>
        <v>0.275548229288525</v>
      </c>
      <c r="I76" s="409"/>
      <c r="J76" s="401" t="s">
        <v>821</v>
      </c>
      <c r="K76" s="413" t="n">
        <f aca="false">(K3)/(1-0.024)-K3</f>
        <v>0.107213114754098</v>
      </c>
      <c r="L76" s="409"/>
      <c r="M76" s="460"/>
      <c r="N76" s="460"/>
      <c r="O76" s="409"/>
      <c r="P76" s="406"/>
      <c r="Q76" s="406"/>
      <c r="R76" s="416"/>
      <c r="S76" s="383"/>
      <c r="T76" s="383"/>
      <c r="U76" s="409"/>
      <c r="V76" s="383"/>
      <c r="W76" s="383"/>
      <c r="X76" s="409"/>
      <c r="Y76" s="409"/>
      <c r="Z76" s="409"/>
      <c r="AH76" s="447" t="s">
        <v>772</v>
      </c>
      <c r="AI76" s="444" t="n">
        <v>0</v>
      </c>
      <c r="AQ76" s="447"/>
      <c r="AR76" s="444"/>
    </row>
    <row r="77" customFormat="false" ht="12.75" hidden="false" customHeight="false" outlineLevel="0" collapsed="false">
      <c r="A77" s="396"/>
      <c r="B77" s="420" t="n">
        <f aca="false">SUM(B74:B76)</f>
        <v>0.146960829493087</v>
      </c>
      <c r="C77" s="411"/>
      <c r="D77" s="396" t="s">
        <v>665</v>
      </c>
      <c r="E77" s="410" t="n">
        <f aca="false">(2.25)/(1-0.0084)-2.25</f>
        <v>0.0190601048810004</v>
      </c>
      <c r="F77" s="376"/>
      <c r="G77" s="421"/>
      <c r="H77" s="422" t="n">
        <f aca="false">SUM(H74:H76)</f>
        <v>0.397548229288525</v>
      </c>
      <c r="I77" s="411"/>
      <c r="J77" s="401"/>
      <c r="K77" s="422" t="n">
        <f aca="false">SUM(K74:K76)</f>
        <v>0.128913114754098</v>
      </c>
      <c r="L77" s="411"/>
      <c r="M77" s="460"/>
      <c r="N77" s="460"/>
      <c r="O77" s="411"/>
      <c r="P77" s="406"/>
      <c r="Q77" s="406"/>
      <c r="R77" s="426"/>
      <c r="S77" s="383"/>
      <c r="T77" s="383"/>
      <c r="U77" s="411"/>
      <c r="V77" s="383"/>
      <c r="W77" s="383"/>
      <c r="X77" s="411"/>
      <c r="Y77" s="411"/>
      <c r="Z77" s="411"/>
      <c r="AH77" s="27" t="s">
        <v>773</v>
      </c>
      <c r="AI77" s="444" t="n">
        <v>0.004</v>
      </c>
      <c r="AR77" s="444"/>
    </row>
    <row r="78" customFormat="false" ht="12.75" hidden="false" customHeight="false" outlineLevel="0" collapsed="false">
      <c r="A78" s="396" t="s">
        <v>93</v>
      </c>
      <c r="B78" s="381" t="s">
        <v>822</v>
      </c>
      <c r="C78" s="376"/>
      <c r="D78" s="396"/>
      <c r="E78" s="420" t="n">
        <f aca="false">SUM(E75:E77)</f>
        <v>0.138760104881</v>
      </c>
      <c r="F78" s="383"/>
      <c r="G78" s="429" t="s">
        <v>642</v>
      </c>
      <c r="H78" s="430" t="s">
        <v>823</v>
      </c>
      <c r="I78" s="376"/>
      <c r="J78" s="386" t="s">
        <v>644</v>
      </c>
      <c r="K78" s="387" t="s">
        <v>824</v>
      </c>
      <c r="L78" s="376"/>
      <c r="M78" s="462"/>
      <c r="N78" s="462"/>
      <c r="O78" s="376"/>
      <c r="P78" s="416"/>
      <c r="Q78" s="416"/>
      <c r="R78" s="466"/>
      <c r="S78" s="409"/>
      <c r="T78" s="409"/>
      <c r="U78" s="376"/>
      <c r="V78" s="409"/>
      <c r="W78" s="409"/>
      <c r="X78" s="376"/>
      <c r="Y78" s="376"/>
      <c r="Z78" s="376"/>
      <c r="AH78" s="27" t="s">
        <v>779</v>
      </c>
      <c r="AI78" s="444" t="n">
        <v>0</v>
      </c>
      <c r="AR78" s="444"/>
    </row>
    <row r="79" customFormat="false" ht="12.75" hidden="false" customHeight="false" outlineLevel="0" collapsed="false">
      <c r="A79" s="396" t="s">
        <v>661</v>
      </c>
      <c r="B79" s="397" t="n">
        <v>0.0228</v>
      </c>
      <c r="C79" s="383"/>
      <c r="F79" s="383"/>
      <c r="G79" s="399" t="s">
        <v>661</v>
      </c>
      <c r="H79" s="400" t="n">
        <v>0.1503</v>
      </c>
      <c r="I79" s="383"/>
      <c r="J79" s="401" t="s">
        <v>661</v>
      </c>
      <c r="K79" s="400" t="n">
        <v>0.0177</v>
      </c>
      <c r="L79" s="383"/>
      <c r="M79" s="462"/>
      <c r="N79" s="462"/>
      <c r="O79" s="383"/>
      <c r="P79" s="426"/>
      <c r="Q79" s="426"/>
      <c r="R79" s="406"/>
      <c r="S79" s="411"/>
      <c r="T79" s="411"/>
      <c r="U79" s="383"/>
      <c r="V79" s="411"/>
      <c r="W79" s="411"/>
      <c r="X79" s="383"/>
      <c r="Y79" s="383"/>
      <c r="Z79" s="383"/>
      <c r="AI79" s="444"/>
      <c r="AR79" s="444"/>
    </row>
    <row r="80" customFormat="false" ht="12.75" hidden="false" customHeight="false" outlineLevel="0" collapsed="false">
      <c r="A80" s="419" t="s">
        <v>119</v>
      </c>
      <c r="B80" s="398" t="n">
        <f aca="false">0.0022+0.0072+0.0131</f>
        <v>0.0225</v>
      </c>
      <c r="C80" s="383"/>
      <c r="D80" s="438" t="s">
        <v>825</v>
      </c>
      <c r="E80" s="420"/>
      <c r="F80" s="409"/>
      <c r="G80" s="399" t="s">
        <v>119</v>
      </c>
      <c r="H80" s="400" t="n">
        <f aca="false">0.0022+0.0072</f>
        <v>0.0094</v>
      </c>
      <c r="I80" s="383"/>
      <c r="J80" s="401" t="s">
        <v>119</v>
      </c>
      <c r="K80" s="400" t="n">
        <f aca="false">0.0022+0.0072</f>
        <v>0.0094</v>
      </c>
      <c r="L80" s="383"/>
      <c r="M80" s="462"/>
      <c r="N80" s="462"/>
      <c r="O80" s="383"/>
      <c r="P80" s="466"/>
      <c r="Q80" s="466"/>
      <c r="R80" s="406"/>
      <c r="S80" s="376"/>
      <c r="T80" s="376"/>
      <c r="U80" s="383"/>
      <c r="V80" s="376"/>
      <c r="W80" s="376"/>
      <c r="X80" s="383"/>
      <c r="Y80" s="383"/>
      <c r="Z80" s="383"/>
      <c r="AH80" s="445" t="n">
        <v>36312</v>
      </c>
      <c r="AQ80" s="445"/>
    </row>
    <row r="81" customFormat="false" ht="12.75" hidden="false" customHeight="false" outlineLevel="0" collapsed="false">
      <c r="A81" s="382" t="s">
        <v>826</v>
      </c>
      <c r="B81" s="410" t="n">
        <f aca="false">B4/(1-0.0388)-B4</f>
        <v>0.185280898876404</v>
      </c>
      <c r="C81" s="409"/>
      <c r="D81" s="396" t="s">
        <v>661</v>
      </c>
      <c r="E81" s="398" t="n">
        <v>0.0448</v>
      </c>
      <c r="F81" s="411"/>
      <c r="G81" s="399" t="s">
        <v>827</v>
      </c>
      <c r="H81" s="412" t="n">
        <f aca="false">(H4)/(1-0.0667)-H4</f>
        <v>0.310166077359906</v>
      </c>
      <c r="I81" s="409"/>
      <c r="J81" s="401" t="s">
        <v>821</v>
      </c>
      <c r="K81" s="413" t="n">
        <f aca="false">(K3)/(1-0.024)-K3</f>
        <v>0.107213114754098</v>
      </c>
      <c r="L81" s="409"/>
      <c r="M81" s="464"/>
      <c r="N81" s="464"/>
      <c r="O81" s="409"/>
      <c r="P81" s="406"/>
      <c r="Q81" s="406"/>
      <c r="R81" s="416"/>
      <c r="S81" s="383"/>
      <c r="T81" s="383"/>
      <c r="U81" s="409"/>
      <c r="V81" s="383"/>
      <c r="W81" s="383"/>
      <c r="X81" s="409"/>
      <c r="Y81" s="409"/>
      <c r="Z81" s="409"/>
      <c r="AH81" s="447" t="s">
        <v>772</v>
      </c>
      <c r="AI81" s="444" t="n">
        <v>0.002</v>
      </c>
      <c r="AQ81" s="447"/>
      <c r="AR81" s="444"/>
    </row>
    <row r="82" customFormat="false" ht="12.75" hidden="false" customHeight="false" outlineLevel="0" collapsed="false">
      <c r="A82" s="383"/>
      <c r="B82" s="420" t="n">
        <f aca="false">SUM(B79:B81)</f>
        <v>0.230580898876404</v>
      </c>
      <c r="C82" s="411"/>
      <c r="D82" s="396" t="s">
        <v>119</v>
      </c>
      <c r="E82" s="398" t="n">
        <f aca="false">0.0072+0.0022+0.0131</f>
        <v>0.0225</v>
      </c>
      <c r="F82" s="376"/>
      <c r="G82" s="421"/>
      <c r="H82" s="422" t="n">
        <f aca="false">SUM(H79:H81)</f>
        <v>0.469866077359906</v>
      </c>
      <c r="I82" s="411"/>
      <c r="J82" s="401"/>
      <c r="K82" s="422" t="n">
        <f aca="false">SUM(K79:K81)</f>
        <v>0.134313114754098</v>
      </c>
      <c r="L82" s="411"/>
      <c r="M82" s="460"/>
      <c r="N82" s="460"/>
      <c r="O82" s="411"/>
      <c r="P82" s="406"/>
      <c r="Q82" s="406"/>
      <c r="R82" s="426"/>
      <c r="S82" s="383"/>
      <c r="T82" s="383"/>
      <c r="U82" s="411"/>
      <c r="V82" s="383"/>
      <c r="W82" s="383"/>
      <c r="X82" s="411"/>
      <c r="Y82" s="411"/>
      <c r="Z82" s="411"/>
      <c r="AH82" s="27" t="s">
        <v>773</v>
      </c>
      <c r="AI82" s="444" t="n">
        <v>0.005</v>
      </c>
      <c r="AR82" s="444"/>
    </row>
    <row r="83" customFormat="false" ht="14.1" hidden="false" customHeight="true" outlineLevel="0" collapsed="false">
      <c r="A83" s="409" t="s">
        <v>93</v>
      </c>
      <c r="B83" s="381" t="s">
        <v>828</v>
      </c>
      <c r="C83" s="376"/>
      <c r="D83" s="396" t="s">
        <v>674</v>
      </c>
      <c r="E83" s="410" t="n">
        <v>0</v>
      </c>
      <c r="F83" s="383"/>
      <c r="G83" s="429" t="s">
        <v>642</v>
      </c>
      <c r="H83" s="430" t="s">
        <v>829</v>
      </c>
      <c r="I83" s="376"/>
      <c r="J83" s="386" t="s">
        <v>644</v>
      </c>
      <c r="K83" s="387" t="s">
        <v>830</v>
      </c>
      <c r="L83" s="376"/>
      <c r="M83" s="465"/>
      <c r="N83" s="465"/>
      <c r="O83" s="376"/>
      <c r="P83" s="416"/>
      <c r="Q83" s="416"/>
      <c r="R83" s="466"/>
      <c r="S83" s="409"/>
      <c r="T83" s="409"/>
      <c r="U83" s="376"/>
      <c r="V83" s="409"/>
      <c r="W83" s="409"/>
      <c r="X83" s="376"/>
      <c r="Y83" s="376"/>
      <c r="Z83" s="376"/>
      <c r="AH83" s="27" t="s">
        <v>779</v>
      </c>
      <c r="AI83" s="444" t="n">
        <v>0.002</v>
      </c>
      <c r="AR83" s="444"/>
    </row>
    <row r="84" customFormat="false" ht="12.75" hidden="false" customHeight="false" outlineLevel="0" collapsed="false">
      <c r="A84" s="411" t="s">
        <v>661</v>
      </c>
      <c r="B84" s="397" t="n">
        <v>0.0274</v>
      </c>
      <c r="C84" s="383"/>
      <c r="D84" s="396"/>
      <c r="E84" s="420" t="n">
        <f aca="false">SUM(E81:E83)</f>
        <v>0.0673</v>
      </c>
      <c r="F84" s="383"/>
      <c r="G84" s="399" t="s">
        <v>661</v>
      </c>
      <c r="H84" s="400" t="n">
        <v>0.0783</v>
      </c>
      <c r="I84" s="383"/>
      <c r="J84" s="401" t="s">
        <v>661</v>
      </c>
      <c r="K84" s="400" t="n">
        <v>0.0177</v>
      </c>
      <c r="L84" s="383"/>
      <c r="M84" s="461"/>
      <c r="N84" s="461"/>
      <c r="O84" s="383"/>
      <c r="P84" s="467"/>
      <c r="Q84" s="468"/>
      <c r="R84" s="406"/>
      <c r="S84" s="469"/>
      <c r="T84" s="470"/>
      <c r="U84" s="383"/>
      <c r="V84" s="469"/>
      <c r="W84" s="470"/>
      <c r="X84" s="383"/>
      <c r="Y84" s="383"/>
      <c r="Z84" s="383"/>
      <c r="AI84" s="444"/>
      <c r="AR84" s="444"/>
    </row>
    <row r="85" customFormat="false" ht="12.75" hidden="false" customHeight="false" outlineLevel="0" collapsed="false">
      <c r="A85" s="382" t="s">
        <v>119</v>
      </c>
      <c r="B85" s="398" t="n">
        <f aca="false">0.0022+0.0072+0.0131</f>
        <v>0.0225</v>
      </c>
      <c r="C85" s="383"/>
      <c r="F85" s="409"/>
      <c r="G85" s="399" t="s">
        <v>119</v>
      </c>
      <c r="H85" s="400" t="n">
        <f aca="false">0.0022+0.0072</f>
        <v>0.0094</v>
      </c>
      <c r="I85" s="383"/>
      <c r="J85" s="401" t="s">
        <v>119</v>
      </c>
      <c r="K85" s="400" t="n">
        <f aca="false">0.0022+0.0072</f>
        <v>0.0094</v>
      </c>
      <c r="L85" s="383"/>
      <c r="M85" s="461"/>
      <c r="N85" s="461"/>
      <c r="O85" s="383"/>
      <c r="P85" s="466"/>
      <c r="Q85" s="466"/>
      <c r="R85" s="406"/>
      <c r="S85" s="376"/>
      <c r="T85" s="376"/>
      <c r="U85" s="383"/>
      <c r="V85" s="376"/>
      <c r="W85" s="376"/>
      <c r="X85" s="383"/>
      <c r="Y85" s="383"/>
      <c r="Z85" s="383"/>
      <c r="AH85" s="445" t="n">
        <v>36281</v>
      </c>
      <c r="AQ85" s="445"/>
    </row>
    <row r="86" customFormat="false" ht="12.75" hidden="false" customHeight="false" outlineLevel="0" collapsed="false">
      <c r="A86" s="383" t="s">
        <v>799</v>
      </c>
      <c r="B86" s="410" t="n">
        <f aca="false">B4/(1-0.0472)-B4</f>
        <v>0.227380352644836</v>
      </c>
      <c r="C86" s="409"/>
      <c r="F86" s="411"/>
      <c r="G86" s="399" t="s">
        <v>831</v>
      </c>
      <c r="H86" s="412" t="n">
        <f aca="false">(H4)/(1-0.0358)-H4</f>
        <v>0.161140842148932</v>
      </c>
      <c r="I86" s="409"/>
      <c r="J86" s="401" t="s">
        <v>821</v>
      </c>
      <c r="K86" s="413" t="n">
        <f aca="false">(K4)/(1-0.024)-K4</f>
        <v>0.106844262295082</v>
      </c>
      <c r="L86" s="409"/>
      <c r="M86" s="464"/>
      <c r="N86" s="464"/>
      <c r="O86" s="409"/>
      <c r="P86" s="406"/>
      <c r="Q86" s="406"/>
      <c r="R86" s="416"/>
      <c r="S86" s="383"/>
      <c r="T86" s="383"/>
      <c r="U86" s="409"/>
      <c r="V86" s="383"/>
      <c r="W86" s="383"/>
      <c r="X86" s="409"/>
      <c r="Y86" s="409"/>
      <c r="Z86" s="409"/>
      <c r="AH86" s="447" t="s">
        <v>772</v>
      </c>
      <c r="AI86" s="444" t="n">
        <v>0.002</v>
      </c>
      <c r="AQ86" s="447"/>
      <c r="AR86" s="444"/>
    </row>
    <row r="87" customFormat="false" ht="12.75" hidden="false" customHeight="false" outlineLevel="0" collapsed="false">
      <c r="A87" s="383"/>
      <c r="B87" s="420" t="n">
        <f aca="false">SUM(B84:B86)</f>
        <v>0.277280352644836</v>
      </c>
      <c r="C87" s="411"/>
      <c r="F87" s="376"/>
      <c r="G87" s="421"/>
      <c r="H87" s="422" t="n">
        <f aca="false">SUM(H84:H86)</f>
        <v>0.248840842148932</v>
      </c>
      <c r="I87" s="411"/>
      <c r="J87" s="401"/>
      <c r="K87" s="422" t="n">
        <f aca="false">SUM(K84:K86)</f>
        <v>0.133944262295082</v>
      </c>
      <c r="L87" s="411"/>
      <c r="M87" s="460"/>
      <c r="N87" s="460"/>
      <c r="O87" s="411"/>
      <c r="P87" s="406"/>
      <c r="Q87" s="406"/>
      <c r="R87" s="426"/>
      <c r="S87" s="383"/>
      <c r="T87" s="383"/>
      <c r="U87" s="411"/>
      <c r="V87" s="383"/>
      <c r="W87" s="383"/>
      <c r="X87" s="411"/>
      <c r="Y87" s="411"/>
      <c r="Z87" s="411"/>
      <c r="AH87" s="27" t="s">
        <v>773</v>
      </c>
      <c r="AI87" s="444" t="n">
        <v>0.005</v>
      </c>
      <c r="AR87" s="444"/>
    </row>
    <row r="88" customFormat="false" ht="12.75" hidden="false" customHeight="false" outlineLevel="0" collapsed="false">
      <c r="A88" s="409" t="s">
        <v>93</v>
      </c>
      <c r="B88" s="420" t="s">
        <v>832</v>
      </c>
      <c r="C88" s="376"/>
      <c r="F88" s="383"/>
      <c r="G88" s="429" t="s">
        <v>642</v>
      </c>
      <c r="H88" s="430" t="s">
        <v>833</v>
      </c>
      <c r="I88" s="376"/>
      <c r="J88" s="386" t="s">
        <v>644</v>
      </c>
      <c r="K88" s="387" t="s">
        <v>834</v>
      </c>
      <c r="L88" s="376"/>
      <c r="O88" s="376"/>
      <c r="P88" s="416"/>
      <c r="Q88" s="416"/>
      <c r="R88" s="466"/>
      <c r="S88" s="409"/>
      <c r="T88" s="409"/>
      <c r="U88" s="376"/>
      <c r="V88" s="409"/>
      <c r="W88" s="409"/>
      <c r="X88" s="376"/>
      <c r="Y88" s="411"/>
      <c r="Z88" s="411"/>
      <c r="AH88" s="27" t="s">
        <v>779</v>
      </c>
      <c r="AI88" s="444" t="n">
        <v>0.002</v>
      </c>
      <c r="AR88" s="444"/>
    </row>
    <row r="89" customFormat="false" ht="12.75" hidden="false" customHeight="false" outlineLevel="0" collapsed="false">
      <c r="A89" s="411" t="s">
        <v>661</v>
      </c>
      <c r="B89" s="398" t="n">
        <v>0.0115</v>
      </c>
      <c r="C89" s="383"/>
      <c r="F89" s="383"/>
      <c r="G89" s="399" t="s">
        <v>661</v>
      </c>
      <c r="H89" s="400" t="n">
        <f aca="false">0.0511-0.0022-0.0088</f>
        <v>0.0401</v>
      </c>
      <c r="I89" s="383"/>
      <c r="J89" s="401" t="s">
        <v>661</v>
      </c>
      <c r="K89" s="400" t="n">
        <v>0.0649</v>
      </c>
      <c r="L89" s="383"/>
      <c r="M89" s="465"/>
      <c r="N89" s="465"/>
      <c r="O89" s="383"/>
      <c r="P89" s="426"/>
      <c r="Q89" s="426"/>
      <c r="R89" s="406"/>
      <c r="S89" s="411"/>
      <c r="T89" s="411"/>
      <c r="U89" s="383"/>
      <c r="V89" s="411"/>
      <c r="W89" s="411"/>
      <c r="X89" s="383"/>
      <c r="Y89" s="439"/>
      <c r="Z89" s="439"/>
      <c r="AI89" s="444"/>
      <c r="AR89" s="444"/>
    </row>
    <row r="90" customFormat="false" ht="12.75" hidden="false" customHeight="false" outlineLevel="0" collapsed="false">
      <c r="A90" s="376" t="s">
        <v>119</v>
      </c>
      <c r="B90" s="398" t="n">
        <f aca="false">0.0022+0.0072+0.0131</f>
        <v>0.0225</v>
      </c>
      <c r="C90" s="383"/>
      <c r="F90" s="409"/>
      <c r="G90" s="399" t="s">
        <v>119</v>
      </c>
      <c r="H90" s="400" t="n">
        <f aca="false">0.0022+0.0072</f>
        <v>0.0094</v>
      </c>
      <c r="I90" s="383"/>
      <c r="J90" s="401" t="s">
        <v>119</v>
      </c>
      <c r="K90" s="400" t="n">
        <f aca="false">0.0022+0.0072</f>
        <v>0.0094</v>
      </c>
      <c r="L90" s="383"/>
      <c r="M90" s="461"/>
      <c r="N90" s="461"/>
      <c r="O90" s="383"/>
      <c r="P90" s="466"/>
      <c r="Q90" s="466"/>
      <c r="R90" s="406"/>
      <c r="S90" s="376"/>
      <c r="T90" s="376"/>
      <c r="U90" s="383"/>
      <c r="V90" s="376"/>
      <c r="W90" s="376"/>
      <c r="X90" s="383"/>
      <c r="Y90" s="439"/>
      <c r="Z90" s="439"/>
      <c r="AH90" s="445" t="n">
        <v>36251</v>
      </c>
      <c r="AQ90" s="445"/>
    </row>
    <row r="91" customFormat="false" ht="12.75" hidden="false" customHeight="false" outlineLevel="0" collapsed="false">
      <c r="A91" s="383" t="s">
        <v>805</v>
      </c>
      <c r="B91" s="410" t="n">
        <f aca="false">(B3)/(1-0.019)-B3</f>
        <v>0.0861875637104994</v>
      </c>
      <c r="C91" s="409"/>
      <c r="F91" s="411"/>
      <c r="G91" s="399" t="s">
        <v>835</v>
      </c>
      <c r="H91" s="413" t="n">
        <f aca="false">(H5)/(1-0.0101)-H5</f>
        <v>0.0468320032326499</v>
      </c>
      <c r="I91" s="409"/>
      <c r="J91" s="401" t="s">
        <v>799</v>
      </c>
      <c r="K91" s="413" t="n">
        <f aca="false">(K2)/(1-0.0472)-K2</f>
        <v>0.214005037783376</v>
      </c>
      <c r="L91" s="409"/>
      <c r="M91" s="461"/>
      <c r="N91" s="461"/>
      <c r="O91" s="409"/>
      <c r="P91" s="406"/>
      <c r="Q91" s="406"/>
      <c r="R91" s="416"/>
      <c r="S91" s="383"/>
      <c r="T91" s="383"/>
      <c r="U91" s="409"/>
      <c r="V91" s="383"/>
      <c r="W91" s="383"/>
      <c r="X91" s="409"/>
      <c r="Y91" s="439"/>
      <c r="Z91" s="439"/>
      <c r="AH91" s="447" t="s">
        <v>772</v>
      </c>
      <c r="AI91" s="444" t="n">
        <v>0.002</v>
      </c>
      <c r="AQ91" s="447"/>
      <c r="AR91" s="444"/>
    </row>
    <row r="92" customFormat="false" ht="12.75" hidden="false" customHeight="false" outlineLevel="0" collapsed="false">
      <c r="A92" s="383"/>
      <c r="B92" s="420" t="n">
        <f aca="false">SUM(B89:B91)</f>
        <v>0.120187563710499</v>
      </c>
      <c r="C92" s="411"/>
      <c r="F92" s="411"/>
      <c r="G92" s="421"/>
      <c r="H92" s="422" t="n">
        <f aca="false">SUM(H89:H91)</f>
        <v>0.0963320032326499</v>
      </c>
      <c r="I92" s="411"/>
      <c r="J92" s="401"/>
      <c r="K92" s="422" t="n">
        <f aca="false">SUM(K89:K91)</f>
        <v>0.288305037783376</v>
      </c>
      <c r="L92" s="411"/>
      <c r="M92" s="464"/>
      <c r="N92" s="464"/>
      <c r="O92" s="411"/>
      <c r="P92" s="406"/>
      <c r="Q92" s="406"/>
      <c r="R92" s="426"/>
      <c r="S92" s="383"/>
      <c r="T92" s="383"/>
      <c r="U92" s="411"/>
      <c r="V92" s="383"/>
      <c r="W92" s="383"/>
      <c r="X92" s="411"/>
      <c r="Y92" s="409"/>
      <c r="Z92" s="409"/>
      <c r="AH92" s="27" t="s">
        <v>773</v>
      </c>
      <c r="AI92" s="444" t="n">
        <v>0.007</v>
      </c>
      <c r="AR92" s="444"/>
    </row>
    <row r="93" customFormat="false" ht="12.75" hidden="false" customHeight="false" outlineLevel="0" collapsed="false">
      <c r="A93" s="409" t="s">
        <v>93</v>
      </c>
      <c r="B93" s="420" t="s">
        <v>836</v>
      </c>
      <c r="C93" s="376"/>
      <c r="F93" s="439"/>
      <c r="G93" s="429" t="s">
        <v>642</v>
      </c>
      <c r="H93" s="430" t="s">
        <v>837</v>
      </c>
      <c r="I93" s="411"/>
      <c r="J93" s="386" t="s">
        <v>644</v>
      </c>
      <c r="K93" s="387" t="s">
        <v>838</v>
      </c>
      <c r="L93" s="411"/>
      <c r="M93" s="460"/>
      <c r="N93" s="460"/>
      <c r="O93" s="411"/>
      <c r="P93" s="416"/>
      <c r="Q93" s="416"/>
      <c r="R93" s="466"/>
      <c r="S93" s="409"/>
      <c r="T93" s="409"/>
      <c r="U93" s="376"/>
      <c r="V93" s="409"/>
      <c r="W93" s="409"/>
      <c r="X93" s="376"/>
      <c r="Y93" s="411"/>
      <c r="Z93" s="411"/>
      <c r="AH93" s="27" t="s">
        <v>779</v>
      </c>
      <c r="AI93" s="444" t="n">
        <v>0.002</v>
      </c>
      <c r="AR93" s="444"/>
    </row>
    <row r="94" customFormat="false" ht="12.75" hidden="false" customHeight="false" outlineLevel="0" collapsed="false">
      <c r="A94" s="469" t="s">
        <v>661</v>
      </c>
      <c r="B94" s="398" t="n">
        <v>0.0203</v>
      </c>
      <c r="C94" s="383"/>
      <c r="F94" s="439"/>
      <c r="G94" s="399" t="s">
        <v>661</v>
      </c>
      <c r="H94" s="400" t="n">
        <f aca="false">0.0945-0.0022-0.0088</f>
        <v>0.0835</v>
      </c>
      <c r="I94" s="439"/>
      <c r="J94" s="401" t="s">
        <v>661</v>
      </c>
      <c r="K94" s="400" t="n">
        <v>0.0863</v>
      </c>
      <c r="L94" s="439"/>
      <c r="M94" s="465"/>
      <c r="N94" s="465"/>
      <c r="O94" s="439"/>
      <c r="P94" s="467"/>
      <c r="Q94" s="468"/>
      <c r="R94" s="406"/>
      <c r="S94" s="469"/>
      <c r="T94" s="470"/>
      <c r="U94" s="383"/>
      <c r="V94" s="469"/>
      <c r="W94" s="470"/>
      <c r="X94" s="383"/>
      <c r="Y94" s="376"/>
      <c r="Z94" s="376"/>
      <c r="AI94" s="444"/>
      <c r="AR94" s="444"/>
    </row>
    <row r="95" customFormat="false" ht="12.75" hidden="false" customHeight="false" outlineLevel="0" collapsed="false">
      <c r="A95" s="376" t="s">
        <v>119</v>
      </c>
      <c r="B95" s="398" t="n">
        <f aca="false">0.0022+0.0072+0.0131</f>
        <v>0.0225</v>
      </c>
      <c r="C95" s="383"/>
      <c r="F95" s="409"/>
      <c r="G95" s="399" t="s">
        <v>119</v>
      </c>
      <c r="H95" s="400" t="n">
        <f aca="false">0.0022+0.0072</f>
        <v>0.0094</v>
      </c>
      <c r="I95" s="439" t="s">
        <v>1</v>
      </c>
      <c r="J95" s="401" t="s">
        <v>119</v>
      </c>
      <c r="K95" s="400" t="n">
        <f aca="false">0.0022+0.0072</f>
        <v>0.0094</v>
      </c>
      <c r="L95" s="439"/>
      <c r="M95" s="461"/>
      <c r="N95" s="461"/>
      <c r="O95" s="439"/>
      <c r="P95" s="466"/>
      <c r="Q95" s="466"/>
      <c r="R95" s="406"/>
      <c r="S95" s="376"/>
      <c r="T95" s="376"/>
      <c r="U95" s="383"/>
      <c r="V95" s="376"/>
      <c r="W95" s="376"/>
      <c r="X95" s="383"/>
      <c r="Y95" s="383"/>
      <c r="Z95" s="383"/>
      <c r="AH95" s="445" t="n">
        <v>36220</v>
      </c>
      <c r="AQ95" s="445"/>
    </row>
    <row r="96" customFormat="false" ht="12.75" hidden="false" customHeight="false" outlineLevel="0" collapsed="false">
      <c r="A96" s="383" t="s">
        <v>839</v>
      </c>
      <c r="B96" s="410" t="n">
        <f aca="false">(B3)/(1-0.0343)-B3</f>
        <v>0.158056332194263</v>
      </c>
      <c r="C96" s="409"/>
      <c r="F96" s="411"/>
      <c r="G96" s="399" t="s">
        <v>840</v>
      </c>
      <c r="H96" s="413" t="n">
        <f aca="false">(H5)/(1-0.0192)-H5</f>
        <v>0.0898531810766725</v>
      </c>
      <c r="I96" s="409"/>
      <c r="J96" s="401" t="s">
        <v>749</v>
      </c>
      <c r="K96" s="413" t="n">
        <f aca="false">(K2)/(1-0.0612)-K2</f>
        <v>0.281619088197699</v>
      </c>
      <c r="L96" s="409"/>
      <c r="M96" s="461"/>
      <c r="N96" s="461"/>
      <c r="O96" s="409"/>
      <c r="P96" s="406"/>
      <c r="Q96" s="406"/>
      <c r="R96" s="416"/>
      <c r="S96" s="383"/>
      <c r="T96" s="383"/>
      <c r="U96" s="409"/>
      <c r="V96" s="383"/>
      <c r="W96" s="383"/>
      <c r="X96" s="409"/>
      <c r="Y96" s="383"/>
      <c r="Z96" s="383"/>
      <c r="AH96" s="447" t="s">
        <v>772</v>
      </c>
      <c r="AI96" s="444" t="n">
        <v>0.001</v>
      </c>
      <c r="AQ96" s="447"/>
      <c r="AR96" s="444"/>
    </row>
    <row r="97" customFormat="false" ht="12.75" hidden="false" customHeight="false" outlineLevel="0" collapsed="false">
      <c r="A97" s="383"/>
      <c r="B97" s="420" t="n">
        <f aca="false">SUM(B94:B96)</f>
        <v>0.200856332194263</v>
      </c>
      <c r="C97" s="411"/>
      <c r="F97" s="376"/>
      <c r="G97" s="421"/>
      <c r="H97" s="422" t="n">
        <f aca="false">SUM(H94:H96)</f>
        <v>0.182753181076673</v>
      </c>
      <c r="I97" s="411"/>
      <c r="J97" s="401"/>
      <c r="K97" s="422" t="n">
        <f aca="false">SUM(K94:K96)</f>
        <v>0.377319088197699</v>
      </c>
      <c r="L97" s="411"/>
      <c r="M97" s="464"/>
      <c r="N97" s="464"/>
      <c r="O97" s="411"/>
      <c r="P97" s="406"/>
      <c r="Q97" s="406"/>
      <c r="R97" s="426"/>
      <c r="S97" s="383"/>
      <c r="T97" s="383"/>
      <c r="U97" s="411"/>
      <c r="V97" s="383"/>
      <c r="W97" s="383"/>
      <c r="X97" s="411"/>
      <c r="Y97" s="409"/>
      <c r="Z97" s="409"/>
      <c r="AH97" s="27" t="s">
        <v>773</v>
      </c>
      <c r="AI97" s="444" t="n">
        <v>0.003</v>
      </c>
      <c r="AR97" s="444"/>
    </row>
    <row r="98" customFormat="false" ht="12.75" hidden="false" customHeight="false" outlineLevel="0" collapsed="false">
      <c r="A98" s="409" t="s">
        <v>93</v>
      </c>
      <c r="B98" s="420" t="s">
        <v>841</v>
      </c>
      <c r="C98" s="411"/>
      <c r="F98" s="383"/>
      <c r="G98" s="429" t="s">
        <v>642</v>
      </c>
      <c r="H98" s="442" t="s">
        <v>842</v>
      </c>
      <c r="I98" s="376"/>
      <c r="J98" s="386" t="s">
        <v>644</v>
      </c>
      <c r="K98" s="387" t="s">
        <v>843</v>
      </c>
      <c r="L98" s="376"/>
      <c r="M98" s="460"/>
      <c r="N98" s="460"/>
      <c r="O98" s="376"/>
      <c r="P98" s="416"/>
      <c r="Q98" s="416"/>
      <c r="R98" s="426"/>
      <c r="S98" s="409"/>
      <c r="T98" s="409"/>
      <c r="U98" s="411"/>
      <c r="V98" s="409"/>
      <c r="W98" s="409"/>
      <c r="X98" s="411"/>
      <c r="Y98" s="411"/>
      <c r="Z98" s="411"/>
      <c r="AH98" s="27" t="s">
        <v>779</v>
      </c>
      <c r="AI98" s="444" t="n">
        <v>0.001</v>
      </c>
      <c r="AR98" s="444"/>
    </row>
    <row r="99" customFormat="false" ht="12.75" hidden="false" customHeight="false" outlineLevel="0" collapsed="false">
      <c r="A99" s="469" t="s">
        <v>661</v>
      </c>
      <c r="B99" s="398" t="n">
        <v>0.0249</v>
      </c>
      <c r="C99" s="439"/>
      <c r="F99" s="383"/>
      <c r="G99" s="421" t="s">
        <v>661</v>
      </c>
      <c r="H99" s="400" t="n">
        <v>0.0427</v>
      </c>
      <c r="I99" s="383"/>
      <c r="J99" s="401" t="s">
        <v>661</v>
      </c>
      <c r="K99" s="400" t="n">
        <v>0.1012</v>
      </c>
      <c r="L99" s="383"/>
      <c r="O99" s="383"/>
      <c r="P99" s="426"/>
      <c r="Q99" s="426"/>
      <c r="R99" s="443"/>
      <c r="S99" s="411"/>
      <c r="T99" s="411"/>
      <c r="U99" s="439"/>
      <c r="V99" s="411"/>
      <c r="W99" s="411"/>
      <c r="X99" s="439"/>
      <c r="AI99" s="444"/>
      <c r="AR99" s="444"/>
    </row>
    <row r="100" customFormat="false" ht="12.75" hidden="false" customHeight="false" outlineLevel="0" collapsed="false">
      <c r="A100" s="376" t="s">
        <v>119</v>
      </c>
      <c r="B100" s="398" t="n">
        <f aca="false">0.0022+0.0072+0.0131</f>
        <v>0.0225</v>
      </c>
      <c r="C100" s="439"/>
      <c r="F100" s="383"/>
      <c r="G100" s="421" t="s">
        <v>119</v>
      </c>
      <c r="H100" s="400" t="n">
        <f aca="false">0.0022+0.0072</f>
        <v>0.0094</v>
      </c>
      <c r="I100" s="383"/>
      <c r="J100" s="401" t="s">
        <v>119</v>
      </c>
      <c r="K100" s="400" t="n">
        <f aca="false">0.0022+0.0072</f>
        <v>0.0094</v>
      </c>
      <c r="L100" s="383"/>
      <c r="O100" s="383"/>
      <c r="P100" s="466"/>
      <c r="Q100" s="466"/>
      <c r="R100" s="443"/>
      <c r="S100" s="376"/>
      <c r="T100" s="376"/>
      <c r="U100" s="439"/>
      <c r="V100" s="376"/>
      <c r="W100" s="376"/>
      <c r="X100" s="439"/>
      <c r="Y100" s="376"/>
      <c r="Z100" s="376"/>
      <c r="AH100" s="445" t="n">
        <v>36192</v>
      </c>
      <c r="AQ100" s="445"/>
    </row>
    <row r="101" customFormat="false" ht="12.75" hidden="false" customHeight="false" outlineLevel="0" collapsed="false">
      <c r="A101" s="383" t="s">
        <v>844</v>
      </c>
      <c r="B101" s="410" t="n">
        <f aca="false">(B3)/(1-0.0427)-B3</f>
        <v>0.198490546328214</v>
      </c>
      <c r="C101" s="439"/>
      <c r="F101" s="409"/>
      <c r="G101" s="421" t="s">
        <v>845</v>
      </c>
      <c r="H101" s="413" t="n">
        <f aca="false">(+H5)/(1-0.0117)-H5</f>
        <v>0.0543387635333401</v>
      </c>
      <c r="I101" s="383"/>
      <c r="J101" s="401" t="s">
        <v>760</v>
      </c>
      <c r="K101" s="413" t="n">
        <f aca="false">(K2)/(1-0.0705)-K2</f>
        <v>0.327660032275417</v>
      </c>
      <c r="L101" s="383"/>
      <c r="O101" s="383"/>
      <c r="P101" s="406"/>
      <c r="Q101" s="406"/>
      <c r="R101" s="443"/>
      <c r="S101" s="383"/>
      <c r="T101" s="383"/>
      <c r="U101" s="439"/>
      <c r="V101" s="383"/>
      <c r="W101" s="383"/>
      <c r="X101" s="439"/>
      <c r="Y101" s="383"/>
      <c r="Z101" s="383"/>
      <c r="AH101" s="447" t="s">
        <v>772</v>
      </c>
      <c r="AI101" s="444" t="n">
        <v>0.004</v>
      </c>
      <c r="AQ101" s="447"/>
      <c r="AR101" s="444"/>
    </row>
    <row r="102" customFormat="false" ht="12.75" hidden="false" customHeight="false" outlineLevel="0" collapsed="false">
      <c r="A102" s="383"/>
      <c r="B102" s="420" t="n">
        <f aca="false">SUM(B99:B101)</f>
        <v>0.245890546328214</v>
      </c>
      <c r="C102" s="409"/>
      <c r="F102" s="411"/>
      <c r="G102" s="421"/>
      <c r="H102" s="422" t="n">
        <f aca="false">SUM(H99:H101)</f>
        <v>0.10643876353334</v>
      </c>
      <c r="I102" s="409"/>
      <c r="J102" s="401"/>
      <c r="K102" s="422" t="n">
        <f aca="false">SUM(K99:K101)</f>
        <v>0.438260032275417</v>
      </c>
      <c r="L102" s="409"/>
      <c r="O102" s="409"/>
      <c r="P102" s="406" t="n">
        <f aca="false">+'Offseason Rate'!B102+'Offseason Rate'!B3</f>
        <v>4.41661377633712</v>
      </c>
      <c r="Q102" s="406" t="n">
        <f aca="false">+P102*0.6</f>
        <v>2.64996826580227</v>
      </c>
      <c r="R102" s="416"/>
      <c r="S102" s="383" t="n">
        <f aca="false">+'Offseason Rate'!E102+'Offseason Rate'!E3</f>
        <v>2.80162055417253</v>
      </c>
      <c r="T102" s="383" t="n">
        <f aca="false">+S102*0.6</f>
        <v>1.68097233250352</v>
      </c>
      <c r="U102" s="409"/>
      <c r="V102" s="383"/>
      <c r="W102" s="383"/>
      <c r="X102" s="409"/>
      <c r="Y102" s="383"/>
      <c r="Z102" s="383"/>
      <c r="AH102" s="27" t="s">
        <v>773</v>
      </c>
      <c r="AI102" s="444" t="n">
        <v>0.01</v>
      </c>
      <c r="AR102" s="444"/>
    </row>
    <row r="103" customFormat="false" ht="12.75" hidden="false" customHeight="false" outlineLevel="0" collapsed="false">
      <c r="A103" s="409" t="s">
        <v>93</v>
      </c>
      <c r="B103" s="420" t="s">
        <v>846</v>
      </c>
      <c r="C103" s="411"/>
      <c r="G103" s="471" t="s">
        <v>847</v>
      </c>
      <c r="H103" s="442" t="s">
        <v>848</v>
      </c>
      <c r="I103" s="411"/>
      <c r="J103" s="386" t="s">
        <v>644</v>
      </c>
      <c r="K103" s="387" t="s">
        <v>849</v>
      </c>
      <c r="L103" s="411"/>
      <c r="O103" s="411"/>
      <c r="P103" s="416"/>
      <c r="Q103" s="416"/>
      <c r="R103" s="426"/>
      <c r="S103" s="409"/>
      <c r="T103" s="409"/>
      <c r="U103" s="411"/>
      <c r="V103" s="409"/>
      <c r="W103" s="409"/>
      <c r="X103" s="411"/>
      <c r="Y103" s="409"/>
      <c r="Z103" s="409"/>
      <c r="AH103" s="27" t="s">
        <v>779</v>
      </c>
      <c r="AI103" s="444" t="n">
        <v>0.004</v>
      </c>
      <c r="AR103" s="444"/>
    </row>
    <row r="104" customFormat="false" ht="12.75" hidden="false" customHeight="false" outlineLevel="0" collapsed="false">
      <c r="A104" s="411" t="s">
        <v>661</v>
      </c>
      <c r="B104" s="398" t="n">
        <v>0.0034</v>
      </c>
      <c r="C104" s="376"/>
      <c r="F104" s="376"/>
      <c r="G104" s="421" t="s">
        <v>661</v>
      </c>
      <c r="H104" s="400" t="n">
        <v>0.0427</v>
      </c>
      <c r="J104" s="401" t="s">
        <v>661</v>
      </c>
      <c r="K104" s="400" t="n">
        <v>0.0177</v>
      </c>
      <c r="P104" s="426"/>
      <c r="Q104" s="426"/>
      <c r="R104" s="466"/>
      <c r="S104" s="411"/>
      <c r="T104" s="411"/>
      <c r="U104" s="376"/>
      <c r="V104" s="411"/>
      <c r="W104" s="411"/>
      <c r="X104" s="376"/>
      <c r="Y104" s="411"/>
      <c r="Z104" s="411"/>
      <c r="AI104" s="444"/>
      <c r="AR104" s="444"/>
    </row>
    <row r="105" customFormat="false" ht="12.75" hidden="false" customHeight="false" outlineLevel="0" collapsed="false">
      <c r="A105" s="376" t="s">
        <v>119</v>
      </c>
      <c r="B105" s="398" t="n">
        <v>0</v>
      </c>
      <c r="C105" s="383"/>
      <c r="F105" s="383"/>
      <c r="G105" s="421" t="s">
        <v>119</v>
      </c>
      <c r="H105" s="400" t="n">
        <f aca="false">0.0022+0.0072</f>
        <v>0.0094</v>
      </c>
      <c r="I105" s="376"/>
      <c r="J105" s="401" t="s">
        <v>119</v>
      </c>
      <c r="K105" s="400" t="n">
        <f aca="false">0.0022+0.0072</f>
        <v>0.0094</v>
      </c>
      <c r="L105" s="376"/>
      <c r="O105" s="376"/>
      <c r="P105" s="426"/>
      <c r="Q105" s="426"/>
      <c r="R105" s="406"/>
      <c r="S105" s="411"/>
      <c r="T105" s="411"/>
      <c r="U105" s="383"/>
      <c r="V105" s="411"/>
      <c r="W105" s="411"/>
      <c r="X105" s="383"/>
      <c r="Y105" s="376"/>
      <c r="Z105" s="376"/>
      <c r="AH105" s="445" t="n">
        <v>36161</v>
      </c>
      <c r="AQ105" s="445"/>
    </row>
    <row r="106" customFormat="false" ht="12.75" hidden="false" customHeight="false" outlineLevel="0" collapsed="false">
      <c r="A106" s="383" t="s">
        <v>813</v>
      </c>
      <c r="B106" s="410" t="n">
        <f aca="false">(B3-0.09)/(1-0.0059)-(B3-0.09)</f>
        <v>0.025876672366965</v>
      </c>
      <c r="C106" s="383"/>
      <c r="F106" s="383"/>
      <c r="G106" s="421" t="s">
        <v>850</v>
      </c>
      <c r="H106" s="413" t="n">
        <f aca="false">(+H5)/(1-0.005)-H5</f>
        <v>0.0230653266331657</v>
      </c>
      <c r="I106" s="383"/>
      <c r="J106" s="401" t="s">
        <v>821</v>
      </c>
      <c r="K106" s="413" t="n">
        <f aca="false">(K3)/(1-0.024)-K3</f>
        <v>0.107213114754098</v>
      </c>
      <c r="L106" s="383"/>
      <c r="O106" s="383"/>
      <c r="P106" s="443"/>
      <c r="Q106" s="443"/>
      <c r="R106" s="406"/>
      <c r="S106" s="439"/>
      <c r="T106" s="439"/>
      <c r="U106" s="383"/>
      <c r="V106" s="439"/>
      <c r="W106" s="439"/>
      <c r="X106" s="383"/>
      <c r="Y106" s="383"/>
      <c r="Z106" s="383"/>
      <c r="AH106" s="447" t="s">
        <v>772</v>
      </c>
      <c r="AI106" s="444" t="n">
        <v>0.003</v>
      </c>
      <c r="AQ106" s="447"/>
      <c r="AR106" s="444"/>
    </row>
    <row r="107" customFormat="false" ht="12.75" hidden="false" customHeight="false" outlineLevel="0" collapsed="false">
      <c r="A107" s="383"/>
      <c r="B107" s="420" t="n">
        <f aca="false">SUM(B104:B106)</f>
        <v>0.029276672366965</v>
      </c>
      <c r="C107" s="409"/>
      <c r="F107" s="409"/>
      <c r="G107" s="421"/>
      <c r="H107" s="422" t="n">
        <f aca="false">SUM(H104:H106)</f>
        <v>0.0751653266331658</v>
      </c>
      <c r="I107" s="383"/>
      <c r="J107" s="401"/>
      <c r="K107" s="422" t="n">
        <f aca="false">SUM(K104:K106)</f>
        <v>0.134313114754098</v>
      </c>
      <c r="L107" s="383"/>
      <c r="O107" s="383"/>
      <c r="P107" s="443" t="n">
        <f aca="false">+'Offseason Rate'!B107+'Offseason Rate'!B3</f>
        <v>4.48897875600041</v>
      </c>
      <c r="Q107" s="443" t="n">
        <f aca="false">+P107*0.4</f>
        <v>1.79559150240016</v>
      </c>
      <c r="R107" s="416"/>
      <c r="S107" s="439" t="n">
        <f aca="false">+'Offseason Rate'!E107+'Offseason Rate'!E3</f>
        <v>2.86511740855002</v>
      </c>
      <c r="T107" s="439" t="n">
        <f aca="false">+S107*0.4</f>
        <v>1.14604696342001</v>
      </c>
      <c r="U107" s="409"/>
      <c r="V107" s="439"/>
      <c r="W107" s="439"/>
      <c r="X107" s="409"/>
      <c r="Y107" s="383"/>
      <c r="Z107" s="383"/>
      <c r="AH107" s="27" t="s">
        <v>773</v>
      </c>
      <c r="AI107" s="444" t="n">
        <v>0.008</v>
      </c>
      <c r="AR107" s="444"/>
    </row>
    <row r="108" customFormat="false" ht="12.75" hidden="false" customHeight="false" outlineLevel="0" collapsed="false">
      <c r="A108" s="409" t="s">
        <v>93</v>
      </c>
      <c r="B108" s="420" t="s">
        <v>851</v>
      </c>
      <c r="C108" s="411"/>
      <c r="F108" s="411"/>
      <c r="G108" s="429" t="s">
        <v>642</v>
      </c>
      <c r="H108" s="442" t="s">
        <v>852</v>
      </c>
      <c r="I108" s="409"/>
      <c r="J108" s="386" t="s">
        <v>644</v>
      </c>
      <c r="K108" s="387" t="s">
        <v>853</v>
      </c>
      <c r="L108" s="409"/>
      <c r="O108" s="409"/>
      <c r="P108" s="443"/>
      <c r="Q108" s="443" t="n">
        <f aca="false">SUM(Q102:Q107)</f>
        <v>4.44555976820243</v>
      </c>
      <c r="R108" s="426"/>
      <c r="S108" s="439"/>
      <c r="T108" s="439" t="n">
        <f aca="false">SUM(T102:T107)</f>
        <v>2.82701929592353</v>
      </c>
      <c r="U108" s="411"/>
      <c r="V108" s="439"/>
      <c r="W108" s="439"/>
      <c r="X108" s="411"/>
      <c r="Y108" s="409"/>
      <c r="Z108" s="409"/>
      <c r="AH108" s="27" t="s">
        <v>779</v>
      </c>
      <c r="AI108" s="444" t="n">
        <v>0.003</v>
      </c>
      <c r="AR108" s="444"/>
    </row>
    <row r="109" customFormat="false" ht="12.75" hidden="false" customHeight="false" outlineLevel="0" collapsed="false">
      <c r="A109" s="469" t="s">
        <v>661</v>
      </c>
      <c r="B109" s="398" t="n">
        <v>0.0092</v>
      </c>
      <c r="F109" s="376"/>
      <c r="G109" s="421" t="s">
        <v>661</v>
      </c>
      <c r="H109" s="400" t="n">
        <v>0.0765</v>
      </c>
      <c r="I109" s="411"/>
      <c r="J109" s="401" t="s">
        <v>661</v>
      </c>
      <c r="K109" s="400" t="n">
        <v>0.0649</v>
      </c>
      <c r="L109" s="411"/>
      <c r="O109" s="411"/>
      <c r="P109" s="416"/>
      <c r="Q109" s="416"/>
      <c r="S109" s="409"/>
      <c r="T109" s="409"/>
      <c r="V109" s="409"/>
      <c r="W109" s="409"/>
      <c r="Y109" s="411"/>
      <c r="Z109" s="411"/>
      <c r="AI109" s="444"/>
      <c r="AR109" s="444"/>
    </row>
    <row r="110" customFormat="false" ht="12.75" hidden="false" customHeight="false" outlineLevel="0" collapsed="false">
      <c r="A110" s="376" t="s">
        <v>119</v>
      </c>
      <c r="B110" s="398" t="n">
        <f aca="false">0.0022+0.0072+0.0131</f>
        <v>0.0225</v>
      </c>
      <c r="C110" s="376"/>
      <c r="F110" s="383"/>
      <c r="G110" s="421" t="s">
        <v>119</v>
      </c>
      <c r="H110" s="400" t="n">
        <f aca="false">0.0022+0.0072</f>
        <v>0.0094</v>
      </c>
      <c r="I110" s="376"/>
      <c r="J110" s="401" t="s">
        <v>119</v>
      </c>
      <c r="K110" s="400" t="n">
        <f aca="false">0.0022+0.0072</f>
        <v>0.0094</v>
      </c>
      <c r="L110" s="376"/>
      <c r="O110" s="376"/>
      <c r="P110" s="426"/>
      <c r="Q110" s="426"/>
      <c r="R110" s="466"/>
      <c r="S110" s="411"/>
      <c r="T110" s="411"/>
      <c r="U110" s="376"/>
      <c r="V110" s="411"/>
      <c r="W110" s="411"/>
      <c r="X110" s="376"/>
      <c r="AH110" s="445" t="n">
        <v>36130</v>
      </c>
      <c r="AQ110" s="445"/>
    </row>
    <row r="111" customFormat="false" ht="12.75" hidden="false" customHeight="false" outlineLevel="0" collapsed="false">
      <c r="A111" s="383" t="s">
        <v>854</v>
      </c>
      <c r="B111" s="410" t="n">
        <f aca="false">4.7/(1-0.0153)-4.7</f>
        <v>0.0730273179648622</v>
      </c>
      <c r="C111" s="383"/>
      <c r="F111" s="383"/>
      <c r="G111" s="421" t="s">
        <v>855</v>
      </c>
      <c r="H111" s="413" t="n">
        <f aca="false">(+H5)/(1-0.0186)-H5</f>
        <v>0.0869920521703689</v>
      </c>
      <c r="I111" s="383"/>
      <c r="J111" s="401" t="s">
        <v>799</v>
      </c>
      <c r="K111" s="413" t="n">
        <f aca="false">(K3)/(1-0.0472)-K3</f>
        <v>0.215986565910999</v>
      </c>
      <c r="L111" s="383"/>
      <c r="O111" s="383"/>
      <c r="P111" s="466"/>
      <c r="Q111" s="466"/>
      <c r="R111" s="406"/>
      <c r="S111" s="376"/>
      <c r="T111" s="376"/>
      <c r="U111" s="383"/>
      <c r="V111" s="376"/>
      <c r="W111" s="376"/>
      <c r="X111" s="383"/>
      <c r="AH111" s="447" t="s">
        <v>772</v>
      </c>
      <c r="AI111" s="444" t="n">
        <v>0.002</v>
      </c>
      <c r="AQ111" s="447"/>
      <c r="AR111" s="444"/>
    </row>
    <row r="112" customFormat="false" ht="12.75" hidden="false" customHeight="false" outlineLevel="0" collapsed="false">
      <c r="A112" s="383"/>
      <c r="B112" s="420" t="n">
        <f aca="false">SUM(B109:B111)</f>
        <v>0.104727317964862</v>
      </c>
      <c r="C112" s="383"/>
      <c r="F112" s="409"/>
      <c r="G112" s="421"/>
      <c r="H112" s="422" t="n">
        <f aca="false">SUM(H109:H111)</f>
        <v>0.172892052170369</v>
      </c>
      <c r="I112" s="383"/>
      <c r="J112" s="401"/>
      <c r="K112" s="422" t="n">
        <f aca="false">SUM(K109:K111)</f>
        <v>0.290286565910999</v>
      </c>
      <c r="L112" s="383"/>
      <c r="O112" s="383"/>
      <c r="P112" s="406"/>
      <c r="Q112" s="406"/>
      <c r="R112" s="406"/>
      <c r="S112" s="383"/>
      <c r="T112" s="383"/>
      <c r="U112" s="383"/>
      <c r="V112" s="383"/>
      <c r="W112" s="383"/>
      <c r="X112" s="383"/>
      <c r="AH112" s="27" t="s">
        <v>773</v>
      </c>
      <c r="AI112" s="444" t="n">
        <v>0.008</v>
      </c>
      <c r="AR112" s="444"/>
    </row>
    <row r="113" customFormat="false" ht="12.75" hidden="false" customHeight="false" outlineLevel="0" collapsed="false">
      <c r="A113" s="409" t="s">
        <v>93</v>
      </c>
      <c r="B113" s="420" t="s">
        <v>856</v>
      </c>
      <c r="C113" s="409"/>
      <c r="F113" s="411"/>
      <c r="G113" s="429" t="s">
        <v>642</v>
      </c>
      <c r="H113" s="442" t="s">
        <v>857</v>
      </c>
      <c r="I113" s="409"/>
      <c r="J113" s="386" t="s">
        <v>644</v>
      </c>
      <c r="K113" s="387" t="s">
        <v>742</v>
      </c>
      <c r="L113" s="409"/>
      <c r="O113" s="409"/>
      <c r="P113" s="406"/>
      <c r="Q113" s="406"/>
      <c r="R113" s="416"/>
      <c r="S113" s="383"/>
      <c r="T113" s="383"/>
      <c r="U113" s="409"/>
      <c r="V113" s="383"/>
      <c r="W113" s="383"/>
      <c r="X113" s="409"/>
      <c r="AH113" s="27" t="s">
        <v>779</v>
      </c>
      <c r="AI113" s="444" t="n">
        <v>0.002</v>
      </c>
      <c r="AR113" s="444"/>
    </row>
    <row r="114" customFormat="false" ht="12.75" hidden="false" customHeight="false" outlineLevel="0" collapsed="false">
      <c r="A114" s="469" t="s">
        <v>661</v>
      </c>
      <c r="B114" s="398" t="n">
        <v>0.0138</v>
      </c>
      <c r="C114" s="411"/>
      <c r="G114" s="421" t="s">
        <v>661</v>
      </c>
      <c r="H114" s="400" t="n">
        <v>0.0765</v>
      </c>
      <c r="I114" s="411"/>
      <c r="J114" s="401" t="s">
        <v>661</v>
      </c>
      <c r="K114" s="400" t="n">
        <v>0.0863</v>
      </c>
      <c r="L114" s="411"/>
      <c r="O114" s="411"/>
      <c r="P114" s="416"/>
      <c r="Q114" s="416"/>
      <c r="R114" s="426"/>
      <c r="S114" s="409"/>
      <c r="T114" s="409"/>
      <c r="U114" s="411"/>
      <c r="V114" s="409"/>
      <c r="W114" s="409"/>
      <c r="X114" s="411"/>
      <c r="AI114" s="444"/>
    </row>
    <row r="115" customFormat="false" ht="12.75" hidden="false" customHeight="false" outlineLevel="0" collapsed="false">
      <c r="A115" s="376" t="s">
        <v>119</v>
      </c>
      <c r="B115" s="398" t="n">
        <f aca="false">0.0022+0.0072+0.0131</f>
        <v>0.0225</v>
      </c>
      <c r="C115" s="376"/>
      <c r="G115" s="421" t="s">
        <v>119</v>
      </c>
      <c r="H115" s="400" t="n">
        <f aca="false">0.0022+0.0072</f>
        <v>0.0094</v>
      </c>
      <c r="J115" s="401" t="s">
        <v>119</v>
      </c>
      <c r="K115" s="400" t="n">
        <f aca="false">0.0022+0.0072</f>
        <v>0.0094</v>
      </c>
      <c r="P115" s="426"/>
      <c r="Q115" s="426"/>
      <c r="R115" s="466"/>
      <c r="S115" s="411"/>
      <c r="T115" s="411"/>
      <c r="U115" s="376"/>
      <c r="V115" s="411"/>
      <c r="W115" s="411"/>
      <c r="X115" s="376"/>
      <c r="AH115" s="445" t="n">
        <v>36100</v>
      </c>
      <c r="AQ115" s="445"/>
    </row>
    <row r="116" customFormat="false" ht="12.75" hidden="false" customHeight="false" outlineLevel="0" collapsed="false">
      <c r="A116" s="383" t="s">
        <v>858</v>
      </c>
      <c r="B116" s="410" t="n">
        <f aca="false">2.3/(1-0.0237)-2.3</f>
        <v>0.0558332479770565</v>
      </c>
      <c r="C116" s="383"/>
      <c r="D116" s="472"/>
      <c r="G116" s="421" t="s">
        <v>859</v>
      </c>
      <c r="H116" s="413" t="n">
        <f aca="false">(+H$5)/(1-0.0127)-H$5</f>
        <v>0.0590428441203281</v>
      </c>
      <c r="J116" s="401" t="s">
        <v>749</v>
      </c>
      <c r="K116" s="413" t="n">
        <f aca="false">(K3)/(1-0.0612)-K3</f>
        <v>0.284226672347678</v>
      </c>
      <c r="R116" s="406"/>
      <c r="U116" s="383"/>
      <c r="X116" s="383"/>
      <c r="AH116" s="447" t="s">
        <v>772</v>
      </c>
      <c r="AI116" s="444" t="n">
        <v>0.003</v>
      </c>
      <c r="AQ116" s="447"/>
      <c r="AR116" s="444"/>
    </row>
    <row r="117" customFormat="false" ht="12.75" hidden="false" customHeight="false" outlineLevel="0" collapsed="false">
      <c r="A117" s="383"/>
      <c r="B117" s="420" t="n">
        <f aca="false">SUM(B114:B116)</f>
        <v>0.0921332479770565</v>
      </c>
      <c r="C117" s="383"/>
      <c r="D117" s="472"/>
      <c r="G117" s="421"/>
      <c r="H117" s="422" t="n">
        <f aca="false">SUM(H114:H116)</f>
        <v>0.144942844120328</v>
      </c>
      <c r="J117" s="401"/>
      <c r="K117" s="422" t="n">
        <f aca="false">SUM(K114:K116)</f>
        <v>0.379926672347678</v>
      </c>
      <c r="P117" s="466"/>
      <c r="Q117" s="466"/>
      <c r="R117" s="406"/>
      <c r="S117" s="376"/>
      <c r="T117" s="376"/>
      <c r="U117" s="383"/>
      <c r="V117" s="376"/>
      <c r="W117" s="376"/>
      <c r="X117" s="383"/>
      <c r="AH117" s="27" t="s">
        <v>773</v>
      </c>
      <c r="AI117" s="444" t="n">
        <v>0.006</v>
      </c>
      <c r="AR117" s="444"/>
    </row>
    <row r="118" customFormat="false" ht="12.75" hidden="false" customHeight="false" outlineLevel="0" collapsed="false">
      <c r="A118" s="409" t="s">
        <v>93</v>
      </c>
      <c r="B118" s="420" t="s">
        <v>860</v>
      </c>
      <c r="C118" s="409"/>
      <c r="G118" s="429" t="s">
        <v>642</v>
      </c>
      <c r="H118" s="442" t="s">
        <v>861</v>
      </c>
      <c r="J118" s="386" t="s">
        <v>644</v>
      </c>
      <c r="K118" s="387" t="s">
        <v>755</v>
      </c>
      <c r="P118" s="406"/>
      <c r="Q118" s="406"/>
      <c r="R118" s="416"/>
      <c r="S118" s="383"/>
      <c r="T118" s="383"/>
      <c r="U118" s="409"/>
      <c r="V118" s="383"/>
      <c r="W118" s="383"/>
      <c r="X118" s="409"/>
      <c r="AH118" s="27" t="s">
        <v>779</v>
      </c>
      <c r="AI118" s="444" t="n">
        <v>0.003</v>
      </c>
      <c r="AR118" s="444"/>
    </row>
    <row r="119" customFormat="false" ht="12.75" hidden="false" customHeight="false" outlineLevel="0" collapsed="false">
      <c r="A119" s="411" t="s">
        <v>661</v>
      </c>
      <c r="B119" s="398" t="n">
        <v>0.005</v>
      </c>
      <c r="C119" s="411"/>
      <c r="G119" s="421" t="s">
        <v>661</v>
      </c>
      <c r="H119" s="400" t="n">
        <v>0.0642</v>
      </c>
      <c r="J119" s="401" t="s">
        <v>661</v>
      </c>
      <c r="K119" s="400" t="n">
        <v>0.1012</v>
      </c>
      <c r="P119" s="406"/>
      <c r="Q119" s="406"/>
      <c r="R119" s="426"/>
      <c r="S119" s="383"/>
      <c r="T119" s="383"/>
      <c r="U119" s="411"/>
      <c r="V119" s="383"/>
      <c r="W119" s="383"/>
      <c r="X119" s="411"/>
      <c r="AI119" s="444"/>
    </row>
    <row r="120" customFormat="false" ht="12.75" hidden="false" customHeight="false" outlineLevel="0" collapsed="false">
      <c r="A120" s="376" t="s">
        <v>119</v>
      </c>
      <c r="B120" s="398" t="n">
        <f aca="false">0.0022+0.0072+0.0131</f>
        <v>0.0225</v>
      </c>
      <c r="G120" s="421" t="s">
        <v>119</v>
      </c>
      <c r="H120" s="400" t="n">
        <f aca="false">0.0022+0.0072</f>
        <v>0.0094</v>
      </c>
      <c r="J120" s="401" t="s">
        <v>119</v>
      </c>
      <c r="K120" s="400" t="n">
        <f aca="false">0.0022+0.0072</f>
        <v>0.0094</v>
      </c>
      <c r="P120" s="416"/>
      <c r="Q120" s="416"/>
      <c r="S120" s="409"/>
      <c r="T120" s="409"/>
      <c r="V120" s="409"/>
      <c r="W120" s="409"/>
      <c r="AH120" s="445" t="n">
        <v>36069</v>
      </c>
      <c r="AQ120" s="445"/>
    </row>
    <row r="121" customFormat="false" ht="12.75" hidden="false" customHeight="false" outlineLevel="0" collapsed="false">
      <c r="A121" s="383" t="s">
        <v>665</v>
      </c>
      <c r="B121" s="410" t="n">
        <f aca="false">B7/(1-0.0084)-B7</f>
        <v>0.0429487696651876</v>
      </c>
      <c r="G121" s="421" t="s">
        <v>862</v>
      </c>
      <c r="H121" s="413" t="n">
        <f aca="false">(+H4)/(1-0.0186)-H4</f>
        <v>0.0822539229671895</v>
      </c>
      <c r="J121" s="401" t="s">
        <v>760</v>
      </c>
      <c r="K121" s="413" t="n">
        <f aca="false">(K3)/(1-0.0705)-K3</f>
        <v>0.330693921463152</v>
      </c>
      <c r="P121" s="426"/>
      <c r="Q121" s="426"/>
      <c r="S121" s="411"/>
      <c r="T121" s="411"/>
      <c r="V121" s="411"/>
      <c r="W121" s="411"/>
      <c r="AH121" s="447" t="s">
        <v>772</v>
      </c>
      <c r="AI121" s="444" t="n">
        <v>0</v>
      </c>
      <c r="AQ121" s="447"/>
      <c r="AR121" s="444"/>
    </row>
    <row r="122" customFormat="false" ht="12.75" hidden="false" customHeight="false" outlineLevel="0" collapsed="false">
      <c r="A122" s="383" t="s">
        <v>694</v>
      </c>
      <c r="B122" s="420" t="n">
        <f aca="false">SUM(B119:B121)</f>
        <v>0.0704487696651876</v>
      </c>
      <c r="G122" s="421"/>
      <c r="H122" s="422" t="n">
        <f aca="false">SUM(H119:H121)</f>
        <v>0.155853922967189</v>
      </c>
      <c r="J122" s="401"/>
      <c r="K122" s="422" t="n">
        <f aca="false">SUM(K119:K121)</f>
        <v>0.441293921463152</v>
      </c>
      <c r="P122" s="466"/>
      <c r="Q122" s="466"/>
      <c r="S122" s="376"/>
      <c r="T122" s="376"/>
      <c r="V122" s="376"/>
      <c r="W122" s="376"/>
      <c r="AH122" s="27" t="s">
        <v>773</v>
      </c>
      <c r="AI122" s="444" t="n">
        <v>0</v>
      </c>
      <c r="AR122" s="444"/>
    </row>
    <row r="123" customFormat="false" ht="12.75" hidden="false" customHeight="false" outlineLevel="0" collapsed="false">
      <c r="A123" s="416" t="s">
        <v>863</v>
      </c>
      <c r="B123" s="311"/>
      <c r="G123" s="429" t="s">
        <v>864</v>
      </c>
      <c r="H123" s="430"/>
      <c r="J123" s="386" t="s">
        <v>644</v>
      </c>
      <c r="K123" s="387" t="s">
        <v>865</v>
      </c>
      <c r="P123" s="406"/>
      <c r="Q123" s="406"/>
      <c r="S123" s="383"/>
      <c r="T123" s="383"/>
      <c r="V123" s="383"/>
      <c r="W123" s="383"/>
      <c r="AH123" s="27" t="s">
        <v>779</v>
      </c>
      <c r="AI123" s="444" t="n">
        <v>0</v>
      </c>
      <c r="AR123" s="444"/>
    </row>
    <row r="124" customFormat="false" ht="12.75" hidden="false" customHeight="false" outlineLevel="0" collapsed="false">
      <c r="A124" s="426" t="s">
        <v>93</v>
      </c>
      <c r="B124" s="311"/>
      <c r="G124" s="399" t="s">
        <v>661</v>
      </c>
      <c r="H124" s="400" t="n">
        <v>0.0094</v>
      </c>
      <c r="J124" s="401" t="s">
        <v>661</v>
      </c>
      <c r="K124" s="400" t="n">
        <v>0.0472</v>
      </c>
      <c r="P124" s="406"/>
      <c r="Q124" s="406"/>
      <c r="S124" s="383"/>
      <c r="T124" s="383"/>
      <c r="V124" s="383"/>
      <c r="W124" s="383"/>
    </row>
    <row r="125" customFormat="false" ht="12.75" hidden="false" customHeight="false" outlineLevel="0" collapsed="false">
      <c r="A125" s="426" t="s">
        <v>866</v>
      </c>
      <c r="B125" s="311"/>
      <c r="G125" s="399" t="s">
        <v>119</v>
      </c>
      <c r="H125" s="400" t="n">
        <v>0.0022</v>
      </c>
      <c r="J125" s="401" t="s">
        <v>119</v>
      </c>
      <c r="K125" s="400" t="n">
        <f aca="false">0.0022+0.0072</f>
        <v>0.0094</v>
      </c>
      <c r="P125" s="416"/>
      <c r="Q125" s="416"/>
      <c r="S125" s="409"/>
      <c r="T125" s="409"/>
      <c r="V125" s="409"/>
      <c r="W125" s="409"/>
      <c r="AH125" s="445" t="n">
        <v>36039</v>
      </c>
      <c r="AQ125" s="445"/>
    </row>
    <row r="126" customFormat="false" ht="12.75" hidden="false" customHeight="false" outlineLevel="0" collapsed="false">
      <c r="A126" s="443" t="s">
        <v>867</v>
      </c>
      <c r="B126" s="311"/>
      <c r="G126" s="399" t="s">
        <v>868</v>
      </c>
      <c r="H126" s="413" t="n">
        <f aca="false">(+AI3+AI17)/(1-0.0131)-(+AI3+AI17)</f>
        <v>0.061029149922037</v>
      </c>
      <c r="J126" s="401" t="s">
        <v>869</v>
      </c>
      <c r="K126" s="413" t="n">
        <f aca="false">(K6)/(1-0.0232)-(K6)</f>
        <v>0.105692055692056</v>
      </c>
      <c r="P126" s="426"/>
      <c r="Q126" s="426"/>
      <c r="S126" s="411"/>
      <c r="T126" s="411"/>
      <c r="V126" s="411"/>
      <c r="W126" s="411"/>
      <c r="AH126" s="447" t="s">
        <v>772</v>
      </c>
      <c r="AI126" s="444" t="n">
        <v>0</v>
      </c>
      <c r="AQ126" s="447"/>
      <c r="AR126" s="444"/>
    </row>
    <row r="127" customFormat="false" ht="12.75" hidden="false" customHeight="false" outlineLevel="0" collapsed="false">
      <c r="A127" s="443" t="s">
        <v>93</v>
      </c>
      <c r="B127" s="425" t="s">
        <v>870</v>
      </c>
      <c r="G127" s="421"/>
      <c r="H127" s="422" t="n">
        <f aca="false">SUM(H124:H126)</f>
        <v>0.072629149922037</v>
      </c>
      <c r="J127" s="401"/>
      <c r="K127" s="422" t="n">
        <f aca="false">SUM(K124:K126)</f>
        <v>0.162292055692056</v>
      </c>
      <c r="AH127" s="27" t="s">
        <v>773</v>
      </c>
      <c r="AI127" s="444" t="n">
        <v>0</v>
      </c>
      <c r="AR127" s="444"/>
    </row>
    <row r="128" customFormat="false" ht="12.75" hidden="false" customHeight="false" outlineLevel="0" collapsed="false">
      <c r="A128" s="443" t="s">
        <v>661</v>
      </c>
      <c r="B128" s="473" t="n">
        <v>0.0016</v>
      </c>
      <c r="G128" s="429" t="s">
        <v>642</v>
      </c>
      <c r="H128" s="430" t="s">
        <v>871</v>
      </c>
      <c r="J128" s="386" t="s">
        <v>644</v>
      </c>
      <c r="K128" s="387" t="s">
        <v>765</v>
      </c>
      <c r="AH128" s="27" t="s">
        <v>779</v>
      </c>
      <c r="AI128" s="444" t="n">
        <v>0</v>
      </c>
      <c r="AR128" s="444"/>
    </row>
    <row r="129" customFormat="false" ht="12.75" hidden="false" customHeight="false" outlineLevel="0" collapsed="false">
      <c r="A129" s="416" t="s">
        <v>119</v>
      </c>
      <c r="B129" s="473" t="n">
        <f aca="false">0.0022+0.0072+0.0131</f>
        <v>0.0225</v>
      </c>
      <c r="G129" s="399" t="s">
        <v>661</v>
      </c>
      <c r="H129" s="400" t="n">
        <v>0.0459</v>
      </c>
      <c r="J129" s="401" t="s">
        <v>661</v>
      </c>
      <c r="K129" s="400" t="n">
        <v>0.0686</v>
      </c>
    </row>
    <row r="130" customFormat="false" ht="12.75" hidden="false" customHeight="false" outlineLevel="0" collapsed="false">
      <c r="A130" s="426" t="s">
        <v>805</v>
      </c>
      <c r="B130" s="415" t="n">
        <f aca="false">B3/(1-0.019)-B3</f>
        <v>0.0861875637104994</v>
      </c>
      <c r="G130" s="399" t="s">
        <v>119</v>
      </c>
      <c r="H130" s="400" t="n">
        <f aca="false">0.0022+0.0072</f>
        <v>0.0094</v>
      </c>
      <c r="J130" s="401" t="s">
        <v>119</v>
      </c>
      <c r="K130" s="400" t="n">
        <f aca="false">0.0022+0.0072</f>
        <v>0.0094</v>
      </c>
      <c r="AH130" s="445" t="n">
        <v>36008</v>
      </c>
    </row>
    <row r="131" customFormat="false" ht="12.75" hidden="false" customHeight="false" outlineLevel="0" collapsed="false">
      <c r="A131" s="466" t="s">
        <v>694</v>
      </c>
      <c r="B131" s="425" t="n">
        <f aca="false">SUM(B128:B130)</f>
        <v>0.110287563710499</v>
      </c>
      <c r="G131" s="399" t="s">
        <v>872</v>
      </c>
      <c r="H131" s="413" t="n">
        <f aca="false">(+H5)/(1-0.0107)-H5</f>
        <v>0.0496441928636413</v>
      </c>
      <c r="J131" s="401" t="s">
        <v>771</v>
      </c>
      <c r="K131" s="413" t="n">
        <f aca="false">(K6)/(1-0.0372)-(K6)</f>
        <v>0.171936019941836</v>
      </c>
      <c r="AH131" s="447" t="s">
        <v>772</v>
      </c>
      <c r="AI131" s="444" t="n">
        <v>0</v>
      </c>
    </row>
    <row r="132" customFormat="false" ht="12.75" hidden="false" customHeight="false" outlineLevel="0" collapsed="false">
      <c r="A132" s="406"/>
      <c r="B132" s="311"/>
      <c r="G132" s="421"/>
      <c r="H132" s="422" t="n">
        <f aca="false">SUM(H129:H131)</f>
        <v>0.104944192863641</v>
      </c>
      <c r="J132" s="401"/>
      <c r="K132" s="422" t="n">
        <f aca="false">SUM(K129:K131)</f>
        <v>0.249936019941836</v>
      </c>
      <c r="AH132" s="27" t="s">
        <v>773</v>
      </c>
      <c r="AI132" s="444" t="n">
        <v>0</v>
      </c>
    </row>
    <row r="133" customFormat="false" ht="12.75" hidden="false" customHeight="false" outlineLevel="0" collapsed="false">
      <c r="A133" s="426" t="s">
        <v>93</v>
      </c>
      <c r="B133" s="311"/>
      <c r="G133" s="429" t="s">
        <v>642</v>
      </c>
      <c r="H133" s="430" t="s">
        <v>873</v>
      </c>
      <c r="J133" s="386" t="s">
        <v>644</v>
      </c>
      <c r="K133" s="387" t="s">
        <v>778</v>
      </c>
      <c r="AH133" s="27" t="s">
        <v>779</v>
      </c>
      <c r="AI133" s="444" t="n">
        <v>0</v>
      </c>
    </row>
    <row r="134" customFormat="false" ht="12.75" hidden="false" customHeight="false" outlineLevel="0" collapsed="false">
      <c r="A134" s="426" t="s">
        <v>874</v>
      </c>
      <c r="B134" s="311"/>
      <c r="G134" s="399" t="s">
        <v>661</v>
      </c>
      <c r="H134" s="474" t="n">
        <v>0.1577</v>
      </c>
      <c r="J134" s="401" t="s">
        <v>661</v>
      </c>
      <c r="K134" s="400" t="n">
        <v>0.0835</v>
      </c>
    </row>
    <row r="135" customFormat="false" ht="12.75" hidden="false" customHeight="false" outlineLevel="0" collapsed="false">
      <c r="A135" s="443" t="s">
        <v>875</v>
      </c>
      <c r="B135" s="311"/>
      <c r="G135" s="399" t="s">
        <v>119</v>
      </c>
      <c r="H135" s="400" t="n">
        <f aca="false">0.0022+0+0.0225+0.0072</f>
        <v>0.0319</v>
      </c>
      <c r="J135" s="401" t="s">
        <v>119</v>
      </c>
      <c r="K135" s="400" t="n">
        <f aca="false">0.0022+0.0072</f>
        <v>0.0094</v>
      </c>
      <c r="AH135" s="445" t="n">
        <v>35977</v>
      </c>
    </row>
    <row r="136" customFormat="false" ht="12.75" hidden="false" customHeight="false" outlineLevel="0" collapsed="false">
      <c r="A136" s="443" t="s">
        <v>93</v>
      </c>
      <c r="B136" s="425" t="s">
        <v>860</v>
      </c>
      <c r="G136" s="399" t="s">
        <v>783</v>
      </c>
      <c r="H136" s="412" t="n">
        <f aca="false">(H4)/(1-0.095)-H4</f>
        <v>0.455580110497237</v>
      </c>
      <c r="J136" s="401" t="s">
        <v>784</v>
      </c>
      <c r="K136" s="413" t="n">
        <f aca="false">(K6)/(1-0.0465)-(K6)</f>
        <v>0.217016255899318</v>
      </c>
      <c r="AH136" s="447" t="s">
        <v>772</v>
      </c>
      <c r="AI136" s="444" t="n">
        <v>0</v>
      </c>
    </row>
    <row r="137" customFormat="false" ht="12.75" hidden="false" customHeight="false" outlineLevel="0" collapsed="false">
      <c r="A137" s="443" t="s">
        <v>661</v>
      </c>
      <c r="B137" s="473" t="n">
        <v>0.0057</v>
      </c>
      <c r="G137" s="421"/>
      <c r="H137" s="422" t="n">
        <f aca="false">SUM(H134:H136)</f>
        <v>0.645180110497237</v>
      </c>
      <c r="J137" s="401"/>
      <c r="K137" s="422" t="n">
        <f aca="false">SUM(K134:K136)</f>
        <v>0.309916255899318</v>
      </c>
      <c r="AH137" s="27" t="s">
        <v>773</v>
      </c>
      <c r="AI137" s="444" t="n">
        <v>0</v>
      </c>
    </row>
    <row r="138" customFormat="false" ht="12.75" hidden="false" customHeight="false" outlineLevel="0" collapsed="false">
      <c r="A138" s="416" t="s">
        <v>119</v>
      </c>
      <c r="B138" s="473" t="n">
        <f aca="false">0.0072+0.0022</f>
        <v>0.0094</v>
      </c>
      <c r="E138" s="73"/>
      <c r="F138" s="73"/>
      <c r="G138" s="429" t="s">
        <v>642</v>
      </c>
      <c r="H138" s="430" t="s">
        <v>876</v>
      </c>
      <c r="I138" s="73"/>
      <c r="J138" s="386" t="s">
        <v>644</v>
      </c>
      <c r="K138" s="422" t="s">
        <v>877</v>
      </c>
      <c r="L138" s="73"/>
      <c r="AH138" s="27" t="s">
        <v>779</v>
      </c>
      <c r="AI138" s="444" t="n">
        <v>0</v>
      </c>
    </row>
    <row r="139" customFormat="false" ht="12.75" hidden="false" customHeight="false" outlineLevel="0" collapsed="false">
      <c r="A139" s="426" t="s">
        <v>878</v>
      </c>
      <c r="B139" s="415" t="n">
        <f aca="false">B7/(1-0.0084)-B7</f>
        <v>0.0429487696651876</v>
      </c>
      <c r="E139" s="73"/>
      <c r="F139" s="73"/>
      <c r="G139" s="399" t="s">
        <v>661</v>
      </c>
      <c r="H139" s="474" t="n">
        <v>0.319</v>
      </c>
      <c r="I139" s="73"/>
      <c r="J139" s="401" t="s">
        <v>661</v>
      </c>
      <c r="K139" s="475" t="n">
        <v>0.0583</v>
      </c>
      <c r="L139" s="73"/>
    </row>
    <row r="140" customFormat="false" ht="12.75" hidden="false" customHeight="false" outlineLevel="0" collapsed="false">
      <c r="A140" s="466" t="s">
        <v>694</v>
      </c>
      <c r="B140" s="425" t="n">
        <f aca="false">SUM(B137:B139)</f>
        <v>0.0580487696651876</v>
      </c>
      <c r="E140" s="73"/>
      <c r="F140" s="73"/>
      <c r="G140" s="399" t="s">
        <v>119</v>
      </c>
      <c r="H140" s="400" t="n">
        <f aca="false">0.0022+0+0.0225+0.0072</f>
        <v>0.0319</v>
      </c>
      <c r="I140" s="73"/>
      <c r="J140" s="401" t="s">
        <v>119</v>
      </c>
      <c r="K140" s="400" t="n">
        <f aca="false">0.0022</f>
        <v>0.0022</v>
      </c>
      <c r="L140" s="73"/>
    </row>
    <row r="141" customFormat="false" ht="12.75" hidden="false" customHeight="false" outlineLevel="0" collapsed="false">
      <c r="A141" s="426"/>
      <c r="B141" s="311"/>
      <c r="E141" s="73"/>
      <c r="F141" s="73"/>
      <c r="G141" s="399" t="s">
        <v>696</v>
      </c>
      <c r="H141" s="412" t="n">
        <f aca="false">(H3)/(1-0.0244)-H3</f>
        <v>0.107669126691267</v>
      </c>
      <c r="I141" s="73"/>
      <c r="J141" s="401" t="s">
        <v>879</v>
      </c>
      <c r="K141" s="413" t="n">
        <f aca="false">(K6)/(1-0.0304)-K6</f>
        <v>0.139521452145215</v>
      </c>
      <c r="L141" s="73"/>
    </row>
    <row r="142" customFormat="false" ht="12.75" hidden="false" customHeight="false" outlineLevel="0" collapsed="false">
      <c r="A142" s="466" t="s">
        <v>880</v>
      </c>
      <c r="B142" s="311"/>
      <c r="E142" s="73"/>
      <c r="F142" s="73"/>
      <c r="G142" s="421"/>
      <c r="H142" s="422" t="n">
        <f aca="false">SUM(H139:H141)</f>
        <v>0.458569126691267</v>
      </c>
      <c r="I142" s="73"/>
      <c r="J142" s="401"/>
      <c r="K142" s="422" t="n">
        <f aca="false">SUM(K139:K141)</f>
        <v>0.200021452145215</v>
      </c>
      <c r="L142" s="73"/>
    </row>
    <row r="143" customFormat="false" ht="12.75" hidden="false" customHeight="false" outlineLevel="0" collapsed="false">
      <c r="A143" s="406" t="s">
        <v>881</v>
      </c>
      <c r="B143" s="311"/>
      <c r="E143" s="73"/>
      <c r="F143" s="73"/>
      <c r="G143" s="429" t="s">
        <v>642</v>
      </c>
      <c r="H143" s="430" t="s">
        <v>882</v>
      </c>
      <c r="I143" s="73"/>
      <c r="J143" s="386" t="s">
        <v>644</v>
      </c>
      <c r="K143" s="422" t="s">
        <v>789</v>
      </c>
      <c r="L143" s="73"/>
    </row>
    <row r="144" customFormat="false" ht="12.75" hidden="false" customHeight="false" outlineLevel="0" collapsed="false">
      <c r="A144" s="406" t="s">
        <v>662</v>
      </c>
      <c r="B144" s="311" t="n">
        <v>0.045</v>
      </c>
      <c r="E144" s="73"/>
      <c r="F144" s="73"/>
      <c r="G144" s="399" t="s">
        <v>661</v>
      </c>
      <c r="H144" s="474" t="n">
        <v>0.3681</v>
      </c>
      <c r="I144" s="73"/>
      <c r="J144" s="401" t="s">
        <v>661</v>
      </c>
      <c r="K144" s="475" t="n">
        <v>0.0731</v>
      </c>
      <c r="L144" s="73"/>
    </row>
    <row r="145" customFormat="false" ht="12.75" hidden="false" customHeight="false" outlineLevel="0" collapsed="false">
      <c r="A145" s="416" t="s">
        <v>119</v>
      </c>
      <c r="B145" s="311" t="n">
        <f aca="false">0.0022+0.0072</f>
        <v>0.0094</v>
      </c>
      <c r="E145" s="73"/>
      <c r="F145" s="73"/>
      <c r="G145" s="399" t="s">
        <v>119</v>
      </c>
      <c r="H145" s="400" t="n">
        <f aca="false">0.0022+0+0.0225+0.0072</f>
        <v>0.0319</v>
      </c>
      <c r="I145" s="73"/>
      <c r="J145" s="401" t="s">
        <v>119</v>
      </c>
      <c r="K145" s="400" t="n">
        <f aca="false">0.0022+0.0072</f>
        <v>0.0094</v>
      </c>
      <c r="L145" s="73"/>
    </row>
    <row r="146" customFormat="false" ht="12.75" hidden="false" customHeight="false" outlineLevel="0" collapsed="false">
      <c r="A146" s="426" t="s">
        <v>883</v>
      </c>
      <c r="B146" s="311" t="n">
        <f aca="false">ROUND(+B4/(1-0.0706)-B4,4)</f>
        <v>0.3487</v>
      </c>
      <c r="G146" s="399" t="s">
        <v>800</v>
      </c>
      <c r="H146" s="412" t="n">
        <f aca="false">(H4)/(1-0.0369)-H4</f>
        <v>0.166281798359464</v>
      </c>
      <c r="J146" s="401" t="s">
        <v>793</v>
      </c>
      <c r="K146" s="413" t="n">
        <f aca="false">(K6)/(1-0.0399)-K6</f>
        <v>0.18493386105614</v>
      </c>
    </row>
    <row r="147" customFormat="false" ht="13.5" hidden="false" customHeight="false" outlineLevel="0" collapsed="false">
      <c r="A147" s="311"/>
      <c r="B147" s="476" t="n">
        <f aca="false">SUM(B144:B146)</f>
        <v>0.4031</v>
      </c>
      <c r="G147" s="421"/>
      <c r="H147" s="422" t="n">
        <f aca="false">SUM(H144:H146)</f>
        <v>0.566281798359464</v>
      </c>
      <c r="J147" s="401"/>
      <c r="K147" s="422" t="n">
        <f aca="false">SUM(K144:K146)</f>
        <v>0.26743386105614</v>
      </c>
    </row>
    <row r="148" customFormat="false" ht="13.5" hidden="false" customHeight="false" outlineLevel="0" collapsed="false">
      <c r="A148" s="311"/>
      <c r="B148" s="311"/>
      <c r="G148" s="399" t="s">
        <v>1</v>
      </c>
      <c r="H148" s="400" t="s">
        <v>1</v>
      </c>
      <c r="J148" s="386" t="s">
        <v>644</v>
      </c>
      <c r="K148" s="422" t="s">
        <v>797</v>
      </c>
    </row>
    <row r="149" customFormat="false" ht="12.75" hidden="false" customHeight="false" outlineLevel="0" collapsed="false">
      <c r="A149" s="311" t="s">
        <v>884</v>
      </c>
      <c r="B149" s="477"/>
      <c r="G149" s="429" t="s">
        <v>642</v>
      </c>
      <c r="H149" s="442" t="s">
        <v>885</v>
      </c>
      <c r="J149" s="401" t="s">
        <v>661</v>
      </c>
      <c r="K149" s="475" t="n">
        <v>0.0515</v>
      </c>
    </row>
    <row r="150" customFormat="false" ht="12.75" hidden="false" customHeight="false" outlineLevel="0" collapsed="false">
      <c r="A150" s="443" t="s">
        <v>886</v>
      </c>
      <c r="B150" s="311"/>
      <c r="G150" s="421" t="s">
        <v>661</v>
      </c>
      <c r="H150" s="474" t="n">
        <v>0.1764</v>
      </c>
      <c r="J150" s="401" t="s">
        <v>119</v>
      </c>
      <c r="K150" s="400" t="n">
        <f aca="false">0.0022+0.0072</f>
        <v>0.0094</v>
      </c>
    </row>
    <row r="151" customFormat="false" ht="12.75" hidden="false" customHeight="false" outlineLevel="0" collapsed="false">
      <c r="A151" s="443" t="s">
        <v>93</v>
      </c>
      <c r="B151" s="425" t="s">
        <v>860</v>
      </c>
      <c r="G151" s="421" t="s">
        <v>119</v>
      </c>
      <c r="H151" s="400" t="n">
        <f aca="false">0.0022+0.0072</f>
        <v>0.0094</v>
      </c>
      <c r="J151" s="401" t="s">
        <v>735</v>
      </c>
      <c r="K151" s="413" t="n">
        <f aca="false">(K$7)/(1-0.026)-K$7</f>
        <v>0.127197125256673</v>
      </c>
    </row>
    <row r="152" customFormat="false" ht="12.75" hidden="false" customHeight="false" outlineLevel="0" collapsed="false">
      <c r="A152" s="443" t="s">
        <v>661</v>
      </c>
      <c r="B152" s="473" t="n">
        <v>0.0055</v>
      </c>
      <c r="G152" s="421" t="s">
        <v>845</v>
      </c>
      <c r="H152" s="413" t="n">
        <f aca="false">(H5)/(1-0.0117)-H5</f>
        <v>0.0543387635333401</v>
      </c>
      <c r="J152" s="401"/>
      <c r="K152" s="422" t="n">
        <f aca="false">SUM(K149:K151)</f>
        <v>0.188097125256673</v>
      </c>
    </row>
    <row r="153" customFormat="false" ht="12.75" hidden="false" customHeight="false" outlineLevel="0" collapsed="false">
      <c r="A153" s="416" t="s">
        <v>119</v>
      </c>
      <c r="B153" s="473" t="n">
        <v>0.0167</v>
      </c>
      <c r="G153" s="421"/>
      <c r="H153" s="422" t="n">
        <f aca="false">SUM(H150:H152)</f>
        <v>0.24013876353334</v>
      </c>
      <c r="J153" s="478"/>
      <c r="K153" s="478"/>
    </row>
    <row r="154" customFormat="false" ht="12.75" hidden="false" customHeight="false" outlineLevel="0" collapsed="false">
      <c r="A154" s="426" t="s">
        <v>878</v>
      </c>
      <c r="B154" s="415" t="n">
        <f aca="false">B7/(1-0.0084)-B7</f>
        <v>0.0429487696651876</v>
      </c>
      <c r="G154" s="312"/>
      <c r="H154" s="312"/>
      <c r="J154" s="461"/>
      <c r="K154" s="462"/>
    </row>
    <row r="155" customFormat="false" ht="12.75" hidden="false" customHeight="false" outlineLevel="0" collapsed="false">
      <c r="A155" s="466" t="s">
        <v>694</v>
      </c>
      <c r="B155" s="425" t="n">
        <f aca="false">SUM(B152:B154)</f>
        <v>0.0651487696651876</v>
      </c>
      <c r="G155" s="399" t="s">
        <v>1</v>
      </c>
      <c r="H155" s="400" t="s">
        <v>1</v>
      </c>
      <c r="J155" s="461"/>
      <c r="K155" s="461"/>
    </row>
    <row r="156" customFormat="false" ht="12.75" hidden="false" customHeight="false" outlineLevel="0" collapsed="false">
      <c r="A156" s="426"/>
      <c r="B156" s="311"/>
      <c r="G156" s="399" t="s">
        <v>1</v>
      </c>
      <c r="H156" s="400" t="s">
        <v>1</v>
      </c>
      <c r="J156" s="461"/>
      <c r="K156" s="464"/>
    </row>
    <row r="157" customFormat="false" ht="12.75" hidden="false" customHeight="false" outlineLevel="0" collapsed="false">
      <c r="G157" s="312"/>
      <c r="H157" s="312"/>
      <c r="J157" s="461"/>
      <c r="K157" s="460"/>
    </row>
    <row r="158" customFormat="false" ht="12.75" hidden="false" customHeight="false" outlineLevel="0" collapsed="false">
      <c r="G158" s="479"/>
      <c r="H158" s="479"/>
      <c r="J158" s="461"/>
      <c r="K158" s="461"/>
    </row>
    <row r="159" customFormat="false" ht="12.75" hidden="false" customHeight="false" outlineLevel="0" collapsed="false">
      <c r="G159" s="480"/>
      <c r="H159" s="480"/>
      <c r="J159" s="461"/>
      <c r="K159" s="461"/>
    </row>
    <row r="160" customFormat="false" ht="12.75" hidden="false" customHeight="false" outlineLevel="0" collapsed="false">
      <c r="G160" s="481" t="s">
        <v>1</v>
      </c>
      <c r="H160" s="461" t="s">
        <v>1</v>
      </c>
      <c r="J160" s="464"/>
      <c r="K160" s="464"/>
    </row>
    <row r="161" customFormat="false" ht="12.75" hidden="false" customHeight="false" outlineLevel="0" collapsed="false">
      <c r="G161" s="481" t="s">
        <v>1</v>
      </c>
      <c r="H161" s="461" t="s">
        <v>1</v>
      </c>
      <c r="J161" s="460"/>
      <c r="K161" s="460"/>
    </row>
    <row r="162" customFormat="false" ht="12.75" hidden="false" customHeight="false" outlineLevel="0" collapsed="false">
      <c r="G162" s="480"/>
      <c r="H162" s="480"/>
      <c r="J162" s="465"/>
      <c r="K162" s="465"/>
    </row>
    <row r="163" customFormat="false" ht="12.75" hidden="false" customHeight="false" outlineLevel="0" collapsed="false">
      <c r="G163" s="480"/>
      <c r="H163" s="480"/>
      <c r="J163" s="461"/>
      <c r="K163" s="461"/>
    </row>
    <row r="164" customFormat="false" ht="12.75" hidden="false" customHeight="false" outlineLevel="0" collapsed="false">
      <c r="G164" s="480"/>
      <c r="H164" s="480"/>
      <c r="J164" s="461"/>
      <c r="K164" s="461"/>
    </row>
    <row r="165" customFormat="false" ht="12.75" hidden="false" customHeight="false" outlineLevel="0" collapsed="false">
      <c r="G165" s="480"/>
      <c r="H165" s="480"/>
      <c r="J165" s="464"/>
      <c r="K165" s="464"/>
    </row>
    <row r="166" customFormat="false" ht="12.75" hidden="false" customHeight="false" outlineLevel="0" collapsed="false">
      <c r="J166" s="460"/>
      <c r="K166" s="460"/>
    </row>
    <row r="167" customFormat="false" ht="12.75" hidden="false" customHeight="false" outlineLevel="0" collapsed="false">
      <c r="J167" s="460"/>
      <c r="K167" s="460"/>
    </row>
    <row r="168" customFormat="false" ht="12.75" hidden="false" customHeight="false" outlineLevel="0" collapsed="false">
      <c r="J168" s="462"/>
      <c r="K168" s="462"/>
    </row>
    <row r="169" customFormat="false" ht="12.75" hidden="false" customHeight="false" outlineLevel="0" collapsed="false">
      <c r="J169" s="462"/>
      <c r="K169" s="462"/>
    </row>
    <row r="170" customFormat="false" ht="12.75" hidden="false" customHeight="false" outlineLevel="0" collapsed="false">
      <c r="J170" s="462"/>
      <c r="K170" s="462"/>
    </row>
    <row r="171" customFormat="false" ht="12.75" hidden="false" customHeight="false" outlineLevel="0" collapsed="false">
      <c r="J171" s="464"/>
      <c r="K171" s="464"/>
    </row>
    <row r="172" customFormat="false" ht="12.75" hidden="false" customHeight="false" outlineLevel="0" collapsed="false">
      <c r="J172" s="460"/>
      <c r="K172" s="460"/>
    </row>
    <row r="173" customFormat="false" ht="12.75" hidden="false" customHeight="false" outlineLevel="0" collapsed="false">
      <c r="J173" s="465"/>
      <c r="K173" s="465"/>
    </row>
    <row r="174" customFormat="false" ht="12.75" hidden="false" customHeight="false" outlineLevel="0" collapsed="false">
      <c r="J174" s="461"/>
      <c r="K174" s="461"/>
    </row>
    <row r="175" customFormat="false" ht="12.75" hidden="false" customHeight="false" outlineLevel="0" collapsed="false">
      <c r="J175" s="461"/>
      <c r="K175" s="461"/>
    </row>
    <row r="176" customFormat="false" ht="12.75" hidden="false" customHeight="false" outlineLevel="0" collapsed="false">
      <c r="J176" s="464"/>
      <c r="K176" s="464"/>
    </row>
    <row r="177" customFormat="false" ht="12.75" hidden="false" customHeight="false" outlineLevel="0" collapsed="false">
      <c r="J177" s="460"/>
      <c r="K177" s="460"/>
    </row>
    <row r="179" customFormat="false" ht="12.75" hidden="false" customHeight="false" outlineLevel="0" collapsed="false">
      <c r="J179" s="465"/>
      <c r="K179" s="465"/>
    </row>
    <row r="180" customFormat="false" ht="12.75" hidden="false" customHeight="false" outlineLevel="0" collapsed="false">
      <c r="J180" s="461"/>
      <c r="K180" s="461"/>
    </row>
    <row r="181" customFormat="false" ht="12.75" hidden="false" customHeight="false" outlineLevel="0" collapsed="false">
      <c r="J181" s="461"/>
      <c r="K181" s="461"/>
    </row>
    <row r="182" customFormat="false" ht="12.75" hidden="false" customHeight="false" outlineLevel="0" collapsed="false">
      <c r="J182" s="464"/>
      <c r="K182" s="464"/>
    </row>
    <row r="183" customFormat="false" ht="12.75" hidden="false" customHeight="false" outlineLevel="0" collapsed="false">
      <c r="J183" s="460"/>
      <c r="K183" s="460"/>
    </row>
    <row r="184" customFormat="false" ht="12.75" hidden="false" customHeight="false" outlineLevel="0" collapsed="false">
      <c r="J184" s="465"/>
      <c r="K184" s="465"/>
    </row>
    <row r="185" customFormat="false" ht="12.75" hidden="false" customHeight="false" outlineLevel="0" collapsed="false">
      <c r="J185" s="461"/>
      <c r="K185" s="461"/>
    </row>
    <row r="186" customFormat="false" ht="12.75" hidden="false" customHeight="false" outlineLevel="0" collapsed="false">
      <c r="J186" s="461"/>
      <c r="K186" s="461"/>
    </row>
    <row r="187" customFormat="false" ht="12.75" hidden="false" customHeight="false" outlineLevel="0" collapsed="false">
      <c r="J187" s="464"/>
      <c r="K187" s="464"/>
    </row>
    <row r="188" customFormat="false" ht="12.75" hidden="false" customHeight="false" outlineLevel="0" collapsed="false">
      <c r="J188" s="460"/>
      <c r="K188" s="460"/>
    </row>
  </sheetData>
  <mergeCells count="1">
    <mergeCell ref="G2:I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3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312" width="10.85"/>
    <col collapsed="false" customWidth="true" hidden="false" outlineLevel="0" max="3" min="3" style="27" width="2.84"/>
    <col collapsed="false" customWidth="true" hidden="false" outlineLevel="0" max="5" min="4" style="312" width="10.85"/>
    <col collapsed="false" customWidth="true" hidden="false" outlineLevel="0" max="6" min="6" style="27" width="2.84"/>
    <col collapsed="false" customWidth="true" hidden="false" outlineLevel="0" max="8" min="7" style="159" width="10.85"/>
    <col collapsed="false" customWidth="true" hidden="false" outlineLevel="0" max="9" min="9" style="27" width="2.84"/>
    <col collapsed="false" customWidth="true" hidden="false" outlineLevel="0" max="11" min="10" style="312" width="9.14"/>
    <col collapsed="false" customWidth="true" hidden="false" outlineLevel="0" max="12" min="12" style="27" width="3.42"/>
    <col collapsed="false" customWidth="true" hidden="false" outlineLevel="0" max="14" min="13" style="312" width="9.14"/>
    <col collapsed="false" customWidth="true" hidden="false" outlineLevel="0" max="15" min="15" style="27" width="3.42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482" t="s">
        <v>1</v>
      </c>
      <c r="B2" s="482"/>
      <c r="C2" s="482"/>
      <c r="D2" s="482" t="s">
        <v>1</v>
      </c>
      <c r="E2" s="483"/>
      <c r="F2" s="314"/>
      <c r="G2" s="318"/>
      <c r="H2" s="317" t="s">
        <v>568</v>
      </c>
      <c r="I2" s="314"/>
      <c r="K2" s="325" t="s">
        <v>887</v>
      </c>
    </row>
    <row r="3" customFormat="false" ht="12.75" hidden="false" customHeight="false" outlineLevel="0" collapsed="false">
      <c r="A3" s="366" t="s">
        <v>573</v>
      </c>
      <c r="B3" s="484" t="n">
        <f aca="false">+Rates!H3</f>
        <v>4.305</v>
      </c>
      <c r="C3" s="314"/>
      <c r="D3" s="485" t="s">
        <v>574</v>
      </c>
      <c r="E3" s="336" t="n">
        <v>2.5</v>
      </c>
      <c r="F3" s="314"/>
      <c r="G3" s="319" t="s">
        <v>574</v>
      </c>
      <c r="H3" s="328" t="n">
        <f aca="false">+E3</f>
        <v>2.5</v>
      </c>
      <c r="I3" s="314"/>
      <c r="J3" s="335" t="s">
        <v>578</v>
      </c>
      <c r="K3" s="337" t="n">
        <f aca="false">+Rates!AF3</f>
        <v>4.405</v>
      </c>
      <c r="M3" s="485" t="s">
        <v>358</v>
      </c>
      <c r="N3" s="336" t="n">
        <v>2.97</v>
      </c>
    </row>
    <row r="4" customFormat="false" ht="12.75" hidden="false" customHeight="false" outlineLevel="0" collapsed="false">
      <c r="A4" s="366" t="s">
        <v>582</v>
      </c>
      <c r="B4" s="486" t="n">
        <f aca="false">+Rates!H4</f>
        <v>4.34</v>
      </c>
      <c r="C4" s="314"/>
      <c r="D4" s="485" t="s">
        <v>583</v>
      </c>
      <c r="E4" s="336" t="n">
        <v>2.165</v>
      </c>
      <c r="F4" s="314"/>
      <c r="G4" s="319" t="s">
        <v>583</v>
      </c>
      <c r="H4" s="328" t="n">
        <f aca="false">+E4</f>
        <v>2.165</v>
      </c>
      <c r="I4" s="314"/>
      <c r="J4" s="335" t="s">
        <v>586</v>
      </c>
      <c r="M4" s="335" t="s">
        <v>586</v>
      </c>
    </row>
    <row r="5" customFormat="false" ht="12.75" hidden="false" customHeight="false" outlineLevel="0" collapsed="false">
      <c r="A5" s="366" t="s">
        <v>247</v>
      </c>
      <c r="B5" s="487" t="n">
        <f aca="false">+Rates!H5</f>
        <v>4.59</v>
      </c>
      <c r="C5" s="314"/>
      <c r="D5" s="485" t="s">
        <v>588</v>
      </c>
      <c r="E5" s="336" t="n">
        <f aca="false">2.815-0.0635</f>
        <v>2.7515</v>
      </c>
      <c r="F5" s="314"/>
      <c r="G5" s="319" t="s">
        <v>588</v>
      </c>
      <c r="H5" s="328" t="n">
        <f aca="false">+E5</f>
        <v>2.7515</v>
      </c>
      <c r="I5" s="314"/>
    </row>
    <row r="6" customFormat="false" ht="12.75" hidden="false" customHeight="false" outlineLevel="0" collapsed="false">
      <c r="A6" s="351"/>
      <c r="B6" s="351"/>
      <c r="C6" s="275"/>
      <c r="D6" s="366" t="s">
        <v>590</v>
      </c>
      <c r="E6" s="367" t="n">
        <v>2.6</v>
      </c>
      <c r="F6" s="275"/>
      <c r="G6" s="329" t="s">
        <v>590</v>
      </c>
      <c r="H6" s="328" t="n">
        <f aca="false">+E6</f>
        <v>2.6</v>
      </c>
      <c r="I6" s="275"/>
      <c r="J6" s="351"/>
      <c r="K6" s="351"/>
      <c r="L6" s="154"/>
      <c r="M6" s="351"/>
      <c r="N6" s="351"/>
      <c r="O6" s="154"/>
    </row>
    <row r="7" customFormat="false" ht="12.75" hidden="false" customHeight="false" outlineLevel="0" collapsed="false">
      <c r="A7" s="364"/>
      <c r="B7" s="364"/>
      <c r="C7" s="354"/>
      <c r="D7" s="488" t="s">
        <v>358</v>
      </c>
      <c r="E7" s="489" t="n">
        <v>3.065</v>
      </c>
      <c r="F7" s="354"/>
      <c r="G7" s="355" t="s">
        <v>358</v>
      </c>
      <c r="H7" s="328" t="n">
        <f aca="false">+E7</f>
        <v>3.065</v>
      </c>
      <c r="I7" s="354"/>
      <c r="J7" s="362"/>
      <c r="K7" s="362"/>
      <c r="L7" s="228"/>
      <c r="M7" s="362"/>
      <c r="N7" s="362"/>
      <c r="O7" s="228"/>
    </row>
    <row r="8" customFormat="false" ht="12.75" hidden="false" customHeight="false" outlineLevel="0" collapsed="false">
      <c r="A8" s="490" t="s">
        <v>888</v>
      </c>
      <c r="B8" s="353"/>
      <c r="C8" s="365"/>
      <c r="D8" s="329" t="s">
        <v>595</v>
      </c>
      <c r="E8" s="346"/>
      <c r="F8" s="314"/>
      <c r="G8" s="329" t="s">
        <v>595</v>
      </c>
      <c r="H8" s="346"/>
      <c r="I8" s="314"/>
      <c r="J8" s="312" t="s">
        <v>600</v>
      </c>
      <c r="M8" s="312" t="s">
        <v>889</v>
      </c>
    </row>
    <row r="9" customFormat="false" ht="12.75" hidden="false" customHeight="false" outlineLevel="0" collapsed="false">
      <c r="A9" s="353" t="s">
        <v>605</v>
      </c>
      <c r="B9" s="353"/>
      <c r="C9" s="368"/>
      <c r="D9" s="85" t="s">
        <v>606</v>
      </c>
      <c r="E9" s="346"/>
      <c r="F9" s="314"/>
      <c r="G9" s="85" t="s">
        <v>607</v>
      </c>
      <c r="H9" s="346"/>
      <c r="I9" s="314"/>
      <c r="J9" s="312" t="s">
        <v>611</v>
      </c>
      <c r="M9" s="312" t="s">
        <v>621</v>
      </c>
    </row>
    <row r="10" customFormat="false" ht="12.75" hidden="false" customHeight="false" outlineLevel="0" collapsed="false">
      <c r="A10" s="353" t="s">
        <v>615</v>
      </c>
      <c r="B10" s="353"/>
      <c r="C10" s="368"/>
      <c r="D10" s="372" t="s">
        <v>616</v>
      </c>
      <c r="E10" s="346"/>
      <c r="F10" s="314"/>
      <c r="G10" s="372" t="s">
        <v>616</v>
      </c>
      <c r="H10" s="346"/>
      <c r="I10" s="314"/>
      <c r="J10" s="312" t="s">
        <v>622</v>
      </c>
      <c r="M10" s="312" t="s">
        <v>630</v>
      </c>
    </row>
    <row r="11" customFormat="false" ht="12.75" hidden="false" customHeight="false" outlineLevel="0" collapsed="false">
      <c r="A11" s="85" t="s">
        <v>625</v>
      </c>
      <c r="B11" s="353"/>
      <c r="C11" s="368"/>
      <c r="D11" s="372" t="s">
        <v>890</v>
      </c>
      <c r="E11" s="346"/>
      <c r="F11" s="314"/>
      <c r="G11" s="372" t="s">
        <v>627</v>
      </c>
      <c r="H11" s="346"/>
      <c r="I11" s="314"/>
      <c r="J11" s="312" t="s">
        <v>631</v>
      </c>
    </row>
    <row r="12" customFormat="false" ht="12.75" hidden="false" customHeight="false" outlineLevel="0" collapsed="false">
      <c r="A12" s="319"/>
      <c r="B12" s="491"/>
      <c r="C12" s="314"/>
      <c r="D12" s="319" t="s">
        <v>891</v>
      </c>
      <c r="E12" s="320"/>
      <c r="F12" s="314"/>
      <c r="G12" s="319" t="s">
        <v>11</v>
      </c>
      <c r="H12" s="320"/>
      <c r="I12" s="314"/>
      <c r="J12" s="159" t="s">
        <v>637</v>
      </c>
      <c r="M12" s="312" t="s">
        <v>892</v>
      </c>
    </row>
    <row r="13" customFormat="false" ht="12.75" hidden="false" customHeight="false" outlineLevel="0" collapsed="false">
      <c r="A13" s="394" t="s">
        <v>642</v>
      </c>
      <c r="B13" s="395" t="s">
        <v>893</v>
      </c>
      <c r="C13" s="376"/>
      <c r="D13" s="388" t="s">
        <v>644</v>
      </c>
      <c r="E13" s="389" t="s">
        <v>645</v>
      </c>
      <c r="F13" s="376"/>
      <c r="G13" s="388" t="s">
        <v>644</v>
      </c>
      <c r="H13" s="389" t="s">
        <v>646</v>
      </c>
      <c r="I13" s="376"/>
      <c r="J13" s="312" t="s">
        <v>653</v>
      </c>
      <c r="M13" s="384" t="s">
        <v>150</v>
      </c>
      <c r="N13" s="385" t="s">
        <v>535</v>
      </c>
    </row>
    <row r="14" customFormat="false" ht="12.75" hidden="false" customHeight="false" outlineLevel="0" collapsed="false">
      <c r="A14" s="408" t="s">
        <v>661</v>
      </c>
      <c r="B14" s="403" t="n">
        <v>0.0439</v>
      </c>
      <c r="C14" s="383"/>
      <c r="D14" s="402" t="s">
        <v>661</v>
      </c>
      <c r="E14" s="403" t="n">
        <v>0.0178</v>
      </c>
      <c r="F14" s="383"/>
      <c r="G14" s="402" t="s">
        <v>661</v>
      </c>
      <c r="H14" s="403" t="n">
        <v>0.5603</v>
      </c>
      <c r="I14" s="383"/>
      <c r="J14" s="399" t="s">
        <v>661</v>
      </c>
      <c r="K14" s="400" t="n">
        <f aca="false">0.005+0.002</f>
        <v>0.007</v>
      </c>
      <c r="M14" s="399" t="s">
        <v>661</v>
      </c>
      <c r="N14" s="400" t="n">
        <v>0.0112</v>
      </c>
    </row>
    <row r="15" customFormat="false" ht="12.75" hidden="false" customHeight="false" outlineLevel="0" collapsed="false">
      <c r="A15" s="408" t="s">
        <v>119</v>
      </c>
      <c r="B15" s="403" t="n">
        <f aca="false">0.0022+0.0072+0.0225</f>
        <v>0.0319</v>
      </c>
      <c r="C15" s="383"/>
      <c r="D15" s="402" t="s">
        <v>119</v>
      </c>
      <c r="E15" s="403" t="n">
        <f aca="false">0.0022+0.0072</f>
        <v>0.0094</v>
      </c>
      <c r="F15" s="383"/>
      <c r="G15" s="402" t="s">
        <v>119</v>
      </c>
      <c r="H15" s="403" t="n">
        <f aca="false">0.0022+0.0072</f>
        <v>0.0094</v>
      </c>
      <c r="I15" s="383"/>
      <c r="J15" s="399" t="s">
        <v>119</v>
      </c>
      <c r="K15" s="400" t="n">
        <f aca="false">0.0022+0.0072</f>
        <v>0.0094</v>
      </c>
      <c r="M15" s="399" t="s">
        <v>119</v>
      </c>
      <c r="N15" s="400" t="n">
        <f aca="false">0.0022+0.0072</f>
        <v>0.0094</v>
      </c>
    </row>
    <row r="16" customFormat="false" ht="12.75" hidden="false" customHeight="false" outlineLevel="0" collapsed="false">
      <c r="A16" s="408" t="s">
        <v>894</v>
      </c>
      <c r="B16" s="492" t="n">
        <f aca="false">(B3)/(1-0.0089)-B3</f>
        <v>0.038658561194632</v>
      </c>
      <c r="C16" s="409"/>
      <c r="D16" s="402" t="s">
        <v>701</v>
      </c>
      <c r="E16" s="414" t="n">
        <f aca="false">(E5)/(1-0.0268)-E5</f>
        <v>0.0757708590217838</v>
      </c>
      <c r="F16" s="409"/>
      <c r="G16" s="402" t="s">
        <v>895</v>
      </c>
      <c r="H16" s="414" t="n">
        <f aca="false">(H5)/(1-0.0926)-H5</f>
        <v>0.28079005951069</v>
      </c>
      <c r="I16" s="409"/>
      <c r="J16" s="399" t="s">
        <v>671</v>
      </c>
      <c r="K16" s="413" t="n">
        <f aca="false">+K3/(1-0.0022)-K3</f>
        <v>0.0097123672078574</v>
      </c>
      <c r="M16" s="399" t="s">
        <v>896</v>
      </c>
      <c r="N16" s="413" t="n">
        <f aca="false">+N3/(1-0.0058)-N3</f>
        <v>0.0173264936632469</v>
      </c>
    </row>
    <row r="17" customFormat="false" ht="12.75" hidden="false" customHeight="false" outlineLevel="0" collapsed="false">
      <c r="A17" s="427"/>
      <c r="B17" s="423" t="n">
        <f aca="false">SUM(B14:B16)</f>
        <v>0.114458561194632</v>
      </c>
      <c r="C17" s="411"/>
      <c r="D17" s="402"/>
      <c r="E17" s="423" t="n">
        <f aca="false">SUM(E14:E16)</f>
        <v>0.102970859021784</v>
      </c>
      <c r="F17" s="411"/>
      <c r="G17" s="402"/>
      <c r="H17" s="423" t="n">
        <f aca="false">SUM(H14:H16)</f>
        <v>0.85049005951069</v>
      </c>
      <c r="I17" s="411"/>
      <c r="J17" s="421"/>
      <c r="K17" s="422" t="n">
        <f aca="false">SUM(K14:K16)</f>
        <v>0.0261123672078574</v>
      </c>
      <c r="M17" s="421"/>
      <c r="N17" s="422" t="n">
        <f aca="false">SUM(N14:N16)</f>
        <v>0.0379264936632469</v>
      </c>
    </row>
    <row r="18" customFormat="false" ht="12.75" hidden="false" customHeight="false" outlineLevel="0" collapsed="false">
      <c r="A18" s="493" t="s">
        <v>642</v>
      </c>
      <c r="B18" s="494" t="s">
        <v>897</v>
      </c>
      <c r="C18" s="376"/>
      <c r="D18" s="388" t="s">
        <v>644</v>
      </c>
      <c r="E18" s="389" t="s">
        <v>681</v>
      </c>
      <c r="F18" s="376"/>
      <c r="G18" s="388" t="s">
        <v>644</v>
      </c>
      <c r="H18" s="389" t="s">
        <v>682</v>
      </c>
      <c r="I18" s="376"/>
    </row>
    <row r="19" customFormat="false" ht="12.75" hidden="false" customHeight="false" outlineLevel="0" collapsed="false">
      <c r="A19" s="408" t="s">
        <v>661</v>
      </c>
      <c r="B19" s="403" t="n">
        <v>0.0669</v>
      </c>
      <c r="C19" s="383"/>
      <c r="D19" s="402" t="s">
        <v>661</v>
      </c>
      <c r="E19" s="403" t="n">
        <v>0.0187</v>
      </c>
      <c r="F19" s="383"/>
      <c r="G19" s="402" t="s">
        <v>661</v>
      </c>
      <c r="H19" s="403" t="n">
        <v>0.6649</v>
      </c>
      <c r="I19" s="383"/>
      <c r="J19" s="312" t="s">
        <v>689</v>
      </c>
      <c r="M19" s="384" t="s">
        <v>150</v>
      </c>
      <c r="N19" s="385" t="s">
        <v>688</v>
      </c>
    </row>
    <row r="20" customFormat="false" ht="12.75" hidden="false" customHeight="false" outlineLevel="0" collapsed="false">
      <c r="A20" s="408" t="s">
        <v>119</v>
      </c>
      <c r="B20" s="403" t="n">
        <f aca="false">0.0022+0.0072+0.0225</f>
        <v>0.0319</v>
      </c>
      <c r="C20" s="383"/>
      <c r="D20" s="402" t="s">
        <v>119</v>
      </c>
      <c r="E20" s="403" t="n">
        <f aca="false">0.0022</f>
        <v>0.0022</v>
      </c>
      <c r="F20" s="383"/>
      <c r="G20" s="402" t="s">
        <v>119</v>
      </c>
      <c r="H20" s="403" t="n">
        <f aca="false">0.0022+0.0072</f>
        <v>0.0094</v>
      </c>
      <c r="I20" s="383"/>
      <c r="J20" s="399" t="s">
        <v>661</v>
      </c>
      <c r="K20" s="400" t="n">
        <f aca="false">0.0303+0.002</f>
        <v>0.0323</v>
      </c>
      <c r="M20" s="399" t="s">
        <v>661</v>
      </c>
      <c r="N20" s="400" t="n">
        <v>0</v>
      </c>
    </row>
    <row r="21" customFormat="false" ht="12.75" hidden="false" customHeight="false" outlineLevel="0" collapsed="false">
      <c r="A21" s="408" t="s">
        <v>898</v>
      </c>
      <c r="B21" s="492" t="n">
        <f aca="false">(B3)/(1-0.0279)-B3</f>
        <v>0.123556732846415</v>
      </c>
      <c r="C21" s="409"/>
      <c r="D21" s="402" t="s">
        <v>899</v>
      </c>
      <c r="E21" s="414" t="n">
        <f aca="false">(E5)/(1-0.0293)-E5</f>
        <v>0.0830523848768929</v>
      </c>
      <c r="F21" s="409"/>
      <c r="G21" s="402" t="s">
        <v>900</v>
      </c>
      <c r="H21" s="414" t="n">
        <f aca="false">(H5)/(1-0.1089)-H5</f>
        <v>0.336256705195825</v>
      </c>
      <c r="I21" s="409"/>
      <c r="J21" s="399" t="s">
        <v>119</v>
      </c>
      <c r="K21" s="400" t="n">
        <f aca="false">0.0072+0.0022</f>
        <v>0.0094</v>
      </c>
      <c r="M21" s="399" t="s">
        <v>119</v>
      </c>
      <c r="N21" s="400" t="n">
        <f aca="false">0.0022+0.0072</f>
        <v>0.0094</v>
      </c>
    </row>
    <row r="22" customFormat="false" ht="12.75" hidden="false" customHeight="false" outlineLevel="0" collapsed="false">
      <c r="A22" s="427"/>
      <c r="B22" s="423" t="n">
        <f aca="false">SUM(B19:B21)</f>
        <v>0.222356732846415</v>
      </c>
      <c r="C22" s="411"/>
      <c r="D22" s="402"/>
      <c r="E22" s="423" t="n">
        <f aca="false">SUM(E19:E21)</f>
        <v>0.103952384876893</v>
      </c>
      <c r="F22" s="411"/>
      <c r="G22" s="402"/>
      <c r="H22" s="423" t="n">
        <f aca="false">SUM(H19:H21)</f>
        <v>1.01055670519583</v>
      </c>
      <c r="I22" s="411"/>
      <c r="J22" s="399" t="s">
        <v>701</v>
      </c>
      <c r="K22" s="413" t="n">
        <f aca="false">+K3/(1-0.0268)-K3</f>
        <v>0.121304973284012</v>
      </c>
      <c r="M22" s="399" t="s">
        <v>896</v>
      </c>
      <c r="N22" s="413" t="n">
        <f aca="false">+N3/(1-0.0058)-N3</f>
        <v>0.0173264936632469</v>
      </c>
    </row>
    <row r="23" customFormat="false" ht="12.75" hidden="false" customHeight="false" outlineLevel="0" collapsed="false">
      <c r="A23" s="493" t="s">
        <v>642</v>
      </c>
      <c r="B23" s="494" t="s">
        <v>901</v>
      </c>
      <c r="C23" s="411"/>
      <c r="D23" s="495" t="s">
        <v>644</v>
      </c>
      <c r="E23" s="496" t="s">
        <v>706</v>
      </c>
      <c r="F23" s="411"/>
      <c r="G23" s="388" t="s">
        <v>644</v>
      </c>
      <c r="H23" s="389" t="s">
        <v>707</v>
      </c>
      <c r="I23" s="411"/>
      <c r="J23" s="421"/>
      <c r="K23" s="422" t="n">
        <f aca="false">SUM(K20:K22)</f>
        <v>0.163004973284012</v>
      </c>
      <c r="M23" s="421"/>
      <c r="N23" s="422" t="n">
        <f aca="false">SUM(N20:N22)</f>
        <v>0.0267264936632469</v>
      </c>
    </row>
    <row r="24" customFormat="false" ht="12.75" hidden="false" customHeight="false" outlineLevel="0" collapsed="false">
      <c r="A24" s="408" t="s">
        <v>661</v>
      </c>
      <c r="B24" s="403" t="n">
        <v>0.088</v>
      </c>
      <c r="C24" s="439"/>
      <c r="D24" s="402" t="s">
        <v>661</v>
      </c>
      <c r="E24" s="403" t="n">
        <v>0.0236</v>
      </c>
      <c r="F24" s="439"/>
      <c r="G24" s="402" t="s">
        <v>661</v>
      </c>
      <c r="H24" s="403" t="n">
        <v>0.4164</v>
      </c>
      <c r="I24" s="439"/>
    </row>
    <row r="25" customFormat="false" ht="12.75" hidden="false" customHeight="false" outlineLevel="0" collapsed="false">
      <c r="A25" s="408" t="s">
        <v>119</v>
      </c>
      <c r="B25" s="403" t="n">
        <f aca="false">0.0022+0.0072</f>
        <v>0.0094</v>
      </c>
      <c r="C25" s="439"/>
      <c r="D25" s="402" t="s">
        <v>119</v>
      </c>
      <c r="E25" s="403" t="n">
        <f aca="false">0.0022+0.0072</f>
        <v>0.0094</v>
      </c>
      <c r="F25" s="439"/>
      <c r="G25" s="402" t="s">
        <v>119</v>
      </c>
      <c r="H25" s="403" t="n">
        <f aca="false">0.0022+0.0072</f>
        <v>0.0094</v>
      </c>
      <c r="I25" s="439"/>
      <c r="J25" s="312" t="s">
        <v>712</v>
      </c>
    </row>
    <row r="26" customFormat="false" ht="12.75" hidden="false" customHeight="false" outlineLevel="0" collapsed="false">
      <c r="A26" s="408" t="s">
        <v>902</v>
      </c>
      <c r="B26" s="492" t="n">
        <f aca="false">(B3)/(1-0.0516)-B3</f>
        <v>0.234223956136651</v>
      </c>
      <c r="C26" s="409"/>
      <c r="D26" s="402" t="s">
        <v>903</v>
      </c>
      <c r="E26" s="414" t="n">
        <f aca="false">(E5)/(1-0.0428)-E5</f>
        <v>0.123029878813205</v>
      </c>
      <c r="F26" s="409"/>
      <c r="G26" s="402" t="s">
        <v>904</v>
      </c>
      <c r="H26" s="414" t="n">
        <f aca="false">(H4)/(1-0.0812)-H4</f>
        <v>0.191334349151067</v>
      </c>
      <c r="I26" s="409"/>
      <c r="J26" s="399" t="s">
        <v>661</v>
      </c>
      <c r="K26" s="400" t="n">
        <f aca="false">0.0275+0.002</f>
        <v>0.0295</v>
      </c>
    </row>
    <row r="27" customFormat="false" ht="12.75" hidden="false" customHeight="false" outlineLevel="0" collapsed="false">
      <c r="A27" s="427"/>
      <c r="B27" s="423" t="n">
        <f aca="false">SUM(B24:B26)</f>
        <v>0.331623956136651</v>
      </c>
      <c r="C27" s="411"/>
      <c r="D27" s="402"/>
      <c r="E27" s="423" t="n">
        <f aca="false">SUM(E24:E26)</f>
        <v>0.156029878813205</v>
      </c>
      <c r="F27" s="411"/>
      <c r="G27" s="402"/>
      <c r="H27" s="423" t="n">
        <f aca="false">SUM(H24:H26)</f>
        <v>0.617134349151067</v>
      </c>
      <c r="I27" s="411"/>
      <c r="J27" s="399" t="s">
        <v>119</v>
      </c>
      <c r="K27" s="400" t="n">
        <f aca="false">0.0072+0.0022</f>
        <v>0.0094</v>
      </c>
    </row>
    <row r="28" customFormat="false" ht="12.75" hidden="false" customHeight="false" outlineLevel="0" collapsed="false">
      <c r="A28" s="493" t="s">
        <v>642</v>
      </c>
      <c r="B28" s="497" t="s">
        <v>905</v>
      </c>
      <c r="C28" s="382"/>
      <c r="D28" s="388" t="s">
        <v>644</v>
      </c>
      <c r="E28" s="389" t="s">
        <v>725</v>
      </c>
      <c r="F28" s="382"/>
      <c r="G28" s="388" t="s">
        <v>644</v>
      </c>
      <c r="H28" s="389" t="s">
        <v>726</v>
      </c>
      <c r="I28" s="382"/>
      <c r="J28" s="399" t="s">
        <v>701</v>
      </c>
      <c r="K28" s="413" t="n">
        <f aca="false">+K3/(1-0.0268)-K3</f>
        <v>0.121304973284012</v>
      </c>
    </row>
    <row r="29" customFormat="false" ht="12.75" hidden="false" customHeight="false" outlineLevel="0" collapsed="false">
      <c r="A29" s="427" t="s">
        <v>661</v>
      </c>
      <c r="B29" s="403" t="n">
        <v>0.0978</v>
      </c>
      <c r="C29" s="383"/>
      <c r="D29" s="402" t="s">
        <v>661</v>
      </c>
      <c r="E29" s="403" t="n">
        <v>0.0708</v>
      </c>
      <c r="F29" s="383"/>
      <c r="G29" s="402" t="s">
        <v>661</v>
      </c>
      <c r="H29" s="403" t="n">
        <v>0.521</v>
      </c>
      <c r="I29" s="383"/>
      <c r="J29" s="421"/>
      <c r="K29" s="422" t="n">
        <f aca="false">SUM(K26:K28)</f>
        <v>0.160204973284012</v>
      </c>
    </row>
    <row r="30" customFormat="false" ht="12.75" hidden="false" customHeight="false" outlineLevel="0" collapsed="false">
      <c r="A30" s="427" t="s">
        <v>119</v>
      </c>
      <c r="B30" s="403" t="n">
        <f aca="false">0.0022</f>
        <v>0.0022</v>
      </c>
      <c r="C30" s="383"/>
      <c r="D30" s="402" t="s">
        <v>119</v>
      </c>
      <c r="E30" s="403" t="n">
        <f aca="false">0.0022+0.0072</f>
        <v>0.0094</v>
      </c>
      <c r="F30" s="383"/>
      <c r="G30" s="402" t="s">
        <v>119</v>
      </c>
      <c r="H30" s="403" t="n">
        <f aca="false">0.0022+0.0072</f>
        <v>0.0094</v>
      </c>
      <c r="I30" s="383"/>
    </row>
    <row r="31" customFormat="false" ht="12.75" hidden="false" customHeight="false" outlineLevel="0" collapsed="false">
      <c r="A31" s="427" t="s">
        <v>906</v>
      </c>
      <c r="B31" s="492" t="n">
        <f aca="false">(B3)/(1-0.0588)-B3</f>
        <v>0.268948151296217</v>
      </c>
      <c r="C31" s="409"/>
      <c r="D31" s="402" t="s">
        <v>907</v>
      </c>
      <c r="E31" s="414" t="n">
        <f aca="false">(E5)/(1-0.0677)-E5</f>
        <v>0.199803228574493</v>
      </c>
      <c r="F31" s="409"/>
      <c r="G31" s="402" t="s">
        <v>908</v>
      </c>
      <c r="H31" s="414" t="n">
        <f aca="false">(H4)/(1-0.0975)-H4</f>
        <v>0.233891966759003</v>
      </c>
      <c r="I31" s="409"/>
      <c r="J31" s="312" t="s">
        <v>736</v>
      </c>
    </row>
    <row r="32" customFormat="false" ht="12.75" hidden="false" customHeight="false" outlineLevel="0" collapsed="false">
      <c r="A32" s="427"/>
      <c r="B32" s="423" t="n">
        <f aca="false">SUM(B29:B31)</f>
        <v>0.368948151296217</v>
      </c>
      <c r="C32" s="411"/>
      <c r="D32" s="402"/>
      <c r="E32" s="423" t="n">
        <f aca="false">SUM(E29:E31)</f>
        <v>0.280003228574493</v>
      </c>
      <c r="F32" s="411"/>
      <c r="G32" s="402"/>
      <c r="H32" s="423" t="n">
        <f aca="false">SUM(H29:H31)</f>
        <v>0.764291966759003</v>
      </c>
      <c r="I32" s="411"/>
      <c r="J32" s="399" t="s">
        <v>661</v>
      </c>
      <c r="K32" s="400" t="n">
        <f aca="false">0.0152+0.002</f>
        <v>0.0172</v>
      </c>
    </row>
    <row r="33" customFormat="false" ht="12.75" hidden="false" customHeight="false" outlineLevel="0" collapsed="false">
      <c r="A33" s="493" t="s">
        <v>642</v>
      </c>
      <c r="B33" s="497" t="s">
        <v>909</v>
      </c>
      <c r="C33" s="382"/>
      <c r="D33" s="388" t="s">
        <v>644</v>
      </c>
      <c r="E33" s="389" t="s">
        <v>646</v>
      </c>
      <c r="F33" s="382"/>
      <c r="G33" s="388" t="s">
        <v>644</v>
      </c>
      <c r="H33" s="389" t="s">
        <v>742</v>
      </c>
      <c r="I33" s="382"/>
      <c r="J33" s="399" t="s">
        <v>119</v>
      </c>
      <c r="K33" s="400" t="n">
        <f aca="false">0.002+0.0072+0.0022</f>
        <v>0.0114</v>
      </c>
    </row>
    <row r="34" customFormat="false" ht="12.75" hidden="false" customHeight="false" outlineLevel="0" collapsed="false">
      <c r="A34" s="427" t="s">
        <v>661</v>
      </c>
      <c r="B34" s="403" t="n">
        <v>0.1118</v>
      </c>
      <c r="C34" s="383"/>
      <c r="D34" s="402" t="s">
        <v>661</v>
      </c>
      <c r="E34" s="403" t="n">
        <v>0.0922</v>
      </c>
      <c r="F34" s="383"/>
      <c r="G34" s="402" t="s">
        <v>661</v>
      </c>
      <c r="H34" s="403" t="n">
        <v>0.3983</v>
      </c>
      <c r="I34" s="383"/>
      <c r="J34" s="399" t="s">
        <v>745</v>
      </c>
      <c r="K34" s="413" t="n">
        <f aca="false">+K3/(1-0.0169)-K3</f>
        <v>0.0757242396500866</v>
      </c>
    </row>
    <row r="35" customFormat="false" ht="12.75" hidden="false" customHeight="false" outlineLevel="0" collapsed="false">
      <c r="A35" s="427" t="s">
        <v>119</v>
      </c>
      <c r="B35" s="403" t="n">
        <f aca="false">0.0022+0.0072</f>
        <v>0.0094</v>
      </c>
      <c r="C35" s="383"/>
      <c r="D35" s="402" t="s">
        <v>119</v>
      </c>
      <c r="E35" s="403" t="n">
        <f aca="false">0.0022+0.0072</f>
        <v>0.0094</v>
      </c>
      <c r="F35" s="383"/>
      <c r="G35" s="402" t="s">
        <v>119</v>
      </c>
      <c r="H35" s="403" t="n">
        <f aca="false">0.0022+0.0072</f>
        <v>0.0094</v>
      </c>
      <c r="I35" s="383"/>
      <c r="J35" s="421"/>
      <c r="K35" s="422" t="n">
        <f aca="false">SUM(K32:K34)</f>
        <v>0.104324239650087</v>
      </c>
    </row>
    <row r="36" customFormat="false" ht="12.75" hidden="false" customHeight="false" outlineLevel="0" collapsed="false">
      <c r="A36" s="427" t="s">
        <v>910</v>
      </c>
      <c r="B36" s="492" t="n">
        <f aca="false">(B3)/(1-0.0679)-B3</f>
        <v>0.313603154168008</v>
      </c>
      <c r="C36" s="409"/>
      <c r="D36" s="402" t="s">
        <v>895</v>
      </c>
      <c r="E36" s="414" t="n">
        <f aca="false">(E5)/(1-0.0926)-E5</f>
        <v>0.28079005951069</v>
      </c>
      <c r="F36" s="409"/>
      <c r="G36" s="402" t="s">
        <v>911</v>
      </c>
      <c r="H36" s="414" t="n">
        <f aca="false">(H3)/(1-0.0761)-H3</f>
        <v>0.20592055417253</v>
      </c>
      <c r="I36" s="409"/>
    </row>
    <row r="37" customFormat="false" ht="12.75" hidden="false" customHeight="false" outlineLevel="0" collapsed="false">
      <c r="A37" s="427"/>
      <c r="B37" s="423" t="n">
        <f aca="false">SUM(B34:B36)</f>
        <v>0.434803154168008</v>
      </c>
      <c r="C37" s="411"/>
      <c r="D37" s="402"/>
      <c r="E37" s="423" t="n">
        <f aca="false">SUM(E34:E36)</f>
        <v>0.38239005951069</v>
      </c>
      <c r="F37" s="411"/>
      <c r="G37" s="402"/>
      <c r="H37" s="423" t="n">
        <f aca="false">SUM(H34:H36)</f>
        <v>0.61362055417253</v>
      </c>
      <c r="I37" s="411"/>
      <c r="J37" s="312" t="s">
        <v>750</v>
      </c>
    </row>
    <row r="38" customFormat="false" ht="12.75" hidden="false" customHeight="false" outlineLevel="0" collapsed="false">
      <c r="A38" s="493" t="s">
        <v>642</v>
      </c>
      <c r="B38" s="497" t="s">
        <v>912</v>
      </c>
      <c r="C38" s="382"/>
      <c r="D38" s="388" t="s">
        <v>644</v>
      </c>
      <c r="E38" s="389" t="s">
        <v>682</v>
      </c>
      <c r="F38" s="382"/>
      <c r="G38" s="388" t="s">
        <v>644</v>
      </c>
      <c r="H38" s="389" t="s">
        <v>755</v>
      </c>
      <c r="I38" s="382"/>
      <c r="J38" s="399" t="s">
        <v>661</v>
      </c>
      <c r="K38" s="400" t="n">
        <f aca="false">0.0152+0.002</f>
        <v>0.0172</v>
      </c>
    </row>
    <row r="39" customFormat="false" ht="12.75" hidden="false" customHeight="false" outlineLevel="0" collapsed="false">
      <c r="A39" s="427" t="s">
        <v>661</v>
      </c>
      <c r="B39" s="403" t="n">
        <v>0.1231</v>
      </c>
      <c r="C39" s="383"/>
      <c r="D39" s="402" t="s">
        <v>661</v>
      </c>
      <c r="E39" s="403" t="n">
        <v>0.1071</v>
      </c>
      <c r="F39" s="383"/>
      <c r="G39" s="402" t="s">
        <v>661</v>
      </c>
      <c r="H39" s="403" t="n">
        <v>0.5029</v>
      </c>
      <c r="I39" s="383"/>
      <c r="J39" s="399" t="s">
        <v>119</v>
      </c>
      <c r="K39" s="400" t="n">
        <f aca="false">0.0072+0.0022</f>
        <v>0.0094</v>
      </c>
    </row>
    <row r="40" customFormat="false" ht="12.75" hidden="false" customHeight="false" outlineLevel="0" collapsed="false">
      <c r="A40" s="427" t="s">
        <v>119</v>
      </c>
      <c r="B40" s="403" t="n">
        <f aca="false">0.0022+0.0072</f>
        <v>0.0094</v>
      </c>
      <c r="C40" s="383"/>
      <c r="D40" s="402" t="s">
        <v>119</v>
      </c>
      <c r="E40" s="403" t="n">
        <f aca="false">0.0022+0.0072</f>
        <v>0.0094</v>
      </c>
      <c r="F40" s="383"/>
      <c r="G40" s="402" t="s">
        <v>119</v>
      </c>
      <c r="H40" s="403" t="n">
        <f aca="false">0.0022+0.0072</f>
        <v>0.0094</v>
      </c>
      <c r="I40" s="383"/>
      <c r="J40" s="399" t="s">
        <v>674</v>
      </c>
      <c r="K40" s="413" t="n">
        <v>0</v>
      </c>
    </row>
    <row r="41" customFormat="false" ht="12.75" hidden="false" customHeight="false" outlineLevel="0" collapsed="false">
      <c r="A41" s="427" t="s">
        <v>913</v>
      </c>
      <c r="B41" s="492" t="n">
        <f aca="false">(B3)/(1-0.0788)-B3</f>
        <v>0.368252279635258</v>
      </c>
      <c r="C41" s="409"/>
      <c r="D41" s="402" t="s">
        <v>900</v>
      </c>
      <c r="E41" s="414" t="n">
        <f aca="false">(E5)/(1-0.1089)-E5</f>
        <v>0.336256705195825</v>
      </c>
      <c r="F41" s="409"/>
      <c r="G41" s="402" t="s">
        <v>914</v>
      </c>
      <c r="H41" s="414" t="n">
        <f aca="false">(H3)/(1-0.0924)-H3</f>
        <v>0.254517408550022</v>
      </c>
      <c r="I41" s="409"/>
      <c r="J41" s="421"/>
      <c r="K41" s="422" t="n">
        <f aca="false">SUM(K38:K40)</f>
        <v>0.0266</v>
      </c>
    </row>
    <row r="42" customFormat="false" ht="12.75" hidden="false" customHeight="false" outlineLevel="0" collapsed="false">
      <c r="A42" s="427"/>
      <c r="B42" s="423" t="n">
        <f aca="false">SUM(B39:B41)</f>
        <v>0.500752279635258</v>
      </c>
      <c r="C42" s="411"/>
      <c r="D42" s="402"/>
      <c r="E42" s="423" t="n">
        <f aca="false">SUM(E39:E41)</f>
        <v>0.452756705195825</v>
      </c>
      <c r="F42" s="411"/>
      <c r="G42" s="402"/>
      <c r="H42" s="423" t="n">
        <f aca="false">SUM(H39:H41)</f>
        <v>0.766817408550022</v>
      </c>
      <c r="I42" s="411"/>
    </row>
    <row r="43" customFormat="false" ht="12.75" hidden="false" customHeight="false" outlineLevel="0" collapsed="false">
      <c r="A43" s="493" t="s">
        <v>642</v>
      </c>
      <c r="B43" s="497" t="s">
        <v>915</v>
      </c>
      <c r="C43" s="382"/>
      <c r="D43" s="388" t="s">
        <v>644</v>
      </c>
      <c r="E43" s="389" t="s">
        <v>764</v>
      </c>
      <c r="F43" s="382"/>
      <c r="G43" s="388" t="s">
        <v>644</v>
      </c>
      <c r="H43" s="389" t="s">
        <v>765</v>
      </c>
      <c r="I43" s="382"/>
    </row>
    <row r="44" customFormat="false" ht="12.75" hidden="false" customHeight="false" outlineLevel="0" collapsed="false">
      <c r="A44" s="427" t="s">
        <v>661</v>
      </c>
      <c r="B44" s="403" t="n">
        <v>0.1608</v>
      </c>
      <c r="C44" s="383"/>
      <c r="D44" s="402" t="s">
        <v>661</v>
      </c>
      <c r="E44" s="403" t="n">
        <v>0.0147</v>
      </c>
      <c r="F44" s="383"/>
      <c r="G44" s="402" t="s">
        <v>661</v>
      </c>
      <c r="H44" s="403" t="n">
        <v>0.3138</v>
      </c>
      <c r="I44" s="383"/>
    </row>
    <row r="45" customFormat="false" ht="12.75" hidden="false" customHeight="false" outlineLevel="0" collapsed="false">
      <c r="A45" s="427" t="s">
        <v>119</v>
      </c>
      <c r="B45" s="403" t="n">
        <f aca="false">0.0022+0.0072</f>
        <v>0.0094</v>
      </c>
      <c r="C45" s="383"/>
      <c r="D45" s="402" t="s">
        <v>119</v>
      </c>
      <c r="E45" s="403" t="n">
        <f aca="false">0.0022</f>
        <v>0.0022</v>
      </c>
      <c r="F45" s="383"/>
      <c r="G45" s="402" t="s">
        <v>119</v>
      </c>
      <c r="H45" s="403" t="n">
        <f aca="false">0.0022+0.0072</f>
        <v>0.0094</v>
      </c>
      <c r="I45" s="383"/>
    </row>
    <row r="46" customFormat="false" ht="12.75" hidden="false" customHeight="false" outlineLevel="0" collapsed="false">
      <c r="A46" s="427" t="s">
        <v>916</v>
      </c>
      <c r="B46" s="492" t="n">
        <f aca="false">(B3)/(1-0.0871)-B3</f>
        <v>0.410741045021361</v>
      </c>
      <c r="C46" s="409"/>
      <c r="D46" s="402" t="s">
        <v>917</v>
      </c>
      <c r="E46" s="414" t="n">
        <f aca="false">(E4)/(1-0.0175)-E4</f>
        <v>0.0385623409669211</v>
      </c>
      <c r="F46" s="409"/>
      <c r="G46" s="402" t="s">
        <v>918</v>
      </c>
      <c r="H46" s="414" t="n">
        <f aca="false">(H6)/(1-0.0498)-(H6)</f>
        <v>0.136266049252789</v>
      </c>
      <c r="I46" s="409"/>
    </row>
    <row r="47" customFormat="false" ht="12.75" hidden="false" customHeight="false" outlineLevel="0" collapsed="false">
      <c r="A47" s="427"/>
      <c r="B47" s="423" t="n">
        <f aca="false">SUM(B44:B46)</f>
        <v>0.580941045021361</v>
      </c>
      <c r="C47" s="411"/>
      <c r="D47" s="402"/>
      <c r="E47" s="423" t="n">
        <f aca="false">SUM(E44:E46)</f>
        <v>0.0554623409669211</v>
      </c>
      <c r="F47" s="411"/>
      <c r="G47" s="402"/>
      <c r="H47" s="423" t="n">
        <f aca="false">SUM(H44:H46)</f>
        <v>0.459466049252789</v>
      </c>
      <c r="I47" s="411"/>
    </row>
    <row r="48" customFormat="false" ht="12.75" hidden="false" customHeight="false" outlineLevel="0" collapsed="false">
      <c r="A48" s="493" t="s">
        <v>642</v>
      </c>
      <c r="B48" s="494" t="s">
        <v>919</v>
      </c>
      <c r="C48" s="455"/>
      <c r="D48" s="388" t="s">
        <v>644</v>
      </c>
      <c r="E48" s="389" t="s">
        <v>777</v>
      </c>
      <c r="F48" s="455"/>
      <c r="G48" s="388" t="s">
        <v>644</v>
      </c>
      <c r="H48" s="389" t="s">
        <v>778</v>
      </c>
      <c r="I48" s="455"/>
    </row>
    <row r="49" customFormat="false" ht="12.75" hidden="false" customHeight="false" outlineLevel="0" collapsed="false">
      <c r="A49" s="408" t="s">
        <v>661</v>
      </c>
      <c r="B49" s="403" t="n">
        <v>0.0286</v>
      </c>
      <c r="C49" s="383"/>
      <c r="D49" s="402" t="s">
        <v>661</v>
      </c>
      <c r="E49" s="403" t="n">
        <v>0.0195</v>
      </c>
      <c r="F49" s="383"/>
      <c r="G49" s="402" t="s">
        <v>661</v>
      </c>
      <c r="H49" s="403" t="n">
        <v>0.4184</v>
      </c>
      <c r="I49" s="383"/>
    </row>
    <row r="50" customFormat="false" ht="12.75" hidden="false" customHeight="false" outlineLevel="0" collapsed="false">
      <c r="A50" s="408" t="s">
        <v>119</v>
      </c>
      <c r="B50" s="403" t="n">
        <f aca="false">0.0022+0.0072+0.0225</f>
        <v>0.0319</v>
      </c>
      <c r="C50" s="383"/>
      <c r="D50" s="402" t="s">
        <v>119</v>
      </c>
      <c r="E50" s="403" t="n">
        <f aca="false">0.0022+0.0072</f>
        <v>0.0094</v>
      </c>
      <c r="F50" s="383"/>
      <c r="G50" s="402" t="s">
        <v>119</v>
      </c>
      <c r="H50" s="403" t="n">
        <f aca="false">0.0022+0.0072</f>
        <v>0.0094</v>
      </c>
      <c r="I50" s="383"/>
    </row>
    <row r="51" customFormat="false" ht="12.75" hidden="false" customHeight="false" outlineLevel="0" collapsed="false">
      <c r="A51" s="408" t="s">
        <v>835</v>
      </c>
      <c r="B51" s="498" t="n">
        <f aca="false">(B4)/(1-0.0101)-B4</f>
        <v>0.0442812405293465</v>
      </c>
      <c r="C51" s="409"/>
      <c r="D51" s="402" t="s">
        <v>920</v>
      </c>
      <c r="E51" s="414" t="n">
        <f aca="false">(E4)/(1-0.0314)-E4</f>
        <v>0.0701848028081766</v>
      </c>
      <c r="F51" s="409"/>
      <c r="G51" s="402" t="s">
        <v>921</v>
      </c>
      <c r="H51" s="414" t="n">
        <f aca="false">(H6)/(1-0.0661)-(H6)</f>
        <v>0.184023985437413</v>
      </c>
      <c r="I51" s="409"/>
    </row>
    <row r="52" customFormat="false" ht="12.75" hidden="false" customHeight="false" outlineLevel="0" collapsed="false">
      <c r="A52" s="427"/>
      <c r="B52" s="423" t="n">
        <f aca="false">SUM(B49:B51)</f>
        <v>0.104781240529346</v>
      </c>
      <c r="C52" s="411"/>
      <c r="D52" s="402"/>
      <c r="E52" s="423" t="n">
        <f aca="false">SUM(E49:E51)</f>
        <v>0.0990848028081766</v>
      </c>
      <c r="F52" s="411"/>
      <c r="G52" s="402"/>
      <c r="H52" s="423" t="n">
        <f aca="false">SUM(H49:H51)</f>
        <v>0.611823985437413</v>
      </c>
      <c r="I52" s="411"/>
    </row>
    <row r="53" customFormat="false" ht="12.75" hidden="false" customHeight="false" outlineLevel="0" collapsed="false">
      <c r="A53" s="493" t="s">
        <v>642</v>
      </c>
      <c r="B53" s="494" t="s">
        <v>640</v>
      </c>
      <c r="C53" s="455"/>
      <c r="D53" s="388" t="s">
        <v>644</v>
      </c>
      <c r="E53" s="389" t="s">
        <v>788</v>
      </c>
      <c r="F53" s="455"/>
      <c r="G53" s="388" t="s">
        <v>644</v>
      </c>
      <c r="H53" s="423" t="s">
        <v>789</v>
      </c>
      <c r="I53" s="455"/>
    </row>
    <row r="54" customFormat="false" ht="12.75" hidden="false" customHeight="false" outlineLevel="0" collapsed="false">
      <c r="A54" s="408" t="s">
        <v>661</v>
      </c>
      <c r="B54" s="403" t="n">
        <v>0.0572</v>
      </c>
      <c r="C54" s="383"/>
      <c r="D54" s="402" t="s">
        <v>661</v>
      </c>
      <c r="E54" s="403" t="n">
        <v>0.0667</v>
      </c>
      <c r="F54" s="383"/>
      <c r="G54" s="402" t="s">
        <v>661</v>
      </c>
      <c r="H54" s="458" t="n">
        <v>0.3439</v>
      </c>
      <c r="I54" s="383"/>
    </row>
    <row r="55" customFormat="false" ht="12.75" hidden="false" customHeight="false" outlineLevel="0" collapsed="false">
      <c r="A55" s="408" t="s">
        <v>119</v>
      </c>
      <c r="B55" s="403" t="n">
        <f aca="false">0.0022+0.0072+0.0225</f>
        <v>0.0319</v>
      </c>
      <c r="C55" s="383"/>
      <c r="D55" s="402" t="s">
        <v>119</v>
      </c>
      <c r="E55" s="403" t="n">
        <f aca="false">0.0022+0.0072</f>
        <v>0.0094</v>
      </c>
      <c r="F55" s="383"/>
      <c r="G55" s="402" t="s">
        <v>119</v>
      </c>
      <c r="H55" s="403" t="n">
        <f aca="false">0.0022+0.0072</f>
        <v>0.0094</v>
      </c>
      <c r="I55" s="383"/>
    </row>
    <row r="56" customFormat="false" ht="12.75" hidden="false" customHeight="false" outlineLevel="0" collapsed="false">
      <c r="A56" s="408" t="s">
        <v>770</v>
      </c>
      <c r="B56" s="498" t="n">
        <f aca="false">(B4)/(1-0.0191)-B4</f>
        <v>0.0845081048017127</v>
      </c>
      <c r="C56" s="409"/>
      <c r="D56" s="402" t="s">
        <v>922</v>
      </c>
      <c r="E56" s="414" t="n">
        <f aca="false">(E4)/(1-0.0563)-E4</f>
        <v>0.129161280067818</v>
      </c>
      <c r="F56" s="409"/>
      <c r="G56" s="402" t="s">
        <v>923</v>
      </c>
      <c r="H56" s="414" t="n">
        <f aca="false">(H6)/(1-0.0545)-H6</f>
        <v>0.149867794817557</v>
      </c>
      <c r="I56" s="409"/>
    </row>
    <row r="57" customFormat="false" ht="12.75" hidden="false" customHeight="false" outlineLevel="0" collapsed="false">
      <c r="A57" s="427"/>
      <c r="B57" s="423" t="n">
        <f aca="false">SUM(B54:B56)</f>
        <v>0.173608104801713</v>
      </c>
      <c r="C57" s="411"/>
      <c r="D57" s="402"/>
      <c r="E57" s="423" t="n">
        <f aca="false">SUM(E54:E56)</f>
        <v>0.205261280067818</v>
      </c>
      <c r="F57" s="411"/>
      <c r="G57" s="402"/>
      <c r="H57" s="423" t="n">
        <f aca="false">SUM(H54:H56)</f>
        <v>0.503167794817557</v>
      </c>
      <c r="I57" s="411"/>
    </row>
    <row r="58" customFormat="false" ht="12.75" hidden="false" customHeight="false" outlineLevel="0" collapsed="false">
      <c r="A58" s="493" t="s">
        <v>642</v>
      </c>
      <c r="B58" s="494" t="s">
        <v>678</v>
      </c>
      <c r="C58" s="382"/>
      <c r="D58" s="388" t="s">
        <v>644</v>
      </c>
      <c r="E58" s="389" t="s">
        <v>707</v>
      </c>
      <c r="F58" s="382"/>
      <c r="G58" s="388" t="s">
        <v>644</v>
      </c>
      <c r="H58" s="423" t="s">
        <v>797</v>
      </c>
      <c r="I58" s="382"/>
    </row>
    <row r="59" customFormat="false" ht="12.75" hidden="false" customHeight="false" outlineLevel="0" collapsed="false">
      <c r="A59" s="408" t="s">
        <v>661</v>
      </c>
      <c r="B59" s="403" t="n">
        <v>0.0776</v>
      </c>
      <c r="C59" s="383"/>
      <c r="D59" s="402" t="s">
        <v>661</v>
      </c>
      <c r="E59" s="403" t="n">
        <v>0.0881</v>
      </c>
      <c r="F59" s="383"/>
      <c r="G59" s="402" t="s">
        <v>661</v>
      </c>
      <c r="H59" s="458" t="n">
        <v>0.1908</v>
      </c>
      <c r="I59" s="383"/>
    </row>
    <row r="60" customFormat="false" ht="12.75" hidden="false" customHeight="false" outlineLevel="0" collapsed="false">
      <c r="A60" s="408" t="s">
        <v>119</v>
      </c>
      <c r="B60" s="403" t="n">
        <f aca="false">0.0022+0.0072</f>
        <v>0.0094</v>
      </c>
      <c r="C60" s="383"/>
      <c r="D60" s="402" t="s">
        <v>119</v>
      </c>
      <c r="E60" s="403" t="n">
        <f aca="false">0.0022+0.0072</f>
        <v>0.0094</v>
      </c>
      <c r="F60" s="383"/>
      <c r="G60" s="402" t="s">
        <v>119</v>
      </c>
      <c r="H60" s="403" t="n">
        <f aca="false">0.0022+0.0072</f>
        <v>0.0094</v>
      </c>
      <c r="I60" s="383"/>
    </row>
    <row r="61" customFormat="false" ht="12.75" hidden="false" customHeight="false" outlineLevel="0" collapsed="false">
      <c r="A61" s="408" t="s">
        <v>903</v>
      </c>
      <c r="B61" s="492" t="n">
        <f aca="false">(B4)/(1-0.0428)-B4</f>
        <v>0.194057668198913</v>
      </c>
      <c r="C61" s="409"/>
      <c r="D61" s="402" t="s">
        <v>904</v>
      </c>
      <c r="E61" s="414" t="n">
        <f aca="false">(E4)/(1-0.0812)-E4</f>
        <v>0.191334349151067</v>
      </c>
      <c r="F61" s="409"/>
      <c r="G61" s="402" t="s">
        <v>924</v>
      </c>
      <c r="H61" s="414" t="n">
        <f aca="false">(H7)/(1-0.0299)-H7</f>
        <v>0.0944680960725699</v>
      </c>
      <c r="I61" s="409"/>
    </row>
    <row r="62" customFormat="false" ht="12.75" hidden="false" customHeight="false" outlineLevel="0" collapsed="false">
      <c r="A62" s="427"/>
      <c r="B62" s="423" t="n">
        <f aca="false">SUM(B59:B61)</f>
        <v>0.281057668198913</v>
      </c>
      <c r="C62" s="411"/>
      <c r="D62" s="402"/>
      <c r="E62" s="423" t="n">
        <f aca="false">SUM(E59:E61)</f>
        <v>0.288834349151067</v>
      </c>
      <c r="F62" s="411"/>
      <c r="G62" s="402"/>
      <c r="H62" s="423" t="n">
        <f aca="false">SUM(H59:H61)</f>
        <v>0.29466809607257</v>
      </c>
      <c r="I62" s="411"/>
    </row>
    <row r="63" customFormat="false" ht="12.75" hidden="false" customHeight="false" outlineLevel="0" collapsed="false">
      <c r="A63" s="493" t="s">
        <v>642</v>
      </c>
      <c r="B63" s="494" t="s">
        <v>703</v>
      </c>
      <c r="C63" s="382"/>
      <c r="D63" s="388" t="s">
        <v>644</v>
      </c>
      <c r="E63" s="389" t="s">
        <v>726</v>
      </c>
      <c r="F63" s="382"/>
      <c r="G63" s="459"/>
      <c r="H63" s="460"/>
      <c r="I63" s="382"/>
    </row>
    <row r="64" customFormat="false" ht="12.75" hidden="false" customHeight="false" outlineLevel="0" collapsed="false">
      <c r="A64" s="408" t="s">
        <v>661</v>
      </c>
      <c r="B64" s="403" t="n">
        <v>0.0874</v>
      </c>
      <c r="C64" s="383"/>
      <c r="D64" s="402" t="s">
        <v>661</v>
      </c>
      <c r="E64" s="403" t="n">
        <v>0.103</v>
      </c>
      <c r="F64" s="383"/>
      <c r="G64" s="461"/>
      <c r="H64" s="462"/>
      <c r="I64" s="383"/>
    </row>
    <row r="65" customFormat="false" ht="12.75" hidden="false" customHeight="false" outlineLevel="0" collapsed="false">
      <c r="A65" s="408" t="s">
        <v>119</v>
      </c>
      <c r="B65" s="403" t="n">
        <f aca="false">0.0022</f>
        <v>0.0022</v>
      </c>
      <c r="C65" s="383"/>
      <c r="D65" s="402" t="s">
        <v>119</v>
      </c>
      <c r="E65" s="403" t="n">
        <f aca="false">0.0022+0.0072</f>
        <v>0.0094</v>
      </c>
      <c r="F65" s="383"/>
      <c r="G65" s="461"/>
      <c r="H65" s="461"/>
      <c r="I65" s="383"/>
    </row>
    <row r="66" customFormat="false" ht="12.75" hidden="false" customHeight="false" outlineLevel="0" collapsed="false">
      <c r="A66" s="408" t="s">
        <v>925</v>
      </c>
      <c r="B66" s="414" t="n">
        <f aca="false">(B4)/(1-0.0499)-B4</f>
        <v>0.227940216819283</v>
      </c>
      <c r="C66" s="409"/>
      <c r="D66" s="402" t="s">
        <v>908</v>
      </c>
      <c r="E66" s="414" t="n">
        <f aca="false">(E4)/(1-0.0975)-E4</f>
        <v>0.233891966759003</v>
      </c>
      <c r="F66" s="409"/>
      <c r="G66" s="461"/>
      <c r="H66" s="464"/>
      <c r="I66" s="409"/>
    </row>
    <row r="67" customFormat="false" ht="12.75" hidden="false" customHeight="false" outlineLevel="0" collapsed="false">
      <c r="A67" s="427"/>
      <c r="B67" s="423" t="n">
        <f aca="false">SUM(B64:B66)</f>
        <v>0.317540216819283</v>
      </c>
      <c r="C67" s="411"/>
      <c r="D67" s="402"/>
      <c r="E67" s="423" t="n">
        <f aca="false">SUM(E64:E66)</f>
        <v>0.346291966759003</v>
      </c>
      <c r="F67" s="411"/>
      <c r="G67" s="461"/>
      <c r="H67" s="460"/>
      <c r="I67" s="411"/>
    </row>
    <row r="68" customFormat="false" ht="12.75" hidden="false" customHeight="false" outlineLevel="0" collapsed="false">
      <c r="A68" s="493" t="s">
        <v>642</v>
      </c>
      <c r="B68" s="494" t="s">
        <v>722</v>
      </c>
      <c r="C68" s="376"/>
      <c r="D68" s="388" t="s">
        <v>644</v>
      </c>
      <c r="E68" s="389" t="s">
        <v>811</v>
      </c>
      <c r="F68" s="376"/>
      <c r="G68" s="461"/>
      <c r="H68" s="461"/>
      <c r="I68" s="376"/>
    </row>
    <row r="69" customFormat="false" ht="12.75" hidden="false" customHeight="false" outlineLevel="0" collapsed="false">
      <c r="A69" s="408" t="s">
        <v>661</v>
      </c>
      <c r="B69" s="403" t="n">
        <v>0.1015</v>
      </c>
      <c r="C69" s="383"/>
      <c r="D69" s="402" t="s">
        <v>661</v>
      </c>
      <c r="E69" s="403" t="n">
        <v>0.0236</v>
      </c>
      <c r="F69" s="383"/>
      <c r="G69" s="461"/>
      <c r="H69" s="461"/>
      <c r="I69" s="383"/>
    </row>
    <row r="70" customFormat="false" ht="12.75" hidden="false" customHeight="false" outlineLevel="0" collapsed="false">
      <c r="A70" s="408" t="s">
        <v>119</v>
      </c>
      <c r="B70" s="403" t="n">
        <f aca="false">0.0022+0.0072</f>
        <v>0.0094</v>
      </c>
      <c r="C70" s="383"/>
      <c r="D70" s="402" t="s">
        <v>119</v>
      </c>
      <c r="E70" s="403" t="n">
        <f aca="false">0.0022+0.0072</f>
        <v>0.0094</v>
      </c>
      <c r="F70" s="383"/>
      <c r="G70" s="464"/>
      <c r="H70" s="464"/>
      <c r="I70" s="383"/>
    </row>
    <row r="71" customFormat="false" ht="12.75" hidden="false" customHeight="false" outlineLevel="0" collapsed="false">
      <c r="A71" s="408" t="s">
        <v>926</v>
      </c>
      <c r="B71" s="498" t="n">
        <f aca="false">(B4)/(1-0.059)-B4</f>
        <v>0.27211477151966</v>
      </c>
      <c r="C71" s="409"/>
      <c r="D71" s="402" t="s">
        <v>701</v>
      </c>
      <c r="E71" s="414" t="n">
        <f aca="false">(E3)/(1-0.0268)-E3</f>
        <v>0.0688450472667488</v>
      </c>
      <c r="F71" s="409"/>
      <c r="G71" s="460"/>
      <c r="H71" s="460"/>
      <c r="I71" s="409"/>
    </row>
    <row r="72" customFormat="false" ht="12.75" hidden="false" customHeight="false" outlineLevel="0" collapsed="false">
      <c r="A72" s="427"/>
      <c r="B72" s="423" t="n">
        <f aca="false">SUM(B69:B71)</f>
        <v>0.38301477151966</v>
      </c>
      <c r="C72" s="411"/>
      <c r="D72" s="402"/>
      <c r="E72" s="423" t="n">
        <f aca="false">SUM(E69:E71)</f>
        <v>0.101845047266749</v>
      </c>
      <c r="F72" s="411"/>
      <c r="G72" s="465"/>
      <c r="H72" s="465"/>
      <c r="I72" s="411"/>
    </row>
    <row r="73" customFormat="false" ht="12.75" hidden="false" customHeight="false" outlineLevel="0" collapsed="false">
      <c r="A73" s="493" t="s">
        <v>642</v>
      </c>
      <c r="B73" s="494" t="s">
        <v>739</v>
      </c>
      <c r="C73" s="376"/>
      <c r="D73" s="388" t="s">
        <v>644</v>
      </c>
      <c r="E73" s="389" t="s">
        <v>817</v>
      </c>
      <c r="F73" s="376"/>
      <c r="G73" s="461"/>
      <c r="H73" s="461"/>
      <c r="I73" s="376"/>
    </row>
    <row r="74" customFormat="false" ht="12.75" hidden="false" customHeight="false" outlineLevel="0" collapsed="false">
      <c r="A74" s="408" t="s">
        <v>661</v>
      </c>
      <c r="B74" s="403" t="n">
        <v>0.1126</v>
      </c>
      <c r="C74" s="383"/>
      <c r="D74" s="402" t="s">
        <v>661</v>
      </c>
      <c r="E74" s="403" t="n">
        <v>0.0195</v>
      </c>
      <c r="F74" s="383"/>
      <c r="G74" s="461"/>
      <c r="H74" s="461"/>
      <c r="I74" s="383"/>
    </row>
    <row r="75" customFormat="false" ht="12.75" hidden="false" customHeight="false" outlineLevel="0" collapsed="false">
      <c r="A75" s="408" t="s">
        <v>119</v>
      </c>
      <c r="B75" s="403" t="n">
        <f aca="false">0.0022+0.0072</f>
        <v>0.0094</v>
      </c>
      <c r="C75" s="383"/>
      <c r="D75" s="402" t="s">
        <v>119</v>
      </c>
      <c r="E75" s="403" t="n">
        <f aca="false">0.0022</f>
        <v>0.0022</v>
      </c>
      <c r="F75" s="383"/>
      <c r="G75" s="464"/>
      <c r="H75" s="464"/>
      <c r="I75" s="383"/>
    </row>
    <row r="76" customFormat="false" ht="12.75" hidden="false" customHeight="false" outlineLevel="0" collapsed="false">
      <c r="A76" s="408" t="s">
        <v>927</v>
      </c>
      <c r="B76" s="498" t="n">
        <f aca="false">(B4)/(1-0.0699)-B4</f>
        <v>0.326164928502311</v>
      </c>
      <c r="C76" s="409"/>
      <c r="D76" s="402" t="s">
        <v>928</v>
      </c>
      <c r="E76" s="414" t="n">
        <f aca="false">(E3)/(1-0.0263)-E3</f>
        <v>0.0675259320119133</v>
      </c>
      <c r="F76" s="409"/>
      <c r="G76" s="460"/>
      <c r="H76" s="460"/>
      <c r="I76" s="409"/>
    </row>
    <row r="77" customFormat="false" ht="12.75" hidden="false" customHeight="false" outlineLevel="0" collapsed="false">
      <c r="A77" s="427"/>
      <c r="B77" s="423" t="n">
        <f aca="false">SUM(B74:B76)</f>
        <v>0.448164928502311</v>
      </c>
      <c r="C77" s="411"/>
      <c r="D77" s="402"/>
      <c r="E77" s="423" t="n">
        <f aca="false">SUM(E74:E76)</f>
        <v>0.0892259320119133</v>
      </c>
      <c r="F77" s="411"/>
      <c r="G77" s="460"/>
      <c r="H77" s="460"/>
      <c r="I77" s="411"/>
    </row>
    <row r="78" customFormat="false" ht="12.75" hidden="false" customHeight="false" outlineLevel="0" collapsed="false">
      <c r="A78" s="493" t="s">
        <v>642</v>
      </c>
      <c r="B78" s="494" t="s">
        <v>752</v>
      </c>
      <c r="C78" s="376"/>
      <c r="D78" s="388" t="s">
        <v>644</v>
      </c>
      <c r="E78" s="389" t="s">
        <v>824</v>
      </c>
      <c r="F78" s="376"/>
      <c r="G78" s="462"/>
      <c r="H78" s="462"/>
      <c r="I78" s="376"/>
    </row>
    <row r="79" customFormat="false" ht="12.75" hidden="false" customHeight="false" outlineLevel="0" collapsed="false">
      <c r="A79" s="408" t="s">
        <v>661</v>
      </c>
      <c r="B79" s="403" t="n">
        <v>0.1504</v>
      </c>
      <c r="C79" s="383"/>
      <c r="D79" s="402" t="s">
        <v>661</v>
      </c>
      <c r="E79" s="403" t="n">
        <v>0.0177</v>
      </c>
      <c r="F79" s="383"/>
      <c r="G79" s="462"/>
      <c r="H79" s="462"/>
      <c r="I79" s="383"/>
    </row>
    <row r="80" customFormat="false" ht="12.75" hidden="false" customHeight="false" outlineLevel="0" collapsed="false">
      <c r="A80" s="408" t="s">
        <v>119</v>
      </c>
      <c r="B80" s="403" t="n">
        <f aca="false">0.0022+0.0072</f>
        <v>0.0094</v>
      </c>
      <c r="C80" s="383"/>
      <c r="D80" s="402" t="s">
        <v>119</v>
      </c>
      <c r="E80" s="403" t="n">
        <f aca="false">0.0022+0.0072</f>
        <v>0.0094</v>
      </c>
      <c r="F80" s="383"/>
      <c r="G80" s="462"/>
      <c r="H80" s="462"/>
      <c r="I80" s="383"/>
    </row>
    <row r="81" customFormat="false" ht="12.75" hidden="false" customHeight="false" outlineLevel="0" collapsed="false">
      <c r="A81" s="408" t="s">
        <v>929</v>
      </c>
      <c r="B81" s="492" t="n">
        <f aca="false">(B4)/(1-0.0782)-B4</f>
        <v>0.368179648513777</v>
      </c>
      <c r="C81" s="409"/>
      <c r="D81" s="402" t="s">
        <v>928</v>
      </c>
      <c r="E81" s="414" t="n">
        <f aca="false">(E3)/(1-0.0263)-E3</f>
        <v>0.0675259320119133</v>
      </c>
      <c r="F81" s="409"/>
      <c r="G81" s="464"/>
      <c r="H81" s="464"/>
      <c r="I81" s="409"/>
    </row>
    <row r="82" customFormat="false" ht="12.75" hidden="false" customHeight="false" outlineLevel="0" collapsed="false">
      <c r="A82" s="427"/>
      <c r="B82" s="423" t="n">
        <f aca="false">SUM(B79:B81)</f>
        <v>0.527979648513777</v>
      </c>
      <c r="C82" s="411"/>
      <c r="D82" s="402"/>
      <c r="E82" s="423" t="n">
        <f aca="false">SUM(E79:E81)</f>
        <v>0.0946259320119133</v>
      </c>
      <c r="F82" s="411"/>
      <c r="G82" s="460"/>
      <c r="H82" s="460"/>
      <c r="I82" s="411"/>
    </row>
    <row r="83" customFormat="false" ht="12.75" hidden="false" customHeight="false" outlineLevel="0" collapsed="false">
      <c r="A83" s="493" t="s">
        <v>642</v>
      </c>
      <c r="B83" s="494" t="s">
        <v>794</v>
      </c>
      <c r="C83" s="376"/>
      <c r="D83" s="388" t="s">
        <v>644</v>
      </c>
      <c r="E83" s="389" t="s">
        <v>830</v>
      </c>
      <c r="F83" s="376"/>
      <c r="G83" s="465"/>
      <c r="H83" s="465"/>
      <c r="I83" s="376"/>
    </row>
    <row r="84" customFormat="false" ht="12.75" hidden="false" customHeight="false" outlineLevel="0" collapsed="false">
      <c r="A84" s="408" t="s">
        <v>661</v>
      </c>
      <c r="B84" s="403" t="n">
        <v>0.0783</v>
      </c>
      <c r="C84" s="383"/>
      <c r="D84" s="402" t="s">
        <v>661</v>
      </c>
      <c r="E84" s="403" t="n">
        <v>0.0177</v>
      </c>
      <c r="F84" s="383"/>
      <c r="G84" s="461"/>
      <c r="H84" s="461"/>
      <c r="I84" s="383"/>
    </row>
    <row r="85" customFormat="false" ht="12.75" hidden="false" customHeight="false" outlineLevel="0" collapsed="false">
      <c r="A85" s="408" t="s">
        <v>119</v>
      </c>
      <c r="B85" s="403" t="n">
        <f aca="false">0.0022+0.0072</f>
        <v>0.0094</v>
      </c>
      <c r="C85" s="383"/>
      <c r="D85" s="402" t="s">
        <v>119</v>
      </c>
      <c r="E85" s="403" t="n">
        <f aca="false">0.0022+0.0072</f>
        <v>0.0094</v>
      </c>
      <c r="F85" s="383"/>
      <c r="G85" s="461"/>
      <c r="H85" s="461"/>
      <c r="I85" s="383"/>
    </row>
    <row r="86" customFormat="false" ht="12.75" hidden="false" customHeight="false" outlineLevel="0" collapsed="false">
      <c r="A86" s="408" t="s">
        <v>930</v>
      </c>
      <c r="B86" s="492" t="n">
        <f aca="false">(B4)/(1-0.0415)-B4</f>
        <v>0.18790818988002</v>
      </c>
      <c r="C86" s="409"/>
      <c r="D86" s="402" t="s">
        <v>928</v>
      </c>
      <c r="E86" s="414" t="n">
        <f aca="false">(E4)/(1-0.0263)-E4</f>
        <v>0.0584774571223168</v>
      </c>
      <c r="F86" s="409"/>
      <c r="G86" s="464"/>
      <c r="H86" s="464"/>
      <c r="I86" s="409"/>
    </row>
    <row r="87" customFormat="false" ht="12.75" hidden="false" customHeight="false" outlineLevel="0" collapsed="false">
      <c r="A87" s="427"/>
      <c r="B87" s="423" t="n">
        <f aca="false">SUM(B84:B86)</f>
        <v>0.27560818988002</v>
      </c>
      <c r="C87" s="411"/>
      <c r="D87" s="402"/>
      <c r="E87" s="423" t="n">
        <f aca="false">SUM(E84:E86)</f>
        <v>0.0855774571223168</v>
      </c>
      <c r="F87" s="411"/>
      <c r="G87" s="460"/>
      <c r="H87" s="460"/>
      <c r="I87" s="411"/>
    </row>
    <row r="88" customFormat="false" ht="12.75" hidden="false" customHeight="false" outlineLevel="0" collapsed="false">
      <c r="A88" s="493" t="s">
        <v>642</v>
      </c>
      <c r="B88" s="494" t="s">
        <v>870</v>
      </c>
      <c r="C88" s="376"/>
      <c r="D88" s="388" t="s">
        <v>644</v>
      </c>
      <c r="E88" s="389" t="s">
        <v>849</v>
      </c>
      <c r="F88" s="376"/>
      <c r="I88" s="376"/>
    </row>
    <row r="89" customFormat="false" ht="12.75" hidden="false" customHeight="false" outlineLevel="0" collapsed="false">
      <c r="A89" s="408" t="s">
        <v>661</v>
      </c>
      <c r="B89" s="403" t="n">
        <f aca="false">0.0511-0.0022-0.0088</f>
        <v>0.0401</v>
      </c>
      <c r="C89" s="383"/>
      <c r="D89" s="402" t="s">
        <v>661</v>
      </c>
      <c r="E89" s="403" t="n">
        <v>0.0177</v>
      </c>
      <c r="F89" s="383"/>
      <c r="G89" s="465"/>
      <c r="H89" s="465"/>
      <c r="I89" s="383"/>
    </row>
    <row r="90" customFormat="false" ht="12.75" hidden="false" customHeight="false" outlineLevel="0" collapsed="false">
      <c r="A90" s="408" t="s">
        <v>119</v>
      </c>
      <c r="B90" s="403" t="n">
        <f aca="false">0.0022+0.0072</f>
        <v>0.0094</v>
      </c>
      <c r="C90" s="383"/>
      <c r="D90" s="402" t="s">
        <v>119</v>
      </c>
      <c r="E90" s="403" t="n">
        <f aca="false">0.0022+0.0072</f>
        <v>0.0094</v>
      </c>
      <c r="F90" s="383"/>
      <c r="G90" s="461"/>
      <c r="H90" s="461"/>
      <c r="I90" s="383"/>
    </row>
    <row r="91" customFormat="false" ht="12.75" hidden="false" customHeight="false" outlineLevel="0" collapsed="false">
      <c r="A91" s="408" t="s">
        <v>931</v>
      </c>
      <c r="B91" s="414" t="n">
        <f aca="false">(B5)/(1-0.0109)-B5</f>
        <v>0.0505823475887173</v>
      </c>
      <c r="C91" s="409"/>
      <c r="D91" s="402" t="s">
        <v>928</v>
      </c>
      <c r="E91" s="414" t="n">
        <f aca="false">(E3)/(1-0.0263)-E3</f>
        <v>0.0675259320119133</v>
      </c>
      <c r="F91" s="409"/>
      <c r="G91" s="461"/>
      <c r="H91" s="461"/>
      <c r="I91" s="409"/>
    </row>
    <row r="92" customFormat="false" ht="12.75" hidden="false" customHeight="false" outlineLevel="0" collapsed="false">
      <c r="A92" s="427"/>
      <c r="B92" s="423" t="n">
        <f aca="false">SUM(B89:B91)</f>
        <v>0.100082347588717</v>
      </c>
      <c r="C92" s="411"/>
      <c r="D92" s="402"/>
      <c r="E92" s="423" t="n">
        <f aca="false">SUM(E89:E91)</f>
        <v>0.0946259320119133</v>
      </c>
      <c r="F92" s="411"/>
      <c r="G92" s="464"/>
      <c r="H92" s="464"/>
      <c r="I92" s="411"/>
    </row>
    <row r="93" customFormat="false" ht="12.75" hidden="false" customHeight="false" outlineLevel="0" collapsed="false">
      <c r="A93" s="493" t="s">
        <v>642</v>
      </c>
      <c r="B93" s="494" t="s">
        <v>932</v>
      </c>
      <c r="C93" s="411"/>
      <c r="D93" s="388" t="s">
        <v>644</v>
      </c>
      <c r="E93" s="389" t="s">
        <v>853</v>
      </c>
      <c r="F93" s="411"/>
      <c r="G93" s="460"/>
      <c r="H93" s="460"/>
      <c r="I93" s="411"/>
    </row>
    <row r="94" customFormat="false" ht="12.75" hidden="false" customHeight="false" outlineLevel="0" collapsed="false">
      <c r="A94" s="408" t="s">
        <v>661</v>
      </c>
      <c r="B94" s="403" t="n">
        <f aca="false">0.0945-0.0022-0.0088</f>
        <v>0.0835</v>
      </c>
      <c r="C94" s="439"/>
      <c r="D94" s="402" t="s">
        <v>661</v>
      </c>
      <c r="E94" s="403" t="n">
        <v>0.0649</v>
      </c>
      <c r="F94" s="439"/>
      <c r="G94" s="465"/>
      <c r="H94" s="465"/>
      <c r="I94" s="439"/>
    </row>
    <row r="95" customFormat="false" ht="12.75" hidden="false" customHeight="false" outlineLevel="0" collapsed="false">
      <c r="A95" s="408" t="s">
        <v>119</v>
      </c>
      <c r="B95" s="403" t="n">
        <f aca="false">0.0022+0.0072</f>
        <v>0.0094</v>
      </c>
      <c r="C95" s="439" t="s">
        <v>1</v>
      </c>
      <c r="D95" s="402" t="s">
        <v>119</v>
      </c>
      <c r="E95" s="403" t="n">
        <f aca="false">0.0022+0.0072</f>
        <v>0.0094</v>
      </c>
      <c r="F95" s="439"/>
      <c r="G95" s="461"/>
      <c r="H95" s="461"/>
      <c r="I95" s="439"/>
    </row>
    <row r="96" customFormat="false" ht="12.75" hidden="false" customHeight="false" outlineLevel="0" collapsed="false">
      <c r="A96" s="408" t="s">
        <v>933</v>
      </c>
      <c r="B96" s="414" t="n">
        <f aca="false">(B5)/(1-0.0217)-B5</f>
        <v>0.1018123275069</v>
      </c>
      <c r="C96" s="409"/>
      <c r="D96" s="402" t="s">
        <v>934</v>
      </c>
      <c r="E96" s="414" t="n">
        <f aca="false">(E3)/(1-0.0512)-E3</f>
        <v>0.134907251264755</v>
      </c>
      <c r="F96" s="409"/>
      <c r="G96" s="461"/>
      <c r="H96" s="461"/>
      <c r="I96" s="409"/>
    </row>
    <row r="97" customFormat="false" ht="12.75" hidden="false" customHeight="false" outlineLevel="0" collapsed="false">
      <c r="A97" s="427"/>
      <c r="B97" s="423" t="n">
        <f aca="false">SUM(B94:B96)</f>
        <v>0.1947123275069</v>
      </c>
      <c r="C97" s="411"/>
      <c r="D97" s="402"/>
      <c r="E97" s="423" t="n">
        <f aca="false">SUM(E94:E96)</f>
        <v>0.209207251264755</v>
      </c>
      <c r="F97" s="411"/>
      <c r="G97" s="464"/>
      <c r="H97" s="464"/>
      <c r="I97" s="411"/>
    </row>
    <row r="98" customFormat="false" ht="12.75" hidden="false" customHeight="false" outlineLevel="0" collapsed="false">
      <c r="A98" s="493" t="s">
        <v>642</v>
      </c>
      <c r="B98" s="497" t="s">
        <v>851</v>
      </c>
      <c r="C98" s="376"/>
      <c r="D98" s="388" t="s">
        <v>644</v>
      </c>
      <c r="E98" s="389" t="s">
        <v>742</v>
      </c>
      <c r="F98" s="376"/>
      <c r="G98" s="460"/>
      <c r="H98" s="460"/>
      <c r="I98" s="376"/>
    </row>
    <row r="99" customFormat="false" ht="12.75" hidden="false" customHeight="false" outlineLevel="0" collapsed="false">
      <c r="A99" s="427" t="s">
        <v>661</v>
      </c>
      <c r="B99" s="403" t="n">
        <v>0.0427</v>
      </c>
      <c r="C99" s="383"/>
      <c r="D99" s="402" t="s">
        <v>661</v>
      </c>
      <c r="E99" s="403" t="n">
        <v>0.0863</v>
      </c>
      <c r="F99" s="383"/>
      <c r="I99" s="383"/>
    </row>
    <row r="100" customFormat="false" ht="12.75" hidden="false" customHeight="false" outlineLevel="0" collapsed="false">
      <c r="A100" s="427" t="s">
        <v>119</v>
      </c>
      <c r="B100" s="403" t="n">
        <f aca="false">0.0022+0.0072</f>
        <v>0.0094</v>
      </c>
      <c r="C100" s="383"/>
      <c r="D100" s="402" t="s">
        <v>119</v>
      </c>
      <c r="E100" s="403" t="n">
        <f aca="false">0.0022+0.0072</f>
        <v>0.0094</v>
      </c>
      <c r="F100" s="383"/>
      <c r="I100" s="383"/>
    </row>
    <row r="101" customFormat="false" ht="12.75" hidden="false" customHeight="false" outlineLevel="0" collapsed="false">
      <c r="A101" s="427" t="s">
        <v>935</v>
      </c>
      <c r="B101" s="414" t="n">
        <f aca="false">(+B5)/(1-0.0128)-B5</f>
        <v>0.0595137763371154</v>
      </c>
      <c r="C101" s="383"/>
      <c r="D101" s="402" t="s">
        <v>911</v>
      </c>
      <c r="E101" s="414" t="n">
        <f aca="false">(E3)/(1-0.0761)-E3</f>
        <v>0.20592055417253</v>
      </c>
      <c r="F101" s="383"/>
      <c r="I101" s="383"/>
    </row>
    <row r="102" customFormat="false" ht="12.75" hidden="false" customHeight="false" outlineLevel="0" collapsed="false">
      <c r="A102" s="427"/>
      <c r="B102" s="423" t="n">
        <f aca="false">SUM(B99:B101)</f>
        <v>0.111613776337115</v>
      </c>
      <c r="C102" s="409"/>
      <c r="D102" s="402"/>
      <c r="E102" s="423" t="n">
        <f aca="false">SUM(E99:E101)</f>
        <v>0.30162055417253</v>
      </c>
      <c r="F102" s="409"/>
      <c r="I102" s="409"/>
    </row>
    <row r="103" customFormat="false" ht="12.75" hidden="false" customHeight="false" outlineLevel="0" collapsed="false">
      <c r="A103" s="493" t="s">
        <v>642</v>
      </c>
      <c r="B103" s="497" t="s">
        <v>936</v>
      </c>
      <c r="C103" s="411"/>
      <c r="D103" s="388" t="s">
        <v>644</v>
      </c>
      <c r="E103" s="389" t="s">
        <v>755</v>
      </c>
      <c r="F103" s="411"/>
      <c r="I103" s="411"/>
    </row>
    <row r="104" customFormat="false" ht="12.75" hidden="false" customHeight="false" outlineLevel="0" collapsed="false">
      <c r="A104" s="427" t="s">
        <v>661</v>
      </c>
      <c r="B104" s="403" t="n">
        <v>0.0766</v>
      </c>
      <c r="D104" s="402" t="s">
        <v>661</v>
      </c>
      <c r="E104" s="403" t="n">
        <v>0.1012</v>
      </c>
    </row>
    <row r="105" customFormat="false" ht="12.75" hidden="false" customHeight="false" outlineLevel="0" collapsed="false">
      <c r="A105" s="427" t="s">
        <v>119</v>
      </c>
      <c r="B105" s="403" t="n">
        <f aca="false">0.0022+0.0072</f>
        <v>0.0094</v>
      </c>
      <c r="C105" s="376"/>
      <c r="D105" s="402" t="s">
        <v>119</v>
      </c>
      <c r="E105" s="403" t="n">
        <f aca="false">0.0022+0.0072</f>
        <v>0.0094</v>
      </c>
      <c r="F105" s="376"/>
      <c r="I105" s="376"/>
    </row>
    <row r="106" customFormat="false" ht="12.75" hidden="false" customHeight="false" outlineLevel="0" collapsed="false">
      <c r="A106" s="427" t="s">
        <v>937</v>
      </c>
      <c r="B106" s="414" t="n">
        <f aca="false">(+B5)/(1-0.0209)-B5</f>
        <v>0.0979787560004084</v>
      </c>
      <c r="C106" s="383"/>
      <c r="D106" s="402" t="s">
        <v>914</v>
      </c>
      <c r="E106" s="414" t="n">
        <f aca="false">(E3)/(1-0.0924)-E3</f>
        <v>0.254517408550022</v>
      </c>
      <c r="F106" s="383"/>
      <c r="I106" s="383"/>
    </row>
    <row r="107" customFormat="false" ht="12.75" hidden="false" customHeight="false" outlineLevel="0" collapsed="false">
      <c r="A107" s="427"/>
      <c r="B107" s="423" t="n">
        <f aca="false">SUM(B104:B106)</f>
        <v>0.183978756000408</v>
      </c>
      <c r="C107" s="383"/>
      <c r="D107" s="402"/>
      <c r="E107" s="423" t="n">
        <f aca="false">SUM(E104:E106)</f>
        <v>0.365117408550022</v>
      </c>
      <c r="F107" s="383"/>
      <c r="I107" s="383"/>
    </row>
    <row r="108" customFormat="false" ht="12.75" hidden="false" customHeight="false" outlineLevel="0" collapsed="false">
      <c r="A108" s="493" t="s">
        <v>642</v>
      </c>
      <c r="B108" s="494" t="s">
        <v>871</v>
      </c>
      <c r="C108" s="409"/>
      <c r="D108" s="388" t="s">
        <v>644</v>
      </c>
      <c r="E108" s="389" t="s">
        <v>865</v>
      </c>
      <c r="F108" s="409"/>
      <c r="I108" s="409"/>
    </row>
    <row r="109" customFormat="false" ht="12.75" hidden="false" customHeight="false" outlineLevel="0" collapsed="false">
      <c r="A109" s="408" t="s">
        <v>661</v>
      </c>
      <c r="B109" s="403" t="n">
        <v>0.0459</v>
      </c>
      <c r="C109" s="411"/>
      <c r="D109" s="402" t="s">
        <v>661</v>
      </c>
      <c r="E109" s="403" t="n">
        <v>0.0472</v>
      </c>
      <c r="F109" s="411"/>
      <c r="I109" s="411"/>
    </row>
    <row r="110" customFormat="false" ht="12.75" hidden="false" customHeight="false" outlineLevel="0" collapsed="false">
      <c r="A110" s="408" t="s">
        <v>119</v>
      </c>
      <c r="B110" s="403" t="n">
        <f aca="false">0.0022+0.0072</f>
        <v>0.0094</v>
      </c>
      <c r="C110" s="376"/>
      <c r="D110" s="402" t="s">
        <v>119</v>
      </c>
      <c r="E110" s="403" t="n">
        <f aca="false">0.0022+0.0072</f>
        <v>0.0094</v>
      </c>
      <c r="F110" s="376"/>
      <c r="I110" s="376"/>
    </row>
    <row r="111" customFormat="false" ht="12.75" hidden="false" customHeight="false" outlineLevel="0" collapsed="false">
      <c r="A111" s="408" t="s">
        <v>938</v>
      </c>
      <c r="B111" s="414" t="n">
        <f aca="false">(+B$5)/(1-0.0116)-B$5</f>
        <v>0.053868878996358</v>
      </c>
      <c r="C111" s="383"/>
      <c r="D111" s="402" t="s">
        <v>939</v>
      </c>
      <c r="E111" s="414" t="n">
        <f aca="false">(E6)/(1-0.0249)-(E6)</f>
        <v>0.0663931904420059</v>
      </c>
      <c r="F111" s="383"/>
      <c r="I111" s="383"/>
    </row>
    <row r="112" customFormat="false" ht="12.75" hidden="false" customHeight="false" outlineLevel="0" collapsed="false">
      <c r="A112" s="427"/>
      <c r="B112" s="423" t="n">
        <f aca="false">SUM(B109:B111)</f>
        <v>0.109168878996358</v>
      </c>
      <c r="C112" s="383"/>
      <c r="D112" s="402"/>
      <c r="E112" s="423" t="n">
        <f aca="false">SUM(E109:E111)</f>
        <v>0.122993190442006</v>
      </c>
      <c r="F112" s="383"/>
      <c r="I112" s="383"/>
    </row>
    <row r="113" customFormat="false" ht="12.75" hidden="false" customHeight="false" outlineLevel="0" collapsed="false">
      <c r="A113" s="493" t="s">
        <v>940</v>
      </c>
      <c r="B113" s="494"/>
      <c r="C113" s="409"/>
      <c r="D113" s="388" t="s">
        <v>644</v>
      </c>
      <c r="E113" s="389" t="s">
        <v>765</v>
      </c>
      <c r="F113" s="409"/>
      <c r="I113" s="409"/>
    </row>
    <row r="114" customFormat="false" ht="12.75" hidden="false" customHeight="false" outlineLevel="0" collapsed="false">
      <c r="A114" s="408" t="s">
        <v>661</v>
      </c>
      <c r="B114" s="403" t="n">
        <v>0</v>
      </c>
      <c r="C114" s="411"/>
      <c r="D114" s="402" t="s">
        <v>661</v>
      </c>
      <c r="E114" s="403" t="n">
        <v>0.0686</v>
      </c>
      <c r="F114" s="411"/>
      <c r="I114" s="411"/>
    </row>
    <row r="115" customFormat="false" ht="12.75" hidden="false" customHeight="false" outlineLevel="0" collapsed="false">
      <c r="A115" s="408" t="s">
        <v>119</v>
      </c>
      <c r="B115" s="403" t="n">
        <f aca="false">0.0022+0.0072</f>
        <v>0.0094</v>
      </c>
      <c r="D115" s="402" t="s">
        <v>119</v>
      </c>
      <c r="E115" s="403" t="n">
        <f aca="false">0.0022+0.0072</f>
        <v>0.0094</v>
      </c>
    </row>
    <row r="116" customFormat="false" ht="12.75" hidden="false" customHeight="false" outlineLevel="0" collapsed="false">
      <c r="A116" s="408" t="s">
        <v>868</v>
      </c>
      <c r="B116" s="414" t="n">
        <f aca="false">((+V$3+V$17-0.0072)/(1-0.0131)-(+V$3+V$17-0.0072))</f>
        <v>-9.55719931097377E-005</v>
      </c>
      <c r="D116" s="402" t="s">
        <v>918</v>
      </c>
      <c r="E116" s="414" t="n">
        <f aca="false">(E6)/(1-0.0498)-(E6)</f>
        <v>0.136266049252789</v>
      </c>
    </row>
    <row r="117" customFormat="false" ht="12.75" hidden="false" customHeight="false" outlineLevel="0" collapsed="false">
      <c r="A117" s="427"/>
      <c r="B117" s="423" t="n">
        <f aca="false">SUM(B114:B116)</f>
        <v>0.00930442800689026</v>
      </c>
      <c r="D117" s="402"/>
      <c r="E117" s="423" t="n">
        <f aca="false">SUM(E114:E116)</f>
        <v>0.214266049252789</v>
      </c>
    </row>
    <row r="118" customFormat="false" ht="12.75" hidden="false" customHeight="false" outlineLevel="0" collapsed="false">
      <c r="A118" s="493" t="s">
        <v>642</v>
      </c>
      <c r="B118" s="494" t="s">
        <v>873</v>
      </c>
      <c r="D118" s="388" t="s">
        <v>644</v>
      </c>
      <c r="E118" s="389" t="s">
        <v>778</v>
      </c>
    </row>
    <row r="119" customFormat="false" ht="12.75" hidden="false" customHeight="false" outlineLevel="0" collapsed="false">
      <c r="A119" s="408" t="s">
        <v>661</v>
      </c>
      <c r="B119" s="403" t="n">
        <v>0.1618</v>
      </c>
      <c r="D119" s="402" t="s">
        <v>661</v>
      </c>
      <c r="E119" s="403" t="n">
        <v>0.0835</v>
      </c>
    </row>
    <row r="120" customFormat="false" ht="12.75" hidden="false" customHeight="false" outlineLevel="0" collapsed="false">
      <c r="A120" s="408" t="s">
        <v>119</v>
      </c>
      <c r="B120" s="403" t="n">
        <f aca="false">0.0022+0+0.0225+0.0072</f>
        <v>0.0319</v>
      </c>
      <c r="D120" s="402" t="s">
        <v>119</v>
      </c>
      <c r="E120" s="403" t="n">
        <f aca="false">0.0022+0.0072</f>
        <v>0.0094</v>
      </c>
    </row>
    <row r="121" customFormat="false" ht="12.75" hidden="false" customHeight="false" outlineLevel="0" collapsed="false">
      <c r="A121" s="408" t="s">
        <v>835</v>
      </c>
      <c r="B121" s="492" t="n">
        <f aca="false">(B4)/(1-0.0101)-B4</f>
        <v>0.0442812405293465</v>
      </c>
      <c r="D121" s="402" t="s">
        <v>921</v>
      </c>
      <c r="E121" s="414" t="n">
        <f aca="false">(E6)/(1-0.0661)-(E6)</f>
        <v>0.184023985437413</v>
      </c>
    </row>
    <row r="122" customFormat="false" ht="12.75" hidden="false" customHeight="false" outlineLevel="0" collapsed="false">
      <c r="A122" s="427"/>
      <c r="B122" s="423" t="n">
        <f aca="false">SUM(B119:B121)</f>
        <v>0.237981240529346</v>
      </c>
      <c r="D122" s="402"/>
      <c r="E122" s="423" t="n">
        <f aca="false">SUM(E119:E121)</f>
        <v>0.276923985437413</v>
      </c>
    </row>
    <row r="123" customFormat="false" ht="12.75" hidden="false" customHeight="false" outlineLevel="0" collapsed="false">
      <c r="A123" s="493" t="s">
        <v>642</v>
      </c>
      <c r="B123" s="494" t="s">
        <v>876</v>
      </c>
      <c r="D123" s="388" t="s">
        <v>644</v>
      </c>
      <c r="E123" s="423" t="s">
        <v>877</v>
      </c>
    </row>
    <row r="124" customFormat="false" ht="12.75" hidden="false" customHeight="false" outlineLevel="0" collapsed="false">
      <c r="A124" s="408" t="s">
        <v>661</v>
      </c>
      <c r="B124" s="403" t="n">
        <v>0.3288</v>
      </c>
      <c r="D124" s="402" t="s">
        <v>661</v>
      </c>
      <c r="E124" s="458" t="n">
        <v>0.0583</v>
      </c>
    </row>
    <row r="125" customFormat="false" ht="12.75" hidden="false" customHeight="false" outlineLevel="0" collapsed="false">
      <c r="A125" s="408" t="s">
        <v>119</v>
      </c>
      <c r="B125" s="403" t="n">
        <f aca="false">0.0022+0+0.0225+0.0072</f>
        <v>0.0319</v>
      </c>
      <c r="D125" s="402" t="s">
        <v>119</v>
      </c>
      <c r="E125" s="403" t="n">
        <f aca="false">0.0022</f>
        <v>0.0022</v>
      </c>
    </row>
    <row r="126" customFormat="false" ht="12.75" hidden="false" customHeight="false" outlineLevel="0" collapsed="false">
      <c r="A126" s="408" t="s">
        <v>898</v>
      </c>
      <c r="B126" s="492" t="n">
        <f aca="false">(B3)/(1-0.0279)-B3</f>
        <v>0.123556732846415</v>
      </c>
      <c r="D126" s="402" t="s">
        <v>941</v>
      </c>
      <c r="E126" s="414" t="n">
        <f aca="false">(E6)/(1-0.0378)-E6</f>
        <v>0.102140927042195</v>
      </c>
    </row>
    <row r="127" customFormat="false" ht="12.75" hidden="false" customHeight="false" outlineLevel="0" collapsed="false">
      <c r="A127" s="427"/>
      <c r="B127" s="423" t="n">
        <f aca="false">SUM(B124:B126)</f>
        <v>0.484256732846415</v>
      </c>
      <c r="D127" s="402"/>
      <c r="E127" s="423" t="n">
        <f aca="false">SUM(E124:E126)</f>
        <v>0.162640927042195</v>
      </c>
    </row>
    <row r="128" customFormat="false" ht="12.75" hidden="false" customHeight="false" outlineLevel="0" collapsed="false">
      <c r="A128" s="493" t="s">
        <v>642</v>
      </c>
      <c r="B128" s="494" t="s">
        <v>882</v>
      </c>
      <c r="D128" s="388" t="s">
        <v>644</v>
      </c>
      <c r="E128" s="423" t="s">
        <v>789</v>
      </c>
    </row>
    <row r="129" customFormat="false" ht="12.75" hidden="false" customHeight="false" outlineLevel="0" collapsed="false">
      <c r="A129" s="408" t="s">
        <v>661</v>
      </c>
      <c r="B129" s="403" t="n">
        <v>0.3786</v>
      </c>
      <c r="D129" s="402" t="s">
        <v>661</v>
      </c>
      <c r="E129" s="458" t="n">
        <v>0.0731</v>
      </c>
    </row>
    <row r="130" customFormat="false" ht="12.75" hidden="false" customHeight="false" outlineLevel="0" collapsed="false">
      <c r="A130" s="408" t="s">
        <v>119</v>
      </c>
      <c r="B130" s="403" t="n">
        <f aca="false">0.0022+0+0.0225+0.0072</f>
        <v>0.0319</v>
      </c>
      <c r="D130" s="402" t="s">
        <v>119</v>
      </c>
      <c r="E130" s="403" t="n">
        <f aca="false">0.0022+0.0072</f>
        <v>0.0094</v>
      </c>
    </row>
    <row r="131" customFormat="false" ht="12.75" hidden="false" customHeight="false" outlineLevel="0" collapsed="false">
      <c r="A131" s="408" t="s">
        <v>903</v>
      </c>
      <c r="B131" s="492" t="n">
        <f aca="false">(B4)/(1-0.0428)-B4</f>
        <v>0.194057668198913</v>
      </c>
      <c r="D131" s="402" t="s">
        <v>923</v>
      </c>
      <c r="E131" s="414" t="n">
        <f aca="false">(E6)/(1-0.0545)-E6</f>
        <v>0.149867794817557</v>
      </c>
    </row>
    <row r="132" customFormat="false" ht="12.75" hidden="false" customHeight="false" outlineLevel="0" collapsed="false">
      <c r="A132" s="427"/>
      <c r="B132" s="423" t="n">
        <f aca="false">SUM(B129:B131)</f>
        <v>0.604557668198913</v>
      </c>
      <c r="D132" s="402"/>
      <c r="E132" s="423" t="n">
        <f aca="false">SUM(E129:E131)</f>
        <v>0.232367794817557</v>
      </c>
    </row>
    <row r="133" customFormat="false" ht="12.75" hidden="false" customHeight="false" outlineLevel="0" collapsed="false">
      <c r="A133" s="408" t="s">
        <v>1</v>
      </c>
      <c r="B133" s="403" t="s">
        <v>1</v>
      </c>
      <c r="D133" s="388" t="s">
        <v>644</v>
      </c>
      <c r="E133" s="423" t="s">
        <v>797</v>
      </c>
    </row>
    <row r="134" customFormat="false" ht="12.75" hidden="false" customHeight="false" outlineLevel="0" collapsed="false">
      <c r="A134" s="493" t="s">
        <v>642</v>
      </c>
      <c r="B134" s="497" t="s">
        <v>885</v>
      </c>
      <c r="D134" s="402" t="s">
        <v>661</v>
      </c>
      <c r="E134" s="458" t="n">
        <v>0.0515</v>
      </c>
    </row>
    <row r="135" customFormat="false" ht="12.75" hidden="false" customHeight="false" outlineLevel="0" collapsed="false">
      <c r="A135" s="427" t="s">
        <v>661</v>
      </c>
      <c r="B135" s="403" t="n">
        <v>0.1826</v>
      </c>
      <c r="D135" s="402" t="s">
        <v>119</v>
      </c>
      <c r="E135" s="403" t="n">
        <f aca="false">0.0022+0.0072</f>
        <v>0.0094</v>
      </c>
    </row>
    <row r="136" customFormat="false" ht="12.75" hidden="false" customHeight="false" outlineLevel="0" collapsed="false">
      <c r="A136" s="427" t="s">
        <v>119</v>
      </c>
      <c r="B136" s="403" t="n">
        <f aca="false">0.0022+0.0072</f>
        <v>0.0094</v>
      </c>
      <c r="D136" s="402" t="s">
        <v>924</v>
      </c>
      <c r="E136" s="414" t="n">
        <f aca="false">(E7)/(1-0.0299)-E7</f>
        <v>0.0944680960725699</v>
      </c>
    </row>
    <row r="137" customFormat="false" ht="12.75" hidden="false" customHeight="false" outlineLevel="0" collapsed="false">
      <c r="A137" s="427" t="s">
        <v>935</v>
      </c>
      <c r="B137" s="414" t="n">
        <f aca="false">(B5)/(1-0.0128)-B5</f>
        <v>0.0595137763371154</v>
      </c>
      <c r="D137" s="499"/>
      <c r="E137" s="500" t="n">
        <f aca="false">SUM(E134:E136)</f>
        <v>0.15536809607257</v>
      </c>
    </row>
    <row r="138" customFormat="false" ht="12.75" hidden="false" customHeight="false" outlineLevel="0" collapsed="false">
      <c r="A138" s="427"/>
      <c r="B138" s="423" t="n">
        <f aca="false">SUM(B135:B137)</f>
        <v>0.251513776337115</v>
      </c>
      <c r="D138" s="388"/>
      <c r="E138" s="423"/>
    </row>
    <row r="139" customFormat="false" ht="12.75" hidden="false" customHeight="false" outlineLevel="0" collapsed="false">
      <c r="D139" s="478"/>
      <c r="E139" s="478"/>
    </row>
    <row r="140" customFormat="false" ht="12.75" hidden="false" customHeight="false" outlineLevel="0" collapsed="false">
      <c r="D140" s="501"/>
      <c r="E140" s="501"/>
    </row>
    <row r="141" customFormat="false" ht="12.75" hidden="false" customHeight="false" outlineLevel="0" collapsed="false">
      <c r="D141" s="502"/>
      <c r="E141" s="502"/>
    </row>
    <row r="142" customFormat="false" ht="12.75" hidden="false" customHeight="false" outlineLevel="0" collapsed="false">
      <c r="D142" s="503"/>
      <c r="E142" s="503"/>
    </row>
    <row r="143" customFormat="false" ht="12.75" hidden="false" customHeight="false" outlineLevel="0" collapsed="false">
      <c r="D143" s="478"/>
      <c r="E143" s="478"/>
    </row>
    <row r="144" customFormat="false" ht="12.75" hidden="false" customHeight="false" outlineLevel="0" collapsed="false">
      <c r="D144" s="478"/>
      <c r="E144" s="478"/>
    </row>
    <row r="145" customFormat="false" ht="12.75" hidden="false" customHeight="false" outlineLevel="0" collapsed="false">
      <c r="D145" s="501"/>
      <c r="E145" s="501"/>
    </row>
    <row r="146" customFormat="false" ht="12.75" hidden="false" customHeight="false" outlineLevel="0" collapsed="false">
      <c r="D146" s="502"/>
      <c r="E146" s="502"/>
    </row>
    <row r="147" customFormat="false" ht="12.75" hidden="false" customHeight="false" outlineLevel="0" collapsed="false">
      <c r="D147" s="503"/>
      <c r="E147" s="503"/>
    </row>
    <row r="148" customFormat="false" ht="12.75" hidden="false" customHeight="false" outlineLevel="0" collapsed="false">
      <c r="D148" s="478"/>
      <c r="E148" s="478"/>
    </row>
    <row r="149" customFormat="false" ht="12.75" hidden="false" customHeight="false" outlineLevel="0" collapsed="false">
      <c r="D149" s="478"/>
      <c r="E149" s="478"/>
    </row>
    <row r="150" customFormat="false" ht="12.75" hidden="false" customHeight="false" outlineLevel="0" collapsed="false">
      <c r="D150" s="501"/>
      <c r="E150" s="501"/>
    </row>
    <row r="151" customFormat="false" ht="12.75" hidden="false" customHeight="false" outlineLevel="0" collapsed="false">
      <c r="D151" s="502"/>
      <c r="E151" s="502"/>
    </row>
    <row r="152" customFormat="false" ht="12.75" hidden="false" customHeight="false" outlineLevel="0" collapsed="false">
      <c r="D152" s="502"/>
      <c r="E152" s="502"/>
    </row>
    <row r="153" customFormat="false" ht="12.75" hidden="false" customHeight="false" outlineLevel="0" collapsed="false">
      <c r="D153" s="504"/>
      <c r="E153" s="504"/>
    </row>
    <row r="154" customFormat="false" ht="12.75" hidden="false" customHeight="false" outlineLevel="0" collapsed="false">
      <c r="D154" s="504"/>
      <c r="E154" s="504"/>
    </row>
    <row r="155" customFormat="false" ht="12.75" hidden="false" customHeight="false" outlineLevel="0" collapsed="false">
      <c r="D155" s="504"/>
      <c r="E155" s="504"/>
    </row>
    <row r="156" customFormat="false" ht="12.75" hidden="false" customHeight="false" outlineLevel="0" collapsed="false">
      <c r="D156" s="501"/>
      <c r="E156" s="501"/>
    </row>
    <row r="157" customFormat="false" ht="12.75" hidden="false" customHeight="false" outlineLevel="0" collapsed="false">
      <c r="D157" s="502"/>
      <c r="E157" s="502"/>
    </row>
    <row r="158" customFormat="false" ht="12.75" hidden="false" customHeight="false" outlineLevel="0" collapsed="false">
      <c r="D158" s="503"/>
      <c r="E158" s="503"/>
    </row>
    <row r="159" customFormat="false" ht="12.75" hidden="false" customHeight="false" outlineLevel="0" collapsed="false">
      <c r="D159" s="478"/>
      <c r="E159" s="478"/>
    </row>
    <row r="160" customFormat="false" ht="12.75" hidden="false" customHeight="false" outlineLevel="0" collapsed="false">
      <c r="D160" s="478"/>
      <c r="E160" s="478"/>
    </row>
    <row r="161" customFormat="false" ht="12.75" hidden="false" customHeight="false" outlineLevel="0" collapsed="false">
      <c r="D161" s="501"/>
      <c r="E161" s="501"/>
    </row>
    <row r="162" customFormat="false" ht="12.75" hidden="false" customHeight="false" outlineLevel="0" collapsed="false">
      <c r="D162" s="502"/>
      <c r="E162" s="502"/>
    </row>
    <row r="164" customFormat="false" ht="12.75" hidden="false" customHeight="false" outlineLevel="0" collapsed="false">
      <c r="D164" s="503"/>
      <c r="E164" s="503"/>
    </row>
    <row r="165" customFormat="false" ht="12.75" hidden="false" customHeight="false" outlineLevel="0" collapsed="false">
      <c r="D165" s="478"/>
      <c r="E165" s="478"/>
    </row>
    <row r="166" customFormat="false" ht="12.75" hidden="false" customHeight="false" outlineLevel="0" collapsed="false">
      <c r="D166" s="478"/>
      <c r="E166" s="478"/>
    </row>
    <row r="167" customFormat="false" ht="12.75" hidden="false" customHeight="false" outlineLevel="0" collapsed="false">
      <c r="D167" s="501"/>
      <c r="E167" s="501"/>
    </row>
    <row r="168" customFormat="false" ht="12.75" hidden="false" customHeight="false" outlineLevel="0" collapsed="false">
      <c r="D168" s="502"/>
      <c r="E168" s="502"/>
    </row>
    <row r="169" customFormat="false" ht="12.75" hidden="false" customHeight="false" outlineLevel="0" collapsed="false">
      <c r="D169" s="503"/>
      <c r="E169" s="503"/>
    </row>
    <row r="170" customFormat="false" ht="12.75" hidden="false" customHeight="false" outlineLevel="0" collapsed="false">
      <c r="D170" s="478"/>
      <c r="E170" s="478"/>
    </row>
    <row r="171" customFormat="false" ht="12.75" hidden="false" customHeight="false" outlineLevel="0" collapsed="false">
      <c r="D171" s="478"/>
      <c r="E171" s="478"/>
    </row>
    <row r="172" customFormat="false" ht="12.75" hidden="false" customHeight="false" outlineLevel="0" collapsed="false">
      <c r="D172" s="501"/>
      <c r="E172" s="501"/>
    </row>
    <row r="173" customFormat="false" ht="12.75" hidden="false" customHeight="false" outlineLevel="0" collapsed="false">
      <c r="D173" s="502"/>
      <c r="E173" s="502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505" t="s">
        <v>93</v>
      </c>
      <c r="C1" s="505"/>
    </row>
    <row r="3" customFormat="false" ht="12.75" hidden="false" customHeight="false" outlineLevel="0" collapsed="false">
      <c r="B3" s="0" t="s">
        <v>5</v>
      </c>
      <c r="G3" s="506"/>
    </row>
    <row r="5" customFormat="false" ht="12.75" hidden="false" customHeight="false" outlineLevel="0" collapsed="false">
      <c r="B5" s="0" t="s">
        <v>942</v>
      </c>
    </row>
    <row r="7" customFormat="false" ht="12.75" hidden="false" customHeight="false" outlineLevel="0" collapsed="false">
      <c r="C7" s="0" t="s">
        <v>943</v>
      </c>
    </row>
    <row r="8" customFormat="false" ht="12.75" hidden="false" customHeight="false" outlineLevel="0" collapsed="false">
      <c r="D8" s="0" t="s">
        <v>944</v>
      </c>
      <c r="E8" s="0" t="s">
        <v>389</v>
      </c>
      <c r="F8" s="379" t="n">
        <v>3.88</v>
      </c>
    </row>
    <row r="9" customFormat="false" ht="12.75" hidden="false" customHeight="false" outlineLevel="0" collapsed="false">
      <c r="D9" s="0" t="s">
        <v>943</v>
      </c>
      <c r="F9" s="507" t="n">
        <v>0.0333</v>
      </c>
    </row>
    <row r="10" customFormat="false" ht="12.75" hidden="false" customHeight="false" outlineLevel="0" collapsed="false">
      <c r="D10" s="0" t="s">
        <v>945</v>
      </c>
      <c r="F10" s="508" t="n">
        <v>0.0474045</v>
      </c>
      <c r="G10" s="0" t="s">
        <v>946</v>
      </c>
    </row>
    <row r="11" customFormat="false" ht="12.75" hidden="false" customHeight="false" outlineLevel="0" collapsed="false">
      <c r="D11" s="0" t="s">
        <v>947</v>
      </c>
      <c r="F11" s="435" t="n">
        <f aca="false">+F8/(1-F10)-F8</f>
        <v>0.193082436354151</v>
      </c>
    </row>
    <row r="12" customFormat="false" ht="13.5" hidden="false" customHeight="false" outlineLevel="0" collapsed="false">
      <c r="D12" s="0" t="s">
        <v>948</v>
      </c>
      <c r="F12" s="437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0" t="s">
        <v>949</v>
      </c>
    </row>
    <row r="15" customFormat="false" ht="12.75" hidden="false" customHeight="false" outlineLevel="0" collapsed="false">
      <c r="D15" s="0" t="s">
        <v>944</v>
      </c>
      <c r="E15" s="0" t="s">
        <v>389</v>
      </c>
      <c r="F15" s="379" t="n">
        <v>3.88</v>
      </c>
    </row>
    <row r="16" customFormat="false" ht="12.75" hidden="false" customHeight="false" outlineLevel="0" collapsed="false">
      <c r="D16" s="0" t="s">
        <v>949</v>
      </c>
      <c r="F16" s="507" t="n">
        <v>0.0325</v>
      </c>
    </row>
    <row r="17" customFormat="false" ht="12.75" hidden="false" customHeight="false" outlineLevel="0" collapsed="false">
      <c r="D17" s="0" t="s">
        <v>950</v>
      </c>
      <c r="F17" s="508" t="n">
        <v>0</v>
      </c>
    </row>
    <row r="18" customFormat="false" ht="12.75" hidden="false" customHeight="false" outlineLevel="0" collapsed="false">
      <c r="D18" s="0" t="s">
        <v>947</v>
      </c>
      <c r="F18" s="435" t="n">
        <f aca="false">+F15/(1-F17)-F15</f>
        <v>0</v>
      </c>
    </row>
    <row r="19" customFormat="false" ht="13.5" hidden="false" customHeight="false" outlineLevel="0" collapsed="false">
      <c r="D19" s="0" t="s">
        <v>948</v>
      </c>
      <c r="F19" s="437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0" t="s">
        <v>951</v>
      </c>
    </row>
    <row r="24" customFormat="false" ht="12.75" hidden="false" customHeight="false" outlineLevel="0" collapsed="false">
      <c r="C24" s="0" t="s">
        <v>943</v>
      </c>
    </row>
    <row r="25" customFormat="false" ht="12.75" hidden="false" customHeight="false" outlineLevel="0" collapsed="false">
      <c r="D25" s="0" t="s">
        <v>944</v>
      </c>
      <c r="E25" s="0" t="s">
        <v>389</v>
      </c>
      <c r="F25" s="379" t="n">
        <v>2.2</v>
      </c>
    </row>
    <row r="26" customFormat="false" ht="12.75" hidden="false" customHeight="false" outlineLevel="0" collapsed="false">
      <c r="D26" s="0" t="s">
        <v>943</v>
      </c>
      <c r="F26" s="507" t="n">
        <v>0.0054</v>
      </c>
    </row>
    <row r="27" customFormat="false" ht="12.75" hidden="false" customHeight="false" outlineLevel="0" collapsed="false">
      <c r="D27" s="0" t="s">
        <v>945</v>
      </c>
      <c r="F27" s="508" t="n">
        <v>0.0198</v>
      </c>
    </row>
    <row r="28" customFormat="false" ht="12.75" hidden="false" customHeight="false" outlineLevel="0" collapsed="false">
      <c r="D28" s="0" t="s">
        <v>947</v>
      </c>
      <c r="F28" s="435" t="n">
        <f aca="false">+F25/(1-F27)-F25</f>
        <v>0.0444399102224038</v>
      </c>
    </row>
    <row r="29" customFormat="false" ht="13.5" hidden="false" customHeight="false" outlineLevel="0" collapsed="false">
      <c r="D29" s="0" t="s">
        <v>948</v>
      </c>
      <c r="F29" s="437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0" t="s">
        <v>949</v>
      </c>
    </row>
    <row r="32" customFormat="false" ht="12.75" hidden="false" customHeight="false" outlineLevel="0" collapsed="false">
      <c r="D32" s="0" t="s">
        <v>944</v>
      </c>
      <c r="E32" s="0" t="s">
        <v>389</v>
      </c>
      <c r="F32" s="379" t="n">
        <v>1.95</v>
      </c>
    </row>
    <row r="33" customFormat="false" ht="12.75" hidden="false" customHeight="false" outlineLevel="0" collapsed="false">
      <c r="D33" s="0" t="s">
        <v>949</v>
      </c>
      <c r="F33" s="507" t="n">
        <v>0.0054</v>
      </c>
    </row>
    <row r="34" customFormat="false" ht="12.75" hidden="false" customHeight="false" outlineLevel="0" collapsed="false">
      <c r="D34" s="0" t="s">
        <v>950</v>
      </c>
      <c r="F34" s="508" t="n">
        <v>0</v>
      </c>
    </row>
    <row r="35" customFormat="false" ht="12.75" hidden="false" customHeight="false" outlineLevel="0" collapsed="false">
      <c r="D35" s="0" t="s">
        <v>947</v>
      </c>
      <c r="F35" s="435" t="n">
        <f aca="false">+F32/(1-F34)-F32</f>
        <v>0</v>
      </c>
    </row>
    <row r="36" customFormat="false" ht="13.5" hidden="false" customHeight="false" outlineLevel="0" collapsed="false">
      <c r="D36" s="0" t="s">
        <v>948</v>
      </c>
      <c r="F36" s="437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0" t="s">
        <v>952</v>
      </c>
    </row>
    <row r="41" customFormat="false" ht="12.75" hidden="false" customHeight="false" outlineLevel="0" collapsed="false">
      <c r="C41" s="0" t="s">
        <v>943</v>
      </c>
    </row>
    <row r="42" customFormat="false" ht="12.75" hidden="false" customHeight="false" outlineLevel="0" collapsed="false">
      <c r="D42" s="0" t="s">
        <v>944</v>
      </c>
      <c r="E42" s="0" t="s">
        <v>389</v>
      </c>
      <c r="F42" s="379" t="n">
        <v>2.2</v>
      </c>
    </row>
    <row r="43" customFormat="false" ht="12.75" hidden="false" customHeight="false" outlineLevel="0" collapsed="false">
      <c r="D43" s="0" t="s">
        <v>943</v>
      </c>
      <c r="F43" s="507" t="n">
        <v>0.0219</v>
      </c>
    </row>
    <row r="44" customFormat="false" ht="12.75" hidden="false" customHeight="false" outlineLevel="0" collapsed="false">
      <c r="D44" s="0" t="s">
        <v>945</v>
      </c>
      <c r="F44" s="508" t="n">
        <v>0.02375</v>
      </c>
      <c r="G44" s="0" t="s">
        <v>953</v>
      </c>
    </row>
    <row r="45" customFormat="false" ht="12.75" hidden="false" customHeight="false" outlineLevel="0" collapsed="false">
      <c r="D45" s="0" t="s">
        <v>947</v>
      </c>
      <c r="F45" s="435" t="n">
        <f aca="false">+F42/(1-F44)-F42</f>
        <v>0.0535211267605633</v>
      </c>
    </row>
    <row r="46" customFormat="false" ht="13.5" hidden="false" customHeight="false" outlineLevel="0" collapsed="false">
      <c r="D46" s="0" t="s">
        <v>948</v>
      </c>
      <c r="F46" s="437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0" t="s">
        <v>949</v>
      </c>
    </row>
    <row r="49" customFormat="false" ht="12.75" hidden="false" customHeight="false" outlineLevel="0" collapsed="false">
      <c r="D49" s="0" t="s">
        <v>944</v>
      </c>
      <c r="E49" s="0" t="s">
        <v>389</v>
      </c>
      <c r="F49" s="379" t="n">
        <v>1.95</v>
      </c>
    </row>
    <row r="50" customFormat="false" ht="12.75" hidden="false" customHeight="false" outlineLevel="0" collapsed="false">
      <c r="D50" s="0" t="s">
        <v>949</v>
      </c>
      <c r="F50" s="507" t="n">
        <v>0.0209</v>
      </c>
    </row>
    <row r="51" customFormat="false" ht="12.75" hidden="false" customHeight="false" outlineLevel="0" collapsed="false">
      <c r="D51" s="0" t="s">
        <v>950</v>
      </c>
      <c r="F51" s="508" t="n">
        <v>0.0047</v>
      </c>
    </row>
    <row r="52" customFormat="false" ht="12.75" hidden="false" customHeight="false" outlineLevel="0" collapsed="false">
      <c r="D52" s="0" t="s">
        <v>947</v>
      </c>
      <c r="F52" s="435" t="n">
        <f aca="false">+F49/(1-F51)-F49</f>
        <v>0.00920827891088116</v>
      </c>
    </row>
    <row r="53" customFormat="false" ht="13.5" hidden="false" customHeight="false" outlineLevel="0" collapsed="false">
      <c r="D53" s="0" t="s">
        <v>948</v>
      </c>
      <c r="F53" s="437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0" t="s">
        <v>954</v>
      </c>
    </row>
    <row r="57" customFormat="false" ht="12.75" hidden="false" customHeight="false" outlineLevel="0" collapsed="false">
      <c r="C57" s="0" t="s">
        <v>943</v>
      </c>
    </row>
    <row r="58" customFormat="false" ht="12.75" hidden="false" customHeight="false" outlineLevel="0" collapsed="false">
      <c r="D58" s="0" t="s">
        <v>944</v>
      </c>
      <c r="E58" s="0" t="s">
        <v>389</v>
      </c>
      <c r="F58" s="379" t="n">
        <v>2.2</v>
      </c>
    </row>
    <row r="59" customFormat="false" ht="12.75" hidden="false" customHeight="false" outlineLevel="0" collapsed="false">
      <c r="D59" s="0" t="s">
        <v>943</v>
      </c>
      <c r="F59" s="507" t="n">
        <v>0.0334</v>
      </c>
      <c r="G59" s="0" t="s">
        <v>955</v>
      </c>
    </row>
    <row r="60" customFormat="false" ht="12.75" hidden="false" customHeight="false" outlineLevel="0" collapsed="false">
      <c r="D60" s="0" t="s">
        <v>956</v>
      </c>
      <c r="F60" s="507" t="n">
        <v>0.0727</v>
      </c>
      <c r="G60" s="0" t="s">
        <v>957</v>
      </c>
    </row>
    <row r="61" customFormat="false" ht="12.75" hidden="false" customHeight="false" outlineLevel="0" collapsed="false">
      <c r="D61" s="0" t="s">
        <v>945</v>
      </c>
      <c r="F61" s="508" t="n">
        <v>0</v>
      </c>
    </row>
    <row r="62" customFormat="false" ht="12.75" hidden="false" customHeight="false" outlineLevel="0" collapsed="false">
      <c r="D62" s="0" t="s">
        <v>947</v>
      </c>
      <c r="F62" s="435" t="n">
        <f aca="false">+F58/(1-F61)-F58</f>
        <v>0</v>
      </c>
    </row>
    <row r="63" customFormat="false" ht="13.5" hidden="false" customHeight="false" outlineLevel="0" collapsed="false">
      <c r="D63" s="0" t="s">
        <v>948</v>
      </c>
      <c r="F63" s="437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0" t="s">
        <v>949</v>
      </c>
    </row>
    <row r="66" customFormat="false" ht="12.75" hidden="false" customHeight="false" outlineLevel="0" collapsed="false">
      <c r="D66" s="0" t="s">
        <v>944</v>
      </c>
      <c r="E66" s="0" t="s">
        <v>389</v>
      </c>
      <c r="F66" s="379" t="n">
        <v>1.95</v>
      </c>
    </row>
    <row r="67" customFormat="false" ht="12.75" hidden="false" customHeight="false" outlineLevel="0" collapsed="false">
      <c r="D67" s="0" t="s">
        <v>956</v>
      </c>
      <c r="F67" s="507" t="n">
        <v>0.0727</v>
      </c>
      <c r="G67" s="0" t="s">
        <v>958</v>
      </c>
    </row>
    <row r="68" customFormat="false" ht="12.75" hidden="false" customHeight="false" outlineLevel="0" collapsed="false">
      <c r="D68" s="0" t="s">
        <v>949</v>
      </c>
      <c r="F68" s="507" t="n">
        <v>0.0264</v>
      </c>
      <c r="G68" s="0" t="s">
        <v>959</v>
      </c>
    </row>
    <row r="69" customFormat="false" ht="12.75" hidden="false" customHeight="false" outlineLevel="0" collapsed="false">
      <c r="D69" s="0" t="s">
        <v>950</v>
      </c>
      <c r="F69" s="508" t="n">
        <v>0</v>
      </c>
    </row>
    <row r="70" customFormat="false" ht="12.75" hidden="false" customHeight="false" outlineLevel="0" collapsed="false">
      <c r="D70" s="0" t="s">
        <v>947</v>
      </c>
      <c r="F70" s="435" t="n">
        <f aca="false">+F66/(1-F69)-F66</f>
        <v>0</v>
      </c>
    </row>
    <row r="71" customFormat="false" ht="13.5" hidden="false" customHeight="false" outlineLevel="0" collapsed="false">
      <c r="D71" s="0" t="s">
        <v>948</v>
      </c>
      <c r="F71" s="437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505" t="s">
        <v>960</v>
      </c>
    </row>
    <row r="76" customFormat="false" ht="12.75" hidden="false" customHeight="false" outlineLevel="0" collapsed="false">
      <c r="D76" s="0" t="s">
        <v>944</v>
      </c>
      <c r="E76" s="0" t="s">
        <v>389</v>
      </c>
      <c r="F76" s="379" t="n">
        <v>2.8</v>
      </c>
    </row>
    <row r="77" customFormat="false" ht="12.75" hidden="false" customHeight="false" outlineLevel="0" collapsed="false">
      <c r="D77" s="0" t="s">
        <v>662</v>
      </c>
      <c r="F77" s="507" t="n">
        <v>0.0057</v>
      </c>
    </row>
    <row r="78" customFormat="false" ht="12.75" hidden="false" customHeight="false" outlineLevel="0" collapsed="false">
      <c r="D78" s="0" t="s">
        <v>961</v>
      </c>
      <c r="F78" s="507" t="n">
        <f aca="false">0.0022+0.0075</f>
        <v>0.0097</v>
      </c>
      <c r="G78" s="0" t="s">
        <v>962</v>
      </c>
    </row>
    <row r="79" customFormat="false" ht="12.75" hidden="false" customHeight="false" outlineLevel="0" collapsed="false">
      <c r="D79" s="0" t="s">
        <v>500</v>
      </c>
      <c r="F79" s="508" t="n">
        <v>0.0072</v>
      </c>
    </row>
    <row r="80" customFormat="false" ht="12.75" hidden="false" customHeight="false" outlineLevel="0" collapsed="false">
      <c r="D80" s="0" t="s">
        <v>947</v>
      </c>
      <c r="F80" s="435" t="n">
        <f aca="false">+F76/(1-F79)-F76</f>
        <v>0.0203062046736502</v>
      </c>
    </row>
    <row r="81" customFormat="false" ht="13.5" hidden="false" customHeight="false" outlineLevel="0" collapsed="false">
      <c r="D81" s="0" t="s">
        <v>948</v>
      </c>
      <c r="F81" s="437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505" t="s">
        <v>48</v>
      </c>
    </row>
    <row r="98" customFormat="false" ht="12.75" hidden="false" customHeight="false" outlineLevel="0" collapsed="false">
      <c r="B98" s="0" t="s">
        <v>5</v>
      </c>
    </row>
    <row r="100" customFormat="false" ht="12.75" hidden="false" customHeight="false" outlineLevel="0" collapsed="false">
      <c r="B100" s="0" t="s">
        <v>963</v>
      </c>
    </row>
    <row r="101" customFormat="false" ht="12.75" hidden="false" customHeight="false" outlineLevel="0" collapsed="false">
      <c r="C101" s="0" t="s">
        <v>943</v>
      </c>
    </row>
    <row r="102" customFormat="false" ht="12.75" hidden="false" customHeight="false" outlineLevel="0" collapsed="false">
      <c r="D102" s="0" t="s">
        <v>944</v>
      </c>
      <c r="E102" s="0" t="s">
        <v>964</v>
      </c>
      <c r="F102" s="379" t="n">
        <f aca="false">0.18+2.27</f>
        <v>2.45</v>
      </c>
    </row>
    <row r="103" customFormat="false" ht="12.75" hidden="false" customHeight="false" outlineLevel="0" collapsed="false">
      <c r="D103" s="0" t="s">
        <v>943</v>
      </c>
      <c r="F103" s="507" t="n">
        <v>0.0162</v>
      </c>
    </row>
    <row r="104" customFormat="false" ht="12.75" hidden="false" customHeight="false" outlineLevel="0" collapsed="false">
      <c r="D104" s="0" t="s">
        <v>945</v>
      </c>
      <c r="F104" s="508" t="n">
        <v>0.0278</v>
      </c>
    </row>
    <row r="105" customFormat="false" ht="12.75" hidden="false" customHeight="false" outlineLevel="0" collapsed="false">
      <c r="D105" s="0" t="s">
        <v>947</v>
      </c>
      <c r="F105" s="435" t="n">
        <f aca="false">+F102/(1-F104)-F102</f>
        <v>0.0700576013166017</v>
      </c>
    </row>
    <row r="106" customFormat="false" ht="13.5" hidden="false" customHeight="false" outlineLevel="0" collapsed="false">
      <c r="D106" s="0" t="s">
        <v>948</v>
      </c>
      <c r="F106" s="437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0" t="s">
        <v>949</v>
      </c>
    </row>
    <row r="109" customFormat="false" ht="12.75" hidden="false" customHeight="false" outlineLevel="0" collapsed="false">
      <c r="D109" s="0" t="s">
        <v>944</v>
      </c>
      <c r="E109" s="0" t="s">
        <v>964</v>
      </c>
      <c r="F109" s="379" t="n">
        <v>1.95</v>
      </c>
    </row>
    <row r="110" customFormat="false" ht="12.75" hidden="false" customHeight="false" outlineLevel="0" collapsed="false">
      <c r="D110" s="0" t="s">
        <v>949</v>
      </c>
      <c r="F110" s="507" t="n">
        <v>0.0147</v>
      </c>
    </row>
    <row r="111" customFormat="false" ht="12.75" hidden="false" customHeight="false" outlineLevel="0" collapsed="false">
      <c r="D111" s="0" t="s">
        <v>965</v>
      </c>
      <c r="F111" s="507" t="n">
        <v>-0.0006</v>
      </c>
    </row>
    <row r="112" customFormat="false" ht="12.75" hidden="false" customHeight="false" outlineLevel="0" collapsed="false">
      <c r="D112" s="0" t="s">
        <v>950</v>
      </c>
      <c r="F112" s="508" t="n">
        <v>0</v>
      </c>
    </row>
    <row r="113" customFormat="false" ht="12.75" hidden="false" customHeight="false" outlineLevel="0" collapsed="false">
      <c r="D113" s="0" t="s">
        <v>947</v>
      </c>
      <c r="F113" s="435" t="n">
        <f aca="false">+F109/(1-F112)-F109</f>
        <v>0</v>
      </c>
    </row>
    <row r="114" customFormat="false" ht="13.5" hidden="false" customHeight="false" outlineLevel="0" collapsed="false">
      <c r="D114" s="0" t="s">
        <v>948</v>
      </c>
      <c r="F114" s="437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0" t="s">
        <v>966</v>
      </c>
    </row>
    <row r="117" customFormat="false" ht="12.75" hidden="false" customHeight="false" outlineLevel="0" collapsed="false">
      <c r="C117" s="0" t="s">
        <v>967</v>
      </c>
    </row>
    <row r="121" customFormat="false" ht="12.75" hidden="false" customHeight="false" outlineLevel="0" collapsed="false">
      <c r="B121" s="505" t="s">
        <v>140</v>
      </c>
    </row>
    <row r="123" customFormat="false" ht="12.75" hidden="false" customHeight="false" outlineLevel="0" collapsed="false">
      <c r="B123" s="0" t="s">
        <v>5</v>
      </c>
    </row>
    <row r="125" customFormat="false" ht="12.75" hidden="false" customHeight="false" outlineLevel="0" collapsed="false">
      <c r="B125" s="0" t="s">
        <v>968</v>
      </c>
    </row>
    <row r="126" customFormat="false" ht="12.75" hidden="false" customHeight="false" outlineLevel="0" collapsed="false">
      <c r="C126" s="0" t="s">
        <v>943</v>
      </c>
    </row>
    <row r="127" customFormat="false" ht="12.75" hidden="false" customHeight="false" outlineLevel="0" collapsed="false">
      <c r="D127" s="0" t="s">
        <v>944</v>
      </c>
      <c r="E127" s="0" t="s">
        <v>964</v>
      </c>
      <c r="F127" s="379" t="n">
        <v>2.48</v>
      </c>
    </row>
    <row r="128" customFormat="false" ht="12.75" hidden="false" customHeight="false" outlineLevel="0" collapsed="false">
      <c r="D128" s="0" t="s">
        <v>943</v>
      </c>
      <c r="F128" s="507" t="n">
        <v>0.0089</v>
      </c>
    </row>
    <row r="129" customFormat="false" ht="12.75" hidden="false" customHeight="false" outlineLevel="0" collapsed="false">
      <c r="D129" s="0" t="s">
        <v>945</v>
      </c>
      <c r="F129" s="508" t="n">
        <v>0.0065</v>
      </c>
    </row>
    <row r="130" customFormat="false" ht="12.75" hidden="false" customHeight="false" outlineLevel="0" collapsed="false">
      <c r="D130" s="0" t="s">
        <v>947</v>
      </c>
      <c r="F130" s="435" t="n">
        <f aca="false">+F127/(1-F129)-F127</f>
        <v>0.0162254655259182</v>
      </c>
    </row>
    <row r="131" customFormat="false" ht="13.5" hidden="false" customHeight="false" outlineLevel="0" collapsed="false">
      <c r="D131" s="0" t="s">
        <v>948</v>
      </c>
      <c r="F131" s="437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0" t="s">
        <v>969</v>
      </c>
    </row>
    <row r="134" customFormat="false" ht="12.75" hidden="false" customHeight="false" outlineLevel="0" collapsed="false">
      <c r="C134" s="0" t="s">
        <v>943</v>
      </c>
    </row>
    <row r="135" customFormat="false" ht="12.75" hidden="false" customHeight="false" outlineLevel="0" collapsed="false">
      <c r="D135" s="0" t="s">
        <v>944</v>
      </c>
      <c r="E135" s="0" t="s">
        <v>964</v>
      </c>
      <c r="F135" s="379" t="n">
        <v>2.48</v>
      </c>
    </row>
    <row r="136" customFormat="false" ht="12.75" hidden="false" customHeight="false" outlineLevel="0" collapsed="false">
      <c r="D136" s="0" t="s">
        <v>970</v>
      </c>
      <c r="F136" s="507" t="n">
        <v>0.0079</v>
      </c>
    </row>
    <row r="137" customFormat="false" ht="12.75" hidden="false" customHeight="false" outlineLevel="0" collapsed="false">
      <c r="D137" s="0" t="s">
        <v>663</v>
      </c>
      <c r="F137" s="507" t="n">
        <v>0.0022</v>
      </c>
    </row>
    <row r="138" customFormat="false" ht="12.75" hidden="false" customHeight="false" outlineLevel="0" collapsed="false">
      <c r="D138" s="0" t="s">
        <v>945</v>
      </c>
      <c r="F138" s="508" t="n">
        <v>0.0325</v>
      </c>
    </row>
    <row r="139" customFormat="false" ht="12.75" hidden="false" customHeight="false" outlineLevel="0" collapsed="false">
      <c r="D139" s="0" t="s">
        <v>947</v>
      </c>
      <c r="F139" s="509" t="n">
        <f aca="false">+F135/(1-F138)-F135</f>
        <v>0.0833074935400515</v>
      </c>
    </row>
    <row r="140" customFormat="false" ht="13.5" hidden="false" customHeight="false" outlineLevel="0" collapsed="false">
      <c r="D140" s="0" t="s">
        <v>948</v>
      </c>
      <c r="F140" s="437" t="n">
        <f aca="false">SUM(F136:F137,F139)</f>
        <v>0.0934074935400515</v>
      </c>
    </row>
    <row r="141" customFormat="false" ht="13.5" hidden="false" customHeight="false" outlineLevel="0" collapsed="false">
      <c r="F141" s="379"/>
    </row>
    <row r="142" customFormat="false" ht="12.75" hidden="false" customHeight="false" outlineLevel="0" collapsed="false">
      <c r="F142" s="379"/>
    </row>
    <row r="143" customFormat="false" ht="12.75" hidden="false" customHeight="false" outlineLevel="0" collapsed="false">
      <c r="B143" s="0" t="s">
        <v>968</v>
      </c>
    </row>
    <row r="144" customFormat="false" ht="12.75" hidden="false" customHeight="false" outlineLevel="0" collapsed="false">
      <c r="C144" s="0" t="s">
        <v>949</v>
      </c>
    </row>
    <row r="145" customFormat="false" ht="12.75" hidden="false" customHeight="false" outlineLevel="0" collapsed="false">
      <c r="D145" s="0" t="s">
        <v>944</v>
      </c>
      <c r="E145" s="0" t="s">
        <v>964</v>
      </c>
      <c r="F145" s="379" t="n">
        <v>1.95</v>
      </c>
    </row>
    <row r="146" customFormat="false" ht="12.75" hidden="false" customHeight="false" outlineLevel="0" collapsed="false">
      <c r="D146" s="0" t="s">
        <v>949</v>
      </c>
      <c r="F146" s="507" t="n">
        <v>0.0089</v>
      </c>
    </row>
    <row r="147" customFormat="false" ht="12.75" hidden="false" customHeight="false" outlineLevel="0" collapsed="false">
      <c r="D147" s="0" t="s">
        <v>950</v>
      </c>
      <c r="F147" s="508" t="n">
        <v>0</v>
      </c>
    </row>
    <row r="148" customFormat="false" ht="12.75" hidden="false" customHeight="false" outlineLevel="0" collapsed="false">
      <c r="D148" s="0" t="s">
        <v>947</v>
      </c>
      <c r="F148" s="435" t="n">
        <f aca="false">+F145/(1-F147)-F145</f>
        <v>0</v>
      </c>
    </row>
    <row r="149" customFormat="false" ht="13.5" hidden="false" customHeight="false" outlineLevel="0" collapsed="false">
      <c r="D149" s="0" t="s">
        <v>948</v>
      </c>
      <c r="F149" s="437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0" t="s">
        <v>969</v>
      </c>
    </row>
    <row r="152" customFormat="false" ht="12.75" hidden="false" customHeight="false" outlineLevel="0" collapsed="false">
      <c r="C152" s="0" t="s">
        <v>949</v>
      </c>
    </row>
    <row r="153" customFormat="false" ht="12.75" hidden="false" customHeight="false" outlineLevel="0" collapsed="false">
      <c r="D153" s="0" t="s">
        <v>944</v>
      </c>
      <c r="E153" s="0" t="s">
        <v>964</v>
      </c>
      <c r="F153" s="379" t="n">
        <v>2.48</v>
      </c>
    </row>
    <row r="154" customFormat="false" ht="12.75" hidden="false" customHeight="false" outlineLevel="0" collapsed="false">
      <c r="D154" s="0" t="s">
        <v>970</v>
      </c>
      <c r="F154" s="507" t="n">
        <v>0.0079</v>
      </c>
    </row>
    <row r="155" customFormat="false" ht="12.75" hidden="false" customHeight="false" outlineLevel="0" collapsed="false">
      <c r="D155" s="0" t="s">
        <v>663</v>
      </c>
      <c r="F155" s="507" t="n">
        <v>0.0022</v>
      </c>
    </row>
    <row r="156" customFormat="false" ht="12.75" hidden="false" customHeight="false" outlineLevel="0" collapsed="false">
      <c r="D156" s="0" t="s">
        <v>950</v>
      </c>
      <c r="F156" s="508" t="n">
        <v>0</v>
      </c>
    </row>
    <row r="157" customFormat="false" ht="12.75" hidden="false" customHeight="false" outlineLevel="0" collapsed="false">
      <c r="D157" s="0" t="s">
        <v>947</v>
      </c>
      <c r="F157" s="509" t="n">
        <f aca="false">+F153/(1-F156)-F153</f>
        <v>0</v>
      </c>
    </row>
    <row r="158" customFormat="false" ht="13.5" hidden="false" customHeight="false" outlineLevel="0" collapsed="false">
      <c r="D158" s="0" t="s">
        <v>948</v>
      </c>
      <c r="F158" s="437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510"/>
      <c r="D161" s="510"/>
      <c r="E161" s="510"/>
      <c r="F161" s="510"/>
      <c r="G161" s="510"/>
    </row>
    <row r="162" customFormat="false" ht="12.75" hidden="false" customHeight="false" outlineLevel="0" collapsed="false">
      <c r="C162" s="510"/>
      <c r="D162" s="510"/>
      <c r="E162" s="510"/>
      <c r="F162" s="379"/>
      <c r="G162" s="510"/>
    </row>
    <row r="163" customFormat="false" ht="12.75" hidden="false" customHeight="false" outlineLevel="0" collapsed="false">
      <c r="C163" s="510"/>
      <c r="D163" s="510"/>
      <c r="E163" s="510"/>
      <c r="F163" s="507"/>
      <c r="G163" s="510"/>
    </row>
    <row r="164" customFormat="false" ht="12.75" hidden="false" customHeight="false" outlineLevel="0" collapsed="false">
      <c r="C164" s="510"/>
      <c r="D164" s="510"/>
      <c r="E164" s="510"/>
      <c r="F164" s="508"/>
      <c r="G164" s="510"/>
    </row>
    <row r="165" customFormat="false" ht="12.75" hidden="false" customHeight="false" outlineLevel="0" collapsed="false">
      <c r="C165" s="510"/>
      <c r="D165" s="510"/>
      <c r="E165" s="510"/>
      <c r="F165" s="379"/>
      <c r="G165" s="510"/>
    </row>
    <row r="166" customFormat="false" ht="12.75" hidden="false" customHeight="false" outlineLevel="0" collapsed="false">
      <c r="C166" s="510"/>
      <c r="D166" s="510"/>
      <c r="E166" s="510"/>
      <c r="F166" s="379"/>
      <c r="G166" s="510"/>
    </row>
    <row r="167" customFormat="false" ht="12.75" hidden="false" customHeight="false" outlineLevel="0" collapsed="false">
      <c r="C167" s="510"/>
      <c r="D167" s="510"/>
      <c r="E167" s="510"/>
      <c r="F167" s="510"/>
      <c r="G167" s="5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L1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27" width="9.14"/>
    <col collapsed="false" customWidth="true" hidden="false" outlineLevel="0" max="6" min="6" style="27" width="11.13"/>
    <col collapsed="false" customWidth="false" hidden="false" outlineLevel="0" max="257" min="7" style="27" width="9.14"/>
  </cols>
  <sheetData>
    <row r="4" customFormat="false" ht="12.75" hidden="false" customHeight="false" outlineLevel="0" collapsed="false">
      <c r="A4" s="511" t="s">
        <v>971</v>
      </c>
      <c r="B4" s="511"/>
      <c r="C4" s="511"/>
      <c r="D4" s="511"/>
      <c r="E4" s="511"/>
      <c r="F4" s="511"/>
      <c r="G4" s="511"/>
      <c r="H4" s="511"/>
    </row>
    <row r="5" customFormat="false" ht="12.75" hidden="false" customHeight="false" outlineLevel="0" collapsed="false">
      <c r="A5" s="511"/>
      <c r="B5" s="511"/>
      <c r="C5" s="511"/>
      <c r="D5" s="511"/>
      <c r="E5" s="511"/>
      <c r="F5" s="511"/>
      <c r="G5" s="511"/>
      <c r="H5" s="511"/>
    </row>
    <row r="6" customFormat="false" ht="12.75" hidden="false" customHeight="false" outlineLevel="0" collapsed="false">
      <c r="A6" s="511" t="s">
        <v>25</v>
      </c>
      <c r="B6" s="511"/>
      <c r="C6" s="511"/>
      <c r="D6" s="511"/>
      <c r="E6" s="511"/>
      <c r="F6" s="511"/>
      <c r="G6" s="511"/>
      <c r="H6" s="511"/>
    </row>
    <row r="7" customFormat="false" ht="12.75" hidden="false" customHeight="false" outlineLevel="0" collapsed="false">
      <c r="A7" s="511"/>
      <c r="C7" s="511" t="s">
        <v>972</v>
      </c>
      <c r="D7" s="511" t="e">
        <f aca="false">(12/365)*#REF!</f>
        <v>#REF!</v>
      </c>
      <c r="E7" s="511" t="s">
        <v>973</v>
      </c>
      <c r="F7" s="511"/>
      <c r="G7" s="511"/>
      <c r="H7" s="511"/>
    </row>
    <row r="8" customFormat="false" ht="12.75" hidden="false" customHeight="false" outlineLevel="0" collapsed="false">
      <c r="A8" s="511"/>
      <c r="B8" s="511"/>
      <c r="C8" s="511"/>
      <c r="D8" s="511"/>
      <c r="E8" s="511"/>
      <c r="F8" s="511"/>
      <c r="G8" s="511"/>
      <c r="H8" s="511"/>
    </row>
    <row r="9" customFormat="false" ht="12.75" hidden="false" customHeight="false" outlineLevel="0" collapsed="false">
      <c r="A9" s="511"/>
      <c r="B9" s="511"/>
      <c r="C9" s="511"/>
      <c r="D9" s="511"/>
      <c r="E9" s="511"/>
      <c r="F9" s="511"/>
      <c r="G9" s="511"/>
      <c r="H9" s="511"/>
    </row>
    <row r="10" customFormat="false" ht="12.75" hidden="false" customHeight="false" outlineLevel="0" collapsed="false">
      <c r="A10" s="512" t="s">
        <v>974</v>
      </c>
      <c r="B10" s="512" t="n">
        <v>889108</v>
      </c>
      <c r="C10" s="512"/>
      <c r="D10" s="511"/>
      <c r="E10" s="511"/>
      <c r="F10" s="511"/>
      <c r="G10" s="511"/>
      <c r="H10" s="511"/>
    </row>
    <row r="11" customFormat="false" ht="12.75" hidden="false" customHeight="false" outlineLevel="0" collapsed="false">
      <c r="A11" s="512" t="s">
        <v>359</v>
      </c>
      <c r="B11" s="512" t="s">
        <v>238</v>
      </c>
      <c r="F11" s="511"/>
      <c r="G11" s="511"/>
      <c r="H11" s="511"/>
    </row>
    <row r="12" customFormat="false" ht="12.75" hidden="false" customHeight="false" outlineLevel="0" collapsed="false">
      <c r="A12" s="511"/>
      <c r="B12" s="511" t="s">
        <v>975</v>
      </c>
      <c r="C12" s="511" t="s">
        <v>976</v>
      </c>
      <c r="D12" s="511" t="s">
        <v>972</v>
      </c>
      <c r="E12" s="511" t="s">
        <v>977</v>
      </c>
      <c r="F12" s="511"/>
      <c r="G12" s="511"/>
    </row>
    <row r="13" customFormat="false" ht="12.75" hidden="false" customHeight="false" outlineLevel="0" collapsed="false">
      <c r="A13" s="511" t="s">
        <v>370</v>
      </c>
      <c r="B13" s="513" t="n">
        <v>3.41</v>
      </c>
      <c r="C13" s="511" t="n">
        <v>108</v>
      </c>
      <c r="D13" s="511" t="e">
        <f aca="false">+D$7</f>
        <v>#REF!</v>
      </c>
      <c r="E13" s="514" t="e">
        <f aca="false">(+C13)*B13*D13</f>
        <v>#REF!</v>
      </c>
      <c r="F13" s="511"/>
      <c r="G13" s="511"/>
      <c r="I13" s="513"/>
      <c r="J13" s="511"/>
      <c r="K13" s="511"/>
      <c r="L13" s="514"/>
    </row>
    <row r="14" customFormat="false" ht="12.75" hidden="false" customHeight="false" outlineLevel="0" collapsed="false">
      <c r="A14" s="511" t="s">
        <v>978</v>
      </c>
      <c r="B14" s="513" t="n">
        <v>3.217</v>
      </c>
      <c r="C14" s="511" t="n">
        <v>29</v>
      </c>
      <c r="D14" s="511" t="e">
        <f aca="false">+D$7</f>
        <v>#REF!</v>
      </c>
      <c r="E14" s="514" t="e">
        <f aca="false">(+C14)*B14*D14</f>
        <v>#REF!</v>
      </c>
      <c r="F14" s="511"/>
      <c r="G14" s="511"/>
      <c r="I14" s="513"/>
      <c r="J14" s="511"/>
      <c r="K14" s="511"/>
      <c r="L14" s="514"/>
    </row>
    <row r="15" customFormat="false" ht="12.75" hidden="false" customHeight="false" outlineLevel="0" collapsed="false">
      <c r="A15" s="511" t="s">
        <v>363</v>
      </c>
      <c r="B15" s="513" t="n">
        <v>6.965</v>
      </c>
      <c r="C15" s="511" t="n">
        <v>46</v>
      </c>
      <c r="D15" s="511" t="e">
        <f aca="false">+D$7</f>
        <v>#REF!</v>
      </c>
      <c r="E15" s="514" t="e">
        <f aca="false">(+C15)*B15*D15</f>
        <v>#REF!</v>
      </c>
      <c r="F15" s="511"/>
      <c r="G15" s="511"/>
      <c r="I15" s="513"/>
      <c r="J15" s="511"/>
      <c r="K15" s="511"/>
      <c r="L15" s="514"/>
    </row>
    <row r="16" customFormat="false" ht="12.75" hidden="false" customHeight="false" outlineLevel="0" collapsed="false">
      <c r="A16" s="511" t="s">
        <v>564</v>
      </c>
      <c r="B16" s="513" t="n">
        <v>2.922</v>
      </c>
      <c r="C16" s="511" t="n">
        <v>70</v>
      </c>
      <c r="D16" s="511" t="e">
        <f aca="false">+D$7</f>
        <v>#REF!</v>
      </c>
      <c r="E16" s="514" t="e">
        <f aca="false">(+C16)*B16*D16</f>
        <v>#REF!</v>
      </c>
      <c r="F16" s="511"/>
      <c r="G16" s="511"/>
      <c r="I16" s="513"/>
      <c r="J16" s="511"/>
      <c r="K16" s="511"/>
      <c r="L16" s="514"/>
    </row>
    <row r="17" customFormat="false" ht="12.75" hidden="false" customHeight="false" outlineLevel="0" collapsed="false">
      <c r="A17" s="515" t="s">
        <v>979</v>
      </c>
      <c r="B17" s="513" t="n">
        <v>1.912</v>
      </c>
      <c r="C17" s="511" t="n">
        <v>170</v>
      </c>
      <c r="D17" s="511" t="e">
        <f aca="false">+D$7</f>
        <v>#REF!</v>
      </c>
      <c r="E17" s="514" t="e">
        <f aca="false">(+C17)*B17*D17</f>
        <v>#REF!</v>
      </c>
      <c r="F17" s="511"/>
      <c r="G17" s="511"/>
      <c r="I17" s="513"/>
      <c r="J17" s="511"/>
      <c r="K17" s="511"/>
      <c r="L17" s="514"/>
    </row>
    <row r="18" customFormat="false" ht="12.75" hidden="false" customHeight="false" outlineLevel="0" collapsed="false">
      <c r="A18" s="511" t="s">
        <v>980</v>
      </c>
      <c r="B18" s="513" t="n">
        <v>3.942</v>
      </c>
      <c r="C18" s="511" t="n">
        <v>170</v>
      </c>
      <c r="D18" s="511" t="e">
        <f aca="false">+D$7</f>
        <v>#REF!</v>
      </c>
      <c r="E18" s="514" t="e">
        <f aca="false">(+C18)*B18*D18</f>
        <v>#REF!</v>
      </c>
      <c r="F18" s="511"/>
      <c r="G18" s="511"/>
      <c r="I18" s="513"/>
      <c r="J18" s="511"/>
      <c r="K18" s="511"/>
      <c r="L18" s="514"/>
    </row>
    <row r="19" customFormat="false" ht="12.75" hidden="false" customHeight="false" outlineLevel="0" collapsed="false">
      <c r="A19" s="511" t="s">
        <v>981</v>
      </c>
      <c r="B19" s="513" t="n">
        <v>2.691</v>
      </c>
      <c r="C19" s="511" t="n">
        <v>168</v>
      </c>
      <c r="D19" s="511" t="e">
        <f aca="false">+D$7</f>
        <v>#REF!</v>
      </c>
      <c r="E19" s="514" t="e">
        <f aca="false">(+C19)*B19*D19</f>
        <v>#REF!</v>
      </c>
      <c r="F19" s="511"/>
      <c r="G19" s="511"/>
      <c r="I19" s="513"/>
      <c r="J19" s="511"/>
      <c r="K19" s="511"/>
      <c r="L19" s="514"/>
    </row>
    <row r="20" customFormat="false" ht="12.75" hidden="false" customHeight="false" outlineLevel="0" collapsed="false">
      <c r="A20" s="511" t="s">
        <v>982</v>
      </c>
      <c r="B20" s="513" t="n">
        <v>3.853</v>
      </c>
      <c r="C20" s="511" t="n">
        <v>170</v>
      </c>
      <c r="D20" s="511" t="e">
        <f aca="false">+D$7</f>
        <v>#REF!</v>
      </c>
      <c r="E20" s="514" t="e">
        <f aca="false">(+C20)*B20*D20</f>
        <v>#REF!</v>
      </c>
      <c r="F20" s="511"/>
      <c r="G20" s="511"/>
      <c r="I20" s="513"/>
      <c r="J20" s="511"/>
      <c r="K20" s="511"/>
      <c r="L20" s="514"/>
    </row>
    <row r="21" customFormat="false" ht="12.75" hidden="false" customHeight="false" outlineLevel="0" collapsed="false">
      <c r="A21" s="511" t="s">
        <v>983</v>
      </c>
      <c r="B21" s="513" t="n">
        <v>5.3279</v>
      </c>
      <c r="C21" s="511" t="n">
        <v>170</v>
      </c>
      <c r="D21" s="511" t="e">
        <f aca="false">+D$7</f>
        <v>#REF!</v>
      </c>
      <c r="E21" s="514" t="e">
        <f aca="false">(+C21)*B21*D21</f>
        <v>#REF!</v>
      </c>
      <c r="F21" s="511"/>
      <c r="G21" s="511"/>
      <c r="I21" s="513"/>
      <c r="J21" s="511"/>
      <c r="K21" s="511"/>
      <c r="L21" s="514"/>
    </row>
    <row r="22" customFormat="false" ht="13.5" hidden="false" customHeight="false" outlineLevel="0" collapsed="false">
      <c r="A22" s="511"/>
      <c r="B22" s="511"/>
      <c r="C22" s="511"/>
      <c r="D22" s="511"/>
      <c r="E22" s="516" t="e">
        <f aca="false">SUM(E13:E21)</f>
        <v>#REF!</v>
      </c>
      <c r="F22" s="511"/>
      <c r="G22" s="511"/>
      <c r="L22" s="517"/>
    </row>
    <row r="23" customFormat="false" ht="13.5" hidden="false" customHeight="false" outlineLevel="0" collapsed="false">
      <c r="A23" s="511"/>
      <c r="B23" s="511"/>
      <c r="C23" s="511"/>
      <c r="D23" s="511" t="s">
        <v>984</v>
      </c>
      <c r="E23" s="511" t="n">
        <f aca="false">+C19</f>
        <v>168</v>
      </c>
      <c r="F23" s="511"/>
      <c r="G23" s="511"/>
    </row>
    <row r="24" customFormat="false" ht="12.75" hidden="false" customHeight="false" outlineLevel="0" collapsed="false">
      <c r="A24" s="511"/>
      <c r="B24" s="511"/>
      <c r="C24" s="511"/>
      <c r="D24" s="511" t="s">
        <v>98</v>
      </c>
      <c r="E24" s="518" t="e">
        <f aca="false">+#REF!</f>
        <v>#REF!</v>
      </c>
      <c r="F24" s="511"/>
      <c r="G24" s="511"/>
    </row>
    <row r="25" customFormat="false" ht="13.5" hidden="false" customHeight="false" outlineLevel="0" collapsed="false">
      <c r="A25" s="511"/>
      <c r="B25" s="511"/>
      <c r="C25" s="511"/>
      <c r="D25" s="511" t="s">
        <v>985</v>
      </c>
      <c r="E25" s="519" t="e">
        <f aca="false">ROUND(+E22/E23/E24,4)</f>
        <v>#REF!</v>
      </c>
      <c r="F25" s="511"/>
      <c r="G25" s="511"/>
      <c r="L25" s="520"/>
    </row>
    <row r="26" customFormat="false" ht="13.5" hidden="false" customHeight="false" outlineLevel="0" collapsed="false">
      <c r="A26" s="511"/>
      <c r="B26" s="511"/>
      <c r="C26" s="511"/>
      <c r="D26" s="511"/>
      <c r="E26" s="511"/>
      <c r="F26" s="511"/>
      <c r="G26" s="511"/>
      <c r="H26" s="511"/>
    </row>
    <row r="27" customFormat="false" ht="12.75" hidden="false" customHeight="false" outlineLevel="0" collapsed="false">
      <c r="A27" s="512" t="s">
        <v>974</v>
      </c>
      <c r="B27" s="512" t="n">
        <v>889088</v>
      </c>
      <c r="F27" s="511"/>
      <c r="G27" s="511"/>
      <c r="H27" s="511"/>
    </row>
    <row r="28" customFormat="false" ht="12.75" hidden="false" customHeight="false" outlineLevel="0" collapsed="false">
      <c r="A28" s="512" t="s">
        <v>986</v>
      </c>
      <c r="B28" s="512" t="s">
        <v>238</v>
      </c>
      <c r="C28" s="512" t="s">
        <v>987</v>
      </c>
      <c r="D28" s="512"/>
      <c r="E28" s="512"/>
      <c r="F28" s="511"/>
      <c r="G28" s="511"/>
      <c r="H28" s="511"/>
    </row>
    <row r="29" customFormat="false" ht="12.75" hidden="false" customHeight="false" outlineLevel="0" collapsed="false">
      <c r="A29" s="511"/>
      <c r="B29" s="511" t="s">
        <v>975</v>
      </c>
      <c r="C29" s="511" t="s">
        <v>988</v>
      </c>
      <c r="D29" s="511" t="s">
        <v>989</v>
      </c>
      <c r="E29" s="511" t="s">
        <v>972</v>
      </c>
      <c r="F29" s="511" t="s">
        <v>977</v>
      </c>
      <c r="G29" s="511"/>
      <c r="H29" s="511"/>
    </row>
    <row r="30" customFormat="false" ht="12.75" hidden="false" customHeight="false" outlineLevel="0" collapsed="false">
      <c r="A30" s="511" t="s">
        <v>370</v>
      </c>
      <c r="B30" s="513" t="n">
        <v>3.633</v>
      </c>
      <c r="C30" s="511" t="n">
        <v>62</v>
      </c>
      <c r="D30" s="511" t="n">
        <v>32</v>
      </c>
      <c r="E30" s="511" t="e">
        <f aca="false">+D$7</f>
        <v>#REF!</v>
      </c>
      <c r="F30" s="514" t="e">
        <f aca="false">(+C30+D30)*B30*E30</f>
        <v>#REF!</v>
      </c>
      <c r="G30" s="511"/>
      <c r="H30" s="511"/>
    </row>
    <row r="31" customFormat="false" ht="12.75" hidden="false" customHeight="false" outlineLevel="0" collapsed="false">
      <c r="A31" s="511" t="s">
        <v>978</v>
      </c>
      <c r="B31" s="513" t="n">
        <v>3.44</v>
      </c>
      <c r="C31" s="511" t="n">
        <v>17</v>
      </c>
      <c r="D31" s="511" t="n">
        <v>8</v>
      </c>
      <c r="E31" s="511" t="e">
        <f aca="false">+D$7</f>
        <v>#REF!</v>
      </c>
      <c r="F31" s="514" t="e">
        <f aca="false">(+C31+D31)*B31*E31</f>
        <v>#REF!</v>
      </c>
      <c r="G31" s="511"/>
      <c r="H31" s="511"/>
    </row>
    <row r="32" customFormat="false" ht="12.75" hidden="false" customHeight="false" outlineLevel="0" collapsed="false">
      <c r="A32" s="511" t="s">
        <v>363</v>
      </c>
      <c r="B32" s="513" t="n">
        <v>7.188</v>
      </c>
      <c r="C32" s="511" t="n">
        <v>28</v>
      </c>
      <c r="D32" s="511" t="n">
        <v>14</v>
      </c>
      <c r="E32" s="511" t="e">
        <f aca="false">+D$7</f>
        <v>#REF!</v>
      </c>
      <c r="F32" s="514" t="e">
        <f aca="false">(+C32+D32)*B32*E32</f>
        <v>#REF!</v>
      </c>
      <c r="G32" s="511"/>
      <c r="H32" s="511"/>
    </row>
    <row r="33" customFormat="false" ht="12.75" hidden="false" customHeight="false" outlineLevel="0" collapsed="false">
      <c r="A33" s="511" t="s">
        <v>564</v>
      </c>
      <c r="B33" s="513" t="n">
        <v>3.145</v>
      </c>
      <c r="C33" s="511" t="n">
        <v>41</v>
      </c>
      <c r="D33" s="511" t="n">
        <v>21</v>
      </c>
      <c r="E33" s="511" t="e">
        <f aca="false">+D$7</f>
        <v>#REF!</v>
      </c>
      <c r="F33" s="514" t="e">
        <f aca="false">(+C33+D33)*B33*E33</f>
        <v>#REF!</v>
      </c>
      <c r="G33" s="511"/>
      <c r="H33" s="511"/>
    </row>
    <row r="34" customFormat="false" ht="12.75" hidden="false" customHeight="false" outlineLevel="0" collapsed="false">
      <c r="A34" s="515" t="s">
        <v>979</v>
      </c>
      <c r="B34" s="513" t="n">
        <v>1.912</v>
      </c>
      <c r="C34" s="511" t="n">
        <v>102</v>
      </c>
      <c r="D34" s="511" t="n">
        <v>52</v>
      </c>
      <c r="E34" s="511" t="e">
        <f aca="false">+D$7</f>
        <v>#REF!</v>
      </c>
      <c r="F34" s="514" t="e">
        <f aca="false">(+C34+D34)*B34*E34</f>
        <v>#REF!</v>
      </c>
      <c r="G34" s="511"/>
      <c r="H34" s="511"/>
    </row>
    <row r="35" customFormat="false" ht="12.75" hidden="false" customHeight="false" outlineLevel="0" collapsed="false">
      <c r="A35" s="511" t="s">
        <v>980</v>
      </c>
      <c r="B35" s="513" t="n">
        <v>3.942</v>
      </c>
      <c r="C35" s="511" t="n">
        <v>102</v>
      </c>
      <c r="D35" s="511" t="n">
        <v>51</v>
      </c>
      <c r="E35" s="511" t="e">
        <f aca="false">+D$7</f>
        <v>#REF!</v>
      </c>
      <c r="F35" s="514" t="e">
        <f aca="false">(+C35+D35)*B35*E35</f>
        <v>#REF!</v>
      </c>
      <c r="G35" s="511"/>
      <c r="H35" s="511"/>
    </row>
    <row r="36" customFormat="false" ht="12.75" hidden="false" customHeight="false" outlineLevel="0" collapsed="false">
      <c r="A36" s="511" t="s">
        <v>981</v>
      </c>
      <c r="B36" s="513" t="n">
        <v>2.691</v>
      </c>
      <c r="C36" s="511" t="n">
        <v>100</v>
      </c>
      <c r="D36" s="511" t="n">
        <v>51</v>
      </c>
      <c r="E36" s="511" t="e">
        <f aca="false">+D$7</f>
        <v>#REF!</v>
      </c>
      <c r="F36" s="514" t="e">
        <f aca="false">(+C36+D36)*B36*E36</f>
        <v>#REF!</v>
      </c>
      <c r="G36" s="511"/>
      <c r="H36" s="511"/>
    </row>
    <row r="37" customFormat="false" ht="12.75" hidden="false" customHeight="false" outlineLevel="0" collapsed="false">
      <c r="A37" s="511" t="s">
        <v>982</v>
      </c>
      <c r="B37" s="513" t="n">
        <v>4.076</v>
      </c>
      <c r="C37" s="511" t="n">
        <v>102</v>
      </c>
      <c r="D37" s="511" t="n">
        <v>52</v>
      </c>
      <c r="E37" s="511" t="e">
        <f aca="false">+D$7</f>
        <v>#REF!</v>
      </c>
      <c r="F37" s="514" t="e">
        <f aca="false">(+C37+D37)*B37*E37</f>
        <v>#REF!</v>
      </c>
      <c r="G37" s="511"/>
      <c r="H37" s="511"/>
    </row>
    <row r="38" customFormat="false" ht="13.5" hidden="false" customHeight="false" outlineLevel="0" collapsed="false">
      <c r="A38" s="511"/>
      <c r="B38" s="511"/>
      <c r="C38" s="511"/>
      <c r="E38" s="511"/>
      <c r="F38" s="516" t="e">
        <f aca="false">SUM(F30:F37)</f>
        <v>#REF!</v>
      </c>
      <c r="G38" s="511"/>
      <c r="H38" s="511"/>
    </row>
    <row r="39" customFormat="false" ht="13.5" hidden="false" customHeight="false" outlineLevel="0" collapsed="false">
      <c r="A39" s="511"/>
      <c r="B39" s="511"/>
      <c r="C39" s="511"/>
      <c r="E39" s="511" t="s">
        <v>984</v>
      </c>
      <c r="F39" s="511" t="n">
        <f aca="false">+D37+C37</f>
        <v>154</v>
      </c>
      <c r="G39" s="511"/>
      <c r="H39" s="511"/>
    </row>
    <row r="40" customFormat="false" ht="12.75" hidden="false" customHeight="false" outlineLevel="0" collapsed="false">
      <c r="A40" s="511"/>
      <c r="B40" s="511"/>
      <c r="C40" s="511"/>
      <c r="E40" s="511" t="s">
        <v>98</v>
      </c>
      <c r="F40" s="518" t="e">
        <f aca="false">+#REF!</f>
        <v>#REF!</v>
      </c>
      <c r="G40" s="511"/>
      <c r="H40" s="511"/>
    </row>
    <row r="41" customFormat="false" ht="13.5" hidden="false" customHeight="false" outlineLevel="0" collapsed="false">
      <c r="A41" s="511"/>
      <c r="B41" s="511"/>
      <c r="C41" s="511"/>
      <c r="E41" s="511" t="s">
        <v>985</v>
      </c>
      <c r="F41" s="519" t="e">
        <f aca="false">ROUND(+F38/F39/F40,4)</f>
        <v>#REF!</v>
      </c>
      <c r="G41" s="511"/>
      <c r="H41" s="511"/>
    </row>
    <row r="42" customFormat="false" ht="13.5" hidden="false" customHeight="false" outlineLevel="0" collapsed="false">
      <c r="A42" s="511"/>
      <c r="B42" s="511"/>
      <c r="C42" s="511"/>
      <c r="D42" s="511"/>
      <c r="E42" s="511"/>
      <c r="F42" s="511"/>
      <c r="G42" s="511"/>
      <c r="H42" s="511"/>
    </row>
    <row r="43" customFormat="false" ht="12.75" hidden="false" customHeight="false" outlineLevel="0" collapsed="false">
      <c r="A43" s="511"/>
      <c r="B43" s="511"/>
      <c r="C43" s="511"/>
      <c r="D43" s="511"/>
      <c r="E43" s="511"/>
      <c r="F43" s="511"/>
      <c r="G43" s="511"/>
      <c r="H43" s="511"/>
    </row>
    <row r="44" customFormat="false" ht="12.75" hidden="false" customHeight="false" outlineLevel="0" collapsed="false">
      <c r="A44" s="512" t="s">
        <v>974</v>
      </c>
      <c r="B44" s="512" t="n">
        <v>889110</v>
      </c>
      <c r="F44" s="511"/>
      <c r="G44" s="511"/>
      <c r="H44" s="511"/>
    </row>
    <row r="45" customFormat="false" ht="12.75" hidden="false" customHeight="false" outlineLevel="0" collapsed="false">
      <c r="A45" s="512" t="s">
        <v>359</v>
      </c>
      <c r="B45" s="512" t="s">
        <v>238</v>
      </c>
      <c r="C45" s="512"/>
      <c r="D45" s="512"/>
      <c r="E45" s="512"/>
      <c r="F45" s="511"/>
      <c r="G45" s="511"/>
      <c r="H45" s="511"/>
    </row>
    <row r="46" customFormat="false" ht="12.75" hidden="false" customHeight="false" outlineLevel="0" collapsed="false">
      <c r="A46" s="511"/>
      <c r="B46" s="511" t="s">
        <v>975</v>
      </c>
      <c r="C46" s="511" t="s">
        <v>990</v>
      </c>
      <c r="D46" s="511" t="s">
        <v>991</v>
      </c>
      <c r="E46" s="511" t="s">
        <v>972</v>
      </c>
      <c r="F46" s="511" t="s">
        <v>977</v>
      </c>
      <c r="G46" s="511"/>
      <c r="H46" s="511"/>
    </row>
    <row r="47" customFormat="false" ht="12.75" hidden="false" customHeight="false" outlineLevel="0" collapsed="false">
      <c r="A47" s="511" t="s">
        <v>370</v>
      </c>
      <c r="B47" s="513" t="n">
        <v>3.41</v>
      </c>
      <c r="C47" s="511" t="n">
        <v>13</v>
      </c>
      <c r="D47" s="511" t="n">
        <v>0</v>
      </c>
      <c r="E47" s="511" t="e">
        <f aca="false">+D$7</f>
        <v>#REF!</v>
      </c>
      <c r="F47" s="514" t="e">
        <f aca="false">(+C47+D47)*B47*E47</f>
        <v>#REF!</v>
      </c>
      <c r="G47" s="511"/>
      <c r="H47" s="511"/>
    </row>
    <row r="48" customFormat="false" ht="12.75" hidden="false" customHeight="false" outlineLevel="0" collapsed="false">
      <c r="A48" s="511" t="s">
        <v>978</v>
      </c>
      <c r="B48" s="513" t="n">
        <v>3.217</v>
      </c>
      <c r="C48" s="511" t="n">
        <v>4</v>
      </c>
      <c r="D48" s="511" t="n">
        <v>0</v>
      </c>
      <c r="E48" s="511" t="e">
        <f aca="false">+D$7</f>
        <v>#REF!</v>
      </c>
      <c r="F48" s="514" t="e">
        <f aca="false">(+C48+D48)*B48*E48</f>
        <v>#REF!</v>
      </c>
      <c r="G48" s="511"/>
      <c r="H48" s="511"/>
    </row>
    <row r="49" customFormat="false" ht="12.75" hidden="false" customHeight="false" outlineLevel="0" collapsed="false">
      <c r="A49" s="511" t="s">
        <v>363</v>
      </c>
      <c r="B49" s="513" t="n">
        <v>6.965</v>
      </c>
      <c r="C49" s="511" t="n">
        <v>6</v>
      </c>
      <c r="D49" s="511" t="n">
        <v>0</v>
      </c>
      <c r="E49" s="511" t="e">
        <f aca="false">+D$7</f>
        <v>#REF!</v>
      </c>
      <c r="F49" s="514" t="e">
        <f aca="false">(+C49+D49)*B49*E49</f>
        <v>#REF!</v>
      </c>
      <c r="G49" s="511"/>
      <c r="H49" s="511"/>
    </row>
    <row r="50" customFormat="false" ht="12.75" hidden="false" customHeight="false" outlineLevel="0" collapsed="false">
      <c r="A50" s="511" t="s">
        <v>564</v>
      </c>
      <c r="B50" s="513" t="n">
        <v>2.922</v>
      </c>
      <c r="C50" s="511" t="n">
        <v>9</v>
      </c>
      <c r="D50" s="511" t="n">
        <v>0</v>
      </c>
      <c r="E50" s="511" t="e">
        <f aca="false">+D$7</f>
        <v>#REF!</v>
      </c>
      <c r="F50" s="514" t="e">
        <f aca="false">(+C50+D50)*B50*E50</f>
        <v>#REF!</v>
      </c>
      <c r="G50" s="511"/>
      <c r="H50" s="511"/>
    </row>
    <row r="51" customFormat="false" ht="12.75" hidden="false" customHeight="false" outlineLevel="0" collapsed="false">
      <c r="A51" s="515" t="s">
        <v>979</v>
      </c>
      <c r="B51" s="513" t="n">
        <v>1.912</v>
      </c>
      <c r="C51" s="511" t="n">
        <v>21</v>
      </c>
      <c r="D51" s="511" t="n">
        <v>0</v>
      </c>
      <c r="E51" s="511" t="e">
        <f aca="false">+D$7</f>
        <v>#REF!</v>
      </c>
      <c r="F51" s="514" t="e">
        <f aca="false">(+C51+D51)*B51*E51</f>
        <v>#REF!</v>
      </c>
      <c r="G51" s="511"/>
      <c r="H51" s="511"/>
    </row>
    <row r="52" customFormat="false" ht="12.75" hidden="false" customHeight="false" outlineLevel="0" collapsed="false">
      <c r="A52" s="511" t="s">
        <v>980</v>
      </c>
      <c r="B52" s="513" t="n">
        <v>3.942</v>
      </c>
      <c r="C52" s="511" t="n">
        <v>21</v>
      </c>
      <c r="D52" s="511" t="n">
        <v>0</v>
      </c>
      <c r="E52" s="511" t="e">
        <f aca="false">+D$7</f>
        <v>#REF!</v>
      </c>
      <c r="F52" s="514" t="e">
        <f aca="false">(+C52+D52)*B52*E52</f>
        <v>#REF!</v>
      </c>
      <c r="G52" s="511"/>
      <c r="H52" s="511"/>
    </row>
    <row r="53" customFormat="false" ht="12.75" hidden="false" customHeight="false" outlineLevel="0" collapsed="false">
      <c r="A53" s="511" t="s">
        <v>992</v>
      </c>
      <c r="B53" s="513" t="n">
        <v>3.796</v>
      </c>
      <c r="C53" s="511" t="n">
        <v>21</v>
      </c>
      <c r="D53" s="511" t="n">
        <v>0</v>
      </c>
      <c r="E53" s="511" t="e">
        <f aca="false">+D$7</f>
        <v>#REF!</v>
      </c>
      <c r="F53" s="514" t="e">
        <f aca="false">(+C53+D53)*B53*E53</f>
        <v>#REF!</v>
      </c>
      <c r="G53" s="511"/>
      <c r="H53" s="511"/>
    </row>
    <row r="54" customFormat="false" ht="13.5" hidden="false" customHeight="false" outlineLevel="0" collapsed="false">
      <c r="A54" s="511"/>
      <c r="B54" s="511"/>
      <c r="C54" s="511"/>
      <c r="E54" s="511"/>
      <c r="F54" s="516" t="e">
        <f aca="false">SUM(F47:F53)</f>
        <v>#REF!</v>
      </c>
      <c r="G54" s="511"/>
      <c r="H54" s="511"/>
    </row>
    <row r="55" customFormat="false" ht="13.5" hidden="false" customHeight="false" outlineLevel="0" collapsed="false">
      <c r="A55" s="511"/>
      <c r="B55" s="511"/>
      <c r="C55" s="511"/>
      <c r="E55" s="511" t="s">
        <v>984</v>
      </c>
      <c r="F55" s="511" t="n">
        <f aca="false">+C52+D52</f>
        <v>21</v>
      </c>
      <c r="G55" s="511"/>
      <c r="H55" s="511"/>
    </row>
    <row r="56" customFormat="false" ht="12.75" hidden="false" customHeight="false" outlineLevel="0" collapsed="false">
      <c r="A56" s="511"/>
      <c r="B56" s="511"/>
      <c r="C56" s="511"/>
      <c r="E56" s="511" t="s">
        <v>98</v>
      </c>
      <c r="F56" s="518" t="e">
        <f aca="false">+#REF!</f>
        <v>#REF!</v>
      </c>
      <c r="G56" s="511"/>
      <c r="H56" s="511"/>
    </row>
    <row r="57" customFormat="false" ht="13.5" hidden="false" customHeight="false" outlineLevel="0" collapsed="false">
      <c r="A57" s="511"/>
      <c r="B57" s="511"/>
      <c r="C57" s="511"/>
      <c r="E57" s="511" t="s">
        <v>985</v>
      </c>
      <c r="F57" s="519" t="e">
        <f aca="false">ROUND(+F54/F55/F56,4)</f>
        <v>#REF!</v>
      </c>
      <c r="G57" s="511"/>
      <c r="H57" s="511"/>
    </row>
    <row r="58" customFormat="false" ht="13.5" hidden="false" customHeight="false" outlineLevel="0" collapsed="false">
      <c r="A58" s="511"/>
      <c r="B58" s="511"/>
      <c r="C58" s="511"/>
      <c r="D58" s="511"/>
      <c r="E58" s="511"/>
      <c r="F58" s="511"/>
      <c r="G58" s="511"/>
      <c r="H58" s="511"/>
    </row>
    <row r="59" customFormat="false" ht="12.75" hidden="false" customHeight="false" outlineLevel="0" collapsed="false">
      <c r="A59" s="511"/>
      <c r="B59" s="511"/>
      <c r="C59" s="511"/>
      <c r="D59" s="511"/>
      <c r="E59" s="511"/>
      <c r="F59" s="511"/>
      <c r="G59" s="511"/>
      <c r="H59" s="511"/>
    </row>
    <row r="60" customFormat="false" ht="12.75" hidden="false" customHeight="false" outlineLevel="0" collapsed="false">
      <c r="A60" s="512" t="s">
        <v>974</v>
      </c>
      <c r="B60" s="512" t="n">
        <v>889111</v>
      </c>
      <c r="F60" s="511"/>
      <c r="G60" s="511"/>
      <c r="H60" s="511"/>
    </row>
    <row r="61" customFormat="false" ht="12.75" hidden="false" customHeight="false" outlineLevel="0" collapsed="false">
      <c r="A61" s="512" t="s">
        <v>986</v>
      </c>
      <c r="B61" s="512" t="s">
        <v>238</v>
      </c>
      <c r="C61" s="512"/>
      <c r="D61" s="512"/>
      <c r="E61" s="512"/>
      <c r="F61" s="511"/>
      <c r="G61" s="511"/>
      <c r="H61" s="511"/>
    </row>
    <row r="62" customFormat="false" ht="12.75" hidden="false" customHeight="false" outlineLevel="0" collapsed="false">
      <c r="A62" s="511"/>
      <c r="B62" s="511" t="s">
        <v>975</v>
      </c>
      <c r="C62" s="511" t="s">
        <v>993</v>
      </c>
      <c r="D62" s="511" t="s">
        <v>991</v>
      </c>
      <c r="E62" s="511" t="s">
        <v>972</v>
      </c>
      <c r="F62" s="511" t="s">
        <v>977</v>
      </c>
      <c r="G62" s="511"/>
      <c r="H62" s="511"/>
    </row>
    <row r="63" customFormat="false" ht="12.75" hidden="false" customHeight="false" outlineLevel="0" collapsed="false">
      <c r="A63" s="511" t="s">
        <v>370</v>
      </c>
      <c r="B63" s="513" t="n">
        <v>3.637</v>
      </c>
      <c r="C63" s="511" t="n">
        <v>88</v>
      </c>
      <c r="D63" s="511" t="n">
        <v>0</v>
      </c>
      <c r="E63" s="511" t="e">
        <f aca="false">+D$7</f>
        <v>#REF!</v>
      </c>
      <c r="F63" s="514" t="e">
        <f aca="false">(+C63+D63)*B63*E63</f>
        <v>#REF!</v>
      </c>
      <c r="G63" s="511"/>
      <c r="H63" s="511"/>
    </row>
    <row r="64" customFormat="false" ht="12.75" hidden="false" customHeight="false" outlineLevel="0" collapsed="false">
      <c r="A64" s="511" t="s">
        <v>978</v>
      </c>
      <c r="B64" s="513" t="n">
        <v>3.444</v>
      </c>
      <c r="C64" s="511" t="n">
        <v>24</v>
      </c>
      <c r="D64" s="511" t="n">
        <v>0</v>
      </c>
      <c r="E64" s="511" t="e">
        <f aca="false">+D$7</f>
        <v>#REF!</v>
      </c>
      <c r="F64" s="514" t="e">
        <f aca="false">(+C64+D64)*B64*E64</f>
        <v>#REF!</v>
      </c>
      <c r="G64" s="511"/>
      <c r="H64" s="511"/>
    </row>
    <row r="65" customFormat="false" ht="12.75" hidden="false" customHeight="false" outlineLevel="0" collapsed="false">
      <c r="A65" s="511" t="s">
        <v>363</v>
      </c>
      <c r="B65" s="513" t="n">
        <v>7.192</v>
      </c>
      <c r="C65" s="511" t="n">
        <v>39</v>
      </c>
      <c r="D65" s="511" t="n">
        <v>0</v>
      </c>
      <c r="E65" s="511" t="e">
        <f aca="false">+D$7</f>
        <v>#REF!</v>
      </c>
      <c r="F65" s="514" t="e">
        <f aca="false">(+C65+D65)*B65*E65</f>
        <v>#REF!</v>
      </c>
      <c r="G65" s="511"/>
      <c r="H65" s="511"/>
    </row>
    <row r="66" customFormat="false" ht="12.75" hidden="false" customHeight="false" outlineLevel="0" collapsed="false">
      <c r="A66" s="511" t="s">
        <v>564</v>
      </c>
      <c r="B66" s="513" t="n">
        <v>3.156</v>
      </c>
      <c r="C66" s="511" t="n">
        <v>58</v>
      </c>
      <c r="D66" s="511" t="n">
        <v>0</v>
      </c>
      <c r="E66" s="511" t="e">
        <f aca="false">+D$7</f>
        <v>#REF!</v>
      </c>
      <c r="F66" s="514" t="e">
        <f aca="false">(+C66+D66)*B66*E66</f>
        <v>#REF!</v>
      </c>
      <c r="G66" s="511"/>
      <c r="H66" s="511"/>
    </row>
    <row r="67" customFormat="false" ht="12.75" hidden="false" customHeight="false" outlineLevel="0" collapsed="false">
      <c r="A67" s="515" t="s">
        <v>979</v>
      </c>
      <c r="B67" s="513" t="n">
        <v>1.912</v>
      </c>
      <c r="C67" s="511" t="n">
        <v>141</v>
      </c>
      <c r="D67" s="511" t="n">
        <v>0</v>
      </c>
      <c r="E67" s="511" t="e">
        <f aca="false">+D$7</f>
        <v>#REF!</v>
      </c>
      <c r="F67" s="514" t="e">
        <f aca="false">(+C67+D67)*B67*E67</f>
        <v>#REF!</v>
      </c>
      <c r="G67" s="511"/>
      <c r="H67" s="511"/>
    </row>
    <row r="68" customFormat="false" ht="12.75" hidden="false" customHeight="false" outlineLevel="0" collapsed="false">
      <c r="A68" s="511" t="s">
        <v>980</v>
      </c>
      <c r="B68" s="513" t="n">
        <v>3.942</v>
      </c>
      <c r="C68" s="511" t="n">
        <v>141</v>
      </c>
      <c r="D68" s="511" t="n">
        <v>0</v>
      </c>
      <c r="E68" s="511" t="e">
        <f aca="false">+D$7</f>
        <v>#REF!</v>
      </c>
      <c r="F68" s="514" t="e">
        <f aca="false">(+C68+D68)*B68*E68</f>
        <v>#REF!</v>
      </c>
      <c r="G68" s="511"/>
      <c r="H68" s="511"/>
    </row>
    <row r="69" customFormat="false" ht="12.75" hidden="false" customHeight="false" outlineLevel="0" collapsed="false">
      <c r="A69" s="511" t="s">
        <v>981</v>
      </c>
      <c r="B69" s="513" t="n">
        <v>2.691</v>
      </c>
      <c r="C69" s="511" t="n">
        <v>138</v>
      </c>
      <c r="D69" s="511" t="n">
        <v>0</v>
      </c>
      <c r="E69" s="511" t="e">
        <f aca="false">+D$7</f>
        <v>#REF!</v>
      </c>
      <c r="F69" s="514" t="e">
        <f aca="false">(+C69+D69)*B69*E69</f>
        <v>#REF!</v>
      </c>
      <c r="G69" s="511"/>
      <c r="H69" s="511"/>
    </row>
    <row r="70" customFormat="false" ht="12.75" hidden="false" customHeight="false" outlineLevel="0" collapsed="false">
      <c r="A70" s="511" t="s">
        <v>982</v>
      </c>
      <c r="B70" s="513" t="n">
        <v>4.066</v>
      </c>
      <c r="C70" s="511" t="n">
        <v>141</v>
      </c>
      <c r="D70" s="511" t="n">
        <v>0</v>
      </c>
      <c r="E70" s="511" t="e">
        <f aca="false">+D$7</f>
        <v>#REF!</v>
      </c>
      <c r="F70" s="514" t="e">
        <f aca="false">(+C70+D70)*B70*E70</f>
        <v>#REF!</v>
      </c>
      <c r="G70" s="511"/>
      <c r="H70" s="511"/>
    </row>
    <row r="71" customFormat="false" ht="13.5" hidden="false" customHeight="false" outlineLevel="0" collapsed="false">
      <c r="A71" s="511"/>
      <c r="B71" s="511"/>
      <c r="C71" s="511"/>
      <c r="E71" s="511"/>
      <c r="F71" s="516" t="e">
        <f aca="false">SUM(F63:F70)</f>
        <v>#REF!</v>
      </c>
      <c r="G71" s="511"/>
      <c r="H71" s="511"/>
    </row>
    <row r="72" customFormat="false" ht="13.5" hidden="false" customHeight="false" outlineLevel="0" collapsed="false">
      <c r="A72" s="511"/>
      <c r="B72" s="511"/>
      <c r="C72" s="511"/>
      <c r="E72" s="511" t="s">
        <v>984</v>
      </c>
      <c r="F72" s="511" t="n">
        <f aca="false">+C69+D69</f>
        <v>138</v>
      </c>
      <c r="G72" s="511"/>
      <c r="H72" s="511"/>
    </row>
    <row r="73" customFormat="false" ht="12.75" hidden="false" customHeight="false" outlineLevel="0" collapsed="false">
      <c r="A73" s="511"/>
      <c r="B73" s="511"/>
      <c r="C73" s="511"/>
      <c r="E73" s="511" t="s">
        <v>98</v>
      </c>
      <c r="F73" s="518" t="e">
        <f aca="false">+#REF!</f>
        <v>#REF!</v>
      </c>
      <c r="G73" s="511"/>
      <c r="H73" s="511"/>
    </row>
    <row r="74" customFormat="false" ht="13.5" hidden="false" customHeight="false" outlineLevel="0" collapsed="false">
      <c r="A74" s="511"/>
      <c r="B74" s="511"/>
      <c r="C74" s="511"/>
      <c r="E74" s="511" t="s">
        <v>985</v>
      </c>
      <c r="F74" s="519" t="e">
        <f aca="false">ROUND(+F71/F72/F73,4)</f>
        <v>#REF!</v>
      </c>
      <c r="G74" s="511"/>
      <c r="H74" s="511"/>
    </row>
    <row r="75" customFormat="false" ht="13.5" hidden="false" customHeight="false" outlineLevel="0" collapsed="false">
      <c r="A75" s="511"/>
      <c r="C75" s="511"/>
      <c r="D75" s="511"/>
      <c r="E75" s="511"/>
      <c r="F75" s="511"/>
      <c r="G75" s="511"/>
      <c r="H75" s="511"/>
      <c r="L75" s="73"/>
    </row>
    <row r="76" customFormat="false" ht="12.75" hidden="false" customHeight="false" outlineLevel="0" collapsed="false">
      <c r="A76" s="512" t="s">
        <v>974</v>
      </c>
      <c r="B76" s="512" t="n">
        <v>889112</v>
      </c>
      <c r="F76" s="511"/>
      <c r="G76" s="511"/>
      <c r="H76" s="511"/>
    </row>
    <row r="77" customFormat="false" ht="12.75" hidden="false" customHeight="false" outlineLevel="0" collapsed="false">
      <c r="A77" s="512" t="s">
        <v>359</v>
      </c>
      <c r="B77" s="512" t="s">
        <v>238</v>
      </c>
      <c r="C77" s="512"/>
      <c r="D77" s="512"/>
      <c r="E77" s="512"/>
      <c r="F77" s="511"/>
      <c r="G77" s="511"/>
      <c r="H77" s="511"/>
    </row>
    <row r="78" customFormat="false" ht="12.75" hidden="false" customHeight="false" outlineLevel="0" collapsed="false">
      <c r="A78" s="511"/>
      <c r="B78" s="511" t="s">
        <v>975</v>
      </c>
      <c r="C78" s="511" t="s">
        <v>994</v>
      </c>
      <c r="D78" s="511" t="s">
        <v>972</v>
      </c>
      <c r="E78" s="511" t="s">
        <v>977</v>
      </c>
      <c r="F78" s="511"/>
      <c r="G78" s="511"/>
    </row>
    <row r="79" customFormat="false" ht="12.75" hidden="false" customHeight="false" outlineLevel="0" collapsed="false">
      <c r="A79" s="511" t="s">
        <v>370</v>
      </c>
      <c r="B79" s="513" t="n">
        <v>3.41</v>
      </c>
      <c r="C79" s="511" t="n">
        <v>224</v>
      </c>
      <c r="D79" s="511" t="e">
        <f aca="false">+D$7</f>
        <v>#REF!</v>
      </c>
      <c r="E79" s="514" t="e">
        <f aca="false">(+C79)*B79*D79</f>
        <v>#REF!</v>
      </c>
      <c r="F79" s="511"/>
      <c r="G79" s="511"/>
    </row>
    <row r="80" customFormat="false" ht="12.75" hidden="false" customHeight="false" outlineLevel="0" collapsed="false">
      <c r="A80" s="511" t="s">
        <v>978</v>
      </c>
      <c r="B80" s="513" t="n">
        <v>3.217</v>
      </c>
      <c r="C80" s="511" t="n">
        <v>60</v>
      </c>
      <c r="D80" s="511" t="e">
        <f aca="false">+D$7</f>
        <v>#REF!</v>
      </c>
      <c r="E80" s="514" t="e">
        <f aca="false">(+C80)*B80*D80</f>
        <v>#REF!</v>
      </c>
      <c r="F80" s="511"/>
      <c r="G80" s="511"/>
    </row>
    <row r="81" customFormat="false" ht="12.75" hidden="false" customHeight="false" outlineLevel="0" collapsed="false">
      <c r="A81" s="511" t="s">
        <v>363</v>
      </c>
      <c r="B81" s="513" t="n">
        <v>6.965</v>
      </c>
      <c r="C81" s="511" t="n">
        <v>98</v>
      </c>
      <c r="D81" s="511" t="e">
        <f aca="false">+D$7</f>
        <v>#REF!</v>
      </c>
      <c r="E81" s="514" t="e">
        <f aca="false">(+C81)*B81*D81</f>
        <v>#REF!</v>
      </c>
      <c r="F81" s="511"/>
      <c r="G81" s="511"/>
    </row>
    <row r="82" customFormat="false" ht="12.75" hidden="false" customHeight="false" outlineLevel="0" collapsed="false">
      <c r="A82" s="511" t="s">
        <v>564</v>
      </c>
      <c r="B82" s="513" t="n">
        <v>2.922</v>
      </c>
      <c r="C82" s="511" t="n">
        <v>145</v>
      </c>
      <c r="D82" s="511" t="e">
        <f aca="false">+D$7</f>
        <v>#REF!</v>
      </c>
      <c r="E82" s="514" t="e">
        <f aca="false">(+C82)*B82*D82</f>
        <v>#REF!</v>
      </c>
      <c r="F82" s="511"/>
      <c r="G82" s="511"/>
    </row>
    <row r="83" customFormat="false" ht="12.75" hidden="false" customHeight="false" outlineLevel="0" collapsed="false">
      <c r="A83" s="515" t="s">
        <v>979</v>
      </c>
      <c r="B83" s="513" t="n">
        <v>1.912</v>
      </c>
      <c r="C83" s="511" t="n">
        <v>361</v>
      </c>
      <c r="D83" s="511" t="e">
        <f aca="false">+D$7</f>
        <v>#REF!</v>
      </c>
      <c r="E83" s="514" t="e">
        <f aca="false">(+C83)*B83*D83</f>
        <v>#REF!</v>
      </c>
      <c r="F83" s="511"/>
      <c r="G83" s="511"/>
    </row>
    <row r="84" customFormat="false" ht="12.75" hidden="false" customHeight="false" outlineLevel="0" collapsed="false">
      <c r="A84" s="511" t="s">
        <v>980</v>
      </c>
      <c r="B84" s="513" t="n">
        <v>3.942</v>
      </c>
      <c r="C84" s="511" t="n">
        <v>358</v>
      </c>
      <c r="D84" s="511" t="e">
        <f aca="false">+D$7</f>
        <v>#REF!</v>
      </c>
      <c r="E84" s="514" t="e">
        <f aca="false">(+C84)*B84*D84</f>
        <v>#REF!</v>
      </c>
      <c r="F84" s="511"/>
      <c r="G84" s="511"/>
    </row>
    <row r="85" customFormat="false" ht="12.75" hidden="false" customHeight="false" outlineLevel="0" collapsed="false">
      <c r="A85" s="511" t="s">
        <v>981</v>
      </c>
      <c r="B85" s="513" t="n">
        <v>2.691</v>
      </c>
      <c r="C85" s="511" t="n">
        <v>352</v>
      </c>
      <c r="D85" s="511" t="e">
        <f aca="false">+D$7</f>
        <v>#REF!</v>
      </c>
      <c r="E85" s="514" t="e">
        <f aca="false">(+C85)*B85*D85</f>
        <v>#REF!</v>
      </c>
      <c r="F85" s="511"/>
      <c r="G85" s="511"/>
    </row>
    <row r="86" customFormat="false" ht="12.75" hidden="false" customHeight="false" outlineLevel="0" collapsed="false">
      <c r="A86" s="511" t="s">
        <v>982</v>
      </c>
      <c r="B86" s="513" t="n">
        <v>3.853</v>
      </c>
      <c r="C86" s="511" t="n">
        <v>361</v>
      </c>
      <c r="D86" s="511" t="e">
        <f aca="false">+D$7</f>
        <v>#REF!</v>
      </c>
      <c r="E86" s="514" t="e">
        <f aca="false">(+C86)*B86*D86</f>
        <v>#REF!</v>
      </c>
      <c r="F86" s="511"/>
      <c r="G86" s="511"/>
    </row>
    <row r="87" customFormat="false" ht="13.5" hidden="false" customHeight="false" outlineLevel="0" collapsed="false">
      <c r="A87" s="511"/>
      <c r="B87" s="511"/>
      <c r="C87" s="511"/>
      <c r="D87" s="511"/>
      <c r="E87" s="516" t="e">
        <f aca="false">SUM(E79:E86)</f>
        <v>#REF!</v>
      </c>
      <c r="F87" s="511"/>
      <c r="G87" s="511"/>
    </row>
    <row r="88" customFormat="false" ht="13.5" hidden="false" customHeight="false" outlineLevel="0" collapsed="false">
      <c r="A88" s="511"/>
      <c r="B88" s="511"/>
      <c r="C88" s="511"/>
      <c r="D88" s="511" t="s">
        <v>984</v>
      </c>
      <c r="E88" s="511" t="n">
        <f aca="false">+C85</f>
        <v>352</v>
      </c>
      <c r="F88" s="511"/>
      <c r="G88" s="511"/>
    </row>
    <row r="89" customFormat="false" ht="12.75" hidden="false" customHeight="false" outlineLevel="0" collapsed="false">
      <c r="A89" s="511"/>
      <c r="B89" s="511"/>
      <c r="C89" s="511"/>
      <c r="D89" s="511" t="s">
        <v>98</v>
      </c>
      <c r="E89" s="518" t="e">
        <f aca="false">+#REF!</f>
        <v>#REF!</v>
      </c>
      <c r="F89" s="511"/>
      <c r="G89" s="511"/>
    </row>
    <row r="90" customFormat="false" ht="13.5" hidden="false" customHeight="false" outlineLevel="0" collapsed="false">
      <c r="A90" s="511"/>
      <c r="B90" s="511"/>
      <c r="C90" s="511"/>
      <c r="D90" s="511" t="s">
        <v>985</v>
      </c>
      <c r="E90" s="519" t="e">
        <f aca="false">ROUND(+E87/E88/E89,4)</f>
        <v>#REF!</v>
      </c>
      <c r="F90" s="511"/>
      <c r="G90" s="511"/>
    </row>
    <row r="91" customFormat="false" ht="13.5" hidden="false" customHeight="false" outlineLevel="0" collapsed="false">
      <c r="A91" s="511"/>
      <c r="B91" s="511"/>
      <c r="C91" s="511"/>
      <c r="D91" s="511"/>
      <c r="E91" s="511"/>
      <c r="F91" s="511"/>
      <c r="G91" s="511"/>
      <c r="H91" s="511"/>
    </row>
    <row r="92" customFormat="false" ht="12.75" hidden="false" customHeight="false" outlineLevel="0" collapsed="false">
      <c r="A92" s="512" t="s">
        <v>974</v>
      </c>
      <c r="B92" s="512" t="n">
        <v>889090</v>
      </c>
      <c r="F92" s="511"/>
      <c r="G92" s="511"/>
      <c r="H92" s="511"/>
    </row>
    <row r="93" customFormat="false" ht="12.75" hidden="false" customHeight="false" outlineLevel="0" collapsed="false">
      <c r="A93" s="512" t="s">
        <v>359</v>
      </c>
      <c r="B93" s="512" t="s">
        <v>238</v>
      </c>
      <c r="C93" s="512"/>
      <c r="D93" s="512"/>
      <c r="E93" s="512"/>
      <c r="F93" s="511"/>
      <c r="G93" s="511"/>
      <c r="H93" s="511"/>
    </row>
    <row r="94" customFormat="false" ht="12.75" hidden="false" customHeight="false" outlineLevel="0" collapsed="false">
      <c r="A94" s="511"/>
      <c r="B94" s="511" t="s">
        <v>975</v>
      </c>
      <c r="C94" s="511" t="s">
        <v>995</v>
      </c>
      <c r="D94" s="511" t="s">
        <v>996</v>
      </c>
      <c r="E94" s="511" t="s">
        <v>972</v>
      </c>
      <c r="F94" s="511" t="s">
        <v>977</v>
      </c>
      <c r="G94" s="511"/>
      <c r="H94" s="511"/>
    </row>
    <row r="95" customFormat="false" ht="12.75" hidden="false" customHeight="false" outlineLevel="0" collapsed="false">
      <c r="A95" s="511" t="s">
        <v>370</v>
      </c>
      <c r="B95" s="513" t="n">
        <v>3.41</v>
      </c>
      <c r="C95" s="511" t="n">
        <v>9</v>
      </c>
      <c r="D95" s="511" t="n">
        <v>4</v>
      </c>
      <c r="E95" s="511" t="e">
        <f aca="false">+D$7</f>
        <v>#REF!</v>
      </c>
      <c r="F95" s="514" t="e">
        <f aca="false">(+C95+D95)*B95*E95</f>
        <v>#REF!</v>
      </c>
      <c r="G95" s="511"/>
      <c r="H95" s="511"/>
    </row>
    <row r="96" customFormat="false" ht="12.75" hidden="false" customHeight="false" outlineLevel="0" collapsed="false">
      <c r="A96" s="511" t="s">
        <v>978</v>
      </c>
      <c r="B96" s="513" t="n">
        <v>3.217</v>
      </c>
      <c r="C96" s="511" t="n">
        <v>2</v>
      </c>
      <c r="D96" s="511" t="n">
        <v>1</v>
      </c>
      <c r="E96" s="511" t="e">
        <f aca="false">+D$7</f>
        <v>#REF!</v>
      </c>
      <c r="F96" s="514" t="e">
        <f aca="false">(+C96+D96)*B96*E96</f>
        <v>#REF!</v>
      </c>
      <c r="G96" s="511"/>
      <c r="H96" s="511"/>
    </row>
    <row r="97" customFormat="false" ht="12.75" hidden="false" customHeight="false" outlineLevel="0" collapsed="false">
      <c r="A97" s="511" t="s">
        <v>363</v>
      </c>
      <c r="B97" s="513" t="n">
        <v>6.965</v>
      </c>
      <c r="C97" s="511" t="n">
        <v>3</v>
      </c>
      <c r="D97" s="511" t="n">
        <v>2</v>
      </c>
      <c r="E97" s="511" t="e">
        <f aca="false">+D$7</f>
        <v>#REF!</v>
      </c>
      <c r="F97" s="514" t="e">
        <f aca="false">(+C97+D97)*B97*E97</f>
        <v>#REF!</v>
      </c>
      <c r="G97" s="511"/>
      <c r="H97" s="511"/>
    </row>
    <row r="98" customFormat="false" ht="12.75" hidden="false" customHeight="false" outlineLevel="0" collapsed="false">
      <c r="A98" s="511" t="s">
        <v>564</v>
      </c>
      <c r="B98" s="513" t="n">
        <v>2.922</v>
      </c>
      <c r="C98" s="511" t="n">
        <v>5</v>
      </c>
      <c r="D98" s="511" t="n">
        <v>2</v>
      </c>
      <c r="E98" s="511" t="e">
        <f aca="false">+D$7</f>
        <v>#REF!</v>
      </c>
      <c r="F98" s="514" t="e">
        <f aca="false">(+C98+D98)*B98*E98</f>
        <v>#REF!</v>
      </c>
      <c r="G98" s="511"/>
      <c r="H98" s="511"/>
    </row>
    <row r="99" customFormat="false" ht="12.75" hidden="false" customHeight="false" outlineLevel="0" collapsed="false">
      <c r="A99" s="515" t="s">
        <v>979</v>
      </c>
      <c r="B99" s="513" t="n">
        <v>1.912</v>
      </c>
      <c r="C99" s="511" t="n">
        <v>16</v>
      </c>
      <c r="D99" s="511" t="n">
        <v>7</v>
      </c>
      <c r="E99" s="511" t="e">
        <f aca="false">+D$7</f>
        <v>#REF!</v>
      </c>
      <c r="F99" s="514" t="e">
        <f aca="false">(+C99+D99)*B99*E99</f>
        <v>#REF!</v>
      </c>
      <c r="G99" s="511"/>
      <c r="H99" s="511"/>
    </row>
    <row r="100" customFormat="false" ht="12.75" hidden="false" customHeight="false" outlineLevel="0" collapsed="false">
      <c r="A100" s="511" t="s">
        <v>980</v>
      </c>
      <c r="B100" s="513" t="n">
        <v>3.942</v>
      </c>
      <c r="C100" s="511" t="n">
        <v>16</v>
      </c>
      <c r="D100" s="511" t="n">
        <v>7</v>
      </c>
      <c r="E100" s="511" t="e">
        <f aca="false">+D$7</f>
        <v>#REF!</v>
      </c>
      <c r="F100" s="514" t="e">
        <f aca="false">(+C100+D100)*B100*E100</f>
        <v>#REF!</v>
      </c>
      <c r="G100" s="511"/>
      <c r="H100" s="511"/>
    </row>
    <row r="101" customFormat="false" ht="12.75" hidden="false" customHeight="false" outlineLevel="0" collapsed="false">
      <c r="A101" s="511" t="s">
        <v>992</v>
      </c>
      <c r="B101" s="513" t="n">
        <v>3.796</v>
      </c>
      <c r="C101" s="511" t="n">
        <v>16</v>
      </c>
      <c r="D101" s="511" t="n">
        <v>7</v>
      </c>
      <c r="E101" s="511" t="e">
        <f aca="false">+D$7</f>
        <v>#REF!</v>
      </c>
      <c r="F101" s="514" t="e">
        <f aca="false">(+C101+D101)*B101*E101</f>
        <v>#REF!</v>
      </c>
      <c r="G101" s="511"/>
      <c r="H101" s="511"/>
    </row>
    <row r="102" customFormat="false" ht="13.5" hidden="false" customHeight="false" outlineLevel="0" collapsed="false">
      <c r="A102" s="511"/>
      <c r="B102" s="513"/>
      <c r="C102" s="511"/>
      <c r="E102" s="511"/>
      <c r="F102" s="516" t="e">
        <f aca="false">SUM(F95:F101)</f>
        <v>#REF!</v>
      </c>
      <c r="G102" s="511"/>
      <c r="H102" s="511"/>
    </row>
    <row r="103" customFormat="false" ht="13.5" hidden="false" customHeight="false" outlineLevel="0" collapsed="false">
      <c r="A103" s="511"/>
      <c r="B103" s="511"/>
      <c r="C103" s="511"/>
      <c r="E103" s="511" t="s">
        <v>997</v>
      </c>
      <c r="F103" s="511" t="n">
        <f aca="false">+C101+D101</f>
        <v>23</v>
      </c>
      <c r="G103" s="511"/>
      <c r="H103" s="511"/>
    </row>
    <row r="104" customFormat="false" ht="12.75" hidden="false" customHeight="false" outlineLevel="0" collapsed="false">
      <c r="A104" s="511"/>
      <c r="B104" s="511"/>
      <c r="C104" s="511"/>
      <c r="E104" s="511" t="s">
        <v>98</v>
      </c>
      <c r="F104" s="518" t="e">
        <f aca="false">+#REF!</f>
        <v>#REF!</v>
      </c>
      <c r="G104" s="511"/>
      <c r="H104" s="511"/>
    </row>
    <row r="105" customFormat="false" ht="13.5" hidden="false" customHeight="false" outlineLevel="0" collapsed="false">
      <c r="A105" s="511"/>
      <c r="B105" s="511"/>
      <c r="C105" s="511"/>
      <c r="E105" s="511" t="s">
        <v>985</v>
      </c>
      <c r="F105" s="521" t="e">
        <f aca="false">ROUND(+F102/F103/F104,4)</f>
        <v>#REF!</v>
      </c>
      <c r="G105" s="511"/>
      <c r="H105" s="511"/>
    </row>
    <row r="106" customFormat="false" ht="13.5" hidden="false" customHeight="false" outlineLevel="0" collapsed="false">
      <c r="A106" s="511"/>
      <c r="B106" s="511"/>
      <c r="C106" s="511"/>
      <c r="D106" s="511"/>
      <c r="E106" s="522"/>
      <c r="F106" s="511"/>
      <c r="G106" s="511"/>
      <c r="H106" s="511"/>
    </row>
    <row r="107" customFormat="false" ht="12.75" hidden="false" customHeight="false" outlineLevel="0" collapsed="false">
      <c r="A107" s="511"/>
      <c r="B107" s="511"/>
      <c r="C107" s="511"/>
      <c r="D107" s="511"/>
      <c r="E107" s="522"/>
      <c r="F107" s="511"/>
      <c r="G107" s="511"/>
      <c r="H107" s="511"/>
    </row>
    <row r="108" customFormat="false" ht="12.75" hidden="false" customHeight="false" outlineLevel="0" collapsed="false">
      <c r="A108" s="511"/>
      <c r="B108" s="511"/>
      <c r="C108" s="511"/>
      <c r="D108" s="511"/>
      <c r="E108" s="522"/>
      <c r="F108" s="511"/>
      <c r="G108" s="511"/>
      <c r="H108" s="511"/>
    </row>
    <row r="109" customFormat="false" ht="12.75" hidden="false" customHeight="false" outlineLevel="0" collapsed="false">
      <c r="A109" s="512" t="s">
        <v>974</v>
      </c>
      <c r="B109" s="512" t="n">
        <v>888476</v>
      </c>
      <c r="F109" s="511"/>
      <c r="G109" s="511"/>
      <c r="H109" s="511"/>
    </row>
    <row r="110" customFormat="false" ht="12.75" hidden="false" customHeight="false" outlineLevel="0" collapsed="false">
      <c r="A110" s="512" t="s">
        <v>359</v>
      </c>
      <c r="B110" s="512" t="s">
        <v>998</v>
      </c>
      <c r="C110" s="512"/>
      <c r="D110" s="512"/>
      <c r="E110" s="512"/>
      <c r="F110" s="511"/>
      <c r="G110" s="511"/>
      <c r="H110" s="511"/>
    </row>
    <row r="111" customFormat="false" ht="12.75" hidden="false" customHeight="false" outlineLevel="0" collapsed="false">
      <c r="A111" s="511"/>
      <c r="B111" s="511" t="s">
        <v>975</v>
      </c>
      <c r="C111" s="511" t="s">
        <v>976</v>
      </c>
      <c r="D111" s="511"/>
      <c r="E111" s="511" t="s">
        <v>972</v>
      </c>
      <c r="F111" s="511" t="s">
        <v>977</v>
      </c>
      <c r="G111" s="511"/>
      <c r="H111" s="511"/>
    </row>
    <row r="112" customFormat="false" ht="12.75" hidden="false" customHeight="false" outlineLevel="0" collapsed="false">
      <c r="A112" s="511" t="s">
        <v>370</v>
      </c>
      <c r="B112" s="513" t="n">
        <v>3.414</v>
      </c>
      <c r="C112" s="511" t="n">
        <v>24</v>
      </c>
      <c r="D112" s="511"/>
      <c r="E112" s="511" t="e">
        <f aca="false">+D$7</f>
        <v>#REF!</v>
      </c>
      <c r="F112" s="514" t="e">
        <f aca="false">(+C112+D112)*B112*E112</f>
        <v>#REF!</v>
      </c>
      <c r="G112" s="511"/>
      <c r="H112" s="511"/>
    </row>
    <row r="113" customFormat="false" ht="12.75" hidden="false" customHeight="false" outlineLevel="0" collapsed="false">
      <c r="A113" s="511" t="s">
        <v>978</v>
      </c>
      <c r="B113" s="513" t="n">
        <v>3.221</v>
      </c>
      <c r="C113" s="511" t="n">
        <v>2</v>
      </c>
      <c r="D113" s="511"/>
      <c r="E113" s="511" t="e">
        <f aca="false">+D$7</f>
        <v>#REF!</v>
      </c>
      <c r="F113" s="514" t="e">
        <f aca="false">(+C113+D113)*B113*E113</f>
        <v>#REF!</v>
      </c>
      <c r="G113" s="523"/>
      <c r="H113" s="511"/>
    </row>
    <row r="114" customFormat="false" ht="12.75" hidden="false" customHeight="false" outlineLevel="0" collapsed="false">
      <c r="A114" s="511" t="s">
        <v>363</v>
      </c>
      <c r="B114" s="513" t="n">
        <v>6.969</v>
      </c>
      <c r="C114" s="511" t="n">
        <v>10</v>
      </c>
      <c r="D114" s="511"/>
      <c r="E114" s="511" t="e">
        <f aca="false">+D$7</f>
        <v>#REF!</v>
      </c>
      <c r="F114" s="514" t="e">
        <f aca="false">(+C114+D114)*B114*E114</f>
        <v>#REF!</v>
      </c>
      <c r="G114" s="524"/>
      <c r="H114" s="511"/>
    </row>
    <row r="115" customFormat="false" ht="12.75" hidden="false" customHeight="false" outlineLevel="0" collapsed="false">
      <c r="A115" s="511" t="s">
        <v>564</v>
      </c>
      <c r="B115" s="513" t="n">
        <v>2.933</v>
      </c>
      <c r="C115" s="511" t="n">
        <v>17</v>
      </c>
      <c r="D115" s="511"/>
      <c r="E115" s="511" t="e">
        <f aca="false">+D$7</f>
        <v>#REF!</v>
      </c>
      <c r="F115" s="514" t="e">
        <f aca="false">(+C115+D115)*B115*E115</f>
        <v>#REF!</v>
      </c>
      <c r="G115" s="524"/>
      <c r="H115" s="511"/>
    </row>
    <row r="116" customFormat="false" ht="12.75" hidden="false" customHeight="false" outlineLevel="0" collapsed="false">
      <c r="A116" s="515" t="s">
        <v>979</v>
      </c>
      <c r="B116" s="513" t="n">
        <v>1.891</v>
      </c>
      <c r="C116" s="511" t="n">
        <v>31</v>
      </c>
      <c r="D116" s="511"/>
      <c r="E116" s="511" t="e">
        <f aca="false">+D$7</f>
        <v>#REF!</v>
      </c>
      <c r="F116" s="514" t="e">
        <f aca="false">(+C116+D116)*B116*E116</f>
        <v>#REF!</v>
      </c>
      <c r="G116" s="525"/>
      <c r="H116" s="511"/>
    </row>
    <row r="117" customFormat="false" ht="12.75" hidden="false" customHeight="false" outlineLevel="0" collapsed="false">
      <c r="A117" s="511" t="s">
        <v>980</v>
      </c>
      <c r="B117" s="513" t="n">
        <v>3.9</v>
      </c>
      <c r="C117" s="511" t="n">
        <v>31</v>
      </c>
      <c r="D117" s="511"/>
      <c r="E117" s="511" t="e">
        <f aca="false">+D$7</f>
        <v>#REF!</v>
      </c>
      <c r="F117" s="514" t="e">
        <f aca="false">(+C117+D117)*B117*E117</f>
        <v>#REF!</v>
      </c>
      <c r="G117" s="524"/>
      <c r="H117" s="511"/>
    </row>
    <row r="118" customFormat="false" ht="12.75" hidden="false" customHeight="false" outlineLevel="0" collapsed="false">
      <c r="A118" s="511" t="s">
        <v>992</v>
      </c>
      <c r="B118" s="513" t="n">
        <v>3.789</v>
      </c>
      <c r="C118" s="511" t="n">
        <v>31</v>
      </c>
      <c r="D118" s="511"/>
      <c r="E118" s="511" t="e">
        <f aca="false">+D$7</f>
        <v>#REF!</v>
      </c>
      <c r="F118" s="514" t="e">
        <f aca="false">(+C118+D118)*B118*E118</f>
        <v>#REF!</v>
      </c>
      <c r="G118" s="520"/>
      <c r="H118" s="511"/>
    </row>
    <row r="119" customFormat="false" ht="13.5" hidden="false" customHeight="false" outlineLevel="0" collapsed="false">
      <c r="A119" s="511"/>
      <c r="B119" s="513"/>
      <c r="C119" s="511"/>
      <c r="E119" s="511"/>
      <c r="F119" s="516" t="e">
        <f aca="false">SUM(F112:F118)</f>
        <v>#REF!</v>
      </c>
      <c r="G119" s="520"/>
      <c r="H119" s="511"/>
    </row>
    <row r="120" customFormat="false" ht="13.5" hidden="false" customHeight="false" outlineLevel="0" collapsed="false">
      <c r="A120" s="511"/>
      <c r="B120" s="511"/>
      <c r="C120" s="511"/>
      <c r="E120" s="511" t="s">
        <v>997</v>
      </c>
      <c r="F120" s="511" t="n">
        <f aca="false">+C118+D118</f>
        <v>31</v>
      </c>
      <c r="G120" s="73"/>
    </row>
    <row r="121" customFormat="false" ht="12.75" hidden="false" customHeight="false" outlineLevel="0" collapsed="false">
      <c r="A121" s="511"/>
      <c r="B121" s="511"/>
      <c r="C121" s="511"/>
      <c r="E121" s="511" t="s">
        <v>98</v>
      </c>
      <c r="F121" s="518" t="e">
        <f aca="false">+#REF!</f>
        <v>#REF!</v>
      </c>
    </row>
    <row r="122" customFormat="false" ht="13.5" hidden="false" customHeight="false" outlineLevel="0" collapsed="false">
      <c r="A122" s="511"/>
      <c r="B122" s="511"/>
      <c r="C122" s="511"/>
      <c r="E122" s="511" t="s">
        <v>985</v>
      </c>
      <c r="F122" s="521" t="e">
        <f aca="false">ROUND(+F119/F120/F121,4)</f>
        <v>#REF!</v>
      </c>
    </row>
    <row r="123" customFormat="false" ht="13.5" hidden="false" customHeight="false" outlineLevel="0" collapsed="false"/>
    <row r="124" customFormat="false" ht="12.75" hidden="false" customHeight="false" outlineLevel="0" collapsed="false">
      <c r="A124" s="512" t="s">
        <v>974</v>
      </c>
      <c r="B124" s="512"/>
      <c r="F124" s="511"/>
    </row>
    <row r="125" customFormat="false" ht="12.75" hidden="false" customHeight="false" outlineLevel="0" collapsed="false">
      <c r="A125" s="512" t="s">
        <v>986</v>
      </c>
      <c r="B125" s="512"/>
      <c r="D125" s="512"/>
      <c r="E125" s="512"/>
      <c r="F125" s="511"/>
    </row>
    <row r="126" customFormat="false" ht="12.75" hidden="false" customHeight="false" outlineLevel="0" collapsed="false">
      <c r="A126" s="511"/>
      <c r="B126" s="511" t="s">
        <v>975</v>
      </c>
      <c r="C126" s="511" t="s">
        <v>994</v>
      </c>
      <c r="D126" s="511" t="s">
        <v>972</v>
      </c>
      <c r="E126" s="511" t="s">
        <v>977</v>
      </c>
    </row>
    <row r="127" customFormat="false" ht="12.75" hidden="false" customHeight="false" outlineLevel="0" collapsed="false">
      <c r="A127" s="511" t="s">
        <v>370</v>
      </c>
      <c r="B127" s="513" t="n">
        <v>3.633</v>
      </c>
      <c r="C127" s="511" t="n">
        <v>62</v>
      </c>
      <c r="D127" s="511" t="e">
        <f aca="false">+D$7</f>
        <v>#REF!</v>
      </c>
      <c r="E127" s="514" t="e">
        <f aca="false">(+C127)*B127*D127</f>
        <v>#REF!</v>
      </c>
    </row>
    <row r="128" customFormat="false" ht="12.75" hidden="false" customHeight="false" outlineLevel="0" collapsed="false">
      <c r="A128" s="511" t="s">
        <v>978</v>
      </c>
      <c r="B128" s="513" t="n">
        <v>3.44</v>
      </c>
      <c r="C128" s="511" t="n">
        <v>17</v>
      </c>
      <c r="D128" s="511" t="e">
        <f aca="false">+D$7</f>
        <v>#REF!</v>
      </c>
      <c r="E128" s="514" t="e">
        <f aca="false">(+C128)*B128*D128</f>
        <v>#REF!</v>
      </c>
    </row>
    <row r="129" customFormat="false" ht="12.75" hidden="false" customHeight="false" outlineLevel="0" collapsed="false">
      <c r="A129" s="511" t="s">
        <v>363</v>
      </c>
      <c r="B129" s="513" t="n">
        <v>7.188</v>
      </c>
      <c r="C129" s="511" t="n">
        <v>28</v>
      </c>
      <c r="D129" s="511" t="e">
        <f aca="false">+D$7</f>
        <v>#REF!</v>
      </c>
      <c r="E129" s="514" t="e">
        <f aca="false">(+C129)*B129*D129</f>
        <v>#REF!</v>
      </c>
    </row>
    <row r="130" customFormat="false" ht="12.75" hidden="false" customHeight="false" outlineLevel="0" collapsed="false">
      <c r="A130" s="511" t="s">
        <v>564</v>
      </c>
      <c r="B130" s="513" t="n">
        <v>3.145</v>
      </c>
      <c r="C130" s="511" t="n">
        <v>41</v>
      </c>
      <c r="D130" s="511" t="e">
        <f aca="false">+D$7</f>
        <v>#REF!</v>
      </c>
      <c r="E130" s="514" t="e">
        <f aca="false">(+C130)*B130*D130</f>
        <v>#REF!</v>
      </c>
    </row>
    <row r="131" customFormat="false" ht="12.75" hidden="false" customHeight="false" outlineLevel="0" collapsed="false">
      <c r="A131" s="515" t="s">
        <v>979</v>
      </c>
      <c r="B131" s="513" t="n">
        <v>1.912</v>
      </c>
      <c r="C131" s="511" t="n">
        <v>102</v>
      </c>
      <c r="D131" s="511" t="e">
        <f aca="false">+D$7</f>
        <v>#REF!</v>
      </c>
      <c r="E131" s="514" t="e">
        <f aca="false">(+C131)*B131*D131</f>
        <v>#REF!</v>
      </c>
    </row>
    <row r="132" customFormat="false" ht="12.75" hidden="false" customHeight="false" outlineLevel="0" collapsed="false">
      <c r="A132" s="511" t="s">
        <v>980</v>
      </c>
      <c r="B132" s="513" t="n">
        <v>3.942</v>
      </c>
      <c r="C132" s="511" t="n">
        <v>102</v>
      </c>
      <c r="D132" s="511" t="e">
        <f aca="false">+D$7</f>
        <v>#REF!</v>
      </c>
      <c r="E132" s="514" t="e">
        <f aca="false">(+C132)*B132*D132</f>
        <v>#REF!</v>
      </c>
    </row>
    <row r="133" customFormat="false" ht="12.75" hidden="false" customHeight="false" outlineLevel="0" collapsed="false">
      <c r="A133" s="511" t="s">
        <v>981</v>
      </c>
      <c r="B133" s="513" t="n">
        <v>2.691</v>
      </c>
      <c r="C133" s="511" t="n">
        <v>100</v>
      </c>
      <c r="D133" s="511" t="e">
        <f aca="false">+D$7</f>
        <v>#REF!</v>
      </c>
      <c r="E133" s="514" t="e">
        <f aca="false">(+C133)*B133*D133</f>
        <v>#REF!</v>
      </c>
    </row>
    <row r="134" customFormat="false" ht="12.75" hidden="false" customHeight="false" outlineLevel="0" collapsed="false">
      <c r="A134" s="511" t="s">
        <v>982</v>
      </c>
      <c r="B134" s="513" t="n">
        <v>4.076</v>
      </c>
      <c r="C134" s="511" t="n">
        <v>102</v>
      </c>
      <c r="D134" s="511" t="e">
        <f aca="false">+D$7</f>
        <v>#REF!</v>
      </c>
      <c r="E134" s="514" t="e">
        <f aca="false">(+C134)*B134*D134</f>
        <v>#REF!</v>
      </c>
    </row>
    <row r="135" customFormat="false" ht="13.5" hidden="false" customHeight="false" outlineLevel="0" collapsed="false">
      <c r="A135" s="511"/>
      <c r="B135" s="511"/>
      <c r="C135" s="511"/>
      <c r="D135" s="511"/>
      <c r="E135" s="516" t="e">
        <f aca="false">SUM(E127:E134)</f>
        <v>#REF!</v>
      </c>
    </row>
    <row r="136" customFormat="false" ht="13.5" hidden="false" customHeight="false" outlineLevel="0" collapsed="false">
      <c r="A136" s="511"/>
      <c r="B136" s="511"/>
      <c r="C136" s="511"/>
      <c r="D136" s="511" t="s">
        <v>984</v>
      </c>
      <c r="E136" s="511" t="e">
        <f aca="false">+#REF!+C134</f>
        <v>#REF!</v>
      </c>
    </row>
    <row r="137" customFormat="false" ht="12.75" hidden="false" customHeight="false" outlineLevel="0" collapsed="false">
      <c r="A137" s="511"/>
      <c r="B137" s="511"/>
      <c r="C137" s="511"/>
      <c r="D137" s="511" t="s">
        <v>98</v>
      </c>
      <c r="E137" s="518" t="e">
        <f aca="false">+#REF!</f>
        <v>#REF!</v>
      </c>
    </row>
    <row r="138" customFormat="false" ht="13.5" hidden="false" customHeight="false" outlineLevel="0" collapsed="false">
      <c r="A138" s="511"/>
      <c r="B138" s="511"/>
      <c r="C138" s="511"/>
      <c r="D138" s="511" t="s">
        <v>985</v>
      </c>
      <c r="E138" s="519" t="e">
        <f aca="false">ROUND(+E135/E136/E137,4)</f>
        <v>#REF!</v>
      </c>
    </row>
    <row r="13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2000-06-23T10:03:39Z</cp:lastPrinted>
  <cp:revision>0</cp:revision>
  <dc:subject/>
  <dc:title/>
</cp:coreProperties>
</file>