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&amp; Pooling" sheetId="1" state="visible" r:id="rId3"/>
    <sheet name="CES IT" sheetId="2" state="visible" r:id="rId4"/>
    <sheet name="CES Wholesale" sheetId="3" state="visible" r:id="rId5"/>
    <sheet name="ECT Trans" sheetId="4" state="visible" r:id="rId6"/>
    <sheet name="Matrix May" sheetId="5" state="visible" r:id="rId7"/>
    <sheet name="Rates" sheetId="6" state="visible" r:id="rId8"/>
    <sheet name="Offseason Rate" sheetId="7" state="visible" r:id="rId9"/>
    <sheet name="Special Rates" sheetId="8" state="visible" r:id="rId10"/>
    <sheet name="Dmd Chrg Calc" sheetId="9" state="visible" r:id="rId11"/>
    <sheet name="Basis" sheetId="10" state="visible" r:id="rId12"/>
    <sheet name="Production" sheetId="11" state="visible" r:id="rId13"/>
    <sheet name="Cashout" sheetId="12" state="visible" r:id="rId14"/>
    <sheet name="Sheet2" sheetId="13" state="visible" r:id="rId15"/>
    <sheet name="Transport Deal Tickets" sheetId="14" state="visible" r:id="rId16"/>
  </sheets>
  <definedNames>
    <definedName function="false" hidden="false" localSheetId="9" name="_xlnm.Print_Area" vbProcedure="false">Basis!$A$33:$I$42</definedName>
    <definedName function="false" hidden="false" localSheetId="3" name="_xlnm.Print_Area" vbProcedure="false">'ECT Trans'!$A$1:$W$161</definedName>
    <definedName function="false" hidden="false" localSheetId="4" name="_xlnm.Print_Area" vbProcedure="false">'Matrix May'!$A$3:$L$67</definedName>
    <definedName function="false" hidden="false" localSheetId="5" name="_xlnm.Print_Area" vbProcedure="false">Rates!$S$1:$X$72</definedName>
    <definedName function="false" hidden="false" localSheetId="13" name="_xlnm.Print_Area" vbProcedure="false">'Transport Deal Tickets'!$A$13:$I$50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GSR Volumetric Surcharge:
$0.0004 per dth to zn 1,2,&amp;3
$0.0002 per dth to production area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10</xdr:row>
                <xdr:rowOff>7</xdr:rowOff>
              </xdr:from>
              <xdr:to>
                <xdr:col>19</xdr:col>
                <xdr:colOff>50</xdr:colOff>
                <xdr:row>14</xdr:row>
                <xdr:rowOff>13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Storage Cost Reconciliation Mechanism:
$0.004 per Dth transported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7</xdr:rowOff>
              </xdr:from>
              <xdr:to>
                <xdr:col>19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<sst xmlns="http://schemas.openxmlformats.org/spreadsheetml/2006/main" count="4016" uniqueCount="1135">
  <si>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</si>
  <si>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</si>
  <si>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</si>
  <si>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</si>
  <si>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</si>
  <si>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</si>
  <si>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</si>
  <si>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</si>
  <si>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</si>
  <si>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</si>
  <si>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</si>
  <si>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</si>
  <si>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</si>
  <si>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??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</si>
  <si>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</si>
  <si>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</si>
  <si>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</si>
  <si>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</si>
  <si>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</si>
  <si>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</si>
  <si>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</si>
  <si>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</si>
  <si>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Overrun</t>
  </si>
  <si>
    <t xml:space="preserve">Overrun contract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</si>
  <si>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</si>
  <si>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</si>
  <si>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</si>
  <si>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</si>
  <si>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</si>
  <si>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</si>
  <si>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</si>
  <si>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</si>
  <si>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</si>
  <si>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Texas Gas Transmission</t>
  </si>
  <si>
    <t xml:space="preserve">T006057</t>
  </si>
  <si>
    <t xml:space="preserve">FT</t>
  </si>
  <si>
    <t xml:space="preserve">Dayton does the scheduling and they will bill ENA for the transport usage.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</si>
  <si>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</si>
  <si>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</si>
  <si>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</si>
  <si>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</si>
  <si>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</si>
  <si>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</si>
  <si>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</si>
  <si>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</si>
  <si>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</si>
  <si>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</si>
  <si>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SST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</si>
  <si>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</si>
  <si>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</si>
  <si>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</si>
  <si>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</si>
  <si>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buy</t>
  </si>
  <si>
    <t xml:space="preserve">1/1/2000 Evergreen</t>
  </si>
  <si>
    <t xml:space="preserve">G0010</t>
  </si>
  <si>
    <t xml:space="preserve">8G0010</t>
  </si>
  <si>
    <t xml:space="preserve">G0011</t>
  </si>
  <si>
    <t xml:space="preserve">8G0011</t>
  </si>
  <si>
    <t xml:space="preserve">G0012</t>
  </si>
  <si>
    <t xml:space="preserve">8G0012</t>
  </si>
  <si>
    <t xml:space="preserve">G0013</t>
  </si>
  <si>
    <t xml:space="preserve">8G0013</t>
  </si>
  <si>
    <t xml:space="preserve">G0014</t>
  </si>
  <si>
    <t xml:space="preserve">8G0014</t>
  </si>
  <si>
    <t xml:space="preserve">T0010</t>
  </si>
  <si>
    <t xml:space="preserve">8T0010</t>
  </si>
  <si>
    <t xml:space="preserve">T0011</t>
  </si>
  <si>
    <t xml:space="preserve">8T0011</t>
  </si>
  <si>
    <t xml:space="preserve">T0012</t>
  </si>
  <si>
    <t xml:space="preserve">8T0012</t>
  </si>
  <si>
    <t xml:space="preserve">T0013</t>
  </si>
  <si>
    <t xml:space="preserve">8T0013</t>
  </si>
  <si>
    <t xml:space="preserve">T0014</t>
  </si>
  <si>
    <t xml:space="preserve">8T0014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</si>
  <si>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</si>
  <si>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</si>
  <si>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</si>
  <si>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</si>
  <si>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</si>
  <si>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</si>
  <si>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</si>
  <si>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</si>
  <si>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</si>
  <si>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</si>
  <si>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</si>
  <si>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</si>
  <si>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</si>
  <si>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</si>
  <si>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KO Transmission</t>
  </si>
  <si>
    <t xml:space="preserve">019</t>
  </si>
  <si>
    <t xml:space="preserve">Evergreen</t>
  </si>
  <si>
    <t xml:space="preserve">Acquired from CES</t>
  </si>
  <si>
    <t xml:space="preserve">CES/Agency</t>
  </si>
  <si>
    <t xml:space="preserve">Transco</t>
  </si>
  <si>
    <t xml:space="preserve">all</t>
  </si>
  <si>
    <t xml:space="preserve">1.1501</t>
  </si>
  <si>
    <t xml:space="preserve">CES IT Contract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</si>
  <si>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</si>
  <si>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</si>
  <si>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</si>
  <si>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</si>
  <si>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</si>
  <si>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</si>
  <si>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</si>
  <si>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</si>
  <si>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</si>
  <si>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</si>
  <si>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</si>
  <si>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</si>
  <si>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</si>
  <si>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</si>
  <si>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</si>
  <si>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</si>
  <si>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</si>
  <si>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</si>
  <si>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</si>
  <si>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</si>
  <si>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</si>
  <si>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</si>
  <si>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</si>
  <si>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</si>
  <si>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</si>
  <si>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</si>
  <si>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</si>
  <si>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</si>
  <si>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</si>
  <si>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</si>
  <si>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</si>
  <si>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</si>
  <si>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</si>
  <si>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</si>
  <si>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</si>
  <si>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</si>
  <si>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</si>
  <si>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</si>
  <si>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</si>
  <si>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</si>
  <si>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</si>
  <si>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</si>
  <si>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</si>
  <si>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</si>
  <si>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</si>
  <si>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</si>
  <si>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</si>
  <si>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</si>
  <si>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</si>
  <si>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East Desk Transportation Capacity for May, 2000</t>
  </si>
  <si>
    <t xml:space="preserve">New K#</t>
  </si>
  <si>
    <t xml:space="preserve">New Sitara</t>
  </si>
  <si>
    <t xml:space="preserve">ENA</t>
  </si>
  <si>
    <t xml:space="preserve">Algo</t>
  </si>
  <si>
    <t xml:space="preserve">Bay State</t>
  </si>
  <si>
    <t xml:space="preserve">Lambertville</t>
  </si>
  <si>
    <t xml:space="preserve">Taunton</t>
  </si>
  <si>
    <t xml:space="preserve">Y</t>
  </si>
  <si>
    <t xml:space="preserve">#3679</t>
  </si>
  <si>
    <t xml:space="preserve">#3665</t>
  </si>
  <si>
    <t xml:space="preserve">Centerville</t>
  </si>
  <si>
    <t xml:space="preserve">Commonwealth</t>
  </si>
  <si>
    <t xml:space="preserve">Cambridge</t>
  </si>
  <si>
    <t xml:space="preserve">N</t>
  </si>
  <si>
    <t xml:space="preserve">#3725</t>
  </si>
  <si>
    <t xml:space="preserve">#3726</t>
  </si>
  <si>
    <t xml:space="preserve">eff 10/1/2000</t>
  </si>
  <si>
    <t xml:space="preserve">Buy </t>
  </si>
  <si>
    <t xml:space="preserve">BG&amp;E</t>
  </si>
  <si>
    <t xml:space="preserve">Oakford</t>
  </si>
  <si>
    <t xml:space="preserve">n</t>
  </si>
  <si>
    <t xml:space="preserve">5A2500</t>
  </si>
  <si>
    <t xml:space="preserve">#13343</t>
  </si>
  <si>
    <t xml:space="preserve">Cornwell</t>
  </si>
  <si>
    <t xml:space="preserve">5A2551</t>
  </si>
  <si>
    <t xml:space="preserve">#13420</t>
  </si>
  <si>
    <t xml:space="preserve">Lebanon</t>
  </si>
  <si>
    <t xml:space="preserve">Leidy</t>
  </si>
  <si>
    <t xml:space="preserve">5A2526</t>
  </si>
  <si>
    <t xml:space="preserve">#13336</t>
  </si>
  <si>
    <t xml:space="preserve">gathering &amp; processing</t>
  </si>
  <si>
    <t xml:space="preserve">Various</t>
  </si>
  <si>
    <t xml:space="preserve">801 Leach</t>
  </si>
  <si>
    <t xml:space="preserve">23-1, 23-5</t>
  </si>
  <si>
    <t xml:space="preserve">y</t>
  </si>
  <si>
    <t xml:space="preserve">Released CES capacity to IGS</t>
  </si>
  <si>
    <t xml:space="preserve">Purchased directly from the pipe.</t>
  </si>
  <si>
    <t xml:space="preserve">23N-7</t>
  </si>
  <si>
    <t xml:space="preserve">Cap Auction</t>
  </si>
  <si>
    <t xml:space="preserve">19E</t>
  </si>
  <si>
    <t xml:space="preserve">Stow</t>
  </si>
  <si>
    <t xml:space="preserve">30CS-33</t>
  </si>
  <si>
    <t xml:space="preserve">CGV Transport</t>
  </si>
  <si>
    <t xml:space="preserve">30RV - Richmond</t>
  </si>
  <si>
    <t xml:space="preserve">Dynegy - released month to month</t>
  </si>
  <si>
    <t xml:space="preserve">Dynergi capcity released month to month.</t>
  </si>
  <si>
    <t xml:space="preserve">Term capcity</t>
  </si>
  <si>
    <t xml:space="preserve">Penn Fuel</t>
  </si>
  <si>
    <t xml:space="preserve">56-25 PFG-04 Lancaster</t>
  </si>
  <si>
    <t xml:space="preserve">#26782, Penn Fuel asset management capacity</t>
  </si>
  <si>
    <t xml:space="preserve">56-29 PFG-04 Downington</t>
  </si>
  <si>
    <t xml:space="preserve">56W PFG-08 Olean</t>
  </si>
  <si>
    <t xml:space="preserve">UGI Energy Services</t>
  </si>
  <si>
    <t xml:space="preserve">Release to Retail</t>
  </si>
  <si>
    <t xml:space="preserve">CES/CALP</t>
  </si>
  <si>
    <t xml:space="preserve">Broad run</t>
  </si>
  <si>
    <t xml:space="preserve">CALP</t>
  </si>
  <si>
    <t xml:space="preserve">Primary delivery to constrained area on TCO 5-7.  For Retail needs.</t>
  </si>
  <si>
    <t xml:space="preserve">Onshore</t>
  </si>
  <si>
    <t xml:space="preserve">Mainline</t>
  </si>
  <si>
    <t xml:space="preserve">Term=yr to yr, evergreen with 6 month termination notice.  ENA acquired this from Access Energy in 1993</t>
  </si>
  <si>
    <t xml:space="preserve">Onshore - authorized overrun</t>
  </si>
  <si>
    <t xml:space="preserve">FFT, Trco, &amp; Lig</t>
  </si>
  <si>
    <t xml:space="preserve">Brazos 105</t>
  </si>
  <si>
    <t xml:space="preserve">Trco St 30</t>
  </si>
  <si>
    <t xml:space="preserve">Central Texas</t>
  </si>
  <si>
    <t xml:space="preserve">Leach</t>
  </si>
  <si>
    <t xml:space="preserve">ENA acquired this from Access Energy in 1993</t>
  </si>
  <si>
    <t xml:space="preserve">Venice</t>
  </si>
  <si>
    <t xml:space="preserve">Onshore capacity - 20,000 day Venice receipt, CES has exclusive right of termination.</t>
  </si>
  <si>
    <t xml:space="preserve">Mainline capacity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</si>
  <si>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</si>
  <si>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</si>
  <si>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</si>
  <si>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</si>
  <si>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Onshore capacity - 5,395 venice capacity.</t>
  </si>
  <si>
    <t xml:space="preserve">WC560</t>
  </si>
  <si>
    <t xml:space="preserve">WC537</t>
  </si>
  <si>
    <t xml:space="preserve">WC537/560 Discounted offshore FT transortation, reimbursed full IT rate by Pennzoil, volumetric demand charge.  CES pays $.0648 for all Pennzoil production from this block.</t>
  </si>
  <si>
    <t xml:space="preserve">3/24/2000 Veronica with CGLF will try to find the contract terms for this deal.</t>
  </si>
  <si>
    <t xml:space="preserve">270010 Rayne</t>
  </si>
  <si>
    <t xml:space="preserve">#26785, Penn Fuel</t>
  </si>
  <si>
    <t xml:space="preserve">Retail Release</t>
  </si>
  <si>
    <t xml:space="preserve">Type</t>
  </si>
  <si>
    <t xml:space="preserve">CES </t>
  </si>
  <si>
    <t xml:space="preserve">Egan Hub Partners, LP</t>
  </si>
  <si>
    <t xml:space="preserve">Strg</t>
  </si>
  <si>
    <t xml:space="preserve">FSS</t>
  </si>
  <si>
    <t xml:space="preserve">FSS-001</t>
  </si>
  <si>
    <t xml:space="preserve">Egan storage, John Hodge is the dealmaker, interconnects with Trunk, Tenn, TGT, CGLF, TGT, ANR.  No withdrawal charges, Injection = $.005 and 1.5% fuel</t>
  </si>
  <si>
    <t xml:space="preserve">FTS</t>
  </si>
  <si>
    <t xml:space="preserve">Environgas</t>
  </si>
  <si>
    <t xml:space="preserve">Tetco</t>
  </si>
  <si>
    <t xml:space="preserve">Access</t>
  </si>
  <si>
    <t xml:space="preserve">M3</t>
  </si>
  <si>
    <t xml:space="preserve">FT-1</t>
  </si>
  <si>
    <t xml:space="preserve">Killed deal 155389 setup as FTS.</t>
  </si>
  <si>
    <t xml:space="preserve">158412  232999</t>
  </si>
  <si>
    <t xml:space="preserve">155385  233003</t>
  </si>
  <si>
    <t xml:space="preserve">Stingray</t>
  </si>
  <si>
    <t xml:space="preserve">Devon</t>
  </si>
  <si>
    <t xml:space="preserve">Total Demand</t>
  </si>
  <si>
    <t xml:space="preserve">Penn Fuel Reimbursements</t>
  </si>
  <si>
    <t xml:space="preserve">Net East Desk Demand</t>
  </si>
  <si>
    <t xml:space="preserve">Unsusal Items</t>
  </si>
  <si>
    <t xml:space="preserve">Sitara </t>
  </si>
  <si>
    <t xml:space="preserve">fuel $</t>
  </si>
  <si>
    <t xml:space="preserve">Est demand</t>
  </si>
  <si>
    <t xml:space="preserve">Act demand</t>
  </si>
  <si>
    <t xml:space="preserve">CVPT</t>
  </si>
  <si>
    <t xml:space="preserve">FPS1024</t>
  </si>
  <si>
    <t xml:space="preserve">10 day peaking service from Cove Point, max daily withdrawal is 36,000/day.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</si>
  <si>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</si>
  <si>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</si>
  <si>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</si>
  <si>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</si>
  <si>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</si>
  <si>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</si>
  <si>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</si>
  <si>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</si>
  <si>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Agency</t>
  </si>
  <si>
    <t xml:space="preserve">MidCoast</t>
  </si>
  <si>
    <t xml:space="preserve">Sheffield</t>
  </si>
  <si>
    <t xml:space="preserve">TGP</t>
  </si>
  <si>
    <t xml:space="preserve">Russellville</t>
  </si>
  <si>
    <t xml:space="preserve">Cherokee</t>
  </si>
  <si>
    <t xml:space="preserve">Decatur</t>
  </si>
  <si>
    <t xml:space="preserve">Huntsville</t>
  </si>
  <si>
    <t xml:space="preserve">col gas</t>
  </si>
  <si>
    <t xml:space="preserve">Nat Fuel</t>
  </si>
  <si>
    <t xml:space="preserve">ECT</t>
  </si>
  <si>
    <t xml:space="preserve">Niagara</t>
  </si>
  <si>
    <t xml:space="preserve">Trco/Leidy</t>
  </si>
  <si>
    <t xml:space="preserve">F01978</t>
  </si>
  <si>
    <t xml:space="preserve">Demand charge billed on receipt volume of 117 DT's.  </t>
  </si>
  <si>
    <t xml:space="preserve">B00693-026471</t>
  </si>
  <si>
    <t xml:space="preserve">Northern Natural</t>
  </si>
  <si>
    <t xml:space="preserve">Brazos Blk133b</t>
  </si>
  <si>
    <t xml:space="preserve">St 30</t>
  </si>
  <si>
    <t xml:space="preserve">CTGS Capacity</t>
  </si>
  <si>
    <t xml:space="preserve">tennessee</t>
  </si>
  <si>
    <t xml:space="preserve">Reliant - Entex</t>
  </si>
  <si>
    <t xml:space="preserve">zone 1</t>
  </si>
  <si>
    <t xml:space="preserve">3996/4004</t>
  </si>
  <si>
    <t xml:space="preserve">reimbursed</t>
  </si>
  <si>
    <t xml:space="preserve">FS-MA</t>
  </si>
  <si>
    <t xml:space="preserve">entex strg</t>
  </si>
  <si>
    <t xml:space="preserve">Louisiana Gas Service. Co</t>
  </si>
  <si>
    <t xml:space="preserve">LGS strg</t>
  </si>
  <si>
    <t xml:space="preserve">LGS </t>
  </si>
  <si>
    <t xml:space="preserve">zone 1/0</t>
  </si>
  <si>
    <t xml:space="preserve">zn 3</t>
  </si>
  <si>
    <t xml:space="preserve">Conn Natural</t>
  </si>
  <si>
    <t xml:space="preserve">zone/0</t>
  </si>
  <si>
    <t xml:space="preserve">Z5 - Wright</t>
  </si>
  <si>
    <t xml:space="preserve">Z6 - Various</t>
  </si>
  <si>
    <t xml:space="preserve">                                                                                                                                                                       </t>
  </si>
  <si>
    <t xml:space="preserve">z4 Northern Strg</t>
  </si>
  <si>
    <t xml:space="preserve">Z0</t>
  </si>
  <si>
    <t xml:space="preserve">MGT - Portland</t>
  </si>
  <si>
    <t xml:space="preserve">Nicor</t>
  </si>
  <si>
    <t xml:space="preserve">Zone l 800</t>
  </si>
  <si>
    <t xml:space="preserve">Segment</t>
  </si>
  <si>
    <t xml:space="preserve">Segment from 32715</t>
  </si>
  <si>
    <t xml:space="preserve">ConED</t>
  </si>
  <si>
    <t xml:space="preserve">0/1</t>
  </si>
  <si>
    <t xml:space="preserve">Energynorth</t>
  </si>
  <si>
    <t xml:space="preserve">Park/Loan</t>
  </si>
  <si>
    <t xml:space="preserve">zl-800/ZL-500</t>
  </si>
  <si>
    <t xml:space="preserve">BUG</t>
  </si>
  <si>
    <t xml:space="preserve">Zone L</t>
  </si>
  <si>
    <t xml:space="preserve">Zone 6</t>
  </si>
  <si>
    <t xml:space="preserve">Zone 5</t>
  </si>
  <si>
    <t xml:space="preserve">zl  800 leg</t>
  </si>
  <si>
    <t xml:space="preserve">Fixed Rate</t>
  </si>
  <si>
    <t xml:space="preserve">33139/33137/33138</t>
  </si>
  <si>
    <t xml:space="preserve">500 leg</t>
  </si>
  <si>
    <t xml:space="preserve">z2</t>
  </si>
  <si>
    <t xml:space="preserve">Discount</t>
  </si>
  <si>
    <t xml:space="preserve">Zone 4</t>
  </si>
  <si>
    <t xml:space="preserve">From 33141</t>
  </si>
  <si>
    <t xml:space="preserve">From 33550</t>
  </si>
  <si>
    <t xml:space="preserve">Midcoast</t>
  </si>
  <si>
    <t xml:space="preserve">Russelvile</t>
  </si>
  <si>
    <t xml:space="preserve">FT-G </t>
  </si>
  <si>
    <t xml:space="preserve">Rel. to Proliance</t>
  </si>
  <si>
    <t xml:space="preserve">FT-GS</t>
  </si>
  <si>
    <t xml:space="preserve">Caladonia</t>
  </si>
  <si>
    <t xml:space="preserve">Midwestern</t>
  </si>
  <si>
    <t xml:space="preserve">NGPL</t>
  </si>
  <si>
    <t xml:space="preserve">FGT, Trco, &amp; Lig</t>
  </si>
  <si>
    <t xml:space="preserve">Portland</t>
  </si>
  <si>
    <t xml:space="preserve">  </t>
  </si>
  <si>
    <t xml:space="preserve">Stx</t>
  </si>
  <si>
    <t xml:space="preserve">#16319</t>
  </si>
  <si>
    <t xml:space="preserve"> 252056 / 252057</t>
  </si>
  <si>
    <t xml:space="preserve">Con Ed</t>
  </si>
  <si>
    <t xml:space="preserve">#16179</t>
  </si>
  <si>
    <t xml:space="preserve">229611 / 229628</t>
  </si>
  <si>
    <t xml:space="preserve">Clinton</t>
  </si>
  <si>
    <t xml:space="preserve">Ela</t>
  </si>
  <si>
    <t xml:space="preserve">#16696</t>
  </si>
  <si>
    <t xml:space="preserve">#16697</t>
  </si>
  <si>
    <t xml:space="preserve">Nyseg</t>
  </si>
  <si>
    <t xml:space="preserve">M2</t>
  </si>
  <si>
    <t xml:space="preserve">#16168</t>
  </si>
  <si>
    <t xml:space="preserve">229644 / 229715</t>
  </si>
  <si>
    <t xml:space="preserve">Texas Gas</t>
  </si>
  <si>
    <t xml:space="preserve">marcon</t>
  </si>
  <si>
    <t xml:space="preserve">850 Mainline</t>
  </si>
  <si>
    <t xml:space="preserve">8046 Mamou</t>
  </si>
  <si>
    <t xml:space="preserve">T016285</t>
  </si>
  <si>
    <t xml:space="preserve">Innovative</t>
  </si>
  <si>
    <t xml:space="preserve">1494 Lafourche</t>
  </si>
  <si>
    <t xml:space="preserve">T016302</t>
  </si>
  <si>
    <t xml:space="preserve">200004000096</t>
  </si>
  <si>
    <t xml:space="preserve">851 Mainline</t>
  </si>
  <si>
    <t xml:space="preserve">1495 Lafourche</t>
  </si>
  <si>
    <t xml:space="preserve">T016336</t>
  </si>
  <si>
    <t xml:space="preserve">200004000076</t>
  </si>
  <si>
    <t xml:space="preserve">Trco</t>
  </si>
  <si>
    <t xml:space="preserve">Z6</t>
  </si>
  <si>
    <t xml:space="preserve">Z1</t>
  </si>
  <si>
    <t xml:space="preserve">Purchased from Transco, demand and commodity will be billed on k#</t>
  </si>
  <si>
    <t xml:space="preserve">252822 / 252835</t>
  </si>
  <si>
    <t xml:space="preserve">Con ED</t>
  </si>
  <si>
    <t xml:space="preserve">Station 62</t>
  </si>
  <si>
    <t xml:space="preserve">6571 Con Ed</t>
  </si>
  <si>
    <t xml:space="preserve">3.4144 / .7537</t>
  </si>
  <si>
    <t xml:space="preserve">#18908, Released Month to Month thru October</t>
  </si>
  <si>
    <t xml:space="preserve">Verify</t>
  </si>
  <si>
    <t xml:space="preserve">Station 65</t>
  </si>
  <si>
    <t xml:space="preserve">3.4358 / .7537</t>
  </si>
  <si>
    <t xml:space="preserve">#18972</t>
  </si>
  <si>
    <t xml:space="preserve">3.5049 / .7537</t>
  </si>
  <si>
    <t xml:space="preserve">#19486; term is 5/3/2000 - 9/30/2000</t>
  </si>
  <si>
    <t xml:space="preserve">Bug</t>
  </si>
  <si>
    <t xml:space="preserve">Telescoped</t>
  </si>
  <si>
    <t xml:space="preserve">6558 BUG</t>
  </si>
  <si>
    <t xml:space="preserve">3.4708 / .7537</t>
  </si>
  <si>
    <t xml:space="preserve">#19328</t>
  </si>
  <si>
    <t xml:space="preserve">3.4620 / .7537</t>
  </si>
  <si>
    <t xml:space="preserve">#19327</t>
  </si>
  <si>
    <t xml:space="preserve">Utos</t>
  </si>
  <si>
    <t xml:space="preserve">St 65</t>
  </si>
  <si>
    <t xml:space="preserve">3.4271 / .7537</t>
  </si>
  <si>
    <t xml:space="preserve">#18944</t>
  </si>
  <si>
    <t xml:space="preserve">PSE&amp;G</t>
  </si>
  <si>
    <t xml:space="preserve">6161 Leidy</t>
  </si>
  <si>
    <t xml:space="preserve">6386 PSE&amp;G</t>
  </si>
  <si>
    <t xml:space="preserve">3.4522 / 3.4367</t>
  </si>
  <si>
    <t xml:space="preserve">#019123 schedule on k#3.4367</t>
  </si>
  <si>
    <t xml:space="preserve">MGAG</t>
  </si>
  <si>
    <t xml:space="preserve">Z3</t>
  </si>
  <si>
    <t xml:space="preserve">Z4</t>
  </si>
  <si>
    <t xml:space="preserve">3.5004 / 3.4367</t>
  </si>
  <si>
    <t xml:space="preserve">#19624</t>
  </si>
  <si>
    <t xml:space="preserve">3.5005 / 3.4367</t>
  </si>
  <si>
    <t xml:space="preserve">#19626</t>
  </si>
  <si>
    <t xml:space="preserve">3.5006 / 3.4367</t>
  </si>
  <si>
    <t xml:space="preserve">#19634</t>
  </si>
  <si>
    <t xml:space="preserve">3.5007 / 3.4367</t>
  </si>
  <si>
    <t xml:space="preserve">#19636</t>
  </si>
  <si>
    <t xml:space="preserve">3.5008 / 3.4367</t>
  </si>
  <si>
    <t xml:space="preserve">#19637</t>
  </si>
  <si>
    <t xml:space="preserve">3.5009 / 3.4367</t>
  </si>
  <si>
    <t xml:space="preserve">#19638</t>
  </si>
  <si>
    <t xml:space="preserve">3.5010 / 3.4367</t>
  </si>
  <si>
    <t xml:space="preserve">#19612</t>
  </si>
  <si>
    <t xml:space="preserve">3.5011 / 3.4367</t>
  </si>
  <si>
    <t xml:space="preserve">#19620</t>
  </si>
  <si>
    <t xml:space="preserve">3.5012 / 3.4367</t>
  </si>
  <si>
    <t xml:space="preserve">#19619</t>
  </si>
  <si>
    <t xml:space="preserve">3.5013 / 3.4367</t>
  </si>
  <si>
    <t xml:space="preserve">#19618</t>
  </si>
  <si>
    <t xml:space="preserve">3.5014 / 3.4367</t>
  </si>
  <si>
    <t xml:space="preserve">#19617</t>
  </si>
  <si>
    <t xml:space="preserve">4123 T-Bone</t>
  </si>
  <si>
    <t xml:space="preserve">6677 St James</t>
  </si>
  <si>
    <t xml:space="preserve">3.4371/.7537</t>
  </si>
  <si>
    <t xml:space="preserve">#019092</t>
  </si>
  <si>
    <t xml:space="preserve">No Sitara/Segment</t>
  </si>
  <si>
    <t xml:space="preserve">6268 -St. James Faust</t>
  </si>
  <si>
    <t xml:space="preserve">3.4372/.7537</t>
  </si>
  <si>
    <t xml:space="preserve">#019093</t>
  </si>
  <si>
    <t xml:space="preserve">6268-St James Faust</t>
  </si>
  <si>
    <t xml:space="preserve">7164 Zen</t>
  </si>
  <si>
    <t xml:space="preserve">3.4373/.7537</t>
  </si>
  <si>
    <t xml:space="preserve">#019094</t>
  </si>
  <si>
    <t xml:space="preserve">Total Demand Charges  </t>
  </si>
  <si>
    <t xml:space="preserve">Reimbursements CES MUNICIPLES</t>
  </si>
  <si>
    <t xml:space="preserve">Reimbursements COMM(CGAS)</t>
  </si>
  <si>
    <t xml:space="preserve">Reimbursements(CGAS)</t>
  </si>
  <si>
    <t xml:space="preserve">Reimbursements( TENN)Entex demand</t>
  </si>
  <si>
    <t xml:space="preserve">Reimbursements(TENN)LGS</t>
  </si>
  <si>
    <t xml:space="preserve">Reimbursements IROQ( BOSTON)</t>
  </si>
  <si>
    <t xml:space="preserve">Reimbursements IROQ( CANADA)</t>
  </si>
  <si>
    <t xml:space="preserve">Reimbursements TENN( BOSTON)</t>
  </si>
  <si>
    <t xml:space="preserve">Reimbursements TENN( CANADA)</t>
  </si>
  <si>
    <t xml:space="preserve">Total Reimbursements</t>
  </si>
  <si>
    <t xml:space="preserve">Net ENA Expense</t>
  </si>
  <si>
    <t xml:space="preserve">Transco FT Commodity</t>
  </si>
  <si>
    <t xml:space="preserve">CGAS FT</t>
  </si>
  <si>
    <t xml:space="preserve">4A</t>
  </si>
  <si>
    <t xml:space="preserve">CGAS Fuel</t>
  </si>
  <si>
    <t xml:space="preserve">CNG FT</t>
  </si>
  <si>
    <t xml:space="preserve">CNG Fuel</t>
  </si>
  <si>
    <t xml:space="preserve">Tenn Net 284</t>
  </si>
  <si>
    <t xml:space="preserve">INCLUDES GRI ($0.0072) and Great Plains Surcharge ($0.0131)</t>
  </si>
  <si>
    <t xml:space="preserve">Iroq -GRI</t>
  </si>
  <si>
    <t xml:space="preserve">   TETCO </t>
  </si>
  <si>
    <t xml:space="preserve">to:  St. 65</t>
  </si>
  <si>
    <t xml:space="preserve">STX</t>
  </si>
  <si>
    <t xml:space="preserve">WLA</t>
  </si>
  <si>
    <t xml:space="preserve">ELA</t>
  </si>
  <si>
    <t xml:space="preserve">Tenn +GRI</t>
  </si>
  <si>
    <t xml:space="preserve">Zn 3 - 65</t>
  </si>
  <si>
    <t xml:space="preserve">    "ELA Rate Assumes $0.0522 'IT'"</t>
  </si>
  <si>
    <t xml:space="preserve">Total</t>
  </si>
  <si>
    <t xml:space="preserve">Tenn FT Commodity</t>
  </si>
  <si>
    <t xml:space="preserve">Toca/Patt</t>
  </si>
  <si>
    <t xml:space="preserve">Kinder</t>
  </si>
  <si>
    <t xml:space="preserve">Hiedelburg</t>
  </si>
  <si>
    <t xml:space="preserve">Chicago</t>
  </si>
  <si>
    <t xml:space="preserve">Carnes</t>
  </si>
  <si>
    <t xml:space="preserve">Rosehill</t>
  </si>
  <si>
    <t xml:space="preserve">Pugh</t>
  </si>
  <si>
    <t xml:space="preserve">Varibus</t>
  </si>
  <si>
    <t xml:space="preserve">Zone 2 </t>
  </si>
  <si>
    <t xml:space="preserve">Zone 3</t>
  </si>
  <si>
    <t xml:space="preserve">0</t>
  </si>
  <si>
    <t xml:space="preserve">L</t>
  </si>
  <si>
    <t xml:space="preserve">MGT Rate </t>
  </si>
  <si>
    <t xml:space="preserve">Z2-Z6 include GRI of $0.0075</t>
  </si>
  <si>
    <t xml:space="preserve">Fuel</t>
  </si>
  <si>
    <t xml:space="preserve">Z0-Niagara difference:</t>
  </si>
  <si>
    <t xml:space="preserve">Z1-Niagara difference:</t>
  </si>
  <si>
    <t xml:space="preserve">TETCO FT Commodity using April - November Fuels</t>
  </si>
  <si>
    <t xml:space="preserve">LRC</t>
  </si>
  <si>
    <t xml:space="preserve">Ragley</t>
  </si>
  <si>
    <t xml:space="preserve">M-1</t>
  </si>
  <si>
    <t xml:space="preserve">M-2</t>
  </si>
  <si>
    <t xml:space="preserve">M-3</t>
  </si>
  <si>
    <t xml:space="preserve">TET Stor.</t>
  </si>
  <si>
    <t xml:space="preserve">It to M2</t>
  </si>
  <si>
    <t xml:space="preserve">It to M3</t>
  </si>
  <si>
    <t xml:space="preserve">ETX</t>
  </si>
  <si>
    <t xml:space="preserve">M1</t>
  </si>
  <si>
    <t xml:space="preserve">             Texas Gas FT Commodity</t>
  </si>
  <si>
    <t xml:space="preserve">Sonat</t>
  </si>
  <si>
    <t xml:space="preserve">0-0</t>
  </si>
  <si>
    <t xml:space="preserve">0-1</t>
  </si>
  <si>
    <t xml:space="preserve">0-2</t>
  </si>
  <si>
    <t xml:space="preserve">0-3</t>
  </si>
  <si>
    <t xml:space="preserve">SL-Inter</t>
  </si>
  <si>
    <t xml:space="preserve">SL-Intra</t>
  </si>
  <si>
    <t xml:space="preserve">1</t>
  </si>
  <si>
    <t xml:space="preserve">4</t>
  </si>
  <si>
    <t xml:space="preserve">SL</t>
  </si>
  <si>
    <t xml:space="preserve">Gulf Onshore IT-Mainline FT</t>
  </si>
  <si>
    <t xml:space="preserve">                   CNG May Fuel Waivers</t>
  </si>
  <si>
    <t xml:space="preserve">Off</t>
  </si>
  <si>
    <t xml:space="preserve">On</t>
  </si>
  <si>
    <t xml:space="preserve">Receipt</t>
  </si>
  <si>
    <t xml:space="preserve">Delivery</t>
  </si>
  <si>
    <t xml:space="preserve">Canajoharie</t>
  </si>
  <si>
    <t xml:space="preserve">Nimo West</t>
  </si>
  <si>
    <t xml:space="preserve">Sabinsville (TGP)</t>
  </si>
  <si>
    <t xml:space="preserve">Nimo East</t>
  </si>
  <si>
    <t xml:space="preserve">ML</t>
  </si>
  <si>
    <t xml:space="preserve">Morrisville (TGP)</t>
  </si>
  <si>
    <t xml:space="preserve">RG&amp;E</t>
  </si>
  <si>
    <t xml:space="preserve">Offshore and Onshore are IT rates</t>
  </si>
  <si>
    <t xml:space="preserve">Leidy (TETCO)</t>
  </si>
  <si>
    <t xml:space="preserve">NYSEG</t>
  </si>
  <si>
    <t xml:space="preserve">Leidy (TRANSCO)</t>
  </si>
  <si>
    <t xml:space="preserve">Hanley &amp; Bird</t>
  </si>
  <si>
    <t xml:space="preserve">East Ohio</t>
  </si>
  <si>
    <t xml:space="preserve">Transport expense using Prices shown below</t>
  </si>
  <si>
    <t xml:space="preserve">Peoples</t>
  </si>
  <si>
    <t xml:space="preserve">Trco Z1</t>
  </si>
  <si>
    <t xml:space="preserve">CGLF On</t>
  </si>
  <si>
    <t xml:space="preserve">Trco Z2</t>
  </si>
  <si>
    <t xml:space="preserve">M/L</t>
  </si>
  <si>
    <t xml:space="preserve">Trco Z3</t>
  </si>
  <si>
    <t xml:space="preserve">TGT Sl</t>
  </si>
  <si>
    <t xml:space="preserve">NFG</t>
  </si>
  <si>
    <t xml:space="preserve">Niagara Zone 3</t>
  </si>
  <si>
    <t xml:space="preserve">Trco Z4</t>
  </si>
  <si>
    <t xml:space="preserve">Tenn 800</t>
  </si>
  <si>
    <t xml:space="preserve">Trco Z6</t>
  </si>
  <si>
    <t xml:space="preserve">TGP/NFG Niagara</t>
  </si>
  <si>
    <t xml:space="preserve">CNG SP</t>
  </si>
  <si>
    <t xml:space="preserve">Wla</t>
  </si>
  <si>
    <t xml:space="preserve">                                                                                                                                               </t>
  </si>
  <si>
    <t xml:space="preserve">Gas Daily </t>
  </si>
  <si>
    <t xml:space="preserve">Even</t>
  </si>
  <si>
    <t xml:space="preserve">formulas</t>
  </si>
  <si>
    <t xml:space="preserve">Formula</t>
  </si>
  <si>
    <t xml:space="preserve">st 85</t>
  </si>
  <si>
    <t xml:space="preserve">zn 0</t>
  </si>
  <si>
    <t xml:space="preserve">ela</t>
  </si>
  <si>
    <t xml:space="preserve">Sonat La</t>
  </si>
  <si>
    <t xml:space="preserve">On Price</t>
  </si>
  <si>
    <t xml:space="preserve">cng south</t>
  </si>
  <si>
    <t xml:space="preserve">TGT</t>
  </si>
  <si>
    <t xml:space="preserve">Wadd</t>
  </si>
  <si>
    <t xml:space="preserve">Tenn Z0</t>
  </si>
  <si>
    <t xml:space="preserve">st 65</t>
  </si>
  <si>
    <t xml:space="preserve">zn 1 800</t>
  </si>
  <si>
    <t xml:space="preserve">wla</t>
  </si>
  <si>
    <t xml:space="preserve">m/l</t>
  </si>
  <si>
    <t xml:space="preserve">Winter</t>
  </si>
  <si>
    <t xml:space="preserve">Summer</t>
  </si>
  <si>
    <t xml:space="preserve">st 45</t>
  </si>
  <si>
    <t xml:space="preserve">stx</t>
  </si>
  <si>
    <t xml:space="preserve">st 30</t>
  </si>
  <si>
    <t xml:space="preserve">m1</t>
  </si>
  <si>
    <t xml:space="preserve">Z6 NY</t>
  </si>
  <si>
    <t xml:space="preserve">Rates No 37.02</t>
  </si>
  <si>
    <t xml:space="preserve">Spring Fuel Apr - Oct</t>
  </si>
  <si>
    <t xml:space="preserve">Spring Fuel Apr-Nov</t>
  </si>
  <si>
    <t xml:space="preserve">Winter Fuel Dec-Mar</t>
  </si>
  <si>
    <t xml:space="preserve">Rates 18 &amp; 19</t>
  </si>
  <si>
    <t xml:space="preserve">Rates 25 &amp; 28</t>
  </si>
  <si>
    <t xml:space="preserve">Rates 32</t>
  </si>
  <si>
    <t xml:space="preserve">Winter Fuel</t>
  </si>
  <si>
    <t xml:space="preserve">Summer Fuel</t>
  </si>
  <si>
    <t xml:space="preserve">Rates No 4</t>
  </si>
  <si>
    <t xml:space="preserve">Rates No 5</t>
  </si>
  <si>
    <t xml:space="preserve">Rates No 8</t>
  </si>
  <si>
    <t xml:space="preserve">Fuel No 44</t>
  </si>
  <si>
    <t xml:space="preserve">Rates No 23A</t>
  </si>
  <si>
    <t xml:space="preserve">Rates No  26 &amp; 31</t>
  </si>
  <si>
    <t xml:space="preserve">Rates No  42</t>
  </si>
  <si>
    <t xml:space="preserve">Rates No 14</t>
  </si>
  <si>
    <t xml:space="preserve">PENDING NEW FUELS</t>
  </si>
  <si>
    <t xml:space="preserve">Dec - Mar</t>
  </si>
  <si>
    <t xml:space="preserve">Apr 1 - Oct 31</t>
  </si>
  <si>
    <t xml:space="preserve">Fuel changes each month</t>
  </si>
  <si>
    <t xml:space="preserve">Fuel No. 10</t>
  </si>
  <si>
    <t xml:space="preserve">Fuel No.8,</t>
  </si>
  <si>
    <t xml:space="preserve">Fuel No 29</t>
  </si>
  <si>
    <t xml:space="preserve">Fuel No 127,128, &amp; 129</t>
  </si>
  <si>
    <t xml:space="preserve">Fuel No 15</t>
  </si>
  <si>
    <t xml:space="preserve">EFFECTIVE 4/1/99</t>
  </si>
  <si>
    <t xml:space="preserve">PENDING Rates &amp; Fuel</t>
  </si>
  <si>
    <t xml:space="preserve">Updated 3/1/2000</t>
  </si>
  <si>
    <t xml:space="preserve">Rates 21</t>
  </si>
  <si>
    <t xml:space="preserve">Rates 11A</t>
  </si>
  <si>
    <t xml:space="preserve">Rates update 1/1/2000</t>
  </si>
  <si>
    <t xml:space="preserve">Rates update 5/1/2000</t>
  </si>
  <si>
    <t xml:space="preserve">Rates Eff 5/1/99</t>
  </si>
  <si>
    <t xml:space="preserve">Updtd Rates 2/1/2000</t>
  </si>
  <si>
    <t xml:space="preserve">Updtd Rates 2/1/00</t>
  </si>
  <si>
    <t xml:space="preserve">Updtd Rates 3/1/00</t>
  </si>
  <si>
    <t xml:space="preserve">Eff 4/1/99</t>
  </si>
  <si>
    <t xml:space="preserve">Fuel No 40</t>
  </si>
  <si>
    <t xml:space="preserve">Fuel 14</t>
  </si>
  <si>
    <t xml:space="preserve">All Fuel is 0.02%</t>
  </si>
  <si>
    <t xml:space="preserve">Updated rates 4/1/2000</t>
  </si>
  <si>
    <t xml:space="preserve">IT Rates No 22</t>
  </si>
  <si>
    <t xml:space="preserve">Updtd Fuel 12/1/1999</t>
  </si>
  <si>
    <t xml:space="preserve">Need to check GSR &amp; SCRM</t>
  </si>
  <si>
    <t xml:space="preserve">Updated eff 3/1/2000</t>
  </si>
  <si>
    <t xml:space="preserve">Fuel Rev 8/1/99</t>
  </si>
  <si>
    <t xml:space="preserve">Price</t>
  </si>
  <si>
    <t xml:space="preserve">(1-1)</t>
  </si>
  <si>
    <t xml:space="preserve">(1-1) it</t>
  </si>
  <si>
    <t xml:space="preserve">Tenn</t>
  </si>
  <si>
    <t xml:space="preserve">(0-0) FT</t>
  </si>
  <si>
    <t xml:space="preserve">TETCO</t>
  </si>
  <si>
    <t xml:space="preserve">(stx-stx)</t>
  </si>
  <si>
    <t xml:space="preserve">(stx-m2)</t>
  </si>
  <si>
    <t xml:space="preserve">(0-0)FT</t>
  </si>
  <si>
    <t xml:space="preserve">Gulf</t>
  </si>
  <si>
    <t xml:space="preserve">(off-off)fts2</t>
  </si>
  <si>
    <t xml:space="preserve">TCO</t>
  </si>
  <si>
    <t xml:space="preserve">(fts)</t>
  </si>
  <si>
    <t xml:space="preserve">ft</t>
  </si>
  <si>
    <t xml:space="preserve">AFT-1</t>
  </si>
  <si>
    <t xml:space="preserve">tgt sl-sl</t>
  </si>
  <si>
    <t xml:space="preserve">IROQ</t>
  </si>
  <si>
    <t xml:space="preserve">FT 1-1</t>
  </si>
  <si>
    <t xml:space="preserve">EQTR</t>
  </si>
  <si>
    <t xml:space="preserve">ITS</t>
  </si>
  <si>
    <t xml:space="preserve">UTOS</t>
  </si>
  <si>
    <t xml:space="preserve">NFGS</t>
  </si>
  <si>
    <t xml:space="preserve">FT-S</t>
  </si>
  <si>
    <t xml:space="preserve">Generic</t>
  </si>
  <si>
    <t xml:space="preserve">comm</t>
  </si>
  <si>
    <t xml:space="preserve">Comm</t>
  </si>
  <si>
    <t xml:space="preserve">ACA</t>
  </si>
  <si>
    <t xml:space="preserve">fuel(.35)</t>
  </si>
  <si>
    <t xml:space="preserve">fuel(0.84)</t>
  </si>
  <si>
    <t xml:space="preserve">fuel(2.42)</t>
  </si>
  <si>
    <t xml:space="preserve">fuel(7.04)</t>
  </si>
  <si>
    <t xml:space="preserve">fuel(1.50)</t>
  </si>
  <si>
    <t xml:space="preserve">fuel(.489)</t>
  </si>
  <si>
    <t xml:space="preserve">fuel(2.28)</t>
  </si>
  <si>
    <t xml:space="preserve">fuel(1.11)</t>
  </si>
  <si>
    <t xml:space="preserve">fuel(.22)</t>
  </si>
  <si>
    <t xml:space="preserve">fuel(0)</t>
  </si>
  <si>
    <t xml:space="preserve">fuel(3.00)</t>
  </si>
  <si>
    <t xml:space="preserve">fuel(0.0)</t>
  </si>
  <si>
    <t xml:space="preserve">fuel(2.00)</t>
  </si>
  <si>
    <t xml:space="preserve">GRI</t>
  </si>
  <si>
    <t xml:space="preserve">Fuel %</t>
  </si>
  <si>
    <t xml:space="preserve">(1-2)</t>
  </si>
  <si>
    <t xml:space="preserve">(1-2) it</t>
  </si>
  <si>
    <t xml:space="preserve">(0-1) FT</t>
  </si>
  <si>
    <t xml:space="preserve">(stx-wla)</t>
  </si>
  <si>
    <t xml:space="preserve">(stx-m3)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</si>
  <si>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</si>
  <si>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</si>
  <si>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</si>
  <si>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</si>
  <si>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</si>
  <si>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</si>
  <si>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tgt sl-4</t>
  </si>
  <si>
    <t xml:space="preserve">FT 1-2</t>
  </si>
  <si>
    <t xml:space="preserve">Zn 1</t>
  </si>
  <si>
    <t xml:space="preserve">Variable</t>
  </si>
  <si>
    <t xml:space="preserve">Delivered</t>
  </si>
  <si>
    <t xml:space="preserve">.</t>
  </si>
  <si>
    <t xml:space="preserve">fuel(.81)</t>
  </si>
  <si>
    <t xml:space="preserve">fuel(2.44)</t>
  </si>
  <si>
    <t xml:space="preserve">fuel(2.57)</t>
  </si>
  <si>
    <t xml:space="preserve">fuel(7.97)</t>
  </si>
  <si>
    <t xml:space="preserve">fuel(.603)</t>
  </si>
  <si>
    <t xml:space="preserve">fuel(2.184)</t>
  </si>
  <si>
    <t xml:space="preserve">fuel(2.68)</t>
  </si>
  <si>
    <t xml:space="preserve">fuel(0.00)</t>
  </si>
  <si>
    <t xml:space="preserve">(1-3)</t>
  </si>
  <si>
    <t xml:space="preserve">(1-3)IT</t>
  </si>
  <si>
    <t xml:space="preserve">(0-2) FT</t>
  </si>
  <si>
    <t xml:space="preserve">(stx-ela)</t>
  </si>
  <si>
    <t xml:space="preserve">(wla-m2)</t>
  </si>
  <si>
    <t xml:space="preserve">(0-2)FT</t>
  </si>
  <si>
    <t xml:space="preserve">(ml-ml)fts1</t>
  </si>
  <si>
    <t xml:space="preserve">(winter)it</t>
  </si>
  <si>
    <t xml:space="preserve">Disc It</t>
  </si>
  <si>
    <t xml:space="preserve">tgt 1-4</t>
  </si>
  <si>
    <t xml:space="preserve">IT 1-2</t>
  </si>
  <si>
    <t xml:space="preserve">Zn 2</t>
  </si>
  <si>
    <t xml:space="preserve">fuel(1.26)</t>
  </si>
  <si>
    <t xml:space="preserve">fuel(4.43)</t>
  </si>
  <si>
    <t xml:space="preserve">fuel(3.32)</t>
  </si>
  <si>
    <t xml:space="preserve">fuel(6.40)</t>
  </si>
  <si>
    <t xml:space="preserve">fuel(2.30)</t>
  </si>
  <si>
    <t xml:space="preserve">fuel(2.82)</t>
  </si>
  <si>
    <t xml:space="preserve">Apr - Nov</t>
  </si>
  <si>
    <t xml:space="preserve">(1-4)</t>
  </si>
  <si>
    <t xml:space="preserve">(1-4) it</t>
  </si>
  <si>
    <t xml:space="preserve">(0-3) FT</t>
  </si>
  <si>
    <t xml:space="preserve">(stx-m1)</t>
  </si>
  <si>
    <t xml:space="preserve">(wla-m3)</t>
  </si>
  <si>
    <t xml:space="preserve">(0-3)FT</t>
  </si>
  <si>
    <t xml:space="preserve">(off-off)its2</t>
  </si>
  <si>
    <t xml:space="preserve">(gath)it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</si>
  <si>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</si>
  <si>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fuel(3.16)</t>
  </si>
  <si>
    <t xml:space="preserve">fuel(5.04)</t>
  </si>
  <si>
    <t xml:space="preserve">fuel(5.64)</t>
  </si>
  <si>
    <t xml:space="preserve">fuel(7.33)</t>
  </si>
  <si>
    <t xml:space="preserve">fuel(2.60)</t>
  </si>
  <si>
    <t xml:space="preserve">tgt SL-1</t>
  </si>
  <si>
    <t xml:space="preserve">Disc 1-2</t>
  </si>
  <si>
    <t xml:space="preserve">Zn 3</t>
  </si>
  <si>
    <t xml:space="preserve">(1-5)</t>
  </si>
  <si>
    <t xml:space="preserve">(2-2) it</t>
  </si>
  <si>
    <t xml:space="preserve">(0-4) FT</t>
  </si>
  <si>
    <t xml:space="preserve">(ela-m2)</t>
  </si>
  <si>
    <t xml:space="preserve">(on-on)its2</t>
  </si>
  <si>
    <t xml:space="preserve">Disc IT</t>
  </si>
  <si>
    <t xml:space="preserve">fuel(0.58)</t>
  </si>
  <si>
    <t xml:space="preserve">fuel(1.69)</t>
  </si>
  <si>
    <t xml:space="preserve">fuel(4.69)</t>
  </si>
  <si>
    <t xml:space="preserve">fuel(.46)</t>
  </si>
  <si>
    <t xml:space="preserve">fuel(5.8)</t>
  </si>
  <si>
    <t xml:space="preserve">fuel(6.12)</t>
  </si>
  <si>
    <t xml:space="preserve">tgt 1-SL (Backhaul)</t>
  </si>
  <si>
    <t xml:space="preserve">Disc 1-1</t>
  </si>
  <si>
    <t xml:space="preserve">(1-6)</t>
  </si>
  <si>
    <t xml:space="preserve">(2-3)IT</t>
  </si>
  <si>
    <t xml:space="preserve">(0-5) FT</t>
  </si>
  <si>
    <t xml:space="preserve">(ela-m3)</t>
  </si>
  <si>
    <t xml:space="preserve">(ml-ml)its1</t>
  </si>
  <si>
    <t xml:space="preserve">fuel(.0)</t>
  </si>
  <si>
    <t xml:space="preserve">fuel(5.53)</t>
  </si>
  <si>
    <t xml:space="preserve">fuel(0.91)</t>
  </si>
  <si>
    <t xml:space="preserve">fuel(6.72)</t>
  </si>
  <si>
    <t xml:space="preserve">fuel(7.05)</t>
  </si>
  <si>
    <t xml:space="preserve">(2-2)</t>
  </si>
  <si>
    <t xml:space="preserve">(2-4) it</t>
  </si>
  <si>
    <t xml:space="preserve">(0-6) FT</t>
  </si>
  <si>
    <t xml:space="preserve">(wla-wla)</t>
  </si>
  <si>
    <t xml:space="preserve">(m1-m2)</t>
  </si>
  <si>
    <t xml:space="preserve">Iroq Fuel</t>
  </si>
  <si>
    <t xml:space="preserve">(on-on)DISC</t>
  </si>
  <si>
    <t xml:space="preserve">fuel(2.81)</t>
  </si>
  <si>
    <t xml:space="preserve">fuel(7.42)</t>
  </si>
  <si>
    <t xml:space="preserve">fuel(1.91)</t>
  </si>
  <si>
    <t xml:space="preserve">fuel(3.72)</t>
  </si>
  <si>
    <t xml:space="preserve">Z1 - Z1</t>
  </si>
  <si>
    <t xml:space="preserve">Z1 -Z2</t>
  </si>
  <si>
    <t xml:space="preserve">(2-3)</t>
  </si>
  <si>
    <t xml:space="preserve">(3-3)IT</t>
  </si>
  <si>
    <t xml:space="preserve">(L-L) FT</t>
  </si>
  <si>
    <t xml:space="preserve">(wla-ela)</t>
  </si>
  <si>
    <t xml:space="preserve">(m1-m3)</t>
  </si>
  <si>
    <t xml:space="preserve">Z2 - Z2</t>
  </si>
  <si>
    <t xml:space="preserve">(rn-lch)Disc</t>
  </si>
  <si>
    <t xml:space="preserve">fuel(.91)</t>
  </si>
  <si>
    <t xml:space="preserve">fuel(0.45)</t>
  </si>
  <si>
    <t xml:space="preserve">fuel(.95)</t>
  </si>
  <si>
    <t xml:space="preserve">fuel(4.65)</t>
  </si>
  <si>
    <t xml:space="preserve">(2-4)</t>
  </si>
  <si>
    <t xml:space="preserve">(3-4) it</t>
  </si>
  <si>
    <t xml:space="preserve">(1-1) FT</t>
  </si>
  <si>
    <t xml:space="preserve">(wla-m1)</t>
  </si>
  <si>
    <t xml:space="preserve">(m2-m3)</t>
  </si>
  <si>
    <t xml:space="preserve">fuel(2.35)</t>
  </si>
  <si>
    <t xml:space="preserve">fuel(1.70)</t>
  </si>
  <si>
    <t xml:space="preserve">fuel(5.00)</t>
  </si>
  <si>
    <t xml:space="preserve">fuel(3.99)</t>
  </si>
  <si>
    <t xml:space="preserve">(2-5)</t>
  </si>
  <si>
    <t xml:space="preserve">(3-6) it</t>
  </si>
  <si>
    <t xml:space="preserve">(1-2) FT</t>
  </si>
  <si>
    <t xml:space="preserve">(m3-m3)</t>
  </si>
  <si>
    <t xml:space="preserve">fuel(4.34)</t>
  </si>
  <si>
    <t xml:space="preserve">fuel(4.72)</t>
  </si>
  <si>
    <t xml:space="preserve">fuel(3.69)</t>
  </si>
  <si>
    <t xml:space="preserve">(2-6)</t>
  </si>
  <si>
    <t xml:space="preserve">(4-4) it</t>
  </si>
  <si>
    <t xml:space="preserve">(1-3) FT</t>
  </si>
  <si>
    <t xml:space="preserve">fuel(5.18)</t>
  </si>
  <si>
    <t xml:space="preserve">fuel(1.90)</t>
  </si>
  <si>
    <t xml:space="preserve">fuel(4.29)</t>
  </si>
  <si>
    <t xml:space="preserve">(3-3)</t>
  </si>
  <si>
    <t xml:space="preserve">Transco  </t>
  </si>
  <si>
    <t xml:space="preserve">(4a-4a) it</t>
  </si>
  <si>
    <t xml:space="preserve">(1-4) FT</t>
  </si>
  <si>
    <t xml:space="preserve">(etx-stx)</t>
  </si>
  <si>
    <t xml:space="preserve">fuel (.45)</t>
  </si>
  <si>
    <t xml:space="preserve">fuel(0.59)</t>
  </si>
  <si>
    <t xml:space="preserve">fuel(5.06)</t>
  </si>
  <si>
    <t xml:space="preserve">(3-4) </t>
  </si>
  <si>
    <t xml:space="preserve">(1-5) FT</t>
  </si>
  <si>
    <t xml:space="preserve">(etx-wla)</t>
  </si>
  <si>
    <t xml:space="preserve">Transco it</t>
  </si>
  <si>
    <t xml:space="preserve">(6-6) it</t>
  </si>
  <si>
    <t xml:space="preserve">fuel(5.97)</t>
  </si>
  <si>
    <t xml:space="preserve">fuel(2.40)</t>
  </si>
  <si>
    <t xml:space="preserve">(3-5)</t>
  </si>
  <si>
    <t xml:space="preserve">(1-6) FT</t>
  </si>
  <si>
    <t xml:space="preserve">(etx-etx)</t>
  </si>
  <si>
    <t xml:space="preserve">Transco IT Backhaul</t>
  </si>
  <si>
    <t xml:space="preserve">fuel(3.88)</t>
  </si>
  <si>
    <t xml:space="preserve">fuel(6.67)</t>
  </si>
  <si>
    <t xml:space="preserve">(3-6)</t>
  </si>
  <si>
    <t xml:space="preserve">(2-5) FT</t>
  </si>
  <si>
    <t xml:space="preserve">(etx-ela )</t>
  </si>
  <si>
    <t xml:space="preserve">fuel(3.58)</t>
  </si>
  <si>
    <t xml:space="preserve">(4-4) </t>
  </si>
  <si>
    <t xml:space="preserve">(4-4) FT</t>
  </si>
  <si>
    <t xml:space="preserve">(ela-ela)</t>
  </si>
  <si>
    <t xml:space="preserve">fuel(1.01)</t>
  </si>
  <si>
    <t xml:space="preserve">(4-5) </t>
  </si>
  <si>
    <t xml:space="preserve">(4-6) FT</t>
  </si>
  <si>
    <t xml:space="preserve">(ela-m1)</t>
  </si>
  <si>
    <t xml:space="preserve">fuel(3.43)</t>
  </si>
  <si>
    <t xml:space="preserve">fuel(1.92)</t>
  </si>
  <si>
    <t xml:space="preserve">(4-6) </t>
  </si>
  <si>
    <t xml:space="preserve">(5-5) FT</t>
  </si>
  <si>
    <t xml:space="preserve">fuel(4.27)</t>
  </si>
  <si>
    <t xml:space="preserve">fuel(1.17)</t>
  </si>
  <si>
    <t xml:space="preserve">(4a-4a)</t>
  </si>
  <si>
    <t xml:space="preserve">TGP Backhaul</t>
  </si>
  <si>
    <t xml:space="preserve">      (5-5) FT</t>
  </si>
  <si>
    <t xml:space="preserve">fuel(0.005)</t>
  </si>
  <si>
    <t xml:space="preserve">(5-5)</t>
  </si>
  <si>
    <t xml:space="preserve">(5-6)  FT</t>
  </si>
  <si>
    <t xml:space="preserve">(m1-m1)</t>
  </si>
  <si>
    <t xml:space="preserve">fuel(1.53)</t>
  </si>
  <si>
    <t xml:space="preserve">fuel(1.86)</t>
  </si>
  <si>
    <t xml:space="preserve">fuel(2.32)</t>
  </si>
  <si>
    <t xml:space="preserve">(5-6)</t>
  </si>
  <si>
    <t xml:space="preserve">(6-6)  FT</t>
  </si>
  <si>
    <t xml:space="preserve">fuel(2.37)</t>
  </si>
  <si>
    <t xml:space="preserve">fuel(0.85)</t>
  </si>
  <si>
    <t xml:space="preserve">(6-6)</t>
  </si>
  <si>
    <t xml:space="preserve">Tenn NET 284</t>
  </si>
  <si>
    <t xml:space="preserve">fuel(1.31)</t>
  </si>
  <si>
    <t xml:space="preserve">Need to Check rates for the following, fuel has been updated</t>
  </si>
  <si>
    <t xml:space="preserve">(5-4) FT</t>
  </si>
  <si>
    <t xml:space="preserve">(m2-m2)</t>
  </si>
  <si>
    <t xml:space="preserve">Cherokee Expansion</t>
  </si>
  <si>
    <t xml:space="preserve">Sheet No. 37M</t>
  </si>
  <si>
    <t xml:space="preserve">fuel(1.07)</t>
  </si>
  <si>
    <t xml:space="preserve">fuel(3.04)</t>
  </si>
  <si>
    <t xml:space="preserve">(4-4)</t>
  </si>
  <si>
    <t xml:space="preserve">(L-L)  IT</t>
  </si>
  <si>
    <t xml:space="preserve">(0-l)  IT</t>
  </si>
  <si>
    <t xml:space="preserve">Z6 to Z6 FTA K# 2.2173</t>
  </si>
  <si>
    <t xml:space="preserve">Sheet No. 37E</t>
  </si>
  <si>
    <t xml:space="preserve">(l-2)  IT</t>
  </si>
  <si>
    <t xml:space="preserve">fuel(.84)</t>
  </si>
  <si>
    <t xml:space="preserve">Transco FT-NT</t>
  </si>
  <si>
    <t xml:space="preserve">Sheet 50 Summer Apr-Oct</t>
  </si>
  <si>
    <t xml:space="preserve">(5-5) IT</t>
  </si>
  <si>
    <t xml:space="preserve">Fuel (7.06)</t>
  </si>
  <si>
    <t xml:space="preserve">Incremental Leidy 2.239</t>
  </si>
  <si>
    <t xml:space="preserve">Sheet No. 37A</t>
  </si>
  <si>
    <t xml:space="preserve">Formula ==&gt;</t>
  </si>
  <si>
    <t xml:space="preserve">Winter Fuel Nov - Mar</t>
  </si>
  <si>
    <t xml:space="preserve">Summer Apr-Nov</t>
  </si>
  <si>
    <t xml:space="preserve">Updtd Rates 12/1/99</t>
  </si>
  <si>
    <t xml:space="preserve">CDS and FT-1</t>
  </si>
  <si>
    <t xml:space="preserve">Updtd Fuel 12/1/2000</t>
  </si>
  <si>
    <t xml:space="preserve">(0-0)</t>
  </si>
  <si>
    <t xml:space="preserve">fuel(0.89)</t>
  </si>
  <si>
    <t xml:space="preserve">fuel(9.26)</t>
  </si>
  <si>
    <t xml:space="preserve">fuel(.58)</t>
  </si>
  <si>
    <t xml:space="preserve">(0-1)</t>
  </si>
  <si>
    <t xml:space="preserve">fuel(2.79)</t>
  </si>
  <si>
    <t xml:space="preserve">fuel(2.93)</t>
  </si>
  <si>
    <t xml:space="preserve">fuel(10.89)</t>
  </si>
  <si>
    <t xml:space="preserve">(0-2)</t>
  </si>
  <si>
    <t xml:space="preserve">fuel(5.16)</t>
  </si>
  <si>
    <t xml:space="preserve">fuel(4.28)</t>
  </si>
  <si>
    <t xml:space="preserve">fuel(8.12)</t>
  </si>
  <si>
    <t xml:space="preserve">(0-3)</t>
  </si>
  <si>
    <t xml:space="preserve">fuel(5.88)</t>
  </si>
  <si>
    <t xml:space="preserve">fuel(6.77)</t>
  </si>
  <si>
    <t xml:space="preserve">fuel(9.75)</t>
  </si>
  <si>
    <t xml:space="preserve">(0-4)</t>
  </si>
  <si>
    <t xml:space="preserve">fuel(6.79)</t>
  </si>
  <si>
    <t xml:space="preserve">fuel(7.61)</t>
  </si>
  <si>
    <t xml:space="preserve">(0-5)</t>
  </si>
  <si>
    <t xml:space="preserve">fuel(7.88)</t>
  </si>
  <si>
    <t xml:space="preserve">fuel(9.24)</t>
  </si>
  <si>
    <t xml:space="preserve">(0-6)</t>
  </si>
  <si>
    <t xml:space="preserve">fuel(8.71)</t>
  </si>
  <si>
    <t xml:space="preserve">fuel(1.75)</t>
  </si>
  <si>
    <t xml:space="preserve">fuel(4.98)</t>
  </si>
  <si>
    <t xml:space="preserve">(L-L)</t>
  </si>
  <si>
    <t xml:space="preserve">fuel(3.14)</t>
  </si>
  <si>
    <t xml:space="preserve">fuel(6.61)</t>
  </si>
  <si>
    <t xml:space="preserve">fuel(5.63)</t>
  </si>
  <si>
    <t xml:space="preserve">fuel(5.45)</t>
  </si>
  <si>
    <t xml:space="preserve">fuel(2.99)</t>
  </si>
  <si>
    <t xml:space="preserve">fuel(4.99)</t>
  </si>
  <si>
    <t xml:space="preserve">fuel(5.96)</t>
  </si>
  <si>
    <t xml:space="preserve">fuel(6.99)</t>
  </si>
  <si>
    <t xml:space="preserve">fuel(2.63)</t>
  </si>
  <si>
    <t xml:space="preserve">fuel(7.82)</t>
  </si>
  <si>
    <t xml:space="preserve">fuel(4.15)</t>
  </si>
  <si>
    <t xml:space="preserve">fuel(1.09)</t>
  </si>
  <si>
    <t xml:space="preserve">(4-6)</t>
  </si>
  <si>
    <t xml:space="preserve">fuel(2.17)</t>
  </si>
  <si>
    <t xml:space="preserve">fuel(5.12)</t>
  </si>
  <si>
    <t xml:space="preserve">fuel(1.28)</t>
  </si>
  <si>
    <t xml:space="preserve">(5-6) </t>
  </si>
  <si>
    <t xml:space="preserve">fuel(2.09)</t>
  </si>
  <si>
    <t xml:space="preserve">fuel(1.16)</t>
  </si>
  <si>
    <t xml:space="preserve">fuel(2.49)</t>
  </si>
  <si>
    <t xml:space="preserve">Tenn (Z5 &amp; Z6 Net 284)</t>
  </si>
  <si>
    <t xml:space="preserve">fuel(3.78)</t>
  </si>
  <si>
    <t xml:space="preserve">Storage GSS Sheet 27</t>
  </si>
  <si>
    <t xml:space="preserve">Injection</t>
  </si>
  <si>
    <t xml:space="preserve">Index</t>
  </si>
  <si>
    <t xml:space="preserve">Inj Fuel</t>
  </si>
  <si>
    <t xml:space="preserve">  note:  Fuel is the sum of 3.10% from Transco and 1.64% from CNG.</t>
  </si>
  <si>
    <t xml:space="preserve">Fuel Cost</t>
  </si>
  <si>
    <t xml:space="preserve">Total Cost</t>
  </si>
  <si>
    <t xml:space="preserve">Withdrawal</t>
  </si>
  <si>
    <t xml:space="preserve">W/D Fuel</t>
  </si>
  <si>
    <t xml:space="preserve">Storage WSS Sheet 27A</t>
  </si>
  <si>
    <t xml:space="preserve">Storage LSS Sheet 28A</t>
  </si>
  <si>
    <t xml:space="preserve">  note:  Fuel is 100% third party fuel</t>
  </si>
  <si>
    <t xml:space="preserve">Storage SS1 Sheet 28B</t>
  </si>
  <si>
    <t xml:space="preserve">Transco Injection Cost</t>
  </si>
  <si>
    <t xml:space="preserve">Transport</t>
  </si>
  <si>
    <t xml:space="preserve">CNG Transport Cost from Leidy to Tioga</t>
  </si>
  <si>
    <t xml:space="preserve">CNG Transport Cost from Tioga to Leidy</t>
  </si>
  <si>
    <t xml:space="preserve">Transco Withdrawal Cost</t>
  </si>
  <si>
    <t xml:space="preserve">Transport Leidy to Bug Contract 2.2173  Sheet No 37E  FTA-R</t>
  </si>
  <si>
    <t xml:space="preserve">ACA + GRI</t>
  </si>
  <si>
    <t xml:space="preserve">No Great Plains Surcharge</t>
  </si>
  <si>
    <t xml:space="preserve">Storage GSS &amp; GSS-TE</t>
  </si>
  <si>
    <t xml:space="preserve">CNG South</t>
  </si>
  <si>
    <t xml:space="preserve">GSS-TE Surcharge</t>
  </si>
  <si>
    <t xml:space="preserve">Only variable cost difference between GSS and GSSTE is the </t>
  </si>
  <si>
    <t xml:space="preserve">GSS-TE surcharge on withdrawals</t>
  </si>
  <si>
    <t xml:space="preserve">Storage SS-3</t>
  </si>
  <si>
    <t xml:space="preserve">Storage Transport Service STS-1</t>
  </si>
  <si>
    <t xml:space="preserve">Commodity</t>
  </si>
  <si>
    <t xml:space="preserve">January 1999 Demand Calculations</t>
  </si>
  <si>
    <t xml:space="preserve">Factor</t>
  </si>
  <si>
    <t xml:space="preserve">[Factor = (12/365) x # days in Month]</t>
  </si>
  <si>
    <t xml:space="preserve">Contract</t>
  </si>
  <si>
    <t xml:space="preserve">Rate</t>
  </si>
  <si>
    <t xml:space="preserve">Vol </t>
  </si>
  <si>
    <t xml:space="preserve">Amount</t>
  </si>
  <si>
    <t xml:space="preserve">Etx</t>
  </si>
  <si>
    <t xml:space="preserve">1-1</t>
  </si>
  <si>
    <t xml:space="preserve">2-2</t>
  </si>
  <si>
    <t xml:space="preserve">3-3</t>
  </si>
  <si>
    <t xml:space="preserve">1-3</t>
  </si>
  <si>
    <t xml:space="preserve">Surcharge</t>
  </si>
  <si>
    <t xml:space="preserve">M3 Vol</t>
  </si>
  <si>
    <t xml:space="preserve">Unit Rate</t>
  </si>
  <si>
    <t xml:space="preserve">CDS</t>
  </si>
  <si>
    <t xml:space="preserve">Demand charges effective 8/1/98</t>
  </si>
  <si>
    <t xml:space="preserve">Vol #8939</t>
  </si>
  <si>
    <t xml:space="preserve">Vol #9504</t>
  </si>
  <si>
    <t xml:space="preserve">Vol #11677</t>
  </si>
  <si>
    <t xml:space="preserve">Vol #</t>
  </si>
  <si>
    <t xml:space="preserve">1-2</t>
  </si>
  <si>
    <t xml:space="preserve">Vol #11671</t>
  </si>
  <si>
    <t xml:space="preserve">Vol</t>
  </si>
  <si>
    <t xml:space="preserve">Vol #8943</t>
  </si>
  <si>
    <t xml:space="preserve">Vol #9509</t>
  </si>
  <si>
    <t xml:space="preserve">M2 Vol</t>
  </si>
  <si>
    <t xml:space="preserve">Peoples Natural Gas</t>
  </si>
  <si>
    <t xml:space="preserve">apr-nov fuel</t>
  </si>
  <si>
    <t xml:space="preserve">PRO-RATED</t>
  </si>
  <si>
    <t xml:space="preserve">REGION</t>
  </si>
  <si>
    <t xml:space="preserve">CAPACITY</t>
  </si>
  <si>
    <t xml:space="preserve">% TOTAL</t>
  </si>
  <si>
    <t xml:space="preserve">RATE</t>
  </si>
  <si>
    <t xml:space="preserve"> RATE</t>
  </si>
  <si>
    <t xml:space="preserve">BASIS</t>
  </si>
  <si>
    <t xml:space="preserve">TOTAL</t>
  </si>
  <si>
    <t xml:space="preserve">STX - M3</t>
  </si>
  <si>
    <t xml:space="preserve">WLA- M3</t>
  </si>
  <si>
    <t xml:space="preserve">ELA - M3</t>
  </si>
  <si>
    <t xml:space="preserve">m1 - M3</t>
  </si>
  <si>
    <t xml:space="preserve">ETX - M3</t>
  </si>
  <si>
    <t xml:space="preserve">M3 Bid</t>
  </si>
  <si>
    <t xml:space="preserve">Demand</t>
  </si>
  <si>
    <t xml:space="preserve">STX - M2</t>
  </si>
  <si>
    <t xml:space="preserve">WLA - M2</t>
  </si>
  <si>
    <t xml:space="preserve">ELA - M2</t>
  </si>
  <si>
    <t xml:space="preserve">m1 - M2</t>
  </si>
  <si>
    <t xml:space="preserve">ETX - M2</t>
  </si>
  <si>
    <t xml:space="preserve">M2 Bid (CNG)</t>
  </si>
  <si>
    <t xml:space="preserve">Sta 30 - Z6</t>
  </si>
  <si>
    <t xml:space="preserve">Sta 45 - Z6</t>
  </si>
  <si>
    <t xml:space="preserve">Sta 65 - Z6</t>
  </si>
  <si>
    <t xml:space="preserve">Basis</t>
  </si>
  <si>
    <t xml:space="preserve">Other</t>
  </si>
  <si>
    <t xml:space="preserve">On Offer</t>
  </si>
  <si>
    <t xml:space="preserve">TCO Bid</t>
  </si>
  <si>
    <t xml:space="preserve">FT/FT</t>
  </si>
  <si>
    <t xml:space="preserve">IT/FT</t>
  </si>
  <si>
    <t xml:space="preserve">Prod Basis</t>
  </si>
  <si>
    <t xml:space="preserve">Tco Bid</t>
  </si>
  <si>
    <t xml:space="preserve">Z0 to Z3</t>
  </si>
  <si>
    <t xml:space="preserve">Z1 to Z3</t>
  </si>
  <si>
    <t xml:space="preserve">Z0 to Z4</t>
  </si>
  <si>
    <t xml:space="preserve">Z1 to Z4</t>
  </si>
  <si>
    <t xml:space="preserve">Special</t>
  </si>
  <si>
    <t xml:space="preserve">STX - ELA</t>
  </si>
  <si>
    <t xml:space="preserve">ELA BID</t>
  </si>
  <si>
    <t xml:space="preserve">bas diff -</t>
  </si>
  <si>
    <t xml:space="preserve">value * 5 </t>
  </si>
  <si>
    <t xml:space="preserve">pro rate</t>
  </si>
  <si>
    <t xml:space="preserve">pro basis</t>
  </si>
  <si>
    <t xml:space="preserve">basis diff</t>
  </si>
  <si>
    <t xml:space="preserve">rate</t>
  </si>
  <si>
    <t xml:space="preserve">months</t>
  </si>
  <si>
    <t xml:space="preserve">summerrates</t>
  </si>
  <si>
    <t xml:space="preserve">basis</t>
  </si>
  <si>
    <t xml:space="preserve">z1 to z3</t>
  </si>
  <si>
    <t xml:space="preserve">cng s bid</t>
  </si>
  <si>
    <t xml:space="preserve">z1 to z4</t>
  </si>
  <si>
    <t xml:space="preserve">cng n bid</t>
  </si>
  <si>
    <t xml:space="preserve">Z0 to Z5</t>
  </si>
  <si>
    <t xml:space="preserve">Z1 to Z5</t>
  </si>
  <si>
    <t xml:space="preserve">z1 to z5</t>
  </si>
  <si>
    <t xml:space="preserve">DEAL #</t>
  </si>
  <si>
    <t xml:space="preserve">PIPELINE</t>
  </si>
  <si>
    <t xml:space="preserve">POINT</t>
  </si>
  <si>
    <t xml:space="preserve">PRODUCER</t>
  </si>
  <si>
    <t xml:space="preserve">COMMODITY </t>
  </si>
  <si>
    <t xml:space="preserve">FUEL %</t>
  </si>
  <si>
    <t xml:space="preserve">INDEX</t>
  </si>
  <si>
    <t xml:space="preserve">TRANSCO</t>
  </si>
  <si>
    <t xml:space="preserve">Z1 WH</t>
  </si>
  <si>
    <t xml:space="preserve">AMERICAN EXPLORATION</t>
  </si>
  <si>
    <t xml:space="preserve">DOMINION RESERVES</t>
  </si>
  <si>
    <t xml:space="preserve">ZILKHA ENERGY</t>
  </si>
  <si>
    <t xml:space="preserve">Z2 WH</t>
  </si>
  <si>
    <t xml:space="preserve">ENRON OIL &amp; GAS</t>
  </si>
  <si>
    <t xml:space="preserve">Z3 WH</t>
  </si>
  <si>
    <t xml:space="preserve">MARINER ENERGY</t>
  </si>
  <si>
    <t xml:space="preserve">NEWFIELD EXPLORATION</t>
  </si>
  <si>
    <t xml:space="preserve">HALLWOOD PETROLEUM</t>
  </si>
  <si>
    <t xml:space="preserve">OCEAN ENERGY</t>
  </si>
  <si>
    <t xml:space="preserve">Z4 WH</t>
  </si>
  <si>
    <t xml:space="preserve">OEDC EXPLORATION</t>
  </si>
  <si>
    <t xml:space="preserve">VENICE</t>
  </si>
  <si>
    <t xml:space="preserve">S PELTO 5</t>
  </si>
  <si>
    <t xml:space="preserve">UP TO 30,000</t>
  </si>
  <si>
    <t xml:space="preserve">S TIM 37</t>
  </si>
  <si>
    <t xml:space="preserve">Mariner Energy</t>
  </si>
  <si>
    <t xml:space="preserve">6/23/98 CG</t>
  </si>
  <si>
    <t xml:space="preserve">CNR</t>
  </si>
  <si>
    <t xml:space="preserve">ECT deducts processing of $.06 and gathering of $.26 until of February of 1999.</t>
  </si>
  <si>
    <t xml:space="preserve">The following producers pay their own gathering and processing invoices:</t>
  </si>
  <si>
    <t xml:space="preserve">Deal #</t>
  </si>
  <si>
    <t xml:space="preserve">Producer</t>
  </si>
  <si>
    <t xml:space="preserve">Dry Creek Oil &amp; Gas</t>
  </si>
  <si>
    <t xml:space="preserve">Elliott, We Jr., Trustee</t>
  </si>
  <si>
    <t xml:space="preserve">Jacks Creek Oil &amp; Gas</t>
  </si>
  <si>
    <t xml:space="preserve">Lindsey &amp; Elliott Perry/Fletcher</t>
  </si>
  <si>
    <t xml:space="preserve">Lindsey Enterprises</t>
  </si>
  <si>
    <t xml:space="preserve">Gatherco</t>
  </si>
  <si>
    <t xml:space="preserve">ECT pays $.25 gathering for all producers.</t>
  </si>
  <si>
    <t xml:space="preserve">Gathering fees are $.30 if index goes above $3.49</t>
  </si>
  <si>
    <t xml:space="preserve">All producers on Gatherco receive the gathering deduct.</t>
  </si>
  <si>
    <t xml:space="preserve">Cashout Deal Tickets</t>
  </si>
  <si>
    <t xml:space="preserve">Deal</t>
  </si>
  <si>
    <t xml:space="preserve">Tenn 500 L Sale</t>
  </si>
  <si>
    <t xml:space="preserve">Tetco Transport </t>
  </si>
  <si>
    <t xml:space="preserve">Supply</t>
  </si>
  <si>
    <t xml:space="preserve">Market</t>
  </si>
  <si>
    <t xml:space="preserve">Stx - M2</t>
  </si>
  <si>
    <t xml:space="preserve">Stx - Wla</t>
  </si>
  <si>
    <t xml:space="preserve">Stx - Ela</t>
  </si>
  <si>
    <t xml:space="preserve">Stx - Stx</t>
  </si>
  <si>
    <t xml:space="preserve">Wla - M2</t>
  </si>
  <si>
    <t xml:space="preserve">Wla - M3</t>
  </si>
  <si>
    <t xml:space="preserve">Wla - Wla</t>
  </si>
  <si>
    <t xml:space="preserve">Entergy</t>
  </si>
  <si>
    <t xml:space="preserve">Acadian</t>
  </si>
  <si>
    <t xml:space="preserve">Wla - Ela</t>
  </si>
  <si>
    <t xml:space="preserve">Wla - Transco</t>
  </si>
  <si>
    <t xml:space="preserve">Venice - Ela</t>
  </si>
  <si>
    <t xml:space="preserve">Ela - Ela</t>
  </si>
  <si>
    <t xml:space="preserve">Acadian Desk</t>
  </si>
  <si>
    <t xml:space="preserve">Iberville</t>
  </si>
  <si>
    <t xml:space="preserve">Capacity Summary for April 2000</t>
  </si>
  <si>
    <t xml:space="preserve">MDQ</t>
  </si>
  <si>
    <t xml:space="preserve">Receipt Point</t>
  </si>
  <si>
    <t xml:space="preserve">Delivery Point</t>
  </si>
  <si>
    <t xml:space="preserve">Term</t>
  </si>
  <si>
    <t xml:space="preserve">Comments</t>
  </si>
  <si>
    <t xml:space="preserve">Algon</t>
  </si>
  <si>
    <t xml:space="preserve">N/A</t>
  </si>
  <si>
    <t xml:space="preserve">4/1 - 10/31</t>
  </si>
  <si>
    <t xml:space="preserve">Non - recallable</t>
  </si>
  <si>
    <t xml:space="preserve">4/1 - 4/30</t>
  </si>
  <si>
    <t xml:space="preserve">ENA's portion of Penn Fuel capacity for April</t>
  </si>
  <si>
    <t xml:space="preserve">Broad Run</t>
  </si>
  <si>
    <t xml:space="preserve">CALP capacity</t>
  </si>
  <si>
    <t xml:space="preserve">CES Retail  capacity, includes 54,000 of SST</t>
  </si>
  <si>
    <t xml:space="preserve">&lt;== MDQ fluctuates on daily basis.  "Doggone near baseload for April"</t>
  </si>
  <si>
    <t xml:space="preserve">DP&amp;L SST capacity.</t>
  </si>
  <si>
    <t xml:space="preserve">11/1/93 - 10/31/09</t>
  </si>
  <si>
    <t xml:space="preserve">Access Energy capacity</t>
  </si>
  <si>
    <t xml:space="preserve">2/1/00 - 3/31/05</t>
  </si>
  <si>
    <t xml:space="preserve">CES wholesale capacity</t>
  </si>
  <si>
    <t xml:space="preserve">2/1/00 - 3/31/02</t>
  </si>
  <si>
    <t xml:space="preserve">11/1/93 - 5/31/01</t>
  </si>
  <si>
    <t xml:space="preserve">500 L deliveries to LIG (500 L)</t>
  </si>
  <si>
    <t xml:space="preserve">800 L to HPL Sabine (800 L)</t>
  </si>
  <si>
    <t xml:space="preserve">500 L to Hattiesburg (500 Z1) - need to include take-or-pay surcharge</t>
  </si>
  <si>
    <t xml:space="preserve">800 L to Varibus (500 L)</t>
  </si>
  <si>
    <t xml:space="preserve">800 L to Trco/Kinder (800 L)</t>
  </si>
  <si>
    <t xml:space="preserve">500 L to FGT (500 L)</t>
  </si>
  <si>
    <t xml:space="preserve">500 L to Trco/Kinder (500 L)</t>
  </si>
  <si>
    <t xml:space="preserve">Z0 to Z6</t>
  </si>
  <si>
    <t xml:space="preserve">Z5 to Z4</t>
  </si>
  <si>
    <t xml:space="preserve">Z5 to Z5</t>
  </si>
  <si>
    <t xml:space="preserve">Mr. Tim Brennan</t>
  </si>
  <si>
    <t xml:space="preserve">Williams Field Services</t>
  </si>
  <si>
    <t xml:space="preserve">P.O. Box 1396</t>
  </si>
  <si>
    <t xml:space="preserve">Houston, TX  77251-1396</t>
  </si>
  <si>
    <t xml:space="preserve">Re:  Egan C Receipts for October, 1998</t>
  </si>
  <si>
    <t xml:space="preserve">Dear Tim:</t>
  </si>
  <si>
    <t xml:space="preserve">Following is a  schedule of receipts at Transco/Columbia Gulf Egan C for October 1998.  The volumes</t>
  </si>
  <si>
    <t xml:space="preserve">flowed on the discounted rate of $.03 from Egan C to Station 65.</t>
  </si>
  <si>
    <t xml:space="preserve">Date</t>
  </si>
  <si>
    <t xml:space="preserve">Please call me with any questions.  </t>
  </si>
  <si>
    <t xml:space="preserve">   </t>
  </si>
</sst>
</file>

<file path=xl/styles.xml><?xml version="1.0" encoding="utf-8"?>
<styleSheet xmlns="http://schemas.openxmlformats.org/spreadsheetml/2006/main">
  <numFmts count="43">
    <numFmt numFmtId="164" formatCode="General"/>
    <numFmt numFmtId="165" formatCode="[$-409]#,##0_);[RED]\(#,##0\)"/>
    <numFmt numFmtId="166" formatCode="[$-409]m/d/yyyy"/>
    <numFmt numFmtId="167" formatCode="@"/>
    <numFmt numFmtId="168" formatCode="[$-409]d\-mmm"/>
    <numFmt numFmtId="169" formatCode="#,##0.00000"/>
    <numFmt numFmtId="170" formatCode="\$#,##0.0000_);[RED]&quot;($&quot;#,##0.0000\)"/>
    <numFmt numFmtId="171" formatCode="0.00%"/>
    <numFmt numFmtId="172" formatCode="0"/>
    <numFmt numFmtId="173" formatCode="0.000%"/>
    <numFmt numFmtId="174" formatCode="#,##0"/>
    <numFmt numFmtId="175" formatCode="_(\$* #,##0.00_);_(\$* \(#,##0.00\);_(\$* \-??_);_(@_)"/>
    <numFmt numFmtId="176" formatCode="_(\$* #,##0.000_);_(\$* \(#,##0.000\);_(\$* \-??_);_(@_)"/>
    <numFmt numFmtId="177" formatCode="#,##0.0000_);[RED]\(#,##0.0000\)"/>
    <numFmt numFmtId="178" formatCode="_(\$* #,##0_);_(\$* \(#,##0\);_(\$* \-??_);_(@_)"/>
    <numFmt numFmtId="179" formatCode="_(\$* #,##0.0000_);_(\$* \(#,##0.0000\);_(\$* \-??_);_(@_)"/>
    <numFmt numFmtId="180" formatCode="[$-409]#,##0.00_);[RED]\(#,##0.00\)"/>
    <numFmt numFmtId="181" formatCode="#,##0.00"/>
    <numFmt numFmtId="182" formatCode="_(* #,##0.00_);_(* \(#,##0.00\);_(* \-??_);_(@_)"/>
    <numFmt numFmtId="183" formatCode="0_);\(0\)"/>
    <numFmt numFmtId="184" formatCode="0.0000"/>
    <numFmt numFmtId="185" formatCode="_(* #,##0.000_);_(* \(#,##0.000\);_(* \-??_);_(@_)"/>
    <numFmt numFmtId="186" formatCode="_(* #,##0_);_(* \(#,##0\);_(* \-??_);_(@_)"/>
    <numFmt numFmtId="187" formatCode="_(* #,##0.0000_);_(* \(#,##0.0000\);_(* \-??_);_(@_)"/>
    <numFmt numFmtId="188" formatCode="0.000"/>
    <numFmt numFmtId="189" formatCode="[$-409]d\-mmm\-yy"/>
    <numFmt numFmtId="190" formatCode="\$#,##0.0000_);&quot;($&quot;#,##0.0000\)"/>
    <numFmt numFmtId="191" formatCode="\$#,##0.00_);&quot;($&quot;#,##0.00\)"/>
    <numFmt numFmtId="192" formatCode="\$#,##0.000_);[RED]&quot;($&quot;#,##0.000\)"/>
    <numFmt numFmtId="193" formatCode="\$#,##0.00_);[RED]&quot;($&quot;#,##0.00\)"/>
    <numFmt numFmtId="194" formatCode="0%"/>
    <numFmt numFmtId="195" formatCode="0.0000%"/>
    <numFmt numFmtId="196" formatCode="[$-409]mmm\-yy"/>
    <numFmt numFmtId="197" formatCode="\$#,##0.00000_);[RED]&quot;($&quot;#,##0.00000\)"/>
    <numFmt numFmtId="198" formatCode="0.00"/>
    <numFmt numFmtId="199" formatCode="_(\$* #,##0.00000_);_(\$* \(#,##0.00000\);_(\$* \-??_);_(@_)"/>
    <numFmt numFmtId="200" formatCode="\$#,##0.0000"/>
    <numFmt numFmtId="201" formatCode="\$#,##0.00"/>
    <numFmt numFmtId="202" formatCode="#,##0.000"/>
    <numFmt numFmtId="203" formatCode="\$#,##0.000_);&quot;($&quot;#,##0.000\)"/>
    <numFmt numFmtId="204" formatCode="# ?/?"/>
    <numFmt numFmtId="205" formatCode="m/d"/>
    <numFmt numFmtId="206" formatCode="_(* #,##0_);_(* \(#,##0\);_(* \-_);_(@_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8"/>
      <color rgb="FF000000"/>
      <name val="Arial"/>
      <family val="2"/>
    </font>
    <font>
      <b val="true"/>
      <sz val="10"/>
      <name val="Arial"/>
      <family val="2"/>
    </font>
    <font>
      <u val="single"/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0"/>
    </font>
    <font>
      <u val="single"/>
      <sz val="10"/>
      <name val="Arial"/>
      <family val="0"/>
    </font>
    <font>
      <u val="single"/>
      <sz val="9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CC99FF"/>
      </patternFill>
    </fill>
    <fill>
      <patternFill patternType="solid">
        <fgColor rgb="FFE3E3E3"/>
        <bgColor rgb="FFCCFFCC"/>
      </patternFill>
    </fill>
    <fill>
      <patternFill patternType="solid">
        <fgColor rgb="FFCC99FF"/>
        <bgColor rgb="FFCC9CCC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FF8080"/>
        <bgColor rgb="FFCC9CCC"/>
      </patternFill>
    </fill>
  </fills>
  <borders count="3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thin"/>
      <top style="dashed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94" fontId="0" fillId="0" borderId="0" applyFont="true" applyBorder="false" applyAlignment="false" applyProtection="false"/>
  </cellStyleXfs>
  <cellXfs count="5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8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9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7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9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4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1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4" fillId="11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11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11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1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4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11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1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9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6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1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9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1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" fillId="11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11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4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9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3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CC9C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2" width="11.99"/>
    <col collapsed="false" customWidth="true" hidden="false" outlineLevel="0" max="3" min="3" style="2" width="11.28"/>
    <col collapsed="false" customWidth="true" hidden="false" outlineLevel="0" max="4" min="4" style="3" width="14.41"/>
    <col collapsed="false" customWidth="true" hidden="false" outlineLevel="0" max="5" min="5" style="3" width="3.7"/>
    <col collapsed="false" customWidth="true" hidden="false" outlineLevel="0" max="6" min="6" style="1" width="11.28"/>
    <col collapsed="false" customWidth="true" hidden="false" outlineLevel="0" max="7" min="7" style="4" width="15.56"/>
    <col collapsed="false" customWidth="true" hidden="false" outlineLevel="0" max="8" min="8" style="4" width="13.99"/>
    <col collapsed="false" customWidth="false" hidden="false" outlineLevel="0" max="9" min="9" style="1" width="9.14"/>
    <col collapsed="false" customWidth="true" hidden="false" outlineLevel="0" max="10" min="10" style="1" width="13.7"/>
    <col collapsed="false" customWidth="false" hidden="false" outlineLevel="0" max="11" min="11" style="1" width="9.14"/>
    <col collapsed="false" customWidth="true" hidden="false" outlineLevel="0" max="12" min="12" style="1" width="12.42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5" t="s">
        <v>0</v>
      </c>
      <c r="D1" s="2"/>
      <c r="E1" s="2"/>
      <c r="F1" s="6"/>
      <c r="G1" s="5"/>
      <c r="H1" s="5"/>
      <c r="I1" s="7"/>
      <c r="J1" s="8"/>
    </row>
    <row r="2" customFormat="false" ht="12.75" hidden="false" customHeight="false" outlineLevel="0" collapsed="false">
      <c r="A2" s="5"/>
      <c r="D2" s="9"/>
      <c r="E2" s="9"/>
      <c r="F2" s="6"/>
      <c r="G2" s="5"/>
      <c r="H2" s="5"/>
      <c r="I2" s="7"/>
      <c r="J2" s="8"/>
    </row>
    <row r="3" customFormat="false" ht="12.75" hidden="false" customHeight="false" outlineLevel="0" collapsed="false">
      <c r="A3" s="5"/>
      <c r="D3" s="9"/>
      <c r="E3" s="9"/>
      <c r="F3" s="6"/>
      <c r="G3" s="5" t="s">
        <v>1</v>
      </c>
      <c r="H3" s="5" t="s">
        <v>1</v>
      </c>
      <c r="I3" s="7"/>
      <c r="J3" s="8"/>
    </row>
    <row r="4" customFormat="false" ht="12.75" hidden="false" customHeight="false" outlineLevel="0" collapsed="false">
      <c r="A4" s="7"/>
      <c r="D4" s="2"/>
      <c r="E4" s="2"/>
      <c r="F4" s="6"/>
      <c r="G4" s="10"/>
      <c r="H4" s="5"/>
      <c r="I4" s="7"/>
      <c r="J4" s="8"/>
    </row>
    <row r="5" customFormat="false" ht="12.75" hidden="false" customHeight="false" outlineLevel="0" collapsed="false">
      <c r="A5" s="11" t="s">
        <v>2</v>
      </c>
      <c r="B5" s="12" t="s">
        <v>3</v>
      </c>
      <c r="C5" s="12" t="s">
        <v>4</v>
      </c>
      <c r="D5" s="12" t="s">
        <v>5</v>
      </c>
      <c r="E5" s="12"/>
      <c r="F5" s="13" t="s">
        <v>6</v>
      </c>
      <c r="G5" s="14" t="s">
        <v>7</v>
      </c>
      <c r="H5" s="14" t="s">
        <v>8</v>
      </c>
      <c r="I5" s="11" t="s">
        <v>6</v>
      </c>
      <c r="J5" s="14" t="s">
        <v>9</v>
      </c>
    </row>
    <row r="6" customFormat="false" ht="12.75" hidden="false" customHeight="false" outlineLevel="0" collapsed="false">
      <c r="A6" s="7" t="s">
        <v>10</v>
      </c>
      <c r="B6" s="2" t="n">
        <v>0.3051</v>
      </c>
      <c r="C6" s="2" t="n">
        <v>77177</v>
      </c>
      <c r="D6" s="2" t="s">
        <v>11</v>
      </c>
      <c r="E6" s="2"/>
      <c r="F6" s="6"/>
      <c r="G6" s="5" t="s">
        <v>12</v>
      </c>
      <c r="H6" s="5" t="s">
        <v>12</v>
      </c>
      <c r="I6" s="7" t="s">
        <v>13</v>
      </c>
      <c r="J6" s="5" t="s">
        <v>14</v>
      </c>
    </row>
    <row r="7" customFormat="false" ht="12.75" hidden="false" customHeight="false" outlineLevel="0" collapsed="false">
      <c r="A7" s="7" t="s">
        <v>10</v>
      </c>
      <c r="B7" s="2" t="n">
        <v>0.4983</v>
      </c>
      <c r="C7" s="2" t="n">
        <v>77169</v>
      </c>
      <c r="D7" s="2" t="s">
        <v>11</v>
      </c>
      <c r="E7" s="2"/>
      <c r="F7" s="6"/>
      <c r="G7" s="5" t="s">
        <v>12</v>
      </c>
      <c r="H7" s="5" t="s">
        <v>12</v>
      </c>
      <c r="I7" s="7" t="s">
        <v>13</v>
      </c>
      <c r="J7" s="5" t="s">
        <v>15</v>
      </c>
    </row>
    <row r="8" customFormat="false" ht="12.75" hidden="false" customHeight="false" outlineLevel="0" collapsed="false">
      <c r="A8" s="7" t="s">
        <v>10</v>
      </c>
      <c r="B8" s="2" t="n">
        <v>0.2999</v>
      </c>
      <c r="D8" s="2" t="s">
        <v>11</v>
      </c>
      <c r="E8" s="2"/>
      <c r="F8" s="6"/>
      <c r="G8" s="5" t="s">
        <v>12</v>
      </c>
      <c r="H8" s="5" t="s">
        <v>12</v>
      </c>
      <c r="I8" s="7" t="s">
        <v>13</v>
      </c>
      <c r="J8" s="5" t="s">
        <v>15</v>
      </c>
    </row>
    <row r="9" customFormat="false" ht="12.75" hidden="false" customHeight="false" outlineLevel="0" collapsed="false">
      <c r="A9" s="7" t="s">
        <v>10</v>
      </c>
      <c r="B9" s="2" t="n">
        <v>0.2774</v>
      </c>
      <c r="C9" s="2" t="n">
        <v>77175</v>
      </c>
      <c r="D9" s="2" t="s">
        <v>11</v>
      </c>
      <c r="E9" s="2"/>
      <c r="F9" s="6"/>
      <c r="G9" s="5" t="s">
        <v>12</v>
      </c>
      <c r="H9" s="5" t="s">
        <v>12</v>
      </c>
      <c r="I9" s="7" t="s">
        <v>13</v>
      </c>
      <c r="J9" s="5" t="s">
        <v>15</v>
      </c>
    </row>
    <row r="10" customFormat="false" ht="12.75" hidden="false" customHeight="false" outlineLevel="0" collapsed="false">
      <c r="A10" s="7" t="s">
        <v>10</v>
      </c>
      <c r="B10" s="2" t="n">
        <v>0.7537</v>
      </c>
      <c r="C10" s="2" t="n">
        <v>82420</v>
      </c>
      <c r="D10" s="2" t="s">
        <v>16</v>
      </c>
      <c r="E10" s="2"/>
      <c r="F10" s="6"/>
      <c r="G10" s="5" t="s">
        <v>12</v>
      </c>
      <c r="H10" s="5" t="s">
        <v>12</v>
      </c>
      <c r="I10" s="7" t="s">
        <v>13</v>
      </c>
      <c r="J10" s="5" t="s">
        <v>17</v>
      </c>
    </row>
    <row r="11" customFormat="false" ht="12.75" hidden="false" customHeight="false" outlineLevel="0" collapsed="false">
      <c r="A11" s="7" t="s">
        <v>10</v>
      </c>
      <c r="B11" s="2" t="n">
        <v>3.073</v>
      </c>
      <c r="C11" s="2" t="n">
        <v>96503</v>
      </c>
      <c r="D11" s="2" t="s">
        <v>18</v>
      </c>
      <c r="E11" s="2"/>
      <c r="F11" s="6"/>
      <c r="G11" s="5" t="s">
        <v>12</v>
      </c>
      <c r="H11" s="5" t="s">
        <v>12</v>
      </c>
      <c r="I11" s="7" t="s">
        <v>13</v>
      </c>
      <c r="J11" s="5" t="s">
        <v>19</v>
      </c>
    </row>
    <row r="12" customFormat="false" ht="12.75" hidden="false" customHeight="false" outlineLevel="0" collapsed="false">
      <c r="A12" s="7" t="s">
        <v>10</v>
      </c>
      <c r="B12" s="2" t="n">
        <v>1.8793</v>
      </c>
      <c r="C12" s="2" t="n">
        <v>104783</v>
      </c>
      <c r="D12" s="2" t="s">
        <v>20</v>
      </c>
      <c r="E12" s="2"/>
      <c r="F12" s="6"/>
      <c r="G12" s="5" t="s">
        <v>12</v>
      </c>
      <c r="H12" s="5" t="s">
        <v>12</v>
      </c>
      <c r="I12" s="7" t="s">
        <v>13</v>
      </c>
      <c r="J12" s="5" t="s">
        <v>21</v>
      </c>
    </row>
    <row r="13" customFormat="false" ht="12.75" hidden="false" customHeight="false" outlineLevel="0" collapsed="false">
      <c r="A13" s="7" t="s">
        <v>10</v>
      </c>
      <c r="B13" s="2" t="n">
        <v>0.9047</v>
      </c>
      <c r="C13" s="2" t="n">
        <v>168466</v>
      </c>
      <c r="D13" s="2" t="s">
        <v>22</v>
      </c>
      <c r="E13" s="2"/>
      <c r="F13" s="6"/>
      <c r="G13" s="5" t="s">
        <v>12</v>
      </c>
      <c r="H13" s="5" t="s">
        <v>12</v>
      </c>
      <c r="I13" s="7" t="s">
        <v>13</v>
      </c>
      <c r="J13" s="5" t="s">
        <v>23</v>
      </c>
    </row>
    <row r="15" customFormat="false" ht="12.75" hidden="false" customHeight="false" outlineLevel="0" collapsed="false">
      <c r="A15" s="1" t="s">
        <v>24</v>
      </c>
      <c r="B15" s="2" t="n">
        <v>2891</v>
      </c>
      <c r="D15" s="3" t="s">
        <v>11</v>
      </c>
      <c r="G15" s="4" t="s">
        <v>12</v>
      </c>
      <c r="H15" s="4" t="s">
        <v>12</v>
      </c>
    </row>
    <row r="16" customFormat="false" ht="12.75" hidden="false" customHeight="false" outlineLevel="0" collapsed="false">
      <c r="A16" s="1" t="s">
        <v>24</v>
      </c>
      <c r="B16" s="2" t="n">
        <v>80045</v>
      </c>
      <c r="D16" s="3" t="s">
        <v>13</v>
      </c>
    </row>
    <row r="18" customFormat="false" ht="12.75" hidden="false" customHeight="false" outlineLevel="0" collapsed="false">
      <c r="A18" s="1" t="s">
        <v>25</v>
      </c>
      <c r="B18" s="2" t="s">
        <v>26</v>
      </c>
      <c r="C18" s="2" t="n">
        <v>98243</v>
      </c>
      <c r="D18" s="3" t="s">
        <v>27</v>
      </c>
      <c r="G18" s="4" t="s">
        <v>12</v>
      </c>
      <c r="H18" s="4" t="s">
        <v>12</v>
      </c>
      <c r="J18" s="1" t="s">
        <v>28</v>
      </c>
    </row>
    <row r="19" customFormat="false" ht="12.75" hidden="false" customHeight="false" outlineLevel="0" collapsed="false">
      <c r="A19" s="1" t="s">
        <v>25</v>
      </c>
      <c r="B19" s="2" t="s">
        <v>26</v>
      </c>
      <c r="C19" s="2" t="n">
        <v>98567</v>
      </c>
      <c r="D19" s="3" t="s">
        <v>29</v>
      </c>
      <c r="G19" s="4" t="s">
        <v>12</v>
      </c>
      <c r="H19" s="4" t="s">
        <v>12</v>
      </c>
      <c r="J19" s="1" t="s">
        <v>30</v>
      </c>
    </row>
    <row r="20" customFormat="false" ht="12.75" hidden="false" customHeight="false" outlineLevel="0" collapsed="false">
      <c r="A20" s="1" t="s">
        <v>25</v>
      </c>
      <c r="B20" s="2" t="n">
        <v>600228</v>
      </c>
      <c r="C20" s="2" t="n">
        <v>77009</v>
      </c>
      <c r="D20" s="3" t="s">
        <v>31</v>
      </c>
      <c r="G20" s="4" t="s">
        <v>12</v>
      </c>
      <c r="H20" s="4" t="s">
        <v>12</v>
      </c>
      <c r="J20" s="1" t="s">
        <v>32</v>
      </c>
    </row>
    <row r="22" customFormat="false" ht="12.75" hidden="false" customHeight="false" outlineLevel="0" collapsed="false">
      <c r="A22" s="1" t="s">
        <v>33</v>
      </c>
      <c r="B22" s="2" t="s">
        <v>34</v>
      </c>
      <c r="C22" s="2" t="n">
        <v>168569</v>
      </c>
      <c r="D22" s="3" t="s">
        <v>35</v>
      </c>
      <c r="G22" s="4" t="s">
        <v>12</v>
      </c>
      <c r="H22" s="4" t="s">
        <v>12</v>
      </c>
      <c r="J22" s="1" t="s">
        <v>36</v>
      </c>
    </row>
    <row r="24" customFormat="false" ht="12.75" hidden="false" customHeight="false" outlineLevel="0" collapsed="false">
      <c r="A24" s="1" t="s">
        <v>37</v>
      </c>
      <c r="B24" s="2" t="n">
        <v>9310010</v>
      </c>
      <c r="D24" s="3" t="s">
        <v>38</v>
      </c>
    </row>
    <row r="26" customFormat="false" ht="12.75" hidden="false" customHeight="false" outlineLevel="0" collapsed="false">
      <c r="A26" s="1" t="s">
        <v>39</v>
      </c>
      <c r="B26" s="2" t="n">
        <v>38641</v>
      </c>
      <c r="C26" s="2" t="n">
        <v>93039</v>
      </c>
      <c r="D26" s="3" t="s">
        <v>40</v>
      </c>
      <c r="J26" s="1" t="s">
        <v>41</v>
      </c>
    </row>
    <row r="27" customFormat="false" ht="12.75" hidden="false" customHeight="false" outlineLevel="0" collapsed="false">
      <c r="A27" s="1" t="s">
        <v>39</v>
      </c>
      <c r="B27" s="2" t="n">
        <v>37556</v>
      </c>
      <c r="C27" s="2" t="n">
        <v>93037</v>
      </c>
      <c r="D27" s="3" t="s">
        <v>42</v>
      </c>
      <c r="J27" s="1" t="s">
        <v>43</v>
      </c>
    </row>
    <row r="28" customFormat="false" ht="12.75" hidden="false" customHeight="false" outlineLevel="0" collapsed="false">
      <c r="A28" s="1" t="s">
        <v>39</v>
      </c>
      <c r="B28" s="2" t="n">
        <v>39229</v>
      </c>
      <c r="C28" s="2" t="n">
        <v>93030</v>
      </c>
      <c r="D28" s="3" t="s">
        <v>44</v>
      </c>
      <c r="J28" s="1" t="s">
        <v>45</v>
      </c>
    </row>
    <row r="31" customFormat="false" ht="12.75" hidden="false" customHeight="false" outlineLevel="0" collapsed="false">
      <c r="A31" s="1" t="s">
        <v>46</v>
      </c>
      <c r="B31" s="2" t="n">
        <v>40998</v>
      </c>
      <c r="D31" s="3" t="s">
        <v>11</v>
      </c>
    </row>
    <row r="32" customFormat="false" ht="12.75" hidden="false" customHeight="false" outlineLevel="0" collapsed="false">
      <c r="A32" s="1" t="s">
        <v>46</v>
      </c>
      <c r="B32" s="2" t="n">
        <v>38021</v>
      </c>
      <c r="C32" s="2" t="n">
        <v>166118</v>
      </c>
      <c r="D32" s="3" t="s">
        <v>47</v>
      </c>
      <c r="G32" s="4" t="s">
        <v>12</v>
      </c>
      <c r="H32" s="4" t="s">
        <v>12</v>
      </c>
      <c r="J32" s="1" t="s">
        <v>36</v>
      </c>
    </row>
    <row r="34" customFormat="false" ht="12.75" hidden="false" customHeight="false" outlineLevel="0" collapsed="false">
      <c r="A34" s="1" t="s">
        <v>48</v>
      </c>
      <c r="B34" s="2" t="s">
        <v>49</v>
      </c>
      <c r="C34" s="2" t="n">
        <v>102637</v>
      </c>
      <c r="D34" s="3" t="s">
        <v>50</v>
      </c>
      <c r="F34" s="1" t="n">
        <v>60000</v>
      </c>
      <c r="J34" s="1" t="s">
        <v>51</v>
      </c>
    </row>
    <row r="35" customFormat="false" ht="13.5" hidden="false" customHeight="true" outlineLevel="0" collapsed="false">
      <c r="A35" s="15" t="s">
        <v>52</v>
      </c>
      <c r="B35" s="16" t="s">
        <v>48</v>
      </c>
      <c r="C35" s="16" t="s">
        <v>48</v>
      </c>
      <c r="D35" s="17" t="n">
        <v>35065</v>
      </c>
      <c r="E35" s="17"/>
      <c r="F35" s="17" t="s">
        <v>53</v>
      </c>
      <c r="G35" s="15" t="s">
        <v>54</v>
      </c>
      <c r="H35" s="18" t="n">
        <v>50000</v>
      </c>
      <c r="I35" s="16"/>
      <c r="J35" s="19" t="n">
        <f aca="false">0/'ECT Trans'!I$1</f>
        <v>0</v>
      </c>
      <c r="K35" s="20" t="n">
        <v>0.198</v>
      </c>
      <c r="L35" s="20" t="n">
        <v>0</v>
      </c>
      <c r="M35" s="20" t="n">
        <v>0</v>
      </c>
      <c r="N35" s="20" t="n">
        <v>0.02</v>
      </c>
      <c r="O35" s="20" t="n">
        <f aca="false">+P35*2.2</f>
        <v>0.05016</v>
      </c>
      <c r="P35" s="21" t="n">
        <v>0.0228</v>
      </c>
      <c r="Q35" s="20" t="n">
        <f aca="false">SUM(J35:O35)</f>
        <v>0.26816</v>
      </c>
      <c r="R35" s="22" t="s">
        <v>55</v>
      </c>
      <c r="S35" s="16" t="n">
        <v>85315</v>
      </c>
      <c r="T35" s="15"/>
      <c r="U35" s="23" t="n">
        <v>0</v>
      </c>
      <c r="V35" s="23" t="n">
        <v>0</v>
      </c>
      <c r="W35" s="24" t="n">
        <v>77853</v>
      </c>
      <c r="X35" s="24"/>
    </row>
    <row r="36" customFormat="false" ht="13.5" hidden="false" customHeight="true" outlineLevel="0" collapsed="false">
      <c r="A36" s="15" t="s">
        <v>52</v>
      </c>
      <c r="B36" s="16" t="s">
        <v>48</v>
      </c>
      <c r="C36" s="16" t="s">
        <v>48</v>
      </c>
      <c r="D36" s="17" t="n">
        <v>35065</v>
      </c>
      <c r="E36" s="17"/>
      <c r="F36" s="17" t="s">
        <v>53</v>
      </c>
      <c r="G36" s="15" t="s">
        <v>56</v>
      </c>
      <c r="H36" s="18" t="n">
        <v>50001</v>
      </c>
      <c r="I36" s="16"/>
      <c r="J36" s="19" t="n">
        <f aca="false">0/'ECT Trans'!I$1</f>
        <v>0</v>
      </c>
      <c r="K36" s="20" t="n">
        <v>0.198</v>
      </c>
      <c r="L36" s="20" t="n">
        <v>0</v>
      </c>
      <c r="M36" s="20" t="n">
        <v>0</v>
      </c>
      <c r="N36" s="20" t="n">
        <v>0.02</v>
      </c>
      <c r="O36" s="20" t="n">
        <f aca="false">+P36*2.2</f>
        <v>0.05016</v>
      </c>
      <c r="P36" s="21" t="n">
        <v>0.0228</v>
      </c>
      <c r="Q36" s="20" t="n">
        <f aca="false">SUM(J36:O36)</f>
        <v>0.26816</v>
      </c>
      <c r="R36" s="22" t="s">
        <v>57</v>
      </c>
      <c r="S36" s="16" t="n">
        <v>78123</v>
      </c>
      <c r="T36" s="15"/>
      <c r="U36" s="23" t="n">
        <v>0</v>
      </c>
      <c r="V36" s="23" t="n">
        <v>0</v>
      </c>
      <c r="W36" s="24" t="n">
        <v>77860</v>
      </c>
      <c r="X36" s="24"/>
    </row>
    <row r="37" customFormat="false" ht="13.5" hidden="false" customHeight="true" outlineLevel="0" collapsed="false">
      <c r="A37" s="15" t="s">
        <v>52</v>
      </c>
      <c r="B37" s="16" t="s">
        <v>48</v>
      </c>
      <c r="C37" s="16" t="s">
        <v>48</v>
      </c>
      <c r="D37" s="17" t="n">
        <v>35065</v>
      </c>
      <c r="E37" s="17"/>
      <c r="F37" s="17" t="s">
        <v>53</v>
      </c>
      <c r="G37" s="15" t="s">
        <v>58</v>
      </c>
      <c r="H37" s="18" t="n">
        <v>50002</v>
      </c>
      <c r="I37" s="16"/>
      <c r="J37" s="19" t="n">
        <f aca="false">0/'ECT Trans'!I$1</f>
        <v>0</v>
      </c>
      <c r="K37" s="20" t="n">
        <v>0.198</v>
      </c>
      <c r="L37" s="20" t="n">
        <v>0</v>
      </c>
      <c r="M37" s="20" t="n">
        <v>0</v>
      </c>
      <c r="N37" s="20" t="n">
        <v>0.02</v>
      </c>
      <c r="O37" s="20" t="n">
        <f aca="false">+P37*2.2</f>
        <v>0.05016</v>
      </c>
      <c r="P37" s="21" t="n">
        <v>0.0228</v>
      </c>
      <c r="Q37" s="20" t="n">
        <f aca="false">SUM(J37:O37)</f>
        <v>0.26816</v>
      </c>
      <c r="R37" s="22" t="s">
        <v>59</v>
      </c>
      <c r="S37" s="16" t="n">
        <v>77922</v>
      </c>
      <c r="T37" s="15"/>
      <c r="U37" s="23" t="n">
        <v>0</v>
      </c>
      <c r="V37" s="23" t="n">
        <v>0</v>
      </c>
      <c r="W37" s="24" t="n">
        <v>80517</v>
      </c>
      <c r="X37" s="24"/>
    </row>
    <row r="38" customFormat="false" ht="13.5" hidden="false" customHeight="true" outlineLevel="0" collapsed="false">
      <c r="A38" s="15" t="s">
        <v>52</v>
      </c>
      <c r="B38" s="16" t="s">
        <v>48</v>
      </c>
      <c r="C38" s="16" t="s">
        <v>48</v>
      </c>
      <c r="D38" s="17" t="n">
        <v>35065</v>
      </c>
      <c r="E38" s="17"/>
      <c r="F38" s="17" t="s">
        <v>53</v>
      </c>
      <c r="G38" s="15" t="s">
        <v>60</v>
      </c>
      <c r="H38" s="18" t="n">
        <v>50003</v>
      </c>
      <c r="I38" s="16"/>
      <c r="J38" s="19" t="n">
        <f aca="false">0/'ECT Trans'!I$1</f>
        <v>0</v>
      </c>
      <c r="K38" s="20" t="n">
        <v>0.198</v>
      </c>
      <c r="L38" s="20" t="n">
        <v>0</v>
      </c>
      <c r="M38" s="20" t="n">
        <v>0</v>
      </c>
      <c r="N38" s="20" t="n">
        <v>0.02</v>
      </c>
      <c r="O38" s="20" t="n">
        <f aca="false">+P38*2.2</f>
        <v>0.05016</v>
      </c>
      <c r="P38" s="21" t="n">
        <v>0.0228</v>
      </c>
      <c r="Q38" s="20" t="n">
        <f aca="false">SUM(J38:O38)</f>
        <v>0.26816</v>
      </c>
      <c r="R38" s="22" t="s">
        <v>61</v>
      </c>
      <c r="S38" s="16" t="n">
        <v>35087</v>
      </c>
      <c r="T38" s="15"/>
      <c r="U38" s="23" t="n">
        <v>0</v>
      </c>
      <c r="V38" s="23" t="n">
        <v>0</v>
      </c>
      <c r="W38" s="24" t="n">
        <v>80537</v>
      </c>
      <c r="X38" s="24"/>
    </row>
    <row r="39" customFormat="false" ht="13.5" hidden="false" customHeight="true" outlineLevel="0" collapsed="false">
      <c r="A39" s="15" t="s">
        <v>52</v>
      </c>
      <c r="B39" s="16" t="s">
        <v>48</v>
      </c>
      <c r="C39" s="16" t="s">
        <v>48</v>
      </c>
      <c r="D39" s="17" t="n">
        <v>35065</v>
      </c>
      <c r="E39" s="17"/>
      <c r="F39" s="17" t="s">
        <v>53</v>
      </c>
      <c r="G39" s="15" t="s">
        <v>62</v>
      </c>
      <c r="H39" s="18" t="n">
        <v>50004</v>
      </c>
      <c r="I39" s="16"/>
      <c r="J39" s="19" t="n">
        <f aca="false">0/'ECT Trans'!I$1</f>
        <v>0</v>
      </c>
      <c r="K39" s="20" t="n">
        <v>0.198</v>
      </c>
      <c r="L39" s="20" t="n">
        <v>0</v>
      </c>
      <c r="M39" s="20" t="n">
        <v>0</v>
      </c>
      <c r="N39" s="20" t="n">
        <v>0.02</v>
      </c>
      <c r="O39" s="20" t="n">
        <f aca="false">+P39*2.2</f>
        <v>0.05016</v>
      </c>
      <c r="P39" s="21" t="n">
        <v>0.0228</v>
      </c>
      <c r="Q39" s="20" t="n">
        <f aca="false">SUM(J39:O39)</f>
        <v>0.26816</v>
      </c>
      <c r="R39" s="22" t="s">
        <v>63</v>
      </c>
      <c r="S39" s="16" t="n">
        <v>39194</v>
      </c>
      <c r="T39" s="15"/>
      <c r="U39" s="23" t="n">
        <v>0</v>
      </c>
      <c r="V39" s="23" t="n">
        <v>0</v>
      </c>
      <c r="W39" s="24" t="n">
        <v>80538</v>
      </c>
      <c r="X39" s="24"/>
    </row>
    <row r="40" customFormat="false" ht="13.5" hidden="false" customHeight="true" outlineLevel="0" collapsed="false">
      <c r="A40" s="15" t="s">
        <v>52</v>
      </c>
      <c r="B40" s="16" t="s">
        <v>48</v>
      </c>
      <c r="C40" s="16" t="s">
        <v>48</v>
      </c>
      <c r="D40" s="17" t="n">
        <v>35065</v>
      </c>
      <c r="E40" s="17"/>
      <c r="F40" s="17" t="s">
        <v>53</v>
      </c>
      <c r="G40" s="15" t="s">
        <v>64</v>
      </c>
      <c r="H40" s="18" t="n">
        <v>50000</v>
      </c>
      <c r="I40" s="16"/>
      <c r="J40" s="19" t="n">
        <f aca="false">0/'ECT Trans'!I$1</f>
        <v>0</v>
      </c>
      <c r="K40" s="20" t="n">
        <v>0</v>
      </c>
      <c r="L40" s="20" t="n">
        <v>0</v>
      </c>
      <c r="M40" s="20" t="n">
        <v>0</v>
      </c>
      <c r="N40" s="20" t="n">
        <v>0.02</v>
      </c>
      <c r="O40" s="20" t="n">
        <f aca="false">+P40*2.2</f>
        <v>0</v>
      </c>
      <c r="P40" s="21" t="n">
        <v>0</v>
      </c>
      <c r="Q40" s="20" t="n">
        <f aca="false">SUM(J40:O40)</f>
        <v>0.02</v>
      </c>
      <c r="R40" s="22" t="s">
        <v>65</v>
      </c>
      <c r="S40" s="16" t="n">
        <v>9185</v>
      </c>
      <c r="T40" s="15"/>
      <c r="U40" s="23" t="n">
        <v>0</v>
      </c>
      <c r="V40" s="23" t="n">
        <v>0</v>
      </c>
      <c r="W40" s="24" t="n">
        <v>77852</v>
      </c>
      <c r="X40" s="24"/>
    </row>
    <row r="41" customFormat="false" ht="13.5" hidden="false" customHeight="true" outlineLevel="0" collapsed="false">
      <c r="A41" s="15" t="s">
        <v>52</v>
      </c>
      <c r="B41" s="16" t="s">
        <v>48</v>
      </c>
      <c r="C41" s="16" t="s">
        <v>48</v>
      </c>
      <c r="D41" s="17" t="n">
        <v>35065</v>
      </c>
      <c r="E41" s="17"/>
      <c r="F41" s="17" t="s">
        <v>53</v>
      </c>
      <c r="G41" s="15" t="s">
        <v>66</v>
      </c>
      <c r="H41" s="18" t="n">
        <v>50001</v>
      </c>
      <c r="I41" s="16"/>
      <c r="J41" s="19" t="n">
        <f aca="false">0/'ECT Trans'!I$1</f>
        <v>0</v>
      </c>
      <c r="K41" s="20" t="n">
        <v>0</v>
      </c>
      <c r="L41" s="20" t="n">
        <v>0</v>
      </c>
      <c r="M41" s="20" t="n">
        <v>0</v>
      </c>
      <c r="N41" s="20" t="n">
        <v>0.02</v>
      </c>
      <c r="O41" s="20" t="n">
        <f aca="false">+P41*2.2</f>
        <v>0</v>
      </c>
      <c r="P41" s="21" t="n">
        <v>0</v>
      </c>
      <c r="Q41" s="20" t="n">
        <f aca="false">SUM(J41:O41)</f>
        <v>0.02</v>
      </c>
      <c r="R41" s="22" t="s">
        <v>67</v>
      </c>
      <c r="S41" s="16" t="n">
        <v>16377</v>
      </c>
      <c r="T41" s="15"/>
      <c r="U41" s="23" t="n">
        <v>0</v>
      </c>
      <c r="V41" s="23" t="n">
        <v>0</v>
      </c>
      <c r="W41" s="24" t="n">
        <v>77858</v>
      </c>
      <c r="X41" s="24"/>
    </row>
    <row r="42" customFormat="false" ht="13.5" hidden="false" customHeight="true" outlineLevel="0" collapsed="false">
      <c r="A42" s="15" t="s">
        <v>52</v>
      </c>
      <c r="B42" s="16" t="s">
        <v>48</v>
      </c>
      <c r="C42" s="16" t="s">
        <v>48</v>
      </c>
      <c r="D42" s="17" t="n">
        <v>35065</v>
      </c>
      <c r="E42" s="17"/>
      <c r="F42" s="17" t="s">
        <v>53</v>
      </c>
      <c r="G42" s="15" t="s">
        <v>68</v>
      </c>
      <c r="H42" s="18" t="n">
        <v>50002</v>
      </c>
      <c r="I42" s="16"/>
      <c r="J42" s="19" t="n">
        <f aca="false">0/'ECT Trans'!I$1</f>
        <v>0</v>
      </c>
      <c r="K42" s="20" t="n">
        <v>0</v>
      </c>
      <c r="L42" s="20" t="n">
        <v>0</v>
      </c>
      <c r="M42" s="20" t="n">
        <v>0</v>
      </c>
      <c r="N42" s="20" t="n">
        <v>0.02</v>
      </c>
      <c r="O42" s="20" t="n">
        <f aca="false">+P42*2.2</f>
        <v>0</v>
      </c>
      <c r="P42" s="21" t="n">
        <v>0</v>
      </c>
      <c r="Q42" s="20" t="n">
        <f aca="false">SUM(J42:O42)</f>
        <v>0.02</v>
      </c>
      <c r="R42" s="22" t="s">
        <v>69</v>
      </c>
      <c r="S42" s="16" t="n">
        <v>3578</v>
      </c>
      <c r="T42" s="15"/>
      <c r="U42" s="23" t="n">
        <v>0</v>
      </c>
      <c r="V42" s="23" t="n">
        <v>0</v>
      </c>
      <c r="W42" s="24" t="n">
        <v>77845</v>
      </c>
      <c r="X42" s="24"/>
    </row>
    <row r="43" customFormat="false" ht="13.5" hidden="false" customHeight="true" outlineLevel="0" collapsed="false">
      <c r="A43" s="15" t="s">
        <v>52</v>
      </c>
      <c r="B43" s="16" t="s">
        <v>48</v>
      </c>
      <c r="C43" s="16" t="s">
        <v>48</v>
      </c>
      <c r="D43" s="17" t="n">
        <v>35065</v>
      </c>
      <c r="E43" s="17"/>
      <c r="F43" s="17" t="s">
        <v>53</v>
      </c>
      <c r="G43" s="15" t="s">
        <v>70</v>
      </c>
      <c r="H43" s="18" t="n">
        <v>50003</v>
      </c>
      <c r="I43" s="16"/>
      <c r="J43" s="19" t="n">
        <f aca="false">0/'ECT Trans'!I$1</f>
        <v>0</v>
      </c>
      <c r="K43" s="20" t="n">
        <v>0</v>
      </c>
      <c r="L43" s="20" t="n">
        <v>0</v>
      </c>
      <c r="M43" s="20" t="n">
        <v>0</v>
      </c>
      <c r="N43" s="20" t="n">
        <v>0.02</v>
      </c>
      <c r="O43" s="20" t="n">
        <f aca="false">+P43*2.2</f>
        <v>0</v>
      </c>
      <c r="P43" s="21" t="n">
        <v>0</v>
      </c>
      <c r="Q43" s="20" t="n">
        <f aca="false">SUM(J43:O43)</f>
        <v>0.02</v>
      </c>
      <c r="R43" s="22" t="s">
        <v>71</v>
      </c>
      <c r="S43" s="16" t="n">
        <v>6913</v>
      </c>
      <c r="T43" s="15"/>
      <c r="U43" s="23" t="n">
        <v>0</v>
      </c>
      <c r="V43" s="23" t="n">
        <v>0</v>
      </c>
      <c r="W43" s="24" t="n">
        <v>77848</v>
      </c>
      <c r="X43" s="24"/>
    </row>
    <row r="44" customFormat="false" ht="13.5" hidden="false" customHeight="true" outlineLevel="0" collapsed="false">
      <c r="A44" s="15" t="s">
        <v>52</v>
      </c>
      <c r="B44" s="16" t="s">
        <v>48</v>
      </c>
      <c r="C44" s="16" t="s">
        <v>48</v>
      </c>
      <c r="D44" s="17" t="n">
        <v>35065</v>
      </c>
      <c r="E44" s="17"/>
      <c r="F44" s="17" t="s">
        <v>53</v>
      </c>
      <c r="G44" s="15" t="s">
        <v>72</v>
      </c>
      <c r="H44" s="18" t="n">
        <v>50004</v>
      </c>
      <c r="I44" s="16"/>
      <c r="J44" s="19" t="n">
        <f aca="false">0/'ECT Trans'!I$1</f>
        <v>0</v>
      </c>
      <c r="K44" s="20" t="n">
        <v>0</v>
      </c>
      <c r="L44" s="20" t="n">
        <v>0</v>
      </c>
      <c r="M44" s="20" t="n">
        <v>0</v>
      </c>
      <c r="N44" s="20" t="n">
        <v>0.02</v>
      </c>
      <c r="O44" s="20" t="n">
        <f aca="false">+P44*2.2</f>
        <v>0</v>
      </c>
      <c r="P44" s="21" t="n">
        <v>0</v>
      </c>
      <c r="Q44" s="20" t="n">
        <f aca="false">SUM(J44:O44)</f>
        <v>0.02</v>
      </c>
      <c r="R44" s="22" t="s">
        <v>73</v>
      </c>
      <c r="S44" s="16" t="n">
        <v>18556</v>
      </c>
      <c r="T44" s="15"/>
      <c r="U44" s="23" t="n">
        <v>0</v>
      </c>
      <c r="V44" s="23" t="n">
        <v>0</v>
      </c>
      <c r="W44" s="24" t="n">
        <v>77850</v>
      </c>
      <c r="X44" s="24"/>
    </row>
    <row r="46" customFormat="false" ht="12.75" hidden="false" customHeight="false" outlineLevel="0" collapsed="false">
      <c r="A46" s="1" t="s">
        <v>74</v>
      </c>
      <c r="B46" s="2" t="s">
        <v>75</v>
      </c>
      <c r="C46" s="2" t="n">
        <v>104749</v>
      </c>
      <c r="D46" s="3" t="s">
        <v>76</v>
      </c>
      <c r="G46" s="4" t="s">
        <v>77</v>
      </c>
      <c r="J46" s="1" t="s">
        <v>78</v>
      </c>
    </row>
    <row r="47" customFormat="false" ht="12.75" hidden="false" customHeight="false" outlineLevel="0" collapsed="false">
      <c r="A47" s="1" t="s">
        <v>74</v>
      </c>
      <c r="B47" s="2" t="s">
        <v>79</v>
      </c>
      <c r="C47" s="2" t="n">
        <v>82026</v>
      </c>
      <c r="D47" s="3" t="s">
        <v>11</v>
      </c>
      <c r="G47" s="4" t="s">
        <v>12</v>
      </c>
      <c r="H47" s="4" t="s">
        <v>12</v>
      </c>
    </row>
    <row r="49" customFormat="false" ht="12.75" hidden="false" customHeight="false" outlineLevel="0" collapsed="false">
      <c r="A49" s="1" t="s">
        <v>80</v>
      </c>
      <c r="B49" s="2" t="s">
        <v>81</v>
      </c>
      <c r="C49" s="2" t="n">
        <v>117510</v>
      </c>
      <c r="D49" s="3" t="s">
        <v>11</v>
      </c>
      <c r="J49" s="1" t="s">
        <v>82</v>
      </c>
    </row>
    <row r="51" customFormat="false" ht="12.75" hidden="false" customHeight="false" outlineLevel="0" collapsed="false">
      <c r="A51" s="1" t="s">
        <v>83</v>
      </c>
      <c r="B51" s="2" t="n">
        <v>15</v>
      </c>
      <c r="C51" s="2" t="n">
        <v>125711</v>
      </c>
      <c r="D51" s="3" t="s">
        <v>11</v>
      </c>
    </row>
    <row r="53" customFormat="false" ht="12.75" hidden="false" customHeight="false" outlineLevel="0" collapsed="false">
      <c r="A53" s="1" t="s">
        <v>84</v>
      </c>
      <c r="B53" s="2" t="s">
        <v>85</v>
      </c>
      <c r="C53" s="2" t="n">
        <v>124109</v>
      </c>
      <c r="D53" s="3" t="s">
        <v>86</v>
      </c>
    </row>
    <row r="54" customFormat="false" ht="12.75" hidden="false" customHeight="false" outlineLevel="0" collapsed="false">
      <c r="A54" s="1" t="s">
        <v>84</v>
      </c>
      <c r="B54" s="2" t="s">
        <v>87</v>
      </c>
      <c r="C54" s="2" t="n">
        <v>77753</v>
      </c>
      <c r="D54" s="3" t="s">
        <v>11</v>
      </c>
    </row>
    <row r="56" customFormat="false" ht="12.75" hidden="false" customHeight="false" outlineLevel="0" collapsed="false">
      <c r="A56" s="1" t="s">
        <v>88</v>
      </c>
      <c r="B56" s="2" t="s">
        <v>89</v>
      </c>
      <c r="C56" s="2" t="n">
        <v>220796</v>
      </c>
      <c r="D56" s="3" t="s">
        <v>11</v>
      </c>
      <c r="F56" s="1" t="s">
        <v>90</v>
      </c>
      <c r="J56" s="1" t="s">
        <v>91</v>
      </c>
    </row>
    <row r="59" customFormat="false" ht="12.75" hidden="false" customHeight="false" outlineLevel="0" collapsed="false">
      <c r="A59" s="15" t="s">
        <v>92</v>
      </c>
      <c r="B59" s="16" t="s">
        <v>93</v>
      </c>
      <c r="C59" s="16" t="s">
        <v>93</v>
      </c>
      <c r="D59" s="17" t="s">
        <v>90</v>
      </c>
      <c r="E59" s="17" t="s">
        <v>90</v>
      </c>
      <c r="F59" s="15" t="s">
        <v>94</v>
      </c>
      <c r="G59" s="15" t="s">
        <v>94</v>
      </c>
      <c r="H59" s="16" t="s">
        <v>11</v>
      </c>
      <c r="I59" s="19" t="n">
        <v>0</v>
      </c>
      <c r="J59" s="20" t="n">
        <v>0</v>
      </c>
      <c r="K59" s="20" t="n">
        <v>0.0022</v>
      </c>
      <c r="L59" s="20" t="n">
        <v>0.0072</v>
      </c>
      <c r="M59" s="20" t="n">
        <v>0.0131</v>
      </c>
      <c r="N59" s="25" t="n">
        <v>0</v>
      </c>
      <c r="O59" s="20" t="n">
        <f aca="false">SUM(I59:M59)</f>
        <v>0.0225</v>
      </c>
      <c r="P59" s="22" t="s">
        <v>95</v>
      </c>
      <c r="Q59" s="22" t="s">
        <v>95</v>
      </c>
      <c r="R59" s="16" t="n">
        <v>0</v>
      </c>
      <c r="S59" s="15" t="s">
        <v>96</v>
      </c>
      <c r="T59" s="23" t="n">
        <f aca="false">I59*I$1*R59</f>
        <v>0</v>
      </c>
      <c r="U59" s="23"/>
      <c r="V59" s="26"/>
      <c r="W59" s="26" t="n">
        <v>145336</v>
      </c>
      <c r="X59" s="24"/>
      <c r="Y59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14" min="12" style="539" width="9.14"/>
  </cols>
  <sheetData>
    <row r="1" customFormat="false" ht="12.75" hidden="false" customHeight="false" outlineLevel="0" collapsed="false">
      <c r="A1" s="540"/>
      <c r="B1" s="540"/>
      <c r="C1" s="540"/>
      <c r="D1" s="540"/>
      <c r="E1" s="540"/>
      <c r="F1" s="540"/>
      <c r="G1" s="540"/>
      <c r="H1" s="540"/>
      <c r="I1" s="540"/>
      <c r="J1" s="540"/>
    </row>
    <row r="2" customFormat="false" ht="12.75" hidden="false" customHeight="false" outlineLevel="0" collapsed="false">
      <c r="A2" s="540"/>
      <c r="B2" s="540"/>
      <c r="C2" s="540"/>
      <c r="D2" s="540"/>
      <c r="E2" s="540"/>
      <c r="F2" s="540"/>
      <c r="G2" s="540"/>
      <c r="H2" s="540"/>
      <c r="I2" s="540"/>
      <c r="J2" s="540"/>
    </row>
    <row r="3" customFormat="false" ht="12.75" hidden="false" customHeight="false" outlineLevel="0" collapsed="false">
      <c r="A3" s="540"/>
      <c r="B3" s="540"/>
      <c r="C3" s="540"/>
      <c r="D3" s="540"/>
      <c r="E3" s="540"/>
      <c r="F3" s="540"/>
      <c r="G3" s="540"/>
      <c r="H3" s="540"/>
      <c r="I3" s="540"/>
      <c r="J3" s="540"/>
    </row>
    <row r="4" customFormat="false" ht="12.75" hidden="false" customHeight="false" outlineLevel="0" collapsed="false">
      <c r="A4" s="540"/>
      <c r="B4" s="540"/>
      <c r="C4" s="540"/>
      <c r="D4" s="540"/>
      <c r="E4" s="540"/>
      <c r="F4" s="540"/>
      <c r="G4" s="540"/>
      <c r="H4" s="540"/>
      <c r="I4" s="540"/>
      <c r="J4" s="540"/>
    </row>
    <row r="5" customFormat="false" ht="12.75" hidden="false" customHeight="false" outlineLevel="0" collapsed="false">
      <c r="A5" s="540"/>
      <c r="B5" s="540"/>
      <c r="C5" s="540"/>
      <c r="D5" s="540"/>
      <c r="E5" s="540"/>
      <c r="F5" s="540"/>
      <c r="G5" s="540"/>
      <c r="H5" s="540"/>
      <c r="I5" s="540"/>
      <c r="J5" s="540"/>
    </row>
    <row r="6" customFormat="false" ht="12.75" hidden="false" customHeight="false" outlineLevel="0" collapsed="false">
      <c r="A6" s="540"/>
      <c r="B6" s="540"/>
      <c r="C6" s="540"/>
      <c r="D6" s="540"/>
      <c r="E6" s="540"/>
      <c r="F6" s="540"/>
      <c r="G6" s="540"/>
      <c r="H6" s="540"/>
      <c r="I6" s="540"/>
      <c r="J6" s="540"/>
    </row>
    <row r="7" customFormat="false" ht="12.75" hidden="false" customHeight="false" outlineLevel="0" collapsed="false">
      <c r="A7" s="540"/>
      <c r="B7" s="540"/>
      <c r="C7" s="540"/>
      <c r="D7" s="540"/>
      <c r="E7" s="540"/>
      <c r="F7" s="540"/>
      <c r="G7" s="540"/>
      <c r="H7" s="540"/>
      <c r="I7" s="540"/>
      <c r="J7" s="540"/>
    </row>
    <row r="8" customFormat="false" ht="12.75" hidden="false" customHeight="false" outlineLevel="0" collapsed="false">
      <c r="A8" s="540"/>
      <c r="B8" s="540"/>
      <c r="C8" s="540"/>
      <c r="D8" s="540"/>
      <c r="E8" s="540"/>
      <c r="F8" s="540"/>
      <c r="G8" s="540"/>
      <c r="H8" s="540"/>
      <c r="I8" s="540"/>
      <c r="J8" s="540"/>
    </row>
    <row r="9" customFormat="false" ht="12.75" hidden="false" customHeight="false" outlineLevel="0" collapsed="false">
      <c r="A9" s="540"/>
      <c r="B9" s="540" t="s">
        <v>25</v>
      </c>
      <c r="C9" s="540"/>
      <c r="D9" s="540"/>
      <c r="E9" s="540"/>
      <c r="F9" s="540"/>
      <c r="G9" s="540"/>
      <c r="H9" s="540"/>
      <c r="I9" s="540"/>
      <c r="J9" s="540"/>
    </row>
    <row r="10" customFormat="false" ht="12.75" hidden="false" customHeight="false" outlineLevel="0" collapsed="false">
      <c r="A10" s="540"/>
      <c r="B10" s="540"/>
      <c r="C10" s="540"/>
      <c r="D10" s="540"/>
      <c r="E10" s="540" t="s">
        <v>973</v>
      </c>
      <c r="F10" s="540" t="s">
        <v>974</v>
      </c>
      <c r="G10" s="540"/>
      <c r="H10" s="540" t="s">
        <v>974</v>
      </c>
      <c r="I10" s="540"/>
      <c r="J10" s="540"/>
    </row>
    <row r="11" customFormat="false" ht="12.75" hidden="false" customHeight="false" outlineLevel="0" collapsed="false">
      <c r="A11" s="540"/>
      <c r="B11" s="541" t="s">
        <v>975</v>
      </c>
      <c r="C11" s="541" t="s">
        <v>976</v>
      </c>
      <c r="D11" s="541" t="s">
        <v>977</v>
      </c>
      <c r="E11" s="541" t="s">
        <v>978</v>
      </c>
      <c r="F11" s="541" t="s">
        <v>979</v>
      </c>
      <c r="G11" s="541" t="s">
        <v>980</v>
      </c>
      <c r="H11" s="541" t="s">
        <v>980</v>
      </c>
      <c r="I11" s="541" t="s">
        <v>981</v>
      </c>
      <c r="J11" s="540"/>
    </row>
    <row r="12" customFormat="false" ht="12.75" hidden="false" customHeight="false" outlineLevel="0" collapsed="false">
      <c r="A12" s="540"/>
      <c r="B12" s="542" t="s">
        <v>982</v>
      </c>
      <c r="C12" s="543" t="n">
        <v>5000</v>
      </c>
      <c r="D12" s="544" t="n">
        <f aca="false">+C12/C17</f>
        <v>0.333333333333333</v>
      </c>
      <c r="E12" s="544" t="n">
        <f aca="false">+'Offseason Rate'!E42</f>
        <v>0.452756705195825</v>
      </c>
      <c r="F12" s="544" t="n">
        <f aca="false">+D12*E12</f>
        <v>0.150918901731942</v>
      </c>
      <c r="G12" s="544" t="n">
        <v>-0.0825</v>
      </c>
      <c r="H12" s="544" t="n">
        <f aca="false">+G12*D12</f>
        <v>-0.0275</v>
      </c>
      <c r="I12" s="544" t="n">
        <f aca="false">+F12+H12</f>
        <v>0.123418901731942</v>
      </c>
      <c r="J12" s="540"/>
    </row>
    <row r="13" customFormat="false" ht="12.75" hidden="false" customHeight="false" outlineLevel="0" collapsed="false">
      <c r="A13" s="540"/>
      <c r="B13" s="542" t="s">
        <v>983</v>
      </c>
      <c r="C13" s="543" t="n">
        <v>5000</v>
      </c>
      <c r="D13" s="544" t="n">
        <f aca="false">+C13/C17</f>
        <v>0.333333333333333</v>
      </c>
      <c r="E13" s="544" t="n">
        <f aca="false">+'Offseason Rate'!E67</f>
        <v>0.346291966759003</v>
      </c>
      <c r="F13" s="544" t="n">
        <f aca="false">+D13*E13</f>
        <v>0.115430655586334</v>
      </c>
      <c r="G13" s="544" t="n">
        <v>-0.0575</v>
      </c>
      <c r="H13" s="544" t="n">
        <f aca="false">+G13*D13</f>
        <v>-0.0191666666666667</v>
      </c>
      <c r="I13" s="544" t="n">
        <f aca="false">+F13+H13</f>
        <v>0.0962639889196676</v>
      </c>
      <c r="J13" s="540"/>
    </row>
    <row r="14" customFormat="false" ht="12.75" hidden="false" customHeight="false" outlineLevel="0" collapsed="false">
      <c r="A14" s="540"/>
      <c r="B14" s="542" t="s">
        <v>984</v>
      </c>
      <c r="C14" s="543" t="n">
        <v>5000</v>
      </c>
      <c r="D14" s="544" t="n">
        <f aca="false">+C14/C17</f>
        <v>0.333333333333333</v>
      </c>
      <c r="E14" s="544" t="n">
        <f aca="false">+'Offseason Rate'!E107</f>
        <v>0.365117408550022</v>
      </c>
      <c r="F14" s="544" t="n">
        <f aca="false">+D14*E14</f>
        <v>0.121705802850007</v>
      </c>
      <c r="G14" s="544" t="n">
        <v>-0.045</v>
      </c>
      <c r="H14" s="544" t="n">
        <f aca="false">+G14*D14</f>
        <v>-0.015</v>
      </c>
      <c r="I14" s="544" t="n">
        <f aca="false">+F14+H14</f>
        <v>0.106705802850007</v>
      </c>
      <c r="J14" s="540"/>
    </row>
    <row r="15" customFormat="false" ht="12.75" hidden="false" customHeight="false" outlineLevel="0" collapsed="false">
      <c r="A15" s="540"/>
      <c r="B15" s="542" t="s">
        <v>985</v>
      </c>
      <c r="C15" s="543" t="n">
        <v>0</v>
      </c>
      <c r="D15" s="544" t="n">
        <f aca="false">+C15/C17</f>
        <v>0</v>
      </c>
      <c r="E15" s="544" t="n">
        <f aca="false">+'Offseason Rate'!E122</f>
        <v>0.276923985437413</v>
      </c>
      <c r="F15" s="544" t="n">
        <f aca="false">+D15*E15</f>
        <v>0</v>
      </c>
      <c r="G15" s="544" t="n">
        <v>0</v>
      </c>
      <c r="H15" s="544" t="n">
        <f aca="false">+G15*D15</f>
        <v>0</v>
      </c>
      <c r="I15" s="544" t="n">
        <f aca="false">+F15+H15</f>
        <v>0</v>
      </c>
      <c r="J15" s="540"/>
    </row>
    <row r="16" customFormat="false" ht="12.75" hidden="false" customHeight="false" outlineLevel="0" collapsed="false">
      <c r="A16" s="540"/>
      <c r="B16" s="542" t="s">
        <v>986</v>
      </c>
      <c r="C16" s="545" t="n">
        <v>0</v>
      </c>
      <c r="D16" s="546" t="n">
        <f aca="false">+C16/C17</f>
        <v>0</v>
      </c>
      <c r="E16" s="544" t="n">
        <f aca="false">+'Offseason Rate'!E107</f>
        <v>0.365117408550022</v>
      </c>
      <c r="F16" s="546" t="n">
        <f aca="false">+D16*E16</f>
        <v>0</v>
      </c>
      <c r="G16" s="544" t="n">
        <v>0</v>
      </c>
      <c r="H16" s="544" t="n">
        <f aca="false">+G16*D16</f>
        <v>0</v>
      </c>
      <c r="I16" s="546" t="n">
        <f aca="false">+F16+H16</f>
        <v>0</v>
      </c>
      <c r="J16" s="540"/>
    </row>
    <row r="17" customFormat="false" ht="12.75" hidden="false" customHeight="false" outlineLevel="0" collapsed="false">
      <c r="A17" s="540"/>
      <c r="B17" s="540"/>
      <c r="C17" s="543" t="n">
        <f aca="false">SUM(C12:C16)</f>
        <v>15000</v>
      </c>
      <c r="D17" s="544" t="n">
        <f aca="false">SUM(D12:D16)</f>
        <v>1</v>
      </c>
      <c r="E17" s="540"/>
      <c r="F17" s="544" t="n">
        <f aca="false">SUM(F12:F16)</f>
        <v>0.388055360168283</v>
      </c>
      <c r="G17" s="540"/>
      <c r="H17" s="540"/>
      <c r="I17" s="547" t="n">
        <f aca="false">SUM(I12:I16)</f>
        <v>0.326388693501617</v>
      </c>
      <c r="J17" s="540"/>
    </row>
    <row r="18" customFormat="false" ht="12.75" hidden="false" customHeight="false" outlineLevel="0" collapsed="false">
      <c r="A18" s="540"/>
      <c r="B18" s="540"/>
      <c r="C18" s="540"/>
      <c r="D18" s="540"/>
      <c r="E18" s="540"/>
      <c r="F18" s="540"/>
      <c r="G18" s="540"/>
      <c r="H18" s="540" t="s">
        <v>987</v>
      </c>
      <c r="I18" s="548" t="n">
        <v>0.215</v>
      </c>
      <c r="J18" s="540"/>
    </row>
    <row r="19" customFormat="false" ht="13.5" hidden="false" customHeight="false" outlineLevel="0" collapsed="false">
      <c r="A19" s="540"/>
      <c r="B19" s="540"/>
      <c r="C19" s="540"/>
      <c r="D19" s="540"/>
      <c r="E19" s="540"/>
      <c r="F19" s="540"/>
      <c r="G19" s="540"/>
      <c r="H19" s="549" t="s">
        <v>988</v>
      </c>
      <c r="I19" s="550" t="n">
        <f aca="false">+I18-I17</f>
        <v>-0.111388693501617</v>
      </c>
      <c r="J19" s="540"/>
    </row>
    <row r="20" customFormat="false" ht="13.5" hidden="false" customHeight="false" outlineLevel="0" collapsed="false">
      <c r="A20" s="540"/>
      <c r="B20" s="540"/>
      <c r="C20" s="540"/>
      <c r="D20" s="540"/>
      <c r="E20" s="540"/>
      <c r="F20" s="540"/>
      <c r="G20" s="540"/>
      <c r="H20" s="540"/>
      <c r="I20" s="544"/>
      <c r="J20" s="540"/>
    </row>
    <row r="21" customFormat="false" ht="12.75" hidden="false" customHeight="false" outlineLevel="0" collapsed="false">
      <c r="A21" s="540"/>
      <c r="B21" s="540"/>
      <c r="C21" s="540"/>
      <c r="D21" s="540"/>
      <c r="E21" s="540"/>
      <c r="F21" s="540"/>
      <c r="G21" s="540"/>
      <c r="H21" s="540"/>
      <c r="I21" s="540"/>
      <c r="J21" s="540"/>
    </row>
    <row r="22" customFormat="false" ht="12.75" hidden="false" customHeight="false" outlineLevel="0" collapsed="false">
      <c r="A22" s="540"/>
      <c r="B22" s="540"/>
      <c r="C22" s="540"/>
      <c r="D22" s="540"/>
      <c r="E22" s="540"/>
      <c r="F22" s="540"/>
      <c r="G22" s="540"/>
      <c r="H22" s="540"/>
      <c r="I22" s="540"/>
      <c r="J22" s="540"/>
    </row>
    <row r="23" customFormat="false" ht="12.75" hidden="false" customHeight="false" outlineLevel="0" collapsed="false">
      <c r="A23" s="540"/>
      <c r="B23" s="540"/>
      <c r="C23" s="540"/>
      <c r="D23" s="540"/>
      <c r="E23" s="540"/>
      <c r="F23" s="540" t="s">
        <v>974</v>
      </c>
      <c r="G23" s="540"/>
      <c r="H23" s="540" t="s">
        <v>974</v>
      </c>
      <c r="I23" s="540"/>
      <c r="J23" s="540"/>
    </row>
    <row r="24" customFormat="false" ht="12.75" hidden="false" customHeight="false" outlineLevel="0" collapsed="false">
      <c r="A24" s="540"/>
      <c r="B24" s="541" t="s">
        <v>975</v>
      </c>
      <c r="C24" s="541" t="s">
        <v>976</v>
      </c>
      <c r="D24" s="541" t="s">
        <v>977</v>
      </c>
      <c r="E24" s="541" t="s">
        <v>978</v>
      </c>
      <c r="F24" s="541" t="s">
        <v>979</v>
      </c>
      <c r="G24" s="541" t="s">
        <v>980</v>
      </c>
      <c r="H24" s="541" t="s">
        <v>980</v>
      </c>
      <c r="I24" s="541" t="s">
        <v>981</v>
      </c>
      <c r="J24" s="540"/>
    </row>
    <row r="25" customFormat="false" ht="12.75" hidden="false" customHeight="false" outlineLevel="0" collapsed="false">
      <c r="A25" s="540"/>
      <c r="B25" s="542" t="s">
        <v>989</v>
      </c>
      <c r="C25" s="543" t="n">
        <v>0</v>
      </c>
      <c r="D25" s="544" t="n">
        <f aca="false">+C25/C30</f>
        <v>0</v>
      </c>
      <c r="E25" s="544" t="e">
        <f aca="false">+#REF!</f>
        <v>#REF!</v>
      </c>
      <c r="F25" s="544" t="e">
        <f aca="false">+D25*E25</f>
        <v>#REF!</v>
      </c>
      <c r="G25" s="544" t="n">
        <v>-0.07</v>
      </c>
      <c r="H25" s="544" t="n">
        <f aca="false">+G25*D25</f>
        <v>-0</v>
      </c>
      <c r="I25" s="544" t="e">
        <f aca="false">+F25+H25</f>
        <v>#REF!</v>
      </c>
      <c r="J25" s="540"/>
    </row>
    <row r="26" customFormat="false" ht="12.75" hidden="false" customHeight="false" outlineLevel="0" collapsed="false">
      <c r="A26" s="540"/>
      <c r="B26" s="542" t="s">
        <v>990</v>
      </c>
      <c r="C26" s="543" t="n">
        <v>0</v>
      </c>
      <c r="D26" s="544" t="n">
        <f aca="false">+C26/C30</f>
        <v>0</v>
      </c>
      <c r="E26" s="544" t="e">
        <f aca="false">+#REF!</f>
        <v>#REF!</v>
      </c>
      <c r="F26" s="544" t="e">
        <f aca="false">+D26*E26</f>
        <v>#REF!</v>
      </c>
      <c r="G26" s="544" t="n">
        <v>-0.05</v>
      </c>
      <c r="H26" s="544" t="n">
        <f aca="false">+G26*D26</f>
        <v>-0</v>
      </c>
      <c r="I26" s="544" t="e">
        <f aca="false">+F26+H26</f>
        <v>#REF!</v>
      </c>
      <c r="J26" s="540"/>
    </row>
    <row r="27" customFormat="false" ht="12.75" hidden="false" customHeight="false" outlineLevel="0" collapsed="false">
      <c r="A27" s="540"/>
      <c r="B27" s="542" t="s">
        <v>991</v>
      </c>
      <c r="C27" s="543" t="n">
        <v>5000</v>
      </c>
      <c r="D27" s="544" t="n">
        <f aca="false">+C27/C30</f>
        <v>1</v>
      </c>
      <c r="E27" s="544" t="e">
        <f aca="false">+#REF!</f>
        <v>#REF!</v>
      </c>
      <c r="F27" s="544" t="e">
        <f aca="false">+D27*E27</f>
        <v>#REF!</v>
      </c>
      <c r="G27" s="544" t="n">
        <v>-0.035</v>
      </c>
      <c r="H27" s="544" t="n">
        <f aca="false">+G27*D27</f>
        <v>-0.035</v>
      </c>
      <c r="I27" s="544" t="e">
        <f aca="false">+F27+H27</f>
        <v>#REF!</v>
      </c>
      <c r="J27" s="540"/>
    </row>
    <row r="28" customFormat="false" ht="12.75" hidden="false" customHeight="false" outlineLevel="0" collapsed="false">
      <c r="A28" s="540"/>
      <c r="B28" s="542" t="s">
        <v>992</v>
      </c>
      <c r="C28" s="543" t="n">
        <v>0</v>
      </c>
      <c r="D28" s="544" t="n">
        <f aca="false">+C28/C30</f>
        <v>0</v>
      </c>
      <c r="E28" s="544" t="e">
        <f aca="false">+#REF!</f>
        <v>#REF!</v>
      </c>
      <c r="F28" s="544" t="e">
        <f aca="false">+D28*E28</f>
        <v>#REF!</v>
      </c>
      <c r="G28" s="544" t="n">
        <v>-0.01</v>
      </c>
      <c r="H28" s="544" t="n">
        <f aca="false">+G28*D28</f>
        <v>-0</v>
      </c>
      <c r="I28" s="544" t="e">
        <f aca="false">+F28+H28</f>
        <v>#REF!</v>
      </c>
      <c r="J28" s="540"/>
    </row>
    <row r="29" customFormat="false" ht="12.75" hidden="false" customHeight="false" outlineLevel="0" collapsed="false">
      <c r="A29" s="540"/>
      <c r="B29" s="542" t="s">
        <v>993</v>
      </c>
      <c r="C29" s="545" t="n">
        <v>0</v>
      </c>
      <c r="D29" s="546" t="n">
        <f aca="false">+C29/C30</f>
        <v>0</v>
      </c>
      <c r="E29" s="544" t="e">
        <f aca="false">+#REF!</f>
        <v>#REF!</v>
      </c>
      <c r="F29" s="546" t="e">
        <f aca="false">+D29*E29</f>
        <v>#REF!</v>
      </c>
      <c r="G29" s="544" t="n">
        <v>-0.0725</v>
      </c>
      <c r="H29" s="544" t="n">
        <f aca="false">+G29*D29</f>
        <v>-0</v>
      </c>
      <c r="I29" s="546" t="e">
        <f aca="false">+F29+H29</f>
        <v>#REF!</v>
      </c>
      <c r="J29" s="540"/>
    </row>
    <row r="30" customFormat="false" ht="12.75" hidden="false" customHeight="false" outlineLevel="0" collapsed="false">
      <c r="A30" s="540"/>
      <c r="B30" s="540"/>
      <c r="C30" s="543" t="n">
        <f aca="false">SUM(C25:C29)</f>
        <v>5000</v>
      </c>
      <c r="D30" s="544" t="n">
        <f aca="false">SUM(D25:D29)</f>
        <v>1</v>
      </c>
      <c r="E30" s="540"/>
      <c r="F30" s="544" t="e">
        <f aca="false">SUM(F25:F29)</f>
        <v>#REF!</v>
      </c>
      <c r="G30" s="540"/>
      <c r="H30" s="540"/>
      <c r="I30" s="547" t="e">
        <f aca="false">SUM(I25:I29)</f>
        <v>#REF!</v>
      </c>
      <c r="J30" s="540"/>
    </row>
    <row r="31" customFormat="false" ht="12.75" hidden="false" customHeight="false" outlineLevel="0" collapsed="false">
      <c r="A31" s="540"/>
      <c r="B31" s="540"/>
      <c r="C31" s="540"/>
      <c r="D31" s="540"/>
      <c r="E31" s="540"/>
      <c r="F31" s="540"/>
      <c r="G31" s="540"/>
      <c r="H31" s="551" t="s">
        <v>994</v>
      </c>
      <c r="I31" s="548" t="n">
        <v>0.1525</v>
      </c>
      <c r="J31" s="540"/>
    </row>
    <row r="32" customFormat="false" ht="13.5" hidden="false" customHeight="false" outlineLevel="0" collapsed="false">
      <c r="A32" s="540"/>
      <c r="B32" s="540"/>
      <c r="C32" s="540"/>
      <c r="D32" s="540"/>
      <c r="E32" s="540"/>
      <c r="F32" s="540"/>
      <c r="G32" s="540"/>
      <c r="H32" s="549" t="s">
        <v>988</v>
      </c>
      <c r="I32" s="552" t="e">
        <f aca="false">+I31-I30</f>
        <v>#REF!</v>
      </c>
      <c r="J32" s="540"/>
    </row>
    <row r="33" customFormat="false" ht="13.5" hidden="false" customHeight="false" outlineLevel="0" collapsed="false">
      <c r="A33" s="540"/>
      <c r="B33" s="540"/>
      <c r="C33" s="540"/>
      <c r="D33" s="540"/>
      <c r="E33" s="540"/>
      <c r="F33" s="540"/>
      <c r="G33" s="540"/>
      <c r="H33" s="540"/>
      <c r="I33" s="544"/>
      <c r="J33" s="540"/>
    </row>
    <row r="34" customFormat="false" ht="12.75" hidden="false" customHeight="false" outlineLevel="0" collapsed="false">
      <c r="A34" s="540"/>
      <c r="B34" s="549" t="s">
        <v>93</v>
      </c>
      <c r="C34" s="540"/>
      <c r="D34" s="540"/>
      <c r="E34" s="540"/>
      <c r="F34" s="540" t="s">
        <v>974</v>
      </c>
      <c r="G34" s="540"/>
      <c r="H34" s="540" t="s">
        <v>974</v>
      </c>
      <c r="I34" s="540"/>
      <c r="J34" s="540"/>
    </row>
    <row r="35" customFormat="false" ht="12.75" hidden="false" customHeight="false" outlineLevel="0" collapsed="false">
      <c r="A35" s="540"/>
      <c r="B35" s="541" t="s">
        <v>975</v>
      </c>
      <c r="C35" s="541" t="s">
        <v>976</v>
      </c>
      <c r="D35" s="541" t="s">
        <v>977</v>
      </c>
      <c r="E35" s="541" t="s">
        <v>978</v>
      </c>
      <c r="F35" s="541" t="s">
        <v>979</v>
      </c>
      <c r="G35" s="541" t="s">
        <v>980</v>
      </c>
      <c r="H35" s="541" t="s">
        <v>980</v>
      </c>
      <c r="I35" s="541" t="s">
        <v>981</v>
      </c>
      <c r="J35" s="540"/>
    </row>
    <row r="36" customFormat="false" ht="12.75" hidden="false" customHeight="false" outlineLevel="0" collapsed="false">
      <c r="A36" s="540"/>
      <c r="B36" s="540" t="s">
        <v>995</v>
      </c>
      <c r="C36" s="543" t="n">
        <v>17</v>
      </c>
      <c r="D36" s="544" t="n">
        <f aca="false">+C36/C39</f>
        <v>0.17</v>
      </c>
      <c r="E36" s="544" t="n">
        <f aca="false">+Rates!B42</f>
        <v>0.259965227056208</v>
      </c>
      <c r="F36" s="544" t="n">
        <f aca="false">+D36*E36</f>
        <v>0.0441940885995554</v>
      </c>
      <c r="G36" s="544" t="n">
        <v>-0.055</v>
      </c>
      <c r="H36" s="544" t="n">
        <f aca="false">+G36*D36</f>
        <v>-0.00935</v>
      </c>
      <c r="I36" s="544" t="n">
        <f aca="false">+F36+H36</f>
        <v>0.0348440885995554</v>
      </c>
      <c r="J36" s="540"/>
    </row>
    <row r="37" customFormat="false" ht="12.75" hidden="false" customHeight="false" outlineLevel="0" collapsed="false">
      <c r="A37" s="540"/>
      <c r="B37" s="540" t="s">
        <v>996</v>
      </c>
      <c r="C37" s="543" t="n">
        <v>25</v>
      </c>
      <c r="D37" s="544" t="n">
        <f aca="false">+C37/C39</f>
        <v>0.25</v>
      </c>
      <c r="E37" s="544" t="n">
        <f aca="false">+Rates!B67</f>
        <v>0.246435878506644</v>
      </c>
      <c r="F37" s="544" t="n">
        <f aca="false">+D37*E37</f>
        <v>0.061608969626661</v>
      </c>
      <c r="G37" s="544" t="n">
        <v>-0.015</v>
      </c>
      <c r="H37" s="544" t="n">
        <f aca="false">+G37*D37</f>
        <v>-0.00375</v>
      </c>
      <c r="I37" s="544" t="n">
        <f aca="false">+F37+H37</f>
        <v>0.057858969626661</v>
      </c>
      <c r="J37" s="540"/>
    </row>
    <row r="38" customFormat="false" ht="12.75" hidden="false" customHeight="false" outlineLevel="0" collapsed="false">
      <c r="A38" s="540"/>
      <c r="B38" s="540" t="s">
        <v>997</v>
      </c>
      <c r="C38" s="545" t="n">
        <v>58</v>
      </c>
      <c r="D38" s="546" t="n">
        <f aca="false">+C38/C39</f>
        <v>0.58</v>
      </c>
      <c r="E38" s="544" t="n">
        <f aca="false">+Rates!B87</f>
        <v>0.226256003358523</v>
      </c>
      <c r="F38" s="546" t="n">
        <f aca="false">+D38*E38</f>
        <v>0.131228481947943</v>
      </c>
      <c r="G38" s="544" t="n">
        <v>0.0125</v>
      </c>
      <c r="H38" s="544" t="n">
        <f aca="false">+G38*D38</f>
        <v>0.00725</v>
      </c>
      <c r="I38" s="544" t="n">
        <f aca="false">+F38+H38</f>
        <v>0.138478481947943</v>
      </c>
      <c r="J38" s="540"/>
    </row>
    <row r="39" customFormat="false" ht="12.75" hidden="false" customHeight="false" outlineLevel="0" collapsed="false">
      <c r="A39" s="540"/>
      <c r="B39" s="540"/>
      <c r="C39" s="543" t="n">
        <f aca="false">SUM(C36:C38)</f>
        <v>100</v>
      </c>
      <c r="D39" s="544" t="n">
        <f aca="false">SUM(D36:D38)</f>
        <v>1</v>
      </c>
      <c r="E39" s="540"/>
      <c r="F39" s="544" t="n">
        <f aca="false">SUM(F36:F38)</f>
        <v>0.23703154017416</v>
      </c>
      <c r="G39" s="540"/>
      <c r="H39" s="544" t="n">
        <f aca="false">SUM(H36:H38)</f>
        <v>-0.00585</v>
      </c>
      <c r="I39" s="547" t="n">
        <f aca="false">SUM(I36:I38)</f>
        <v>0.231181540174159</v>
      </c>
      <c r="J39" s="540"/>
    </row>
    <row r="40" customFormat="false" ht="12.75" hidden="false" customHeight="false" outlineLevel="0" collapsed="false">
      <c r="A40" s="540"/>
      <c r="B40" s="540"/>
      <c r="C40" s="540"/>
      <c r="D40" s="540"/>
      <c r="E40" s="540"/>
      <c r="F40" s="540"/>
      <c r="G40" s="540"/>
      <c r="H40" s="540" t="s">
        <v>998</v>
      </c>
      <c r="I40" s="548" t="n">
        <v>0.3525</v>
      </c>
      <c r="J40" s="540"/>
    </row>
    <row r="41" customFormat="false" ht="13.5" hidden="false" customHeight="false" outlineLevel="0" collapsed="false">
      <c r="A41" s="540"/>
      <c r="B41" s="540"/>
      <c r="C41" s="540"/>
      <c r="D41" s="540"/>
      <c r="E41" s="540"/>
      <c r="F41" s="540"/>
      <c r="G41" s="540"/>
      <c r="H41" s="549" t="s">
        <v>988</v>
      </c>
      <c r="I41" s="550" t="n">
        <f aca="false">+I40-I39</f>
        <v>0.121318459825841</v>
      </c>
      <c r="J41" s="540"/>
      <c r="K41" s="553"/>
    </row>
    <row r="42" customFormat="false" ht="13.5" hidden="false" customHeight="false" outlineLevel="0" collapsed="false">
      <c r="A42" s="540"/>
      <c r="B42" s="540"/>
      <c r="C42" s="540"/>
      <c r="D42" s="540"/>
      <c r="E42" s="540"/>
      <c r="F42" s="540"/>
      <c r="G42" s="540"/>
      <c r="H42" s="540"/>
      <c r="I42" s="540"/>
      <c r="J42" s="540"/>
      <c r="K42" s="553"/>
    </row>
    <row r="43" customFormat="false" ht="12.75" hidden="false" customHeight="false" outlineLevel="0" collapsed="false">
      <c r="A43" s="540"/>
      <c r="B43" s="540"/>
      <c r="C43" s="540"/>
      <c r="D43" s="540"/>
      <c r="E43" s="540"/>
      <c r="F43" s="540"/>
      <c r="G43" s="540"/>
      <c r="H43" s="540"/>
      <c r="I43" s="540"/>
      <c r="J43" s="540"/>
      <c r="K43" s="554"/>
    </row>
    <row r="44" customFormat="false" ht="12.75" hidden="false" customHeight="false" outlineLevel="0" collapsed="false">
      <c r="A44" s="540"/>
      <c r="B44" s="549" t="s">
        <v>39</v>
      </c>
      <c r="C44" s="540" t="s">
        <v>205</v>
      </c>
      <c r="D44" s="540" t="s">
        <v>530</v>
      </c>
      <c r="E44" s="540" t="s">
        <v>465</v>
      </c>
      <c r="F44" s="540" t="s">
        <v>999</v>
      </c>
      <c r="G44" s="540" t="s">
        <v>1000</v>
      </c>
      <c r="H44" s="540" t="s">
        <v>1001</v>
      </c>
      <c r="I44" s="549" t="s">
        <v>988</v>
      </c>
      <c r="J44" s="540"/>
    </row>
    <row r="45" customFormat="false" ht="12.75" hidden="false" customHeight="false" outlineLevel="0" collapsed="false">
      <c r="A45" s="540"/>
      <c r="B45" s="540" t="s">
        <v>1002</v>
      </c>
      <c r="C45" s="548" t="e">
        <f aca="false">+#REF!</f>
        <v>#REF!</v>
      </c>
      <c r="D45" s="548" t="e">
        <f aca="false">+#REF!</f>
        <v>#REF!</v>
      </c>
      <c r="E45" s="548" t="e">
        <f aca="false">+D45+C45</f>
        <v>#REF!</v>
      </c>
      <c r="F45" s="548" t="n">
        <v>0</v>
      </c>
      <c r="G45" s="548" t="n">
        <v>-0.0225</v>
      </c>
      <c r="H45" s="548" t="n">
        <v>0.1325</v>
      </c>
      <c r="I45" s="548" t="e">
        <f aca="false">+H45-G45-F45-E45</f>
        <v>#REF!</v>
      </c>
      <c r="J45" s="540"/>
    </row>
    <row r="46" customFormat="false" ht="12.75" hidden="false" customHeight="false" outlineLevel="0" collapsed="false">
      <c r="A46" s="540"/>
      <c r="B46" s="540" t="s">
        <v>1003</v>
      </c>
      <c r="C46" s="548" t="e">
        <f aca="false">+#REF!</f>
        <v>#REF!</v>
      </c>
      <c r="D46" s="548" t="e">
        <f aca="false">+#REF!</f>
        <v>#REF!</v>
      </c>
      <c r="E46" s="548" t="e">
        <f aca="false">+D46+C46</f>
        <v>#REF!</v>
      </c>
      <c r="F46" s="548" t="n">
        <v>0</v>
      </c>
      <c r="G46" s="548" t="n">
        <v>-0.0225</v>
      </c>
      <c r="H46" s="548" t="n">
        <v>0.1325</v>
      </c>
      <c r="I46" s="555" t="e">
        <f aca="false">+H46-G46-F46-E46</f>
        <v>#REF!</v>
      </c>
      <c r="J46" s="540"/>
    </row>
    <row r="47" customFormat="false" ht="12.75" hidden="false" customHeight="false" outlineLevel="0" collapsed="false">
      <c r="A47" s="540"/>
      <c r="B47" s="540"/>
      <c r="C47" s="540"/>
      <c r="D47" s="540"/>
      <c r="E47" s="540"/>
      <c r="F47" s="540"/>
      <c r="G47" s="540"/>
      <c r="H47" s="540"/>
      <c r="I47" s="540"/>
      <c r="J47" s="540"/>
    </row>
    <row r="48" customFormat="false" ht="12.75" hidden="false" customHeight="false" outlineLevel="0" collapsed="false">
      <c r="A48" s="540"/>
      <c r="B48" s="540"/>
      <c r="C48" s="540"/>
      <c r="D48" s="540"/>
      <c r="E48" s="540"/>
      <c r="F48" s="540"/>
      <c r="G48" s="540"/>
      <c r="H48" s="540"/>
      <c r="I48" s="540"/>
      <c r="J48" s="540"/>
    </row>
    <row r="49" customFormat="false" ht="12.75" hidden="false" customHeight="false" outlineLevel="0" collapsed="false">
      <c r="A49" s="540"/>
      <c r="B49" s="549" t="s">
        <v>616</v>
      </c>
      <c r="C49" s="540" t="s">
        <v>949</v>
      </c>
      <c r="D49" s="540" t="s">
        <v>1004</v>
      </c>
      <c r="E49" s="540" t="s">
        <v>999</v>
      </c>
      <c r="F49" s="540" t="s">
        <v>1005</v>
      </c>
      <c r="H49" s="540"/>
      <c r="I49" s="549" t="s">
        <v>988</v>
      </c>
      <c r="J49" s="540"/>
    </row>
    <row r="50" customFormat="false" ht="12.75" hidden="false" customHeight="false" outlineLevel="0" collapsed="false">
      <c r="A50" s="540"/>
      <c r="B50" s="540" t="s">
        <v>1006</v>
      </c>
      <c r="C50" s="548" t="e">
        <f aca="false">+#REF!</f>
        <v>#REF!</v>
      </c>
      <c r="D50" s="556" t="n">
        <v>-0.0725</v>
      </c>
      <c r="E50" s="548" t="n">
        <v>0</v>
      </c>
      <c r="F50" s="548" t="n">
        <v>0.2175</v>
      </c>
      <c r="H50" s="540"/>
      <c r="I50" s="555" t="e">
        <f aca="false">+F50-D50-E50-C50</f>
        <v>#REF!</v>
      </c>
      <c r="J50" s="540"/>
    </row>
    <row r="51" customFormat="false" ht="12.75" hidden="false" customHeight="false" outlineLevel="0" collapsed="false">
      <c r="A51" s="540"/>
      <c r="B51" s="540" t="s">
        <v>1007</v>
      </c>
      <c r="C51" s="548" t="e">
        <f aca="false">+#REF!</f>
        <v>#REF!</v>
      </c>
      <c r="D51" s="556" t="n">
        <v>-0.06</v>
      </c>
      <c r="E51" s="548" t="n">
        <v>0</v>
      </c>
      <c r="F51" s="548" t="n">
        <v>0.2175</v>
      </c>
      <c r="H51" s="540"/>
      <c r="I51" s="555" t="e">
        <f aca="false">+F51-D51-E51-C51</f>
        <v>#REF!</v>
      </c>
      <c r="J51" s="540"/>
    </row>
    <row r="52" customFormat="false" ht="12.75" hidden="false" customHeight="false" outlineLevel="0" collapsed="false">
      <c r="A52" s="540"/>
      <c r="B52" s="540"/>
      <c r="C52" s="548"/>
      <c r="D52" s="556"/>
      <c r="E52" s="548"/>
      <c r="F52" s="548"/>
      <c r="H52" s="540"/>
      <c r="I52" s="555"/>
      <c r="J52" s="540"/>
    </row>
    <row r="53" customFormat="false" ht="12.75" hidden="false" customHeight="false" outlineLevel="0" collapsed="false">
      <c r="A53" s="540"/>
      <c r="B53" s="540"/>
      <c r="C53" s="548"/>
      <c r="D53" s="556"/>
      <c r="E53" s="548"/>
      <c r="F53" s="548"/>
      <c r="H53" s="540"/>
      <c r="I53" s="555"/>
      <c r="J53" s="540"/>
    </row>
    <row r="54" customFormat="false" ht="12.75" hidden="false" customHeight="false" outlineLevel="0" collapsed="false">
      <c r="A54" s="540"/>
      <c r="B54" s="540"/>
      <c r="C54" s="548"/>
      <c r="D54" s="556"/>
      <c r="E54" s="548"/>
      <c r="F54" s="548"/>
      <c r="H54" s="540"/>
      <c r="I54" s="555"/>
      <c r="J54" s="540"/>
    </row>
    <row r="55" customFormat="false" ht="12.75" hidden="false" customHeight="false" outlineLevel="0" collapsed="false">
      <c r="A55" s="540"/>
      <c r="B55" s="540" t="s">
        <v>1008</v>
      </c>
      <c r="C55" s="548" t="e">
        <f aca="false">+#REF!</f>
        <v>#REF!</v>
      </c>
      <c r="D55" s="556" t="n">
        <v>-0.0725</v>
      </c>
      <c r="E55" s="548" t="n">
        <v>0</v>
      </c>
      <c r="F55" s="548" t="n">
        <v>0.2525</v>
      </c>
      <c r="H55" s="540"/>
      <c r="I55" s="555" t="e">
        <f aca="false">+F55-D55-E55-C55</f>
        <v>#REF!</v>
      </c>
      <c r="J55" s="540"/>
    </row>
    <row r="56" customFormat="false" ht="12.75" hidden="false" customHeight="false" outlineLevel="0" collapsed="false">
      <c r="A56" s="540"/>
      <c r="B56" s="540" t="s">
        <v>1009</v>
      </c>
      <c r="C56" s="548" t="e">
        <f aca="false">+#REF!</f>
        <v>#REF!</v>
      </c>
      <c r="D56" s="556" t="n">
        <v>-0.06</v>
      </c>
      <c r="E56" s="548" t="n">
        <v>0</v>
      </c>
      <c r="F56" s="548" t="n">
        <v>0.2525</v>
      </c>
      <c r="H56" s="540"/>
      <c r="I56" s="555" t="e">
        <f aca="false">+F56-D56-E56-C56</f>
        <v>#REF!</v>
      </c>
      <c r="J56" s="540"/>
    </row>
    <row r="57" customFormat="false" ht="12.75" hidden="false" customHeight="false" outlineLevel="0" collapsed="false">
      <c r="A57" s="540" t="s">
        <v>1010</v>
      </c>
      <c r="B57" s="540" t="s">
        <v>1009</v>
      </c>
      <c r="C57" s="548" t="e">
        <f aca="false">+#REF!</f>
        <v>#REF!</v>
      </c>
      <c r="D57" s="556" t="n">
        <v>-0.05</v>
      </c>
      <c r="E57" s="548" t="n">
        <v>0.021</v>
      </c>
      <c r="F57" s="548" t="n">
        <v>0</v>
      </c>
      <c r="H57" s="540"/>
      <c r="I57" s="555" t="e">
        <f aca="false">+F57-D57-E57-C57</f>
        <v>#REF!</v>
      </c>
      <c r="J57" s="540"/>
    </row>
    <row r="58" customFormat="false" ht="12.75" hidden="false" customHeight="false" outlineLevel="0" collapsed="false">
      <c r="A58" s="540"/>
      <c r="B58" s="540"/>
      <c r="C58" s="540"/>
      <c r="D58" s="540"/>
      <c r="E58" s="540"/>
      <c r="F58" s="540"/>
      <c r="G58" s="540"/>
      <c r="H58" s="540"/>
      <c r="I58" s="540"/>
      <c r="J58" s="540"/>
    </row>
    <row r="59" customFormat="false" ht="12.75" hidden="false" customHeight="false" outlineLevel="0" collapsed="false">
      <c r="A59" s="540"/>
      <c r="B59" s="540"/>
      <c r="C59" s="540"/>
      <c r="D59" s="540"/>
      <c r="E59" s="540"/>
      <c r="F59" s="540"/>
      <c r="G59" s="540"/>
      <c r="H59" s="540"/>
      <c r="I59" s="540"/>
      <c r="J59" s="540"/>
    </row>
    <row r="60" customFormat="false" ht="12.75" hidden="false" customHeight="false" outlineLevel="0" collapsed="false">
      <c r="A60" s="540"/>
      <c r="B60" s="540"/>
      <c r="C60" s="540"/>
      <c r="D60" s="540"/>
      <c r="E60" s="540"/>
      <c r="F60" s="540"/>
      <c r="G60" s="540"/>
      <c r="H60" s="540"/>
      <c r="I60" s="540"/>
      <c r="J60" s="540"/>
    </row>
    <row r="61" customFormat="false" ht="12.75" hidden="false" customHeight="false" outlineLevel="0" collapsed="false">
      <c r="A61" s="540"/>
      <c r="B61" s="549" t="s">
        <v>616</v>
      </c>
      <c r="C61" s="540" t="s">
        <v>949</v>
      </c>
      <c r="D61" s="540" t="s">
        <v>1004</v>
      </c>
      <c r="E61" s="540" t="s">
        <v>999</v>
      </c>
      <c r="F61" s="540" t="s">
        <v>1005</v>
      </c>
      <c r="H61" s="540"/>
      <c r="I61" s="549" t="s">
        <v>988</v>
      </c>
      <c r="J61" s="540"/>
    </row>
    <row r="62" customFormat="false" ht="12.75" hidden="false" customHeight="false" outlineLevel="0" collapsed="false">
      <c r="A62" s="540"/>
      <c r="B62" s="540" t="s">
        <v>1006</v>
      </c>
      <c r="C62" s="548" t="n">
        <f aca="false">+Rates!H32</f>
        <v>0.272759056444819</v>
      </c>
      <c r="D62" s="556" t="n">
        <v>-0.0725</v>
      </c>
      <c r="E62" s="548" t="n">
        <v>0</v>
      </c>
      <c r="F62" s="548" t="n">
        <v>0.2175</v>
      </c>
      <c r="H62" s="540"/>
      <c r="I62" s="555" t="n">
        <f aca="false">+F62-D62-E62-C62</f>
        <v>0.0172409435551813</v>
      </c>
      <c r="J62" s="540"/>
    </row>
    <row r="63" customFormat="false" ht="12.75" hidden="false" customHeight="false" outlineLevel="0" collapsed="false">
      <c r="A63" s="540"/>
      <c r="B63" s="540" t="s">
        <v>1007</v>
      </c>
      <c r="C63" s="548" t="n">
        <f aca="false">+Rates!H67</f>
        <v>0.237291463796887</v>
      </c>
      <c r="D63" s="556" t="n">
        <v>-0.06</v>
      </c>
      <c r="E63" s="548" t="n">
        <v>0</v>
      </c>
      <c r="F63" s="548" t="n">
        <v>0.2175</v>
      </c>
      <c r="H63" s="540"/>
      <c r="I63" s="555" t="n">
        <f aca="false">+F63-D63-E63-C63</f>
        <v>0.0402085362031133</v>
      </c>
      <c r="J63" s="540"/>
    </row>
    <row r="64" customFormat="false" ht="12.75" hidden="false" customHeight="false" outlineLevel="0" collapsed="false">
      <c r="A64" s="540"/>
      <c r="B64" s="540" t="s">
        <v>1008</v>
      </c>
      <c r="C64" s="548" t="n">
        <f aca="false">+Rates!H37</f>
        <v>0.321614012738854</v>
      </c>
      <c r="D64" s="556" t="n">
        <v>-0.0725</v>
      </c>
      <c r="E64" s="548" t="n">
        <v>0</v>
      </c>
      <c r="F64" s="548" t="n">
        <v>0.2525</v>
      </c>
      <c r="H64" s="540"/>
      <c r="I64" s="555" t="n">
        <f aca="false">+F64-D64-E64-C64</f>
        <v>0.0033859872611462</v>
      </c>
      <c r="J64" s="540"/>
    </row>
    <row r="65" customFormat="false" ht="12.75" hidden="false" customHeight="false" outlineLevel="0" collapsed="false">
      <c r="A65" s="540"/>
      <c r="B65" s="540" t="s">
        <v>1009</v>
      </c>
      <c r="C65" s="548" t="n">
        <f aca="false">+Rates!H72</f>
        <v>0.286413018748683</v>
      </c>
      <c r="D65" s="556" t="n">
        <v>-0.06</v>
      </c>
      <c r="E65" s="548" t="n">
        <v>0</v>
      </c>
      <c r="F65" s="548" t="n">
        <v>0.2525</v>
      </c>
      <c r="H65" s="540"/>
      <c r="I65" s="555" t="n">
        <f aca="false">+F65-D65-E65-C65</f>
        <v>0.0260869812513167</v>
      </c>
      <c r="J65" s="540"/>
    </row>
    <row r="66" customFormat="false" ht="12.75" hidden="false" customHeight="false" outlineLevel="0" collapsed="false">
      <c r="A66" s="540"/>
      <c r="B66" s="540"/>
      <c r="C66" s="540"/>
      <c r="D66" s="540"/>
      <c r="E66" s="540"/>
      <c r="F66" s="540"/>
      <c r="G66" s="540"/>
      <c r="H66" s="540"/>
      <c r="I66" s="540"/>
      <c r="J66" s="540"/>
    </row>
    <row r="67" customFormat="false" ht="12.75" hidden="false" customHeight="false" outlineLevel="0" collapsed="false">
      <c r="A67" s="540"/>
      <c r="B67" s="540"/>
      <c r="C67" s="540"/>
      <c r="D67" s="540"/>
      <c r="E67" s="540"/>
      <c r="F67" s="540"/>
      <c r="G67" s="540"/>
      <c r="H67" s="540"/>
      <c r="I67" s="540"/>
      <c r="J67" s="540"/>
    </row>
    <row r="68" customFormat="false" ht="12.75" hidden="false" customHeight="false" outlineLevel="0" collapsed="false">
      <c r="A68" s="540"/>
      <c r="B68" s="540"/>
      <c r="C68" s="540"/>
      <c r="D68" s="540"/>
      <c r="E68" s="540"/>
      <c r="F68" s="540"/>
      <c r="G68" s="540"/>
      <c r="H68" s="540"/>
      <c r="I68" s="540"/>
      <c r="J68" s="540"/>
    </row>
    <row r="69" customFormat="false" ht="12.75" hidden="false" customHeight="false" outlineLevel="0" collapsed="false">
      <c r="A69" s="540"/>
      <c r="B69" s="540"/>
      <c r="C69" s="540"/>
      <c r="D69" s="540"/>
      <c r="E69" s="540"/>
      <c r="F69" s="540"/>
      <c r="G69" s="540"/>
      <c r="H69" s="540"/>
      <c r="I69" s="540"/>
      <c r="J69" s="540"/>
    </row>
    <row r="70" customFormat="false" ht="12.75" hidden="false" customHeight="false" outlineLevel="0" collapsed="false">
      <c r="A70" s="540"/>
      <c r="B70" s="540"/>
      <c r="C70" s="540"/>
      <c r="D70" s="540"/>
      <c r="E70" s="540"/>
      <c r="F70" s="540"/>
      <c r="G70" s="540"/>
      <c r="H70" s="540"/>
      <c r="I70" s="540"/>
      <c r="J70" s="540"/>
    </row>
    <row r="71" customFormat="false" ht="12.75" hidden="false" customHeight="false" outlineLevel="0" collapsed="false">
      <c r="A71" s="540"/>
      <c r="B71" s="540" t="s">
        <v>25</v>
      </c>
      <c r="C71" s="540"/>
      <c r="D71" s="540"/>
      <c r="E71" s="540"/>
      <c r="F71" s="540"/>
      <c r="G71" s="540"/>
      <c r="H71" s="540"/>
      <c r="I71" s="540"/>
      <c r="J71" s="540"/>
    </row>
    <row r="72" customFormat="false" ht="12.75" hidden="false" customHeight="false" outlineLevel="0" collapsed="false">
      <c r="A72" s="540"/>
      <c r="B72" s="540"/>
      <c r="C72" s="540"/>
      <c r="D72" s="540"/>
      <c r="E72" s="540"/>
      <c r="F72" s="540" t="s">
        <v>974</v>
      </c>
      <c r="G72" s="540"/>
      <c r="H72" s="540" t="s">
        <v>974</v>
      </c>
      <c r="I72" s="540"/>
      <c r="J72" s="540"/>
    </row>
    <row r="73" customFormat="false" ht="12.75" hidden="false" customHeight="false" outlineLevel="0" collapsed="false">
      <c r="A73" s="540"/>
      <c r="B73" s="541" t="s">
        <v>975</v>
      </c>
      <c r="C73" s="541" t="s">
        <v>976</v>
      </c>
      <c r="D73" s="541" t="s">
        <v>977</v>
      </c>
      <c r="E73" s="541" t="s">
        <v>978</v>
      </c>
      <c r="F73" s="541" t="s">
        <v>979</v>
      </c>
      <c r="G73" s="541" t="s">
        <v>980</v>
      </c>
      <c r="H73" s="541" t="s">
        <v>980</v>
      </c>
      <c r="I73" s="541" t="s">
        <v>981</v>
      </c>
      <c r="J73" s="540"/>
    </row>
    <row r="74" customFormat="false" ht="12.75" hidden="false" customHeight="false" outlineLevel="0" collapsed="false">
      <c r="A74" s="540"/>
      <c r="B74" s="542" t="s">
        <v>1011</v>
      </c>
      <c r="C74" s="543" t="n">
        <v>5000</v>
      </c>
      <c r="D74" s="544" t="n">
        <f aca="false">+C74/C74</f>
        <v>1</v>
      </c>
      <c r="E74" s="544" t="e">
        <f aca="false">+#REF!</f>
        <v>#REF!</v>
      </c>
      <c r="F74" s="544" t="e">
        <f aca="false">+D74*E74</f>
        <v>#REF!</v>
      </c>
      <c r="G74" s="544" t="n">
        <v>-0.23</v>
      </c>
      <c r="H74" s="544" t="n">
        <f aca="false">+G74*D74</f>
        <v>-0.23</v>
      </c>
      <c r="I74" s="544" t="e">
        <f aca="false">+F74+H74</f>
        <v>#REF!</v>
      </c>
      <c r="J74" s="540"/>
    </row>
    <row r="75" customFormat="false" ht="12.75" hidden="false" customHeight="false" outlineLevel="0" collapsed="false">
      <c r="A75" s="540"/>
      <c r="B75" s="542" t="s">
        <v>1012</v>
      </c>
      <c r="C75" s="543" t="s">
        <v>1</v>
      </c>
      <c r="D75" s="544" t="s">
        <v>1</v>
      </c>
      <c r="E75" s="544" t="s">
        <v>1</v>
      </c>
      <c r="F75" s="544" t="s">
        <v>339</v>
      </c>
      <c r="G75" s="544" t="s">
        <v>1</v>
      </c>
      <c r="H75" s="544" t="s">
        <v>1</v>
      </c>
      <c r="I75" s="544" t="n">
        <v>-0.05</v>
      </c>
      <c r="J75" s="540"/>
    </row>
    <row r="76" customFormat="false" ht="12.75" hidden="false" customHeight="false" outlineLevel="0" collapsed="false">
      <c r="A76" s="540"/>
      <c r="B76" s="540"/>
      <c r="C76" s="540"/>
      <c r="D76" s="540"/>
      <c r="E76" s="540"/>
      <c r="F76" s="540"/>
      <c r="G76" s="540"/>
      <c r="H76" s="540"/>
      <c r="I76" s="540"/>
      <c r="J76" s="540"/>
    </row>
    <row r="77" customFormat="false" ht="12.75" hidden="false" customHeight="false" outlineLevel="0" collapsed="false">
      <c r="A77" s="540"/>
      <c r="B77" s="540"/>
      <c r="C77" s="540"/>
      <c r="D77" s="540"/>
      <c r="E77" s="540"/>
      <c r="F77" s="540"/>
      <c r="G77" s="540"/>
      <c r="H77" s="540"/>
      <c r="I77" s="540"/>
      <c r="J77" s="540"/>
    </row>
    <row r="78" customFormat="false" ht="12.75" hidden="false" customHeight="false" outlineLevel="0" collapsed="false">
      <c r="A78" s="540"/>
      <c r="B78" s="542" t="s">
        <v>983</v>
      </c>
      <c r="C78" s="543" t="n">
        <v>0</v>
      </c>
      <c r="D78" s="544" t="e">
        <f aca="false">+C78/C82</f>
        <v>#DIV/0!</v>
      </c>
      <c r="E78" s="544" t="e">
        <f aca="false">+#REF!</f>
        <v>#REF!</v>
      </c>
      <c r="F78" s="544" t="e">
        <f aca="false">+D78*E78</f>
        <v>#REF!</v>
      </c>
      <c r="G78" s="544" t="n">
        <v>-0.07</v>
      </c>
      <c r="H78" s="544" t="e">
        <f aca="false">+G78*D78</f>
        <v>#DIV/0!</v>
      </c>
      <c r="I78" s="544" t="e">
        <f aca="false">+F78+H78</f>
        <v>#DIV/0!</v>
      </c>
      <c r="J78" s="540"/>
    </row>
    <row r="79" customFormat="false" ht="12.75" hidden="false" customHeight="false" outlineLevel="0" collapsed="false">
      <c r="A79" s="540"/>
      <c r="B79" s="540"/>
      <c r="C79" s="540"/>
      <c r="D79" s="540"/>
      <c r="E79" s="540"/>
      <c r="F79" s="540"/>
      <c r="G79" s="540"/>
      <c r="H79" s="540"/>
      <c r="I79" s="540"/>
      <c r="J79" s="540"/>
    </row>
    <row r="80" customFormat="false" ht="12.75" hidden="false" customHeight="false" outlineLevel="0" collapsed="false">
      <c r="A80" s="540"/>
      <c r="B80" s="540"/>
      <c r="C80" s="540"/>
      <c r="D80" s="540"/>
      <c r="E80" s="540"/>
      <c r="F80" s="540"/>
      <c r="G80" s="540"/>
      <c r="H80" s="540"/>
      <c r="I80" s="540"/>
      <c r="J80" s="540"/>
    </row>
    <row r="81" customFormat="false" ht="12.75" hidden="false" customHeight="false" outlineLevel="0" collapsed="false">
      <c r="A81" s="540"/>
      <c r="B81" s="540"/>
      <c r="C81" s="540"/>
      <c r="D81" s="540"/>
      <c r="E81" s="540"/>
      <c r="F81" s="540"/>
      <c r="G81" s="540"/>
      <c r="H81" s="540"/>
      <c r="I81" s="540"/>
      <c r="J81" s="540"/>
    </row>
    <row r="100" customFormat="false" ht="12.75" hidden="false" customHeight="false" outlineLevel="0" collapsed="false">
      <c r="M100" s="539" t="s">
        <v>1013</v>
      </c>
      <c r="N100" s="539" t="s">
        <v>1014</v>
      </c>
    </row>
    <row r="101" customFormat="false" ht="12.75" hidden="false" customHeight="false" outlineLevel="0" collapsed="false">
      <c r="B101" s="549" t="s">
        <v>616</v>
      </c>
      <c r="C101" s="541" t="s">
        <v>976</v>
      </c>
      <c r="D101" s="541" t="s">
        <v>977</v>
      </c>
      <c r="E101" s="540" t="s">
        <v>949</v>
      </c>
      <c r="F101" s="540" t="s">
        <v>1004</v>
      </c>
      <c r="G101" s="540" t="s">
        <v>1015</v>
      </c>
      <c r="H101" s="540" t="s">
        <v>1016</v>
      </c>
      <c r="I101" s="540" t="s">
        <v>1005</v>
      </c>
      <c r="J101" s="540"/>
      <c r="K101" s="549" t="s">
        <v>988</v>
      </c>
      <c r="L101" s="539" t="s">
        <v>1017</v>
      </c>
      <c r="M101" s="539" t="s">
        <v>1018</v>
      </c>
      <c r="N101" s="539" t="s">
        <v>1019</v>
      </c>
    </row>
    <row r="102" customFormat="false" ht="12.75" hidden="false" customHeight="false" outlineLevel="0" collapsed="false">
      <c r="B102" s="540" t="s">
        <v>1006</v>
      </c>
      <c r="C102" s="543" t="n">
        <v>1163</v>
      </c>
      <c r="D102" s="544" t="n">
        <f aca="false">+C102/C105</f>
        <v>0.358397534668721</v>
      </c>
      <c r="E102" s="548" t="e">
        <f aca="false">+#REF!</f>
        <v>#REF!</v>
      </c>
      <c r="F102" s="556" t="n">
        <v>-0.0725</v>
      </c>
      <c r="G102" s="557" t="e">
        <f aca="false">+D102*E102</f>
        <v>#REF!</v>
      </c>
      <c r="H102" s="548" t="n">
        <f aca="false">+F102*D102</f>
        <v>-0.0259838212634823</v>
      </c>
      <c r="I102" s="548" t="n">
        <v>0.2175</v>
      </c>
      <c r="J102" s="540"/>
      <c r="K102" s="558" t="e">
        <f aca="false">(+G102*H102)</f>
        <v>#REF!</v>
      </c>
      <c r="L102" s="539" t="n">
        <f aca="false">+I102-F102</f>
        <v>0.29</v>
      </c>
      <c r="M102" s="539" t="e">
        <f aca="false">+L102-E102</f>
        <v>#REF!</v>
      </c>
      <c r="N102" s="539" t="e">
        <f aca="false">+M102*5</f>
        <v>#REF!</v>
      </c>
      <c r="O102" s="0" t="e">
        <f aca="false">+N102*D102</f>
        <v>#REF!</v>
      </c>
    </row>
    <row r="103" customFormat="false" ht="12.75" hidden="false" customHeight="false" outlineLevel="0" collapsed="false">
      <c r="B103" s="540" t="s">
        <v>1007</v>
      </c>
      <c r="C103" s="543" t="n">
        <v>2082</v>
      </c>
      <c r="D103" s="544" t="n">
        <f aca="false">+C103/C105</f>
        <v>0.641602465331279</v>
      </c>
      <c r="E103" s="548" t="e">
        <f aca="false">+#REF!</f>
        <v>#REF!</v>
      </c>
      <c r="F103" s="556" t="n">
        <v>-0.06</v>
      </c>
      <c r="G103" s="557" t="e">
        <f aca="false">+D103*E103</f>
        <v>#REF!</v>
      </c>
      <c r="H103" s="548" t="n">
        <f aca="false">+F103*D103</f>
        <v>-0.0384961479198767</v>
      </c>
      <c r="I103" s="548" t="n">
        <v>0.2175</v>
      </c>
      <c r="J103" s="540"/>
      <c r="K103" s="558" t="e">
        <f aca="false">(+G103*H103)</f>
        <v>#REF!</v>
      </c>
      <c r="L103" s="539" t="n">
        <f aca="false">+I103-F103</f>
        <v>0.2775</v>
      </c>
      <c r="M103" s="539" t="e">
        <f aca="false">+L103-E103</f>
        <v>#REF!</v>
      </c>
      <c r="N103" s="539" t="e">
        <f aca="false">+M103*5</f>
        <v>#REF!</v>
      </c>
      <c r="O103" s="0" t="e">
        <f aca="false">+N103*D103</f>
        <v>#REF!</v>
      </c>
    </row>
    <row r="104" customFormat="false" ht="12.75" hidden="false" customHeight="false" outlineLevel="0" collapsed="false">
      <c r="C104" s="545" t="n">
        <v>0</v>
      </c>
      <c r="D104" s="546" t="n">
        <f aca="false">+C104/C105</f>
        <v>0</v>
      </c>
      <c r="O104" s="0" t="e">
        <f aca="false">SUM(O102:O103)</f>
        <v>#REF!</v>
      </c>
    </row>
    <row r="105" customFormat="false" ht="12.75" hidden="false" customHeight="false" outlineLevel="0" collapsed="false">
      <c r="C105" s="543" t="n">
        <f aca="false">SUM(C102:C104)</f>
        <v>3245</v>
      </c>
      <c r="D105" s="544" t="n">
        <f aca="false">SUM(D102:D104)</f>
        <v>1</v>
      </c>
    </row>
    <row r="106" customFormat="false" ht="12.75" hidden="false" customHeight="false" outlineLevel="0" collapsed="false">
      <c r="C106" s="554" t="n">
        <f aca="false">+C102*F102</f>
        <v>-84.3175</v>
      </c>
    </row>
    <row r="107" customFormat="false" ht="12.75" hidden="false" customHeight="false" outlineLevel="0" collapsed="false">
      <c r="C107" s="554" t="n">
        <f aca="false">+C103*F103</f>
        <v>-124.92</v>
      </c>
    </row>
    <row r="108" customFormat="false" ht="12.75" hidden="false" customHeight="false" outlineLevel="0" collapsed="false">
      <c r="C108" s="554" t="n">
        <f aca="false">+C107+C106</f>
        <v>-209.2375</v>
      </c>
      <c r="D108" s="0" t="n">
        <f aca="false">+C108/C105</f>
        <v>-0.064479969183359</v>
      </c>
      <c r="I108" s="0" t="s">
        <v>1</v>
      </c>
    </row>
    <row r="109" customFormat="false" ht="12.75" hidden="false" customHeight="false" outlineLevel="0" collapsed="false">
      <c r="A109" s="540"/>
      <c r="B109" s="549" t="s">
        <v>616</v>
      </c>
      <c r="C109" s="540" t="s">
        <v>1</v>
      </c>
      <c r="D109" s="541" t="s">
        <v>977</v>
      </c>
      <c r="E109" s="540" t="s">
        <v>1020</v>
      </c>
      <c r="F109" s="540" t="s">
        <v>1021</v>
      </c>
      <c r="G109" s="0" t="s">
        <v>1015</v>
      </c>
      <c r="H109" s="540" t="s">
        <v>1016</v>
      </c>
      <c r="I109" s="540" t="s">
        <v>1005</v>
      </c>
      <c r="J109" s="540"/>
      <c r="K109" s="549" t="s">
        <v>988</v>
      </c>
    </row>
    <row r="110" customFormat="false" ht="12.75" hidden="false" customHeight="false" outlineLevel="0" collapsed="false">
      <c r="A110" s="540"/>
      <c r="B110" s="540" t="s">
        <v>1006</v>
      </c>
      <c r="C110" s="543" t="n">
        <v>1163</v>
      </c>
      <c r="D110" s="544" t="n">
        <f aca="false">+C110/C113</f>
        <v>0.358397534668721</v>
      </c>
      <c r="E110" s="548" t="n">
        <f aca="false">+Rates!H32</f>
        <v>0.272759056444819</v>
      </c>
      <c r="F110" s="556" t="n">
        <v>-0.0725</v>
      </c>
      <c r="G110" s="557" t="n">
        <f aca="false">+D110*E110</f>
        <v>0.0977561733883896</v>
      </c>
      <c r="H110" s="548" t="n">
        <f aca="false">+F110*D110</f>
        <v>-0.0259838212634823</v>
      </c>
      <c r="I110" s="548" t="n">
        <v>0.2175</v>
      </c>
      <c r="J110" s="540"/>
      <c r="K110" s="558" t="n">
        <f aca="false">(+G110*H110)</f>
        <v>-0.0025400789367259</v>
      </c>
      <c r="L110" s="539" t="n">
        <f aca="false">+I110-F110</f>
        <v>0.29</v>
      </c>
      <c r="M110" s="539" t="n">
        <f aca="false">+L110-E110</f>
        <v>0.0172409435551813</v>
      </c>
      <c r="N110" s="539" t="n">
        <f aca="false">+M110*7</f>
        <v>0.120686604886269</v>
      </c>
      <c r="O110" s="0" t="n">
        <f aca="false">+N110*D110</f>
        <v>0.0432537816587769</v>
      </c>
    </row>
    <row r="111" customFormat="false" ht="12.75" hidden="false" customHeight="false" outlineLevel="0" collapsed="false">
      <c r="A111" s="540"/>
      <c r="B111" s="540" t="s">
        <v>1022</v>
      </c>
      <c r="C111" s="543" t="n">
        <v>2082</v>
      </c>
      <c r="D111" s="544" t="n">
        <f aca="false">+C111/C113</f>
        <v>0.641602465331279</v>
      </c>
      <c r="E111" s="548" t="n">
        <f aca="false">+Rates!H67</f>
        <v>0.237291463796887</v>
      </c>
      <c r="F111" s="548" t="n">
        <v>-0.06</v>
      </c>
      <c r="G111" s="557" t="n">
        <f aca="false">+D111*E111</f>
        <v>0.15224678817415</v>
      </c>
      <c r="H111" s="548" t="n">
        <f aca="false">+F111*D111</f>
        <v>-0.0384961479198767</v>
      </c>
      <c r="I111" s="548" t="n">
        <v>0.2175</v>
      </c>
      <c r="J111" s="540"/>
      <c r="K111" s="558" t="n">
        <f aca="false">(+G111*H111)</f>
        <v>-0.00586091487787823</v>
      </c>
      <c r="L111" s="539" t="n">
        <f aca="false">+I111-F111</f>
        <v>0.2775</v>
      </c>
      <c r="M111" s="539" t="n">
        <f aca="false">+L111-E111</f>
        <v>0.0402085362031133</v>
      </c>
      <c r="N111" s="539" t="n">
        <f aca="false">+M111*7</f>
        <v>0.281459753421793</v>
      </c>
      <c r="O111" s="0" t="n">
        <f aca="false">+N111*D111</f>
        <v>0.180585271686956</v>
      </c>
    </row>
    <row r="112" customFormat="false" ht="12.75" hidden="false" customHeight="false" outlineLevel="0" collapsed="false">
      <c r="A112" s="540"/>
      <c r="B112" s="540"/>
      <c r="C112" s="548" t="n">
        <v>0</v>
      </c>
      <c r="D112" s="546" t="n">
        <f aca="false">+C112/C113</f>
        <v>0</v>
      </c>
      <c r="E112" s="548"/>
      <c r="F112" s="548" t="s">
        <v>1</v>
      </c>
      <c r="H112" s="540"/>
      <c r="I112" s="555"/>
      <c r="J112" s="540"/>
      <c r="O112" s="0" t="n">
        <f aca="false">SUM(O110:O111)</f>
        <v>0.223839053345733</v>
      </c>
    </row>
    <row r="113" customFormat="false" ht="12.75" hidden="false" customHeight="false" outlineLevel="0" collapsed="false">
      <c r="C113" s="543" t="n">
        <f aca="false">SUM(C110:C112)</f>
        <v>3245</v>
      </c>
      <c r="D113" s="544" t="n">
        <f aca="false">SUM(D110:D112)</f>
        <v>1</v>
      </c>
      <c r="M113" s="539" t="n">
        <f aca="false">AVERAGE(M110:M111)</f>
        <v>0.0287247398791473</v>
      </c>
    </row>
    <row r="114" customFormat="false" ht="12.75" hidden="false" customHeight="false" outlineLevel="0" collapsed="false">
      <c r="O114" s="0" t="e">
        <f aca="false">+O112+O104</f>
        <v>#REF!</v>
      </c>
    </row>
    <row r="115" customFormat="false" ht="12.75" hidden="false" customHeight="false" outlineLevel="0" collapsed="false">
      <c r="O115" s="0" t="e">
        <f aca="false">+O114/12</f>
        <v>#REF!</v>
      </c>
    </row>
    <row r="116" customFormat="false" ht="12.75" hidden="false" customHeight="false" outlineLevel="0" collapsed="false">
      <c r="M116" s="539" t="n">
        <f aca="false">+M113+M105</f>
        <v>0.0287247398791473</v>
      </c>
    </row>
    <row r="131" customFormat="false" ht="12.75" hidden="false" customHeight="false" outlineLevel="0" collapsed="false">
      <c r="B131" s="549" t="s">
        <v>616</v>
      </c>
      <c r="C131" s="541" t="s">
        <v>976</v>
      </c>
      <c r="D131" s="541" t="s">
        <v>977</v>
      </c>
      <c r="E131" s="540" t="s">
        <v>949</v>
      </c>
      <c r="F131" s="540" t="s">
        <v>1004</v>
      </c>
      <c r="G131" s="540" t="s">
        <v>1015</v>
      </c>
      <c r="H131" s="540" t="s">
        <v>1016</v>
      </c>
      <c r="I131" s="540" t="s">
        <v>1023</v>
      </c>
      <c r="J131" s="540"/>
      <c r="K131" s="549" t="s">
        <v>1</v>
      </c>
      <c r="L131" s="539" t="s">
        <v>1017</v>
      </c>
      <c r="M131" s="539" t="s">
        <v>1018</v>
      </c>
      <c r="N131" s="539" t="s">
        <v>1019</v>
      </c>
    </row>
    <row r="132" customFormat="false" ht="12.75" hidden="false" customHeight="false" outlineLevel="0" collapsed="false">
      <c r="B132" s="540" t="s">
        <v>1008</v>
      </c>
      <c r="C132" s="543" t="n">
        <v>1163</v>
      </c>
      <c r="D132" s="544" t="n">
        <f aca="false">+C132/C135</f>
        <v>0.358397534668721</v>
      </c>
      <c r="E132" s="548" t="e">
        <f aca="false">+#REF!</f>
        <v>#REF!</v>
      </c>
      <c r="F132" s="556" t="n">
        <v>-0.0725</v>
      </c>
      <c r="G132" s="557" t="e">
        <f aca="false">+D132*E132</f>
        <v>#REF!</v>
      </c>
      <c r="H132" s="548" t="n">
        <f aca="false">+F132*D132</f>
        <v>-0.0259838212634823</v>
      </c>
      <c r="I132" s="548" t="n">
        <v>0.2525</v>
      </c>
      <c r="J132" s="540"/>
      <c r="K132" s="558" t="s">
        <v>1</v>
      </c>
      <c r="L132" s="539" t="n">
        <f aca="false">+I132-F132</f>
        <v>0.325</v>
      </c>
      <c r="M132" s="539" t="e">
        <f aca="false">+L132-E132</f>
        <v>#REF!</v>
      </c>
      <c r="N132" s="539" t="e">
        <f aca="false">+M132*5</f>
        <v>#REF!</v>
      </c>
      <c r="O132" s="0" t="e">
        <f aca="false">+N132*D132</f>
        <v>#REF!</v>
      </c>
    </row>
    <row r="133" customFormat="false" ht="12.75" hidden="false" customHeight="false" outlineLevel="0" collapsed="false">
      <c r="B133" s="540" t="s">
        <v>1009</v>
      </c>
      <c r="C133" s="543" t="n">
        <v>2082</v>
      </c>
      <c r="D133" s="544" t="n">
        <f aca="false">+C133/C135</f>
        <v>0.641602465331279</v>
      </c>
      <c r="E133" s="548" t="e">
        <f aca="false">+#REF!</f>
        <v>#REF!</v>
      </c>
      <c r="F133" s="556" t="n">
        <v>-0.06</v>
      </c>
      <c r="G133" s="557" t="e">
        <f aca="false">+D133*E133</f>
        <v>#REF!</v>
      </c>
      <c r="H133" s="548" t="n">
        <f aca="false">+F133*D133</f>
        <v>-0.0384961479198767</v>
      </c>
      <c r="I133" s="548" t="n">
        <v>0.2525</v>
      </c>
      <c r="J133" s="540"/>
      <c r="K133" s="558" t="s">
        <v>1</v>
      </c>
      <c r="L133" s="539" t="n">
        <f aca="false">+I133-F133</f>
        <v>0.3125</v>
      </c>
      <c r="M133" s="539" t="e">
        <f aca="false">+L133-E133</f>
        <v>#REF!</v>
      </c>
      <c r="N133" s="539" t="e">
        <f aca="false">+M133*5</f>
        <v>#REF!</v>
      </c>
      <c r="O133" s="0" t="e">
        <f aca="false">+N133*D133</f>
        <v>#REF!</v>
      </c>
    </row>
    <row r="134" customFormat="false" ht="12.75" hidden="false" customHeight="false" outlineLevel="0" collapsed="false">
      <c r="C134" s="545" t="n">
        <v>0</v>
      </c>
      <c r="D134" s="546" t="n">
        <f aca="false">+C134/C135</f>
        <v>0</v>
      </c>
      <c r="O134" s="0" t="e">
        <f aca="false">SUM(O132:O133)</f>
        <v>#REF!</v>
      </c>
    </row>
    <row r="135" customFormat="false" ht="12.75" hidden="false" customHeight="false" outlineLevel="0" collapsed="false">
      <c r="C135" s="543" t="n">
        <f aca="false">SUM(C132:C134)</f>
        <v>3245</v>
      </c>
      <c r="D135" s="544" t="n">
        <f aca="false">SUM(D132:D134)</f>
        <v>1</v>
      </c>
    </row>
    <row r="136" customFormat="false" ht="12.75" hidden="false" customHeight="false" outlineLevel="0" collapsed="false">
      <c r="C136" s="554" t="n">
        <f aca="false">+C132*F132</f>
        <v>-84.3175</v>
      </c>
    </row>
    <row r="137" customFormat="false" ht="12.75" hidden="false" customHeight="false" outlineLevel="0" collapsed="false">
      <c r="C137" s="554" t="n">
        <f aca="false">+C133*F133</f>
        <v>-124.92</v>
      </c>
    </row>
    <row r="138" customFormat="false" ht="12.75" hidden="false" customHeight="false" outlineLevel="0" collapsed="false">
      <c r="C138" s="554" t="n">
        <f aca="false">+C137+C136</f>
        <v>-209.2375</v>
      </c>
      <c r="D138" s="0" t="n">
        <f aca="false">+C138/C135</f>
        <v>-0.064479969183359</v>
      </c>
      <c r="I138" s="0" t="s">
        <v>1</v>
      </c>
    </row>
    <row r="139" customFormat="false" ht="12.75" hidden="false" customHeight="false" outlineLevel="0" collapsed="false">
      <c r="A139" s="540"/>
      <c r="B139" s="549" t="s">
        <v>616</v>
      </c>
      <c r="C139" s="540" t="s">
        <v>1</v>
      </c>
      <c r="D139" s="541" t="s">
        <v>977</v>
      </c>
      <c r="E139" s="540" t="s">
        <v>1020</v>
      </c>
      <c r="F139" s="540" t="s">
        <v>1021</v>
      </c>
      <c r="G139" s="0" t="s">
        <v>1015</v>
      </c>
      <c r="H139" s="540" t="s">
        <v>1016</v>
      </c>
      <c r="I139" s="540" t="s">
        <v>1005</v>
      </c>
      <c r="J139" s="540"/>
      <c r="K139" s="549" t="s">
        <v>1</v>
      </c>
    </row>
    <row r="140" customFormat="false" ht="12.75" hidden="false" customHeight="false" outlineLevel="0" collapsed="false">
      <c r="A140" s="540"/>
      <c r="B140" s="540" t="s">
        <v>1008</v>
      </c>
      <c r="C140" s="543" t="n">
        <v>1163</v>
      </c>
      <c r="D140" s="544" t="n">
        <f aca="false">+C140/C143</f>
        <v>0.358397534668721</v>
      </c>
      <c r="E140" s="548" t="n">
        <f aca="false">+Rates!H37</f>
        <v>0.321614012738854</v>
      </c>
      <c r="F140" s="556" t="n">
        <v>-0.0725</v>
      </c>
      <c r="G140" s="557" t="n">
        <f aca="false">+D140*E140</f>
        <v>0.11526566928052</v>
      </c>
      <c r="H140" s="548" t="n">
        <f aca="false">+F140*D140</f>
        <v>-0.0259838212634823</v>
      </c>
      <c r="I140" s="548" t="n">
        <v>0.2525</v>
      </c>
      <c r="J140" s="540"/>
      <c r="K140" s="558" t="s">
        <v>1</v>
      </c>
      <c r="L140" s="539" t="n">
        <f aca="false">+I140-F140</f>
        <v>0.325</v>
      </c>
      <c r="M140" s="539" t="n">
        <f aca="false">+L140-E140</f>
        <v>0.0033859872611462</v>
      </c>
      <c r="N140" s="539" t="n">
        <f aca="false">+M140*7</f>
        <v>0.0237019108280234</v>
      </c>
      <c r="O140" s="0" t="n">
        <f aca="false">+N140*D140</f>
        <v>0.00849470640770144</v>
      </c>
    </row>
    <row r="141" customFormat="false" ht="12.75" hidden="false" customHeight="false" outlineLevel="0" collapsed="false">
      <c r="A141" s="540"/>
      <c r="B141" s="540" t="s">
        <v>1024</v>
      </c>
      <c r="C141" s="543" t="n">
        <v>2082</v>
      </c>
      <c r="D141" s="544" t="n">
        <f aca="false">+C141/C143</f>
        <v>0.641602465331279</v>
      </c>
      <c r="E141" s="548" t="n">
        <f aca="false">+Rates!H72</f>
        <v>0.286413018748683</v>
      </c>
      <c r="F141" s="548" t="n">
        <v>-0.06</v>
      </c>
      <c r="G141" s="557" t="n">
        <f aca="false">+D141*E141</f>
        <v>0.183763298932129</v>
      </c>
      <c r="H141" s="548" t="n">
        <f aca="false">+F141*D141</f>
        <v>-0.0384961479198767</v>
      </c>
      <c r="I141" s="548" t="n">
        <v>0.2525</v>
      </c>
      <c r="J141" s="540"/>
      <c r="K141" s="558" t="s">
        <v>1</v>
      </c>
      <c r="L141" s="539" t="n">
        <f aca="false">+I141-F141</f>
        <v>0.3125</v>
      </c>
      <c r="M141" s="539" t="n">
        <f aca="false">+L141-E141</f>
        <v>0.0260869812513167</v>
      </c>
      <c r="N141" s="539" t="n">
        <f aca="false">+M141*7</f>
        <v>0.182608868759217</v>
      </c>
      <c r="O141" s="0" t="n">
        <f aca="false">+N141*D141</f>
        <v>0.11716230038727</v>
      </c>
    </row>
    <row r="142" customFormat="false" ht="12.75" hidden="false" customHeight="false" outlineLevel="0" collapsed="false">
      <c r="A142" s="540"/>
      <c r="B142" s="540"/>
      <c r="C142" s="548" t="n">
        <v>0</v>
      </c>
      <c r="D142" s="546" t="n">
        <f aca="false">+C142/C143</f>
        <v>0</v>
      </c>
      <c r="E142" s="548"/>
      <c r="F142" s="548" t="s">
        <v>1</v>
      </c>
      <c r="H142" s="540"/>
      <c r="I142" s="555"/>
      <c r="J142" s="540"/>
      <c r="O142" s="0" t="n">
        <f aca="false">SUM(O140:O141)</f>
        <v>0.125657006794971</v>
      </c>
    </row>
    <row r="143" customFormat="false" ht="12.75" hidden="false" customHeight="false" outlineLevel="0" collapsed="false">
      <c r="C143" s="543" t="n">
        <f aca="false">SUM(C140:C142)</f>
        <v>3245</v>
      </c>
      <c r="D143" s="544" t="n">
        <f aca="false">SUM(D140:D142)</f>
        <v>1</v>
      </c>
      <c r="M143" s="539" t="n">
        <f aca="false">AVERAGE(M140:M141)</f>
        <v>0.0147364842562314</v>
      </c>
    </row>
    <row r="144" customFormat="false" ht="12.75" hidden="false" customHeight="false" outlineLevel="0" collapsed="false">
      <c r="O144" s="0" t="e">
        <f aca="false">+O142+O134</f>
        <v>#REF!</v>
      </c>
    </row>
    <row r="145" customFormat="false" ht="12.75" hidden="false" customHeight="false" outlineLevel="0" collapsed="false">
      <c r="O145" s="0" t="e">
        <f aca="false">+O144/12</f>
        <v>#REF!</v>
      </c>
    </row>
    <row r="146" customFormat="false" ht="12.75" hidden="false" customHeight="false" outlineLevel="0" collapsed="false">
      <c r="M146" s="539" t="n">
        <f aca="false">+M143+M135</f>
        <v>0.0147364842562314</v>
      </c>
    </row>
    <row r="151" customFormat="false" ht="12.75" hidden="false" customHeight="false" outlineLevel="0" collapsed="false">
      <c r="B151" s="549" t="s">
        <v>616</v>
      </c>
      <c r="C151" s="541" t="s">
        <v>976</v>
      </c>
      <c r="D151" s="541" t="s">
        <v>977</v>
      </c>
      <c r="E151" s="540" t="s">
        <v>949</v>
      </c>
      <c r="F151" s="540" t="s">
        <v>1004</v>
      </c>
      <c r="G151" s="540" t="s">
        <v>1015</v>
      </c>
      <c r="H151" s="540" t="s">
        <v>1016</v>
      </c>
      <c r="I151" s="540" t="s">
        <v>1025</v>
      </c>
      <c r="J151" s="540"/>
      <c r="K151" s="549" t="s">
        <v>1</v>
      </c>
      <c r="L151" s="539" t="s">
        <v>1017</v>
      </c>
      <c r="M151" s="539" t="s">
        <v>1018</v>
      </c>
      <c r="N151" s="539" t="s">
        <v>1019</v>
      </c>
    </row>
    <row r="152" customFormat="false" ht="12.75" hidden="false" customHeight="false" outlineLevel="0" collapsed="false">
      <c r="B152" s="540" t="s">
        <v>1026</v>
      </c>
      <c r="C152" s="543" t="n">
        <v>1163</v>
      </c>
      <c r="D152" s="544" t="n">
        <f aca="false">+C152/C155</f>
        <v>0.358397534668721</v>
      </c>
      <c r="E152" s="548" t="e">
        <f aca="false">+#REF!</f>
        <v>#REF!</v>
      </c>
      <c r="F152" s="556" t="n">
        <v>-0.0725</v>
      </c>
      <c r="G152" s="557" t="e">
        <f aca="false">+D152*E152</f>
        <v>#REF!</v>
      </c>
      <c r="H152" s="548" t="n">
        <f aca="false">+F152*D152</f>
        <v>-0.0259838212634823</v>
      </c>
      <c r="I152" s="548" t="n">
        <v>0.285</v>
      </c>
      <c r="J152" s="540"/>
      <c r="K152" s="558" t="s">
        <v>1</v>
      </c>
      <c r="L152" s="539" t="n">
        <f aca="false">+I152-F152</f>
        <v>0.3575</v>
      </c>
      <c r="M152" s="539" t="e">
        <f aca="false">+L152-E152</f>
        <v>#REF!</v>
      </c>
      <c r="N152" s="539" t="e">
        <f aca="false">+M152*5</f>
        <v>#REF!</v>
      </c>
      <c r="O152" s="0" t="e">
        <f aca="false">+N152*D152</f>
        <v>#REF!</v>
      </c>
    </row>
    <row r="153" customFormat="false" ht="12.75" hidden="false" customHeight="false" outlineLevel="0" collapsed="false">
      <c r="B153" s="540" t="s">
        <v>1027</v>
      </c>
      <c r="C153" s="543" t="n">
        <v>2082</v>
      </c>
      <c r="D153" s="544" t="n">
        <f aca="false">+C153/C155</f>
        <v>0.641602465331279</v>
      </c>
      <c r="E153" s="548" t="e">
        <f aca="false">+#REF!</f>
        <v>#REF!</v>
      </c>
      <c r="F153" s="556" t="n">
        <v>-0.06</v>
      </c>
      <c r="G153" s="557" t="e">
        <f aca="false">+D153*E153</f>
        <v>#REF!</v>
      </c>
      <c r="H153" s="548" t="n">
        <f aca="false">+F153*D153</f>
        <v>-0.0384961479198767</v>
      </c>
      <c r="I153" s="548" t="n">
        <v>0.285</v>
      </c>
      <c r="J153" s="540"/>
      <c r="K153" s="558" t="s">
        <v>1</v>
      </c>
      <c r="L153" s="539" t="n">
        <f aca="false">+I153-F153</f>
        <v>0.345</v>
      </c>
      <c r="M153" s="539" t="e">
        <f aca="false">+L153-E153</f>
        <v>#REF!</v>
      </c>
      <c r="N153" s="539" t="e">
        <f aca="false">+M153*5</f>
        <v>#REF!</v>
      </c>
      <c r="O153" s="0" t="e">
        <f aca="false">+N153*D153</f>
        <v>#REF!</v>
      </c>
    </row>
    <row r="154" customFormat="false" ht="12.75" hidden="false" customHeight="false" outlineLevel="0" collapsed="false">
      <c r="C154" s="545" t="n">
        <v>0</v>
      </c>
      <c r="D154" s="546" t="n">
        <f aca="false">+C154/C155</f>
        <v>0</v>
      </c>
      <c r="O154" s="0" t="e">
        <f aca="false">SUM(O152:O153)</f>
        <v>#REF!</v>
      </c>
    </row>
    <row r="155" customFormat="false" ht="12.75" hidden="false" customHeight="false" outlineLevel="0" collapsed="false">
      <c r="C155" s="543" t="n">
        <f aca="false">SUM(C152:C154)</f>
        <v>3245</v>
      </c>
      <c r="D155" s="544" t="n">
        <f aca="false">SUM(D152:D154)</f>
        <v>1</v>
      </c>
    </row>
    <row r="156" customFormat="false" ht="12.75" hidden="false" customHeight="false" outlineLevel="0" collapsed="false">
      <c r="C156" s="554" t="n">
        <f aca="false">+C152*F152</f>
        <v>-84.3175</v>
      </c>
    </row>
    <row r="157" customFormat="false" ht="12.75" hidden="false" customHeight="false" outlineLevel="0" collapsed="false">
      <c r="C157" s="554" t="n">
        <f aca="false">+C153*F153</f>
        <v>-124.92</v>
      </c>
    </row>
    <row r="158" customFormat="false" ht="12.75" hidden="false" customHeight="false" outlineLevel="0" collapsed="false">
      <c r="C158" s="554" t="n">
        <f aca="false">+C157+C156</f>
        <v>-209.2375</v>
      </c>
      <c r="D158" s="0" t="n">
        <f aca="false">+C158/C155</f>
        <v>-0.064479969183359</v>
      </c>
      <c r="I158" s="0" t="s">
        <v>1</v>
      </c>
    </row>
    <row r="159" customFormat="false" ht="12.75" hidden="false" customHeight="false" outlineLevel="0" collapsed="false">
      <c r="B159" s="549" t="s">
        <v>616</v>
      </c>
      <c r="C159" s="540" t="s">
        <v>1</v>
      </c>
      <c r="D159" s="541" t="s">
        <v>977</v>
      </c>
      <c r="E159" s="540" t="s">
        <v>1020</v>
      </c>
      <c r="F159" s="540" t="s">
        <v>1021</v>
      </c>
      <c r="G159" s="0" t="s">
        <v>1015</v>
      </c>
      <c r="H159" s="540" t="s">
        <v>1016</v>
      </c>
      <c r="I159" s="540" t="s">
        <v>1025</v>
      </c>
      <c r="J159" s="540"/>
      <c r="K159" s="549" t="s">
        <v>1</v>
      </c>
    </row>
    <row r="160" customFormat="false" ht="12.75" hidden="false" customHeight="false" outlineLevel="0" collapsed="false">
      <c r="B160" s="540" t="s">
        <v>1026</v>
      </c>
      <c r="C160" s="543" t="n">
        <v>1163</v>
      </c>
      <c r="D160" s="544" t="n">
        <f aca="false">+C160/C163</f>
        <v>0.358397534668721</v>
      </c>
      <c r="E160" s="548" t="n">
        <f aca="false">+Rates!H42</f>
        <v>0.366993996569468</v>
      </c>
      <c r="F160" s="556" t="n">
        <v>-0.0725</v>
      </c>
      <c r="G160" s="557" t="n">
        <f aca="false">+D160*E160</f>
        <v>0.131529743608719</v>
      </c>
      <c r="H160" s="548" t="n">
        <f aca="false">+F160*D160</f>
        <v>-0.0259838212634823</v>
      </c>
      <c r="I160" s="548" t="n">
        <v>0.285</v>
      </c>
      <c r="J160" s="540"/>
      <c r="K160" s="558" t="s">
        <v>1</v>
      </c>
      <c r="L160" s="539" t="n">
        <f aca="false">+I160-F160</f>
        <v>0.3575</v>
      </c>
      <c r="M160" s="539" t="n">
        <f aca="false">+L160-E160</f>
        <v>-0.00949399656946837</v>
      </c>
      <c r="N160" s="539" t="n">
        <f aca="false">+M160*7</f>
        <v>-0.0664579759862786</v>
      </c>
      <c r="O160" s="0" t="n">
        <f aca="false">+N160*D160</f>
        <v>-0.0238183747525553</v>
      </c>
    </row>
    <row r="161" customFormat="false" ht="12.75" hidden="false" customHeight="false" outlineLevel="0" collapsed="false">
      <c r="B161" s="540" t="s">
        <v>1028</v>
      </c>
      <c r="C161" s="543" t="n">
        <v>2082</v>
      </c>
      <c r="D161" s="544" t="n">
        <f aca="false">+C161/C163</f>
        <v>0.641602465331279</v>
      </c>
      <c r="E161" s="548" t="n">
        <f aca="false">+Rates!H77</f>
        <v>0.331200786982878</v>
      </c>
      <c r="F161" s="548" t="n">
        <v>-0.06</v>
      </c>
      <c r="G161" s="557" t="n">
        <f aca="false">+D161*E161</f>
        <v>0.212499241447874</v>
      </c>
      <c r="H161" s="548" t="n">
        <f aca="false">+F161*D161</f>
        <v>-0.0384961479198767</v>
      </c>
      <c r="I161" s="548" t="n">
        <v>0.285</v>
      </c>
      <c r="J161" s="540"/>
      <c r="K161" s="558" t="s">
        <v>1</v>
      </c>
      <c r="L161" s="539" t="n">
        <f aca="false">+I161-F161</f>
        <v>0.345</v>
      </c>
      <c r="M161" s="539" t="n">
        <f aca="false">+L161-E161</f>
        <v>0.0137992130171224</v>
      </c>
      <c r="N161" s="539" t="n">
        <f aca="false">+M161*7</f>
        <v>0.0965944911198567</v>
      </c>
      <c r="O161" s="0" t="n">
        <f aca="false">+N161*D161</f>
        <v>0.0619752636399204</v>
      </c>
    </row>
    <row r="162" customFormat="false" ht="12.75" hidden="false" customHeight="false" outlineLevel="0" collapsed="false">
      <c r="B162" s="540"/>
      <c r="C162" s="548" t="n">
        <v>0</v>
      </c>
      <c r="D162" s="546" t="n">
        <f aca="false">+C162/C163</f>
        <v>0</v>
      </c>
      <c r="E162" s="548"/>
      <c r="F162" s="548" t="s">
        <v>1</v>
      </c>
      <c r="H162" s="540"/>
      <c r="I162" s="555"/>
      <c r="J162" s="540"/>
      <c r="O162" s="0" t="n">
        <f aca="false">SUM(O160:O161)</f>
        <v>0.0381568888873651</v>
      </c>
    </row>
    <row r="163" customFormat="false" ht="12.75" hidden="false" customHeight="false" outlineLevel="0" collapsed="false">
      <c r="C163" s="543" t="n">
        <f aca="false">SUM(C160:C162)</f>
        <v>3245</v>
      </c>
      <c r="D163" s="544" t="n">
        <f aca="false">SUM(D160:D162)</f>
        <v>1</v>
      </c>
      <c r="M163" s="539" t="n">
        <f aca="false">AVERAGE(M160:M161)</f>
        <v>0.00215260822382701</v>
      </c>
    </row>
    <row r="164" customFormat="false" ht="12.75" hidden="false" customHeight="false" outlineLevel="0" collapsed="false">
      <c r="O164" s="0" t="e">
        <f aca="false">+O162+O154</f>
        <v>#REF!</v>
      </c>
    </row>
    <row r="165" customFormat="false" ht="12.75" hidden="false" customHeight="false" outlineLevel="0" collapsed="false">
      <c r="O165" s="0" t="e">
        <f aca="false">+O164/12</f>
        <v>#REF!</v>
      </c>
    </row>
    <row r="166" customFormat="false" ht="12.75" hidden="false" customHeight="false" outlineLevel="0" collapsed="false">
      <c r="M166" s="539" t="n">
        <f aca="false">+M163+M155</f>
        <v>0.00215260822382701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85"/>
  </cols>
  <sheetData>
    <row r="3" customFormat="false" ht="12.75" hidden="false" customHeight="false" outlineLevel="0" collapsed="false">
      <c r="B3" s="0" t="s">
        <v>1029</v>
      </c>
      <c r="C3" s="0" t="s">
        <v>1030</v>
      </c>
      <c r="D3" s="0" t="s">
        <v>1031</v>
      </c>
      <c r="F3" s="0" t="s">
        <v>1032</v>
      </c>
      <c r="I3" s="0" t="s">
        <v>1033</v>
      </c>
      <c r="L3" s="0" t="s">
        <v>1034</v>
      </c>
      <c r="M3" s="0" t="s">
        <v>1035</v>
      </c>
    </row>
    <row r="5" customFormat="false" ht="12.75" hidden="false" customHeight="false" outlineLevel="0" collapsed="false">
      <c r="B5" s="559" t="n">
        <v>72671</v>
      </c>
      <c r="C5" s="0" t="s">
        <v>1036</v>
      </c>
      <c r="D5" s="0" t="s">
        <v>1037</v>
      </c>
      <c r="F5" s="0" t="s">
        <v>1038</v>
      </c>
      <c r="J5" s="560" t="n">
        <v>0.0758</v>
      </c>
      <c r="L5" s="457" t="n">
        <v>0.0037</v>
      </c>
      <c r="M5" s="561" t="n">
        <v>2.97</v>
      </c>
      <c r="N5" s="560" t="n">
        <f aca="false">(M5)/(1-L5)-M5+J5</f>
        <v>0.086829810298103</v>
      </c>
    </row>
    <row r="6" customFormat="false" ht="12.75" hidden="false" customHeight="false" outlineLevel="0" collapsed="false">
      <c r="B6" s="562" t="n">
        <v>72673</v>
      </c>
      <c r="C6" s="0" t="s">
        <v>1036</v>
      </c>
      <c r="D6" s="0" t="s">
        <v>1037</v>
      </c>
      <c r="F6" s="0" t="s">
        <v>1039</v>
      </c>
      <c r="J6" s="560" t="n">
        <v>0.0758</v>
      </c>
      <c r="L6" s="457" t="n">
        <v>0.0037</v>
      </c>
      <c r="M6" s="561" t="n">
        <v>2.97</v>
      </c>
      <c r="N6" s="560" t="n">
        <f aca="false">(M6)/(1-L6)-M6+J6</f>
        <v>0.086829810298103</v>
      </c>
    </row>
    <row r="7" customFormat="false" ht="12.75" hidden="false" customHeight="false" outlineLevel="0" collapsed="false">
      <c r="B7" s="562" t="n">
        <v>52019</v>
      </c>
      <c r="C7" s="0" t="s">
        <v>1036</v>
      </c>
      <c r="D7" s="0" t="s">
        <v>1037</v>
      </c>
      <c r="F7" s="0" t="s">
        <v>1038</v>
      </c>
      <c r="J7" s="560" t="n">
        <v>0.0758</v>
      </c>
      <c r="L7" s="457" t="n">
        <v>0.0037</v>
      </c>
      <c r="M7" s="561" t="n">
        <v>2.97</v>
      </c>
      <c r="N7" s="560" t="n">
        <f aca="false">(M7)/(1-L7)-M7+J7</f>
        <v>0.086829810298103</v>
      </c>
    </row>
    <row r="8" customFormat="false" ht="12.75" hidden="false" customHeight="false" outlineLevel="0" collapsed="false">
      <c r="B8" s="562" t="n">
        <v>67580</v>
      </c>
      <c r="C8" s="0" t="s">
        <v>1036</v>
      </c>
      <c r="D8" s="0" t="s">
        <v>1037</v>
      </c>
      <c r="F8" s="0" t="s">
        <v>1039</v>
      </c>
      <c r="J8" s="560" t="n">
        <v>0.0758</v>
      </c>
      <c r="L8" s="457" t="n">
        <v>0.0037</v>
      </c>
      <c r="M8" s="561" t="n">
        <v>2.97</v>
      </c>
      <c r="N8" s="560" t="n">
        <f aca="false">(M8)/(1-L8)-M8+J8</f>
        <v>0.086829810298103</v>
      </c>
    </row>
    <row r="9" customFormat="false" ht="12.75" hidden="false" customHeight="false" outlineLevel="0" collapsed="false">
      <c r="B9" s="562" t="n">
        <v>68000</v>
      </c>
      <c r="C9" s="0" t="s">
        <v>1036</v>
      </c>
      <c r="D9" s="0" t="s">
        <v>1037</v>
      </c>
      <c r="F9" s="0" t="s">
        <v>1040</v>
      </c>
      <c r="J9" s="560" t="n">
        <v>0.0758</v>
      </c>
      <c r="L9" s="457" t="n">
        <v>0.0037</v>
      </c>
      <c r="M9" s="561" t="n">
        <v>2.97</v>
      </c>
      <c r="N9" s="560" t="n">
        <f aca="false">(M9)/(1-L9)-M9+J9</f>
        <v>0.086829810298103</v>
      </c>
    </row>
    <row r="10" customFormat="false" ht="12.75" hidden="false" customHeight="false" outlineLevel="0" collapsed="false">
      <c r="B10" s="562" t="n">
        <v>68001</v>
      </c>
      <c r="C10" s="0" t="s">
        <v>1036</v>
      </c>
      <c r="D10" s="0" t="s">
        <v>1037</v>
      </c>
      <c r="F10" s="0" t="s">
        <v>1040</v>
      </c>
      <c r="J10" s="560" t="n">
        <v>0.0758</v>
      </c>
      <c r="L10" s="457" t="n">
        <v>0.0037</v>
      </c>
      <c r="M10" s="561" t="n">
        <v>2.97</v>
      </c>
      <c r="N10" s="560" t="n">
        <f aca="false">(M10)/(1-L10)-M10+J10</f>
        <v>0.086829810298103</v>
      </c>
    </row>
    <row r="11" customFormat="false" ht="12.75" hidden="false" customHeight="false" outlineLevel="0" collapsed="false">
      <c r="B11" s="562" t="n">
        <v>68002</v>
      </c>
      <c r="C11" s="0" t="s">
        <v>1036</v>
      </c>
      <c r="D11" s="0" t="s">
        <v>1037</v>
      </c>
      <c r="F11" s="0" t="s">
        <v>1040</v>
      </c>
      <c r="J11" s="560" t="n">
        <v>0.0758</v>
      </c>
      <c r="L11" s="457" t="n">
        <v>0.0037</v>
      </c>
      <c r="M11" s="561" t="n">
        <v>2.97</v>
      </c>
      <c r="N11" s="560" t="n">
        <f aca="false">(M11)/(1-L11)-M11+J11</f>
        <v>0.086829810298103</v>
      </c>
    </row>
    <row r="12" customFormat="false" ht="12.75" hidden="false" customHeight="false" outlineLevel="0" collapsed="false">
      <c r="B12" s="562" t="n">
        <v>102029</v>
      </c>
      <c r="C12" s="0" t="s">
        <v>1036</v>
      </c>
      <c r="D12" s="0" t="s">
        <v>1041</v>
      </c>
      <c r="F12" s="0" t="s">
        <v>1042</v>
      </c>
      <c r="J12" s="560" t="n">
        <v>0.0816</v>
      </c>
      <c r="L12" s="457" t="n">
        <v>0.0046</v>
      </c>
      <c r="M12" s="561" t="n">
        <v>3.02</v>
      </c>
      <c r="N12" s="560" t="n">
        <f aca="false">(M12)/(1-L12)-M12+J12</f>
        <v>0.0955561985131609</v>
      </c>
    </row>
    <row r="13" customFormat="false" ht="12.75" hidden="false" customHeight="false" outlineLevel="0" collapsed="false">
      <c r="B13" s="562" t="n">
        <v>67996</v>
      </c>
      <c r="C13" s="0" t="s">
        <v>1036</v>
      </c>
      <c r="D13" s="0" t="s">
        <v>1041</v>
      </c>
      <c r="F13" s="0" t="s">
        <v>1040</v>
      </c>
      <c r="J13" s="560" t="n">
        <v>0.0816</v>
      </c>
      <c r="L13" s="457" t="n">
        <v>0.0046</v>
      </c>
      <c r="M13" s="561" t="n">
        <v>3.02</v>
      </c>
      <c r="N13" s="560" t="n">
        <f aca="false">(M13)/(1-L13)-M13+J13</f>
        <v>0.0955561985131609</v>
      </c>
    </row>
    <row r="14" customFormat="false" ht="12.75" hidden="false" customHeight="false" outlineLevel="0" collapsed="false">
      <c r="B14" s="562" t="n">
        <v>102841</v>
      </c>
      <c r="C14" s="0" t="s">
        <v>1036</v>
      </c>
      <c r="D14" s="0" t="s">
        <v>1043</v>
      </c>
      <c r="F14" s="0" t="s">
        <v>1044</v>
      </c>
      <c r="J14" s="560" t="n">
        <v>0.0928</v>
      </c>
      <c r="L14" s="457" t="n">
        <v>0.0042</v>
      </c>
      <c r="M14" s="561" t="n">
        <v>3.1</v>
      </c>
      <c r="N14" s="560" t="n">
        <f aca="false">(M14)/(1-L14)-M14+J14</f>
        <v>0.105874914641494</v>
      </c>
    </row>
    <row r="15" customFormat="false" ht="12.75" hidden="false" customHeight="false" outlineLevel="0" collapsed="false">
      <c r="B15" s="562" t="n">
        <v>96296</v>
      </c>
      <c r="C15" s="0" t="s">
        <v>1036</v>
      </c>
      <c r="D15" s="0" t="s">
        <v>1043</v>
      </c>
      <c r="F15" s="0" t="s">
        <v>1045</v>
      </c>
      <c r="J15" s="560" t="n">
        <v>0.0928</v>
      </c>
      <c r="L15" s="457" t="n">
        <v>0.0042</v>
      </c>
      <c r="M15" s="561" t="n">
        <v>3.1</v>
      </c>
      <c r="N15" s="560" t="n">
        <f aca="false">(M15)/(1-L15)-M15+J15</f>
        <v>0.105874914641494</v>
      </c>
    </row>
    <row r="16" customFormat="false" ht="12.75" hidden="false" customHeight="false" outlineLevel="0" collapsed="false">
      <c r="B16" s="562" t="n">
        <v>91891</v>
      </c>
      <c r="C16" s="0" t="s">
        <v>1036</v>
      </c>
      <c r="D16" s="0" t="s">
        <v>1043</v>
      </c>
      <c r="F16" s="0" t="s">
        <v>1046</v>
      </c>
      <c r="J16" s="560" t="n">
        <v>0.0928</v>
      </c>
      <c r="L16" s="457" t="n">
        <v>0.0042</v>
      </c>
      <c r="M16" s="561" t="n">
        <v>3.1</v>
      </c>
      <c r="N16" s="560" t="n">
        <f aca="false">(M16)/(1-L16)-M16+J16</f>
        <v>0.105874914641494</v>
      </c>
    </row>
    <row r="17" customFormat="false" ht="12.75" hidden="false" customHeight="false" outlineLevel="0" collapsed="false">
      <c r="B17" s="562" t="n">
        <v>102544</v>
      </c>
      <c r="C17" s="0" t="s">
        <v>1036</v>
      </c>
      <c r="D17" s="0" t="s">
        <v>1043</v>
      </c>
      <c r="F17" s="0" t="s">
        <v>1044</v>
      </c>
      <c r="J17" s="560" t="n">
        <v>0.0928</v>
      </c>
      <c r="L17" s="457" t="n">
        <v>0.0042</v>
      </c>
      <c r="M17" s="561" t="n">
        <v>3.1</v>
      </c>
      <c r="N17" s="560" t="n">
        <f aca="false">(M17)/(1-L17)-M17+J17</f>
        <v>0.105874914641494</v>
      </c>
    </row>
    <row r="18" customFormat="false" ht="12.75" hidden="false" customHeight="false" outlineLevel="0" collapsed="false">
      <c r="B18" s="562" t="n">
        <v>102703</v>
      </c>
      <c r="C18" s="0" t="s">
        <v>1036</v>
      </c>
      <c r="D18" s="0" t="s">
        <v>1043</v>
      </c>
      <c r="F18" s="0" t="s">
        <v>1047</v>
      </c>
      <c r="J18" s="560" t="n">
        <v>0.0928</v>
      </c>
      <c r="L18" s="457" t="n">
        <v>0.0042</v>
      </c>
      <c r="M18" s="561" t="n">
        <v>3.1</v>
      </c>
      <c r="N18" s="560" t="n">
        <f aca="false">(M18)/(1-L18)-M18+J18</f>
        <v>0.105874914641494</v>
      </c>
    </row>
    <row r="19" customFormat="false" ht="12.75" hidden="false" customHeight="false" outlineLevel="0" collapsed="false">
      <c r="B19" s="562" t="n">
        <v>67999</v>
      </c>
      <c r="C19" s="0" t="s">
        <v>1036</v>
      </c>
      <c r="D19" s="0" t="s">
        <v>1043</v>
      </c>
      <c r="F19" s="0" t="s">
        <v>1040</v>
      </c>
      <c r="J19" s="560" t="n">
        <v>0.0928</v>
      </c>
      <c r="L19" s="457" t="n">
        <v>0.0042</v>
      </c>
      <c r="M19" s="561" t="n">
        <v>3.1</v>
      </c>
      <c r="N19" s="560" t="n">
        <f aca="false">(M19)/(1-L19)-M19+J19</f>
        <v>0.105874914641494</v>
      </c>
    </row>
    <row r="20" customFormat="false" ht="12.75" hidden="false" customHeight="false" outlineLevel="0" collapsed="false">
      <c r="B20" s="562" t="n">
        <v>85795</v>
      </c>
      <c r="C20" s="0" t="s">
        <v>1036</v>
      </c>
      <c r="D20" s="0" t="s">
        <v>1043</v>
      </c>
      <c r="F20" s="0" t="s">
        <v>1040</v>
      </c>
      <c r="J20" s="560" t="n">
        <v>0.0928</v>
      </c>
      <c r="L20" s="457" t="n">
        <v>0.0042</v>
      </c>
      <c r="M20" s="561" t="n">
        <v>3.1</v>
      </c>
      <c r="N20" s="560" t="n">
        <f aca="false">(M20)/(1-L20)-M20+J20</f>
        <v>0.105874914641494</v>
      </c>
    </row>
    <row r="21" customFormat="false" ht="12.75" hidden="false" customHeight="false" outlineLevel="0" collapsed="false">
      <c r="B21" s="562" t="n">
        <v>88734</v>
      </c>
      <c r="C21" s="0" t="s">
        <v>1036</v>
      </c>
      <c r="D21" s="0" t="s">
        <v>1048</v>
      </c>
      <c r="F21" s="0" t="s">
        <v>1049</v>
      </c>
      <c r="J21" s="560" t="n">
        <v>0.0892</v>
      </c>
      <c r="L21" s="457" t="n">
        <v>0.005</v>
      </c>
      <c r="M21" s="561" t="n">
        <v>3.01</v>
      </c>
      <c r="N21" s="560" t="n">
        <f aca="false">(M21)/(1-L21)-M21+J21</f>
        <v>0.104325628140704</v>
      </c>
    </row>
    <row r="24" customFormat="false" ht="12.75" hidden="false" customHeight="false" outlineLevel="0" collapsed="false">
      <c r="B24" s="562" t="n">
        <v>98468</v>
      </c>
      <c r="C24" s="0" t="s">
        <v>1050</v>
      </c>
      <c r="D24" s="0" t="s">
        <v>1051</v>
      </c>
      <c r="F24" s="0" t="s">
        <v>1040</v>
      </c>
      <c r="J24" s="560" t="n">
        <v>0.09</v>
      </c>
      <c r="L24" s="457" t="n">
        <v>0.01</v>
      </c>
      <c r="M24" s="561" t="n">
        <v>3.04</v>
      </c>
      <c r="N24" s="560" t="n">
        <f aca="false">(M24)/(1-L24)-M24+J24</f>
        <v>0.120707070707071</v>
      </c>
      <c r="O24" s="0" t="s">
        <v>1052</v>
      </c>
    </row>
    <row r="25" customFormat="false" ht="12.75" hidden="false" customHeight="false" outlineLevel="0" collapsed="false">
      <c r="B25" s="562" t="n">
        <v>98480</v>
      </c>
      <c r="C25" s="0" t="s">
        <v>1050</v>
      </c>
      <c r="D25" s="0" t="s">
        <v>1053</v>
      </c>
      <c r="F25" s="0" t="s">
        <v>1040</v>
      </c>
      <c r="J25" s="560" t="n">
        <v>0.125</v>
      </c>
      <c r="L25" s="457" t="n">
        <v>0.01</v>
      </c>
      <c r="M25" s="561" t="n">
        <v>3.04</v>
      </c>
      <c r="N25" s="560" t="n">
        <f aca="false">(M25)/(1-L25)-M25+J25</f>
        <v>0.155707070707071</v>
      </c>
      <c r="O25" s="0" t="s">
        <v>1</v>
      </c>
    </row>
    <row r="26" customFormat="false" ht="12.75" hidden="false" customHeight="false" outlineLevel="0" collapsed="false">
      <c r="B26" s="562" t="n">
        <v>98469</v>
      </c>
      <c r="C26" s="0" t="s">
        <v>1050</v>
      </c>
      <c r="D26" s="0" t="s">
        <v>1051</v>
      </c>
      <c r="F26" s="0" t="s">
        <v>1040</v>
      </c>
      <c r="J26" s="560" t="n">
        <v>0.09</v>
      </c>
      <c r="L26" s="457" t="n">
        <v>0.01</v>
      </c>
      <c r="M26" s="561" t="n">
        <v>3.04</v>
      </c>
      <c r="N26" s="560" t="n">
        <f aca="false">(M26)/(1-L26)-M26+J26</f>
        <v>0.120707070707071</v>
      </c>
      <c r="O26" s="0" t="s">
        <v>1</v>
      </c>
    </row>
    <row r="27" customFormat="false" ht="12.75" hidden="false" customHeight="false" outlineLevel="0" collapsed="false">
      <c r="B27" s="562" t="n">
        <v>98479</v>
      </c>
      <c r="C27" s="0" t="s">
        <v>1050</v>
      </c>
      <c r="D27" s="0" t="s">
        <v>1053</v>
      </c>
      <c r="F27" s="0" t="s">
        <v>1040</v>
      </c>
      <c r="J27" s="560" t="n">
        <v>0.125</v>
      </c>
      <c r="L27" s="457" t="n">
        <v>0.01</v>
      </c>
      <c r="M27" s="561" t="n">
        <v>3.04</v>
      </c>
      <c r="N27" s="560" t="n">
        <f aca="false">(M27)/(1-L27)-M27+J27</f>
        <v>0.155707070707071</v>
      </c>
      <c r="O27" s="0" t="s">
        <v>1</v>
      </c>
    </row>
    <row r="28" customFormat="false" ht="12.75" hidden="false" customHeight="false" outlineLevel="0" collapsed="false">
      <c r="B28" s="562" t="n">
        <v>98481</v>
      </c>
      <c r="C28" s="0" t="s">
        <v>1050</v>
      </c>
      <c r="D28" s="0" t="s">
        <v>1053</v>
      </c>
      <c r="F28" s="0" t="s">
        <v>1040</v>
      </c>
      <c r="J28" s="560" t="n">
        <v>0.125</v>
      </c>
      <c r="L28" s="457" t="n">
        <v>0.01</v>
      </c>
      <c r="M28" s="561" t="n">
        <v>3.04</v>
      </c>
      <c r="N28" s="560" t="n">
        <f aca="false">(M28)/(1-L28)-M28+J28</f>
        <v>0.155707070707071</v>
      </c>
      <c r="O28" s="0" t="s">
        <v>1</v>
      </c>
    </row>
    <row r="30" customFormat="false" ht="12.75" hidden="false" customHeight="false" outlineLevel="0" collapsed="false">
      <c r="B30" s="0" t="n">
        <v>102541</v>
      </c>
      <c r="C30" s="0" t="s">
        <v>39</v>
      </c>
      <c r="F30" s="0" t="s">
        <v>1054</v>
      </c>
      <c r="J30" s="0" t="n">
        <v>0.0902</v>
      </c>
      <c r="L30" s="457" t="n">
        <v>0.01</v>
      </c>
      <c r="M30" s="0" t="n">
        <v>1.99</v>
      </c>
      <c r="N30" s="560"/>
    </row>
    <row r="34" customFormat="false" ht="12.75" hidden="false" customHeight="false" outlineLevel="0" collapsed="false">
      <c r="A34" s="0" t="s">
        <v>1055</v>
      </c>
      <c r="C34" s="0" t="s">
        <v>1056</v>
      </c>
      <c r="D34" s="0" t="s">
        <v>1057</v>
      </c>
    </row>
    <row r="35" customFormat="false" ht="12.75" hidden="false" customHeight="false" outlineLevel="0" collapsed="false">
      <c r="D35" s="0" t="s">
        <v>1058</v>
      </c>
    </row>
    <row r="36" customFormat="false" ht="12.75" hidden="false" customHeight="false" outlineLevel="0" collapsed="false">
      <c r="E36" s="0" t="s">
        <v>1059</v>
      </c>
      <c r="F36" s="0" t="s">
        <v>1060</v>
      </c>
    </row>
    <row r="37" customFormat="false" ht="12.75" hidden="false" customHeight="false" outlineLevel="0" collapsed="false">
      <c r="E37" s="563" t="n">
        <v>130666</v>
      </c>
      <c r="F37" s="0" t="s">
        <v>1061</v>
      </c>
    </row>
    <row r="38" customFormat="false" ht="12.75" hidden="false" customHeight="false" outlineLevel="0" collapsed="false">
      <c r="E38" s="563" t="n">
        <v>113451</v>
      </c>
      <c r="F38" s="0" t="s">
        <v>1062</v>
      </c>
    </row>
    <row r="39" customFormat="false" ht="12.75" hidden="false" customHeight="false" outlineLevel="0" collapsed="false">
      <c r="E39" s="563" t="n">
        <v>130665</v>
      </c>
      <c r="F39" s="0" t="s">
        <v>1063</v>
      </c>
    </row>
    <row r="40" customFormat="false" ht="12.75" hidden="false" customHeight="false" outlineLevel="0" collapsed="false">
      <c r="E40" s="563" t="n">
        <v>106153</v>
      </c>
      <c r="F40" s="0" t="s">
        <v>1064</v>
      </c>
    </row>
    <row r="41" customFormat="false" ht="12.75" hidden="false" customHeight="false" outlineLevel="0" collapsed="false">
      <c r="E41" s="563" t="n">
        <v>113336</v>
      </c>
      <c r="F41" s="0" t="s">
        <v>1064</v>
      </c>
    </row>
    <row r="42" customFormat="false" ht="12.75" hidden="false" customHeight="false" outlineLevel="0" collapsed="false">
      <c r="E42" s="563" t="n">
        <v>113342</v>
      </c>
      <c r="F42" s="0" t="s">
        <v>1065</v>
      </c>
    </row>
    <row r="43" customFormat="false" ht="12.75" hidden="false" customHeight="false" outlineLevel="0" collapsed="false">
      <c r="E43" s="563" t="n">
        <v>113340</v>
      </c>
      <c r="F43" s="0" t="s">
        <v>1065</v>
      </c>
    </row>
    <row r="44" customFormat="false" ht="12.75" hidden="false" customHeight="false" outlineLevel="0" collapsed="false">
      <c r="E44" s="563" t="n">
        <v>113341</v>
      </c>
      <c r="F44" s="0" t="s">
        <v>1065</v>
      </c>
    </row>
    <row r="45" customFormat="false" ht="12.75" hidden="false" customHeight="false" outlineLevel="0" collapsed="false">
      <c r="E45" s="563" t="n">
        <v>113343</v>
      </c>
      <c r="F45" s="0" t="s">
        <v>1065</v>
      </c>
    </row>
    <row r="46" customFormat="false" ht="12.75" hidden="false" customHeight="false" outlineLevel="0" collapsed="false">
      <c r="E46" s="563"/>
    </row>
    <row r="47" customFormat="false" ht="12.75" hidden="false" customHeight="false" outlineLevel="0" collapsed="false">
      <c r="A47" s="0" t="s">
        <v>1055</v>
      </c>
      <c r="C47" s="0" t="s">
        <v>1066</v>
      </c>
      <c r="D47" s="0" t="s">
        <v>1067</v>
      </c>
      <c r="E47" s="563"/>
    </row>
    <row r="48" customFormat="false" ht="12.75" hidden="false" customHeight="false" outlineLevel="0" collapsed="false">
      <c r="D48" s="0" t="s">
        <v>1068</v>
      </c>
    </row>
    <row r="49" customFormat="false" ht="12.75" hidden="false" customHeight="false" outlineLevel="0" collapsed="false">
      <c r="D49" s="0" t="s">
        <v>1069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13"/>
    <col collapsed="false" customWidth="true" hidden="false" outlineLevel="0" max="4" min="4" style="0" width="3.7"/>
    <col collapsed="false" customWidth="true" hidden="false" outlineLevel="0" max="6" min="6" style="0" width="3.28"/>
  </cols>
  <sheetData>
    <row r="1" customFormat="false" ht="12.75" hidden="false" customHeight="false" outlineLevel="0" collapsed="false">
      <c r="A1" s="0" t="s">
        <v>1070</v>
      </c>
    </row>
    <row r="2" customFormat="false" ht="12.75" hidden="false" customHeight="false" outlineLevel="0" collapsed="false">
      <c r="C2" s="0" t="s">
        <v>1071</v>
      </c>
      <c r="E2" s="0" t="s">
        <v>613</v>
      </c>
    </row>
    <row r="3" customFormat="false" ht="12.75" hidden="false" customHeight="false" outlineLevel="0" collapsed="false">
      <c r="A3" s="0" t="s">
        <v>1072</v>
      </c>
      <c r="C3" s="0" t="n">
        <v>307497</v>
      </c>
      <c r="E3" s="519" t="n">
        <v>1.6</v>
      </c>
    </row>
    <row r="8" customFormat="false" ht="12.75" hidden="false" customHeight="false" outlineLevel="0" collapsed="false">
      <c r="A8" s="0" t="s">
        <v>1073</v>
      </c>
    </row>
    <row r="9" customFormat="false" ht="12.75" hidden="false" customHeight="false" outlineLevel="0" collapsed="false">
      <c r="B9" s="564" t="s">
        <v>459</v>
      </c>
      <c r="C9" s="564"/>
      <c r="D9" s="564"/>
      <c r="E9" s="564"/>
      <c r="F9" s="564"/>
      <c r="G9" s="564"/>
    </row>
    <row r="10" customFormat="false" ht="12.75" hidden="false" customHeight="false" outlineLevel="0" collapsed="false">
      <c r="B10" s="0" t="s">
        <v>1071</v>
      </c>
      <c r="C10" s="0" t="s">
        <v>9</v>
      </c>
      <c r="E10" s="0" t="s">
        <v>1074</v>
      </c>
      <c r="G10" s="0" t="s">
        <v>1075</v>
      </c>
    </row>
    <row r="11" customFormat="false" ht="12.75" hidden="false" customHeight="false" outlineLevel="0" collapsed="false">
      <c r="B11" s="0" t="n">
        <v>68900</v>
      </c>
      <c r="C11" s="0" t="s">
        <v>1076</v>
      </c>
    </row>
    <row r="12" customFormat="false" ht="12.75" hidden="false" customHeight="false" outlineLevel="0" collapsed="false">
      <c r="B12" s="0" t="n">
        <v>79139</v>
      </c>
      <c r="C12" s="0" t="s">
        <v>1077</v>
      </c>
    </row>
    <row r="13" customFormat="false" ht="12.75" hidden="false" customHeight="false" outlineLevel="0" collapsed="false">
      <c r="B13" s="0" t="n">
        <v>82058</v>
      </c>
      <c r="C13" s="0" t="s">
        <v>1078</v>
      </c>
    </row>
    <row r="14" customFormat="false" ht="12.75" hidden="false" customHeight="false" outlineLevel="0" collapsed="false">
      <c r="B14" s="0" t="n">
        <v>83440</v>
      </c>
      <c r="C14" s="0" t="s">
        <v>1078</v>
      </c>
    </row>
    <row r="15" customFormat="false" ht="12.75" hidden="false" customHeight="false" outlineLevel="0" collapsed="false">
      <c r="B15" s="0" t="n">
        <v>35535</v>
      </c>
      <c r="C15" s="0" t="s">
        <v>1079</v>
      </c>
    </row>
    <row r="20" customFormat="false" ht="12.75" hidden="false" customHeight="false" outlineLevel="0" collapsed="false">
      <c r="B20" s="564" t="s">
        <v>460</v>
      </c>
      <c r="C20" s="564"/>
      <c r="D20" s="564"/>
      <c r="E20" s="564"/>
      <c r="F20" s="564"/>
      <c r="G20" s="564"/>
    </row>
    <row r="21" customFormat="false" ht="12.75" hidden="false" customHeight="false" outlineLevel="0" collapsed="false">
      <c r="B21" s="0" t="s">
        <v>1071</v>
      </c>
      <c r="C21" s="0" t="s">
        <v>9</v>
      </c>
      <c r="E21" s="0" t="s">
        <v>1074</v>
      </c>
      <c r="G21" s="0" t="s">
        <v>1075</v>
      </c>
    </row>
    <row r="22" customFormat="false" ht="12.75" hidden="false" customHeight="false" outlineLevel="0" collapsed="false">
      <c r="B22" s="0" t="n">
        <v>68903</v>
      </c>
      <c r="C22" s="0" t="s">
        <v>1080</v>
      </c>
    </row>
    <row r="23" customFormat="false" ht="12.75" hidden="false" customHeight="false" outlineLevel="0" collapsed="false">
      <c r="B23" s="0" t="n">
        <v>68904</v>
      </c>
      <c r="C23" s="0" t="s">
        <v>1081</v>
      </c>
    </row>
    <row r="24" customFormat="false" ht="12.75" hidden="false" customHeight="false" outlineLevel="0" collapsed="false">
      <c r="B24" s="0" t="n">
        <v>79798</v>
      </c>
      <c r="C24" s="0" t="s">
        <v>1082</v>
      </c>
    </row>
    <row r="25" customFormat="false" ht="12.75" hidden="false" customHeight="false" outlineLevel="0" collapsed="false">
      <c r="C25" s="0" t="s">
        <v>1083</v>
      </c>
    </row>
    <row r="26" customFormat="false" ht="12.75" hidden="false" customHeight="false" outlineLevel="0" collapsed="false">
      <c r="B26" s="0" t="n">
        <v>79801</v>
      </c>
      <c r="C26" s="0" t="s">
        <v>1078</v>
      </c>
    </row>
    <row r="27" customFormat="false" ht="12.75" hidden="false" customHeight="false" outlineLevel="0" collapsed="false">
      <c r="C27" s="0" t="s">
        <v>1084</v>
      </c>
    </row>
    <row r="28" customFormat="false" ht="12.75" hidden="false" customHeight="false" outlineLevel="0" collapsed="false">
      <c r="B28" s="0" t="n">
        <v>83404</v>
      </c>
      <c r="C28" s="0" t="s">
        <v>1085</v>
      </c>
    </row>
    <row r="29" customFormat="false" ht="12.75" hidden="false" customHeight="false" outlineLevel="0" collapsed="false">
      <c r="C29" s="0" t="s">
        <v>1083</v>
      </c>
    </row>
    <row r="30" customFormat="false" ht="12.75" hidden="false" customHeight="false" outlineLevel="0" collapsed="false">
      <c r="B30" s="0" t="n">
        <v>79141</v>
      </c>
      <c r="C30" s="0" t="s">
        <v>1082</v>
      </c>
    </row>
    <row r="31" customFormat="false" ht="12.75" hidden="false" customHeight="false" outlineLevel="0" collapsed="false">
      <c r="B31" s="0" t="n">
        <v>79139</v>
      </c>
      <c r="C31" s="0" t="s">
        <v>1077</v>
      </c>
    </row>
    <row r="32" customFormat="false" ht="12.75" hidden="false" customHeight="false" outlineLevel="0" collapsed="false">
      <c r="B32" s="0" t="n">
        <v>79136</v>
      </c>
      <c r="C32" s="0" t="s">
        <v>1086</v>
      </c>
    </row>
    <row r="35" customFormat="false" ht="12.75" hidden="false" customHeight="false" outlineLevel="0" collapsed="false">
      <c r="B35" s="564" t="s">
        <v>347</v>
      </c>
      <c r="C35" s="564"/>
      <c r="D35" s="564"/>
      <c r="E35" s="564"/>
      <c r="F35" s="564"/>
      <c r="G35" s="564"/>
    </row>
    <row r="36" customFormat="false" ht="12.75" hidden="false" customHeight="false" outlineLevel="0" collapsed="false">
      <c r="B36" s="0" t="s">
        <v>1071</v>
      </c>
      <c r="C36" s="0" t="s">
        <v>9</v>
      </c>
      <c r="E36" s="0" t="s">
        <v>1074</v>
      </c>
      <c r="G36" s="0" t="s">
        <v>1075</v>
      </c>
    </row>
    <row r="37" customFormat="false" ht="12.75" hidden="false" customHeight="false" outlineLevel="0" collapsed="false">
      <c r="B37" s="0" t="n">
        <v>75839</v>
      </c>
      <c r="C37" s="0" t="s">
        <v>1087</v>
      </c>
    </row>
    <row r="38" customFormat="false" ht="12.75" hidden="false" customHeight="false" outlineLevel="0" collapsed="false">
      <c r="B38" s="0" t="n">
        <v>79811</v>
      </c>
      <c r="C38" s="0" t="s">
        <v>1088</v>
      </c>
    </row>
    <row r="39" customFormat="false" ht="12.75" hidden="false" customHeight="false" outlineLevel="0" collapsed="false">
      <c r="C39" s="0" t="s">
        <v>1089</v>
      </c>
    </row>
    <row r="40" customFormat="false" ht="12.75" hidden="false" customHeight="false" outlineLevel="0" collapsed="false">
      <c r="B40" s="0" t="n">
        <v>83404</v>
      </c>
      <c r="C40" s="0" t="s">
        <v>1085</v>
      </c>
    </row>
    <row r="41" customFormat="false" ht="12.75" hidden="false" customHeight="false" outlineLevel="0" collapsed="false">
      <c r="B41" s="0" t="n">
        <v>81129</v>
      </c>
      <c r="C41" s="0" t="s">
        <v>1088</v>
      </c>
    </row>
    <row r="42" customFormat="false" ht="12.75" hidden="false" customHeight="false" outlineLevel="0" collapsed="false">
      <c r="B42" s="0" t="n">
        <v>82058</v>
      </c>
      <c r="C42" s="0" t="s">
        <v>1078</v>
      </c>
    </row>
    <row r="43" customFormat="false" ht="12.75" hidden="false" customHeight="false" outlineLevel="0" collapsed="false">
      <c r="C43" s="0" t="s">
        <v>1090</v>
      </c>
    </row>
    <row r="44" customFormat="false" ht="12.75" hidden="false" customHeight="false" outlineLevel="0" collapsed="false">
      <c r="B44" s="0" t="n">
        <v>83440</v>
      </c>
      <c r="C44" s="0" t="s">
        <v>1078</v>
      </c>
    </row>
    <row r="45" customFormat="false" ht="12.75" hidden="false" customHeight="false" outlineLevel="0" collapsed="false">
      <c r="C45" s="0" t="s">
        <v>1084</v>
      </c>
    </row>
  </sheetData>
  <mergeCells count="3">
    <mergeCell ref="B9:G9"/>
    <mergeCell ref="B20:G20"/>
    <mergeCell ref="B35:G3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41"/>
    <col collapsed="false" customWidth="true" hidden="false" outlineLevel="0" max="3" min="3" style="565" width="10.28"/>
    <col collapsed="false" customWidth="true" hidden="false" outlineLevel="0" max="4" min="4" style="0" width="3.28"/>
    <col collapsed="false" customWidth="true" hidden="false" outlineLevel="0" max="6" min="6" style="0" width="3.14"/>
  </cols>
  <sheetData>
    <row r="1" customFormat="false" ht="12.75" hidden="false" customHeight="false" outlineLevel="0" collapsed="false">
      <c r="A1" s="518" t="s">
        <v>1091</v>
      </c>
    </row>
    <row r="4" customFormat="false" ht="12.75" hidden="false" customHeight="false" outlineLevel="0" collapsed="false">
      <c r="A4" s="566" t="s">
        <v>2</v>
      </c>
      <c r="C4" s="275" t="s">
        <v>1092</v>
      </c>
      <c r="E4" s="0" t="s">
        <v>948</v>
      </c>
      <c r="G4" s="0" t="s">
        <v>1093</v>
      </c>
      <c r="I4" s="0" t="s">
        <v>1094</v>
      </c>
      <c r="K4" s="0" t="s">
        <v>1095</v>
      </c>
      <c r="M4" s="0" t="s">
        <v>1096</v>
      </c>
    </row>
    <row r="5" customFormat="false" ht="12.75" hidden="false" customHeight="false" outlineLevel="0" collapsed="false">
      <c r="A5" s="0" t="s">
        <v>1097</v>
      </c>
      <c r="C5" s="565" t="s">
        <v>1098</v>
      </c>
    </row>
    <row r="7" customFormat="false" ht="12.75" hidden="false" customHeight="false" outlineLevel="0" collapsed="false">
      <c r="A7" s="0" t="s">
        <v>48</v>
      </c>
      <c r="C7" s="565" t="n">
        <v>15000</v>
      </c>
      <c r="E7" s="0" t="s">
        <v>168</v>
      </c>
      <c r="G7" s="0" t="s">
        <v>166</v>
      </c>
      <c r="I7" s="0" t="s">
        <v>165</v>
      </c>
      <c r="K7" s="0" t="s">
        <v>1099</v>
      </c>
      <c r="M7" s="0" t="s">
        <v>1100</v>
      </c>
    </row>
    <row r="8" customFormat="false" ht="12.75" hidden="false" customHeight="false" outlineLevel="0" collapsed="false">
      <c r="C8" s="565" t="n">
        <v>3947</v>
      </c>
      <c r="E8" s="0" t="s">
        <v>175</v>
      </c>
      <c r="G8" s="0" t="s">
        <v>170</v>
      </c>
      <c r="I8" s="0" t="s">
        <v>174</v>
      </c>
      <c r="K8" s="0" t="s">
        <v>1099</v>
      </c>
      <c r="M8" s="0" t="s">
        <v>1100</v>
      </c>
    </row>
    <row r="10" customFormat="false" ht="12.75" hidden="false" customHeight="false" outlineLevel="0" collapsed="false">
      <c r="A10" s="0" t="s">
        <v>134</v>
      </c>
      <c r="C10" s="565" t="n">
        <v>4000</v>
      </c>
      <c r="E10" s="0" t="n">
        <v>66930</v>
      </c>
    </row>
    <row r="11" customFormat="false" ht="12.75" hidden="false" customHeight="false" outlineLevel="0" collapsed="false">
      <c r="C11" s="565" t="n">
        <v>4000</v>
      </c>
      <c r="E11" s="0" t="n">
        <v>66931</v>
      </c>
    </row>
    <row r="12" customFormat="false" ht="12.75" hidden="false" customHeight="false" outlineLevel="0" collapsed="false">
      <c r="C12" s="565" t="n">
        <v>4000</v>
      </c>
      <c r="E12" s="0" t="n">
        <v>66932</v>
      </c>
    </row>
    <row r="13" customFormat="false" ht="12.75" hidden="false" customHeight="false" outlineLevel="0" collapsed="false">
      <c r="C13" s="565" t="n">
        <v>20000</v>
      </c>
      <c r="E13" s="0" t="n">
        <v>66965</v>
      </c>
    </row>
    <row r="15" customFormat="false" ht="12.75" hidden="false" customHeight="false" outlineLevel="0" collapsed="false">
      <c r="C15" s="565" t="n">
        <v>2329</v>
      </c>
      <c r="E15" s="0" t="n">
        <v>65071</v>
      </c>
      <c r="G15" s="0" t="s">
        <v>213</v>
      </c>
      <c r="I15" s="0" t="s">
        <v>194</v>
      </c>
      <c r="K15" s="0" t="s">
        <v>1101</v>
      </c>
      <c r="M15" s="0" t="s">
        <v>1102</v>
      </c>
    </row>
    <row r="16" customFormat="false" ht="12.75" hidden="false" customHeight="false" outlineLevel="0" collapsed="false">
      <c r="C16" s="565" t="n">
        <v>40000</v>
      </c>
      <c r="E16" s="0" t="n">
        <v>64231</v>
      </c>
      <c r="G16" s="0" t="s">
        <v>1103</v>
      </c>
      <c r="M16" s="0" t="s">
        <v>1104</v>
      </c>
    </row>
    <row r="18" customFormat="false" ht="12.75" hidden="false" customHeight="false" outlineLevel="0" collapsed="false">
      <c r="C18" s="565" t="n">
        <v>134000</v>
      </c>
      <c r="E18" s="0" t="s">
        <v>178</v>
      </c>
      <c r="G18" s="0" t="s">
        <v>178</v>
      </c>
      <c r="M18" s="0" t="s">
        <v>1105</v>
      </c>
    </row>
    <row r="20" customFormat="false" ht="12.75" hidden="false" customHeight="false" outlineLevel="0" collapsed="false">
      <c r="C20" s="565" t="n">
        <v>80000</v>
      </c>
      <c r="E20" s="0" t="s">
        <v>1106</v>
      </c>
      <c r="M20" s="0" t="s">
        <v>1107</v>
      </c>
    </row>
    <row r="22" customFormat="false" ht="12.75" hidden="false" customHeight="false" outlineLevel="0" collapsed="false">
      <c r="A22" s="0" t="s">
        <v>128</v>
      </c>
      <c r="C22" s="565" t="n">
        <v>15000</v>
      </c>
      <c r="E22" s="0" t="n">
        <v>37861</v>
      </c>
      <c r="G22" s="0" t="s">
        <v>206</v>
      </c>
      <c r="I22" s="0" t="s">
        <v>213</v>
      </c>
      <c r="K22" s="0" t="s">
        <v>1108</v>
      </c>
      <c r="M22" s="0" t="s">
        <v>1109</v>
      </c>
    </row>
    <row r="23" customFormat="false" ht="12.75" hidden="false" customHeight="false" outlineLevel="0" collapsed="false">
      <c r="C23" s="565" t="n">
        <v>15000</v>
      </c>
      <c r="E23" s="0" t="n">
        <v>58654</v>
      </c>
      <c r="G23" s="0" t="s">
        <v>206</v>
      </c>
      <c r="I23" s="0" t="s">
        <v>213</v>
      </c>
      <c r="K23" s="0" t="s">
        <v>1110</v>
      </c>
      <c r="M23" s="0" t="s">
        <v>1111</v>
      </c>
    </row>
    <row r="24" customFormat="false" ht="12.75" hidden="false" customHeight="false" outlineLevel="0" collapsed="false">
      <c r="C24" s="565" t="n">
        <v>30000</v>
      </c>
      <c r="E24" s="0" t="n">
        <v>63115</v>
      </c>
      <c r="G24" s="0" t="s">
        <v>206</v>
      </c>
      <c r="I24" s="0" t="s">
        <v>213</v>
      </c>
      <c r="K24" s="0" t="s">
        <v>1112</v>
      </c>
      <c r="M24" s="0" t="s">
        <v>1111</v>
      </c>
    </row>
    <row r="26" customFormat="false" ht="12.75" hidden="false" customHeight="false" outlineLevel="0" collapsed="false">
      <c r="C26" s="565" t="n">
        <v>20000</v>
      </c>
      <c r="E26" s="0" t="n">
        <v>37393</v>
      </c>
      <c r="G26" s="0" t="s">
        <v>205</v>
      </c>
      <c r="I26" s="0" t="s">
        <v>206</v>
      </c>
      <c r="K26" s="0" t="s">
        <v>1113</v>
      </c>
      <c r="M26" s="0" t="s">
        <v>1109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C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540" width="10.13"/>
    <col collapsed="false" customWidth="true" hidden="false" outlineLevel="0" max="2" min="2" style="543" width="1.85"/>
    <col collapsed="false" customWidth="false" hidden="false" outlineLevel="0" max="3" min="3" style="540" width="9.14"/>
    <col collapsed="false" customWidth="true" hidden="false" outlineLevel="0" max="4" min="4" style="540" width="12.7"/>
    <col collapsed="false" customWidth="false" hidden="false" outlineLevel="0" max="5" min="5" style="540" width="9.14"/>
    <col collapsed="false" customWidth="true" hidden="false" outlineLevel="0" max="6" min="6" style="540" width="12.7"/>
    <col collapsed="false" customWidth="false" hidden="false" outlineLevel="0" max="257" min="7" style="540" width="9.14"/>
  </cols>
  <sheetData>
    <row r="1" customFormat="false" ht="12.75" hidden="false" customHeight="false" outlineLevel="0" collapsed="false">
      <c r="A1" s="0"/>
      <c r="B1" s="567"/>
    </row>
    <row r="2" customFormat="false" ht="12" hidden="false" customHeight="false" outlineLevel="0" collapsed="false">
      <c r="A2" s="540" t="s">
        <v>24</v>
      </c>
    </row>
    <row r="3" customFormat="false" ht="12" hidden="false" customHeight="false" outlineLevel="0" collapsed="false">
      <c r="A3" s="540" t="n">
        <v>26964</v>
      </c>
      <c r="C3" s="540" t="s">
        <v>1114</v>
      </c>
    </row>
    <row r="4" customFormat="false" ht="12" hidden="false" customHeight="false" outlineLevel="0" collapsed="false">
      <c r="A4" s="540" t="n">
        <v>26586</v>
      </c>
      <c r="C4" s="540" t="s">
        <v>1115</v>
      </c>
    </row>
    <row r="5" customFormat="false" ht="12" hidden="false" customHeight="false" outlineLevel="0" collapsed="false">
      <c r="A5" s="540" t="n">
        <v>26070</v>
      </c>
      <c r="C5" s="568" t="s">
        <v>1116</v>
      </c>
    </row>
    <row r="6" customFormat="false" ht="12" hidden="false" customHeight="false" outlineLevel="0" collapsed="false">
      <c r="A6" s="540" t="n">
        <v>26901</v>
      </c>
      <c r="C6" s="568" t="s">
        <v>1117</v>
      </c>
    </row>
    <row r="7" customFormat="false" ht="12" hidden="false" customHeight="false" outlineLevel="0" collapsed="false">
      <c r="A7" s="540" t="n">
        <v>24787</v>
      </c>
      <c r="C7" s="540" t="s">
        <v>1118</v>
      </c>
    </row>
    <row r="8" customFormat="false" ht="12" hidden="false" customHeight="false" outlineLevel="0" collapsed="false">
      <c r="A8" s="540" t="n">
        <v>25431</v>
      </c>
      <c r="C8" s="540" t="s">
        <v>1119</v>
      </c>
    </row>
    <row r="9" customFormat="false" ht="12" hidden="false" customHeight="false" outlineLevel="0" collapsed="false">
      <c r="A9" s="540" t="n">
        <v>24976</v>
      </c>
      <c r="C9" s="540" t="s">
        <v>1120</v>
      </c>
    </row>
    <row r="10" customFormat="false" ht="12" hidden="false" customHeight="false" outlineLevel="0" collapsed="false">
      <c r="A10" s="540" t="n">
        <v>25635</v>
      </c>
      <c r="C10" s="540" t="s">
        <v>1121</v>
      </c>
    </row>
    <row r="11" customFormat="false" ht="12" hidden="false" customHeight="false" outlineLevel="0" collapsed="false">
      <c r="A11" s="540" t="n">
        <v>24530</v>
      </c>
      <c r="C11" s="540" t="s">
        <v>1122</v>
      </c>
    </row>
    <row r="12" customFormat="false" ht="12" hidden="false" customHeight="false" outlineLevel="0" collapsed="false">
      <c r="A12" s="540" t="n">
        <v>24566</v>
      </c>
      <c r="C12" s="540" t="s">
        <v>1123</v>
      </c>
    </row>
    <row r="15" customFormat="false" ht="12" hidden="false" customHeight="false" outlineLevel="0" collapsed="false">
      <c r="A15" s="540" t="s">
        <v>1124</v>
      </c>
    </row>
    <row r="16" customFormat="false" ht="12" hidden="false" customHeight="false" outlineLevel="0" collapsed="false">
      <c r="A16" s="540" t="s">
        <v>1125</v>
      </c>
    </row>
    <row r="17" customFormat="false" ht="12" hidden="false" customHeight="false" outlineLevel="0" collapsed="false">
      <c r="A17" s="540" t="s">
        <v>1126</v>
      </c>
    </row>
    <row r="18" customFormat="false" ht="12" hidden="false" customHeight="false" outlineLevel="0" collapsed="false">
      <c r="A18" s="569" t="s">
        <v>1127</v>
      </c>
      <c r="C18" s="548"/>
      <c r="E18" s="548"/>
    </row>
    <row r="19" customFormat="false" ht="12" hidden="false" customHeight="false" outlineLevel="0" collapsed="false">
      <c r="A19" s="569"/>
      <c r="C19" s="548"/>
      <c r="E19" s="548"/>
    </row>
    <row r="20" customFormat="false" ht="12" hidden="false" customHeight="false" outlineLevel="0" collapsed="false">
      <c r="A20" s="569" t="s">
        <v>1128</v>
      </c>
      <c r="C20" s="548"/>
      <c r="E20" s="548"/>
    </row>
    <row r="21" customFormat="false" ht="12" hidden="false" customHeight="false" outlineLevel="0" collapsed="false">
      <c r="A21" s="569"/>
      <c r="C21" s="548"/>
      <c r="E21" s="548"/>
    </row>
    <row r="22" customFormat="false" ht="12" hidden="false" customHeight="false" outlineLevel="0" collapsed="false">
      <c r="A22" s="569" t="s">
        <v>1129</v>
      </c>
      <c r="C22" s="548"/>
      <c r="E22" s="548"/>
    </row>
    <row r="23" customFormat="false" ht="12" hidden="false" customHeight="false" outlineLevel="0" collapsed="false">
      <c r="A23" s="569"/>
      <c r="C23" s="548"/>
      <c r="E23" s="548"/>
    </row>
    <row r="24" customFormat="false" ht="12" hidden="false" customHeight="false" outlineLevel="0" collapsed="false">
      <c r="A24" s="569" t="s">
        <v>1130</v>
      </c>
      <c r="C24" s="548"/>
      <c r="E24" s="548"/>
    </row>
    <row r="25" customFormat="false" ht="12" hidden="false" customHeight="false" outlineLevel="0" collapsed="false">
      <c r="A25" s="569" t="s">
        <v>1131</v>
      </c>
      <c r="C25" s="548"/>
      <c r="E25" s="548"/>
    </row>
    <row r="26" customFormat="false" ht="12" hidden="false" customHeight="false" outlineLevel="0" collapsed="false">
      <c r="A26" s="569"/>
      <c r="C26" s="548"/>
      <c r="E26" s="548"/>
      <c r="M26" s="548" t="s">
        <v>1132</v>
      </c>
      <c r="N26" s="540" t="s">
        <v>6</v>
      </c>
    </row>
    <row r="27" customFormat="false" ht="12" hidden="false" customHeight="false" outlineLevel="0" collapsed="false">
      <c r="A27" s="569"/>
      <c r="C27" s="548" t="s">
        <v>1132</v>
      </c>
      <c r="D27" s="540" t="s">
        <v>6</v>
      </c>
      <c r="E27" s="548"/>
      <c r="M27" s="548"/>
    </row>
    <row r="28" customFormat="false" ht="12" hidden="false" customHeight="false" outlineLevel="0" collapsed="false">
      <c r="A28" s="569"/>
      <c r="C28" s="548"/>
      <c r="E28" s="548"/>
      <c r="M28" s="570" t="n">
        <v>36070</v>
      </c>
      <c r="N28" s="571" t="n">
        <v>22766</v>
      </c>
    </row>
    <row r="29" customFormat="false" ht="12" hidden="false" customHeight="false" outlineLevel="0" collapsed="false">
      <c r="A29" s="569"/>
      <c r="C29" s="570" t="n">
        <v>36070</v>
      </c>
      <c r="D29" s="571" t="n">
        <v>23000</v>
      </c>
      <c r="E29" s="548"/>
      <c r="M29" s="570" t="n">
        <v>36071</v>
      </c>
      <c r="N29" s="571" t="n">
        <v>258</v>
      </c>
    </row>
    <row r="30" customFormat="false" ht="12" hidden="false" customHeight="false" outlineLevel="0" collapsed="false">
      <c r="A30" s="569"/>
      <c r="C30" s="570" t="n">
        <v>36079</v>
      </c>
      <c r="D30" s="571" t="n">
        <v>60000</v>
      </c>
      <c r="E30" s="548"/>
      <c r="M30" s="570" t="n">
        <v>36079</v>
      </c>
      <c r="N30" s="571" t="n">
        <v>66349</v>
      </c>
    </row>
    <row r="31" customFormat="false" ht="12" hidden="false" customHeight="false" outlineLevel="0" collapsed="false">
      <c r="A31" s="569"/>
      <c r="C31" s="570" t="n">
        <v>36080</v>
      </c>
      <c r="D31" s="571" t="n">
        <v>72000</v>
      </c>
      <c r="E31" s="548"/>
      <c r="M31" s="570" t="n">
        <v>36080</v>
      </c>
      <c r="N31" s="571" t="n">
        <v>80468</v>
      </c>
    </row>
    <row r="32" customFormat="false" ht="12" hidden="false" customHeight="false" outlineLevel="0" collapsed="false">
      <c r="A32" s="569"/>
      <c r="C32" s="570" t="n">
        <v>36081</v>
      </c>
      <c r="D32" s="571" t="n">
        <v>27000</v>
      </c>
      <c r="E32" s="548"/>
      <c r="M32" s="570" t="n">
        <v>36081</v>
      </c>
      <c r="N32" s="571" t="n">
        <v>27726</v>
      </c>
    </row>
    <row r="33" customFormat="false" ht="12" hidden="false" customHeight="false" outlineLevel="0" collapsed="false">
      <c r="A33" s="569"/>
      <c r="C33" s="570" t="n">
        <v>36082</v>
      </c>
      <c r="D33" s="571" t="n">
        <v>53000</v>
      </c>
      <c r="E33" s="548"/>
      <c r="M33" s="570" t="n">
        <v>36082</v>
      </c>
      <c r="N33" s="571" t="n">
        <v>52469</v>
      </c>
    </row>
    <row r="34" customFormat="false" ht="12" hidden="false" customHeight="false" outlineLevel="0" collapsed="false">
      <c r="A34" s="569"/>
      <c r="C34" s="570" t="n">
        <v>36085</v>
      </c>
      <c r="D34" s="571" t="n">
        <v>51000</v>
      </c>
      <c r="E34" s="548"/>
      <c r="M34" s="570" t="n">
        <v>36083</v>
      </c>
      <c r="N34" s="571" t="n">
        <v>1497</v>
      </c>
    </row>
    <row r="35" customFormat="false" ht="12" hidden="false" customHeight="false" outlineLevel="0" collapsed="false">
      <c r="A35" s="569"/>
      <c r="C35" s="570" t="n">
        <v>36086</v>
      </c>
      <c r="D35" s="571" t="n">
        <v>51000</v>
      </c>
      <c r="E35" s="548"/>
      <c r="M35" s="570" t="n">
        <v>36084</v>
      </c>
      <c r="N35" s="571" t="n">
        <f aca="false">2083+75</f>
        <v>2158</v>
      </c>
    </row>
    <row r="36" customFormat="false" ht="12" hidden="false" customHeight="false" outlineLevel="0" collapsed="false">
      <c r="A36" s="569"/>
      <c r="C36" s="570" t="n">
        <v>36087</v>
      </c>
      <c r="D36" s="571" t="n">
        <v>63730</v>
      </c>
      <c r="M36" s="570" t="n">
        <v>36085</v>
      </c>
      <c r="N36" s="571" t="n">
        <f aca="false">9365+175+9+9759+16833+13341+1513</f>
        <v>50995</v>
      </c>
    </row>
    <row r="37" customFormat="false" ht="12" hidden="false" customHeight="false" outlineLevel="0" collapsed="false">
      <c r="A37" s="569"/>
      <c r="C37" s="570" t="n">
        <v>36092</v>
      </c>
      <c r="D37" s="571" t="n">
        <v>25000</v>
      </c>
      <c r="M37" s="570" t="n">
        <v>36086</v>
      </c>
      <c r="N37" s="571" t="n">
        <f aca="false">9365+175+9+9759+16833+13341+1513</f>
        <v>50995</v>
      </c>
    </row>
    <row r="38" customFormat="false" ht="12" hidden="false" customHeight="false" outlineLevel="0" collapsed="false">
      <c r="A38" s="569"/>
      <c r="C38" s="570" t="n">
        <v>36093</v>
      </c>
      <c r="D38" s="571" t="n">
        <v>25000</v>
      </c>
      <c r="M38" s="570" t="n">
        <v>36087</v>
      </c>
      <c r="N38" s="571" t="n">
        <f aca="false">28107+9305+175+8+13256+9696+1502+1219</f>
        <v>63268</v>
      </c>
    </row>
    <row r="39" customFormat="false" ht="14.25" hidden="false" customHeight="false" outlineLevel="0" collapsed="false">
      <c r="A39" s="569"/>
      <c r="C39" s="570" t="n">
        <v>36094</v>
      </c>
      <c r="D39" s="572" t="n">
        <v>25000</v>
      </c>
      <c r="M39" s="570" t="n">
        <v>36088</v>
      </c>
      <c r="N39" s="571" t="n">
        <f aca="false">2088+175</f>
        <v>2263</v>
      </c>
    </row>
    <row r="40" customFormat="false" ht="12.75" hidden="false" customHeight="false" outlineLevel="0" collapsed="false">
      <c r="A40" s="569"/>
      <c r="C40" s="570" t="s">
        <v>1</v>
      </c>
      <c r="D40" s="571" t="n">
        <f aca="false">SUM(D23:D39)</f>
        <v>475730</v>
      </c>
      <c r="M40" s="570" t="n">
        <v>36089</v>
      </c>
      <c r="N40" s="571" t="n">
        <v>175</v>
      </c>
    </row>
    <row r="41" customFormat="false" ht="12" hidden="false" customHeight="false" outlineLevel="0" collapsed="false">
      <c r="A41" s="569"/>
      <c r="C41" s="570" t="s">
        <v>1</v>
      </c>
      <c r="D41" s="571" t="s">
        <v>1</v>
      </c>
      <c r="F41" s="573"/>
      <c r="M41" s="570" t="n">
        <v>36092</v>
      </c>
      <c r="N41" s="571" t="n">
        <f aca="false">15001+10001</f>
        <v>25002</v>
      </c>
    </row>
    <row r="42" customFormat="false" ht="12" hidden="false" customHeight="false" outlineLevel="0" collapsed="false">
      <c r="A42" s="569"/>
      <c r="C42" s="570" t="s">
        <v>1</v>
      </c>
      <c r="D42" s="571" t="s">
        <v>1</v>
      </c>
      <c r="M42" s="570" t="n">
        <v>36093</v>
      </c>
      <c r="N42" s="571" t="n">
        <f aca="false">15001+10001</f>
        <v>25002</v>
      </c>
    </row>
    <row r="43" customFormat="false" ht="12" hidden="false" customHeight="false" outlineLevel="0" collapsed="false">
      <c r="A43" s="569"/>
      <c r="C43" s="570" t="s">
        <v>1</v>
      </c>
      <c r="D43" s="571" t="s">
        <v>1</v>
      </c>
      <c r="M43" s="570" t="n">
        <v>36094</v>
      </c>
      <c r="N43" s="571" t="n">
        <f aca="false">15001+10001</f>
        <v>25002</v>
      </c>
    </row>
    <row r="44" customFormat="false" ht="14.25" hidden="false" customHeight="false" outlineLevel="0" collapsed="false">
      <c r="A44" s="569"/>
      <c r="C44" s="570" t="s">
        <v>339</v>
      </c>
      <c r="D44" s="571" t="s">
        <v>1</v>
      </c>
      <c r="M44" s="570" t="n">
        <v>36095</v>
      </c>
      <c r="N44" s="572" t="n">
        <v>1908</v>
      </c>
    </row>
    <row r="45" customFormat="false" ht="12" hidden="false" customHeight="false" outlineLevel="0" collapsed="false">
      <c r="A45" s="569"/>
      <c r="C45" s="570" t="s">
        <v>1</v>
      </c>
      <c r="D45" s="574" t="s">
        <v>1</v>
      </c>
      <c r="M45" s="570" t="s">
        <v>1</v>
      </c>
      <c r="N45" s="571" t="n">
        <f aca="false">SUM(N28:N44)</f>
        <v>498301</v>
      </c>
    </row>
    <row r="46" customFormat="false" ht="12" hidden="false" customHeight="false" outlineLevel="0" collapsed="false">
      <c r="A46" s="569"/>
      <c r="C46" s="570" t="s">
        <v>1</v>
      </c>
      <c r="D46" s="571" t="s">
        <v>1</v>
      </c>
      <c r="M46" s="570" t="s">
        <v>1</v>
      </c>
    </row>
    <row r="47" customFormat="false" ht="12" hidden="false" customHeight="false" outlineLevel="0" collapsed="false">
      <c r="A47" s="569"/>
      <c r="C47" s="570" t="s">
        <v>1</v>
      </c>
    </row>
    <row r="48" customFormat="false" ht="12" hidden="false" customHeight="false" outlineLevel="0" collapsed="false">
      <c r="A48" s="569"/>
      <c r="C48" s="570" t="s">
        <v>1</v>
      </c>
    </row>
    <row r="49" customFormat="false" ht="12" hidden="false" customHeight="false" outlineLevel="0" collapsed="false">
      <c r="A49" s="569" t="s">
        <v>1133</v>
      </c>
      <c r="C49" s="570"/>
    </row>
    <row r="50" customFormat="false" ht="12" hidden="false" customHeight="false" outlineLevel="0" collapsed="false">
      <c r="A50" s="569" t="s">
        <v>1</v>
      </c>
      <c r="C50" s="570" t="s">
        <v>1</v>
      </c>
    </row>
    <row r="51" customFormat="false" ht="12" hidden="false" customHeight="false" outlineLevel="0" collapsed="false">
      <c r="A51" s="569" t="s">
        <v>1</v>
      </c>
      <c r="C51" s="570" t="s">
        <v>1</v>
      </c>
    </row>
    <row r="52" customFormat="false" ht="12" hidden="false" customHeight="false" outlineLevel="0" collapsed="false">
      <c r="A52" s="569" t="s">
        <v>1</v>
      </c>
      <c r="C52" s="570" t="s">
        <v>1</v>
      </c>
    </row>
    <row r="53" customFormat="false" ht="12" hidden="false" customHeight="false" outlineLevel="0" collapsed="false">
      <c r="A53" s="569" t="s">
        <v>1</v>
      </c>
      <c r="C53" s="570" t="s">
        <v>1</v>
      </c>
    </row>
    <row r="54" customFormat="false" ht="12" hidden="false" customHeight="false" outlineLevel="0" collapsed="false">
      <c r="A54" s="569" t="s">
        <v>1</v>
      </c>
      <c r="C54" s="570" t="s">
        <v>1</v>
      </c>
    </row>
    <row r="55" customFormat="false" ht="12" hidden="false" customHeight="false" outlineLevel="0" collapsed="false">
      <c r="A55" s="569" t="s">
        <v>1</v>
      </c>
      <c r="C55" s="570" t="s">
        <v>1</v>
      </c>
    </row>
    <row r="56" customFormat="false" ht="12" hidden="false" customHeight="false" outlineLevel="0" collapsed="false">
      <c r="A56" s="569" t="s">
        <v>1</v>
      </c>
      <c r="C56" s="570" t="s">
        <v>339</v>
      </c>
    </row>
    <row r="57" customFormat="false" ht="12" hidden="false" customHeight="false" outlineLevel="0" collapsed="false">
      <c r="A57" s="569" t="s">
        <v>1</v>
      </c>
      <c r="C57" s="570" t="s">
        <v>1</v>
      </c>
    </row>
    <row r="58" customFormat="false" ht="12" hidden="false" customHeight="false" outlineLevel="0" collapsed="false">
      <c r="A58" s="569" t="s">
        <v>1</v>
      </c>
      <c r="C58" s="570" t="s">
        <v>1</v>
      </c>
    </row>
    <row r="59" customFormat="false" ht="12" hidden="false" customHeight="false" outlineLevel="0" collapsed="false">
      <c r="A59" s="569" t="s">
        <v>1</v>
      </c>
      <c r="C59" s="570" t="s">
        <v>1</v>
      </c>
    </row>
    <row r="60" customFormat="false" ht="12" hidden="false" customHeight="false" outlineLevel="0" collapsed="false">
      <c r="A60" s="569" t="s">
        <v>1</v>
      </c>
      <c r="C60" s="570" t="s">
        <v>1</v>
      </c>
    </row>
    <row r="61" customFormat="false" ht="12" hidden="false" customHeight="false" outlineLevel="0" collapsed="false">
      <c r="A61" s="569" t="s">
        <v>1</v>
      </c>
      <c r="C61" s="570" t="s">
        <v>1</v>
      </c>
    </row>
    <row r="62" customFormat="false" ht="12" hidden="false" customHeight="false" outlineLevel="0" collapsed="false">
      <c r="A62" s="569" t="s">
        <v>1</v>
      </c>
      <c r="C62" s="570" t="s">
        <v>339</v>
      </c>
    </row>
    <row r="63" customFormat="false" ht="12" hidden="false" customHeight="false" outlineLevel="0" collapsed="false">
      <c r="A63" s="569" t="s">
        <v>1</v>
      </c>
      <c r="C63" s="570" t="s">
        <v>1</v>
      </c>
    </row>
    <row r="64" customFormat="false" ht="12" hidden="false" customHeight="false" outlineLevel="0" collapsed="false">
      <c r="A64" s="569" t="s">
        <v>1</v>
      </c>
      <c r="C64" s="570" t="s">
        <v>1</v>
      </c>
    </row>
    <row r="65" customFormat="false" ht="12" hidden="false" customHeight="false" outlineLevel="0" collapsed="false">
      <c r="A65" s="569" t="s">
        <v>1</v>
      </c>
      <c r="C65" s="570" t="s">
        <v>1</v>
      </c>
    </row>
    <row r="66" customFormat="false" ht="12" hidden="false" customHeight="false" outlineLevel="0" collapsed="false">
      <c r="A66" s="569" t="s">
        <v>1</v>
      </c>
      <c r="C66" s="570" t="s">
        <v>1</v>
      </c>
    </row>
    <row r="67" customFormat="false" ht="12" hidden="false" customHeight="false" outlineLevel="0" collapsed="false">
      <c r="A67" s="569" t="s">
        <v>1</v>
      </c>
      <c r="C67" s="570" t="s">
        <v>339</v>
      </c>
    </row>
    <row r="68" customFormat="false" ht="12" hidden="false" customHeight="false" outlineLevel="0" collapsed="false">
      <c r="A68" s="569" t="s">
        <v>1</v>
      </c>
      <c r="C68" s="570" t="s">
        <v>1</v>
      </c>
    </row>
    <row r="69" customFormat="false" ht="12" hidden="false" customHeight="false" outlineLevel="0" collapsed="false">
      <c r="A69" s="569" t="s">
        <v>1</v>
      </c>
    </row>
    <row r="70" customFormat="false" ht="12" hidden="false" customHeight="false" outlineLevel="0" collapsed="false">
      <c r="A70" s="569" t="s">
        <v>1</v>
      </c>
    </row>
    <row r="71" customFormat="false" ht="12" hidden="false" customHeight="false" outlineLevel="0" collapsed="false">
      <c r="A71" s="569" t="s">
        <v>1</v>
      </c>
    </row>
    <row r="72" customFormat="false" ht="12" hidden="false" customHeight="false" outlineLevel="0" collapsed="false">
      <c r="A72" s="569" t="s">
        <v>1</v>
      </c>
    </row>
    <row r="73" customFormat="false" ht="12" hidden="false" customHeight="false" outlineLevel="0" collapsed="false">
      <c r="A73" s="569" t="s">
        <v>1</v>
      </c>
    </row>
    <row r="74" customFormat="false" ht="12" hidden="false" customHeight="false" outlineLevel="0" collapsed="false">
      <c r="A74" s="569" t="s">
        <v>1</v>
      </c>
    </row>
    <row r="75" customFormat="false" ht="12" hidden="false" customHeight="false" outlineLevel="0" collapsed="false">
      <c r="A75" s="569" t="s">
        <v>1</v>
      </c>
    </row>
    <row r="76" customFormat="false" ht="12" hidden="false" customHeight="false" outlineLevel="0" collapsed="false">
      <c r="A76" s="569" t="s">
        <v>1</v>
      </c>
    </row>
    <row r="77" customFormat="false" ht="12" hidden="false" customHeight="false" outlineLevel="0" collapsed="false">
      <c r="A77" s="569" t="s">
        <v>1</v>
      </c>
    </row>
    <row r="78" customFormat="false" ht="12" hidden="false" customHeight="false" outlineLevel="0" collapsed="false">
      <c r="A78" s="569" t="s">
        <v>1</v>
      </c>
    </row>
    <row r="79" customFormat="false" ht="12" hidden="false" customHeight="false" outlineLevel="0" collapsed="false">
      <c r="A79" s="569" t="s">
        <v>1</v>
      </c>
    </row>
    <row r="80" customFormat="false" ht="12" hidden="false" customHeight="false" outlineLevel="0" collapsed="false">
      <c r="A80" s="569" t="s">
        <v>1</v>
      </c>
    </row>
    <row r="81" customFormat="false" ht="12" hidden="false" customHeight="false" outlineLevel="0" collapsed="false">
      <c r="A81" s="569" t="s">
        <v>1</v>
      </c>
    </row>
    <row r="82" customFormat="false" ht="12" hidden="false" customHeight="false" outlineLevel="0" collapsed="false">
      <c r="A82" s="569" t="s">
        <v>1</v>
      </c>
    </row>
    <row r="83" customFormat="false" ht="12" hidden="false" customHeight="false" outlineLevel="0" collapsed="false">
      <c r="A83" s="569" t="s">
        <v>1</v>
      </c>
    </row>
    <row r="84" customFormat="false" ht="12" hidden="false" customHeight="false" outlineLevel="0" collapsed="false">
      <c r="A84" s="569" t="s">
        <v>1</v>
      </c>
    </row>
    <row r="85" customFormat="false" ht="12" hidden="false" customHeight="false" outlineLevel="0" collapsed="false">
      <c r="A85" s="569" t="s">
        <v>1</v>
      </c>
    </row>
    <row r="86" customFormat="false" ht="12" hidden="false" customHeight="false" outlineLevel="0" collapsed="false">
      <c r="A86" s="569" t="s">
        <v>1</v>
      </c>
    </row>
    <row r="87" customFormat="false" ht="12" hidden="false" customHeight="false" outlineLevel="0" collapsed="false">
      <c r="A87" s="569" t="s">
        <v>1</v>
      </c>
    </row>
    <row r="88" customFormat="false" ht="12" hidden="false" customHeight="false" outlineLevel="0" collapsed="false">
      <c r="A88" s="569" t="s">
        <v>1</v>
      </c>
    </row>
    <row r="89" customFormat="false" ht="12" hidden="false" customHeight="false" outlineLevel="0" collapsed="false">
      <c r="A89" s="569" t="s">
        <v>1</v>
      </c>
    </row>
    <row r="90" customFormat="false" ht="12" hidden="false" customHeight="false" outlineLevel="0" collapsed="false">
      <c r="A90" s="569" t="s">
        <v>1</v>
      </c>
    </row>
    <row r="91" customFormat="false" ht="12" hidden="false" customHeight="false" outlineLevel="0" collapsed="false">
      <c r="A91" s="569" t="s">
        <v>1</v>
      </c>
    </row>
    <row r="92" customFormat="false" ht="12" hidden="false" customHeight="false" outlineLevel="0" collapsed="false">
      <c r="A92" s="569" t="s">
        <v>1</v>
      </c>
    </row>
    <row r="93" customFormat="false" ht="12" hidden="false" customHeight="false" outlineLevel="0" collapsed="false">
      <c r="A93" s="569" t="s">
        <v>1</v>
      </c>
    </row>
    <row r="94" customFormat="false" ht="12" hidden="false" customHeight="false" outlineLevel="0" collapsed="false">
      <c r="A94" s="569" t="s">
        <v>1</v>
      </c>
    </row>
    <row r="95" customFormat="false" ht="12" hidden="false" customHeight="false" outlineLevel="0" collapsed="false">
      <c r="A95" s="569" t="s">
        <v>1</v>
      </c>
    </row>
    <row r="96" customFormat="false" ht="12" hidden="false" customHeight="false" outlineLevel="0" collapsed="false">
      <c r="A96" s="569" t="s">
        <v>1</v>
      </c>
    </row>
    <row r="97" customFormat="false" ht="12" hidden="false" customHeight="false" outlineLevel="0" collapsed="false">
      <c r="A97" s="569" t="s">
        <v>1</v>
      </c>
    </row>
    <row r="98" customFormat="false" ht="12" hidden="false" customHeight="false" outlineLevel="0" collapsed="false">
      <c r="A98" s="569" t="s">
        <v>1</v>
      </c>
    </row>
    <row r="99" customFormat="false" ht="12" hidden="false" customHeight="false" outlineLevel="0" collapsed="false">
      <c r="A99" s="569" t="s">
        <v>1</v>
      </c>
    </row>
    <row r="100" customFormat="false" ht="12" hidden="false" customHeight="false" outlineLevel="0" collapsed="false">
      <c r="A100" s="569" t="s">
        <v>1</v>
      </c>
    </row>
    <row r="101" customFormat="false" ht="12" hidden="false" customHeight="false" outlineLevel="0" collapsed="false">
      <c r="A101" s="569" t="s">
        <v>1</v>
      </c>
    </row>
    <row r="102" customFormat="false" ht="12" hidden="false" customHeight="false" outlineLevel="0" collapsed="false">
      <c r="A102" s="569" t="s">
        <v>1</v>
      </c>
    </row>
    <row r="103" customFormat="false" ht="12" hidden="false" customHeight="false" outlineLevel="0" collapsed="false">
      <c r="A103" s="569" t="s">
        <v>1</v>
      </c>
    </row>
    <row r="104" customFormat="false" ht="12" hidden="false" customHeight="false" outlineLevel="0" collapsed="false">
      <c r="A104" s="569" t="s">
        <v>1</v>
      </c>
    </row>
    <row r="105" customFormat="false" ht="12" hidden="false" customHeight="false" outlineLevel="0" collapsed="false">
      <c r="A105" s="569" t="s">
        <v>1</v>
      </c>
    </row>
    <row r="106" customFormat="false" ht="12" hidden="false" customHeight="false" outlineLevel="0" collapsed="false">
      <c r="A106" s="569" t="s">
        <v>1</v>
      </c>
    </row>
    <row r="107" customFormat="false" ht="12" hidden="false" customHeight="false" outlineLevel="0" collapsed="false">
      <c r="A107" s="569" t="s">
        <v>1</v>
      </c>
    </row>
    <row r="108" customFormat="false" ht="12" hidden="false" customHeight="false" outlineLevel="0" collapsed="false">
      <c r="A108" s="569" t="s">
        <v>1</v>
      </c>
    </row>
    <row r="109" customFormat="false" ht="12" hidden="false" customHeight="false" outlineLevel="0" collapsed="false">
      <c r="A109" s="569" t="s">
        <v>1</v>
      </c>
    </row>
    <row r="110" customFormat="false" ht="12" hidden="false" customHeight="false" outlineLevel="0" collapsed="false">
      <c r="A110" s="569" t="s">
        <v>1</v>
      </c>
    </row>
    <row r="111" customFormat="false" ht="12" hidden="false" customHeight="false" outlineLevel="0" collapsed="false">
      <c r="A111" s="569" t="s">
        <v>1</v>
      </c>
    </row>
    <row r="112" customFormat="false" ht="12" hidden="false" customHeight="false" outlineLevel="0" collapsed="false">
      <c r="A112" s="569" t="s">
        <v>1</v>
      </c>
    </row>
    <row r="113" customFormat="false" ht="12" hidden="false" customHeight="false" outlineLevel="0" collapsed="false">
      <c r="A113" s="569" t="s">
        <v>1</v>
      </c>
    </row>
    <row r="114" customFormat="false" ht="12" hidden="false" customHeight="false" outlineLevel="0" collapsed="false">
      <c r="A114" s="569" t="s">
        <v>1</v>
      </c>
    </row>
    <row r="115" customFormat="false" ht="12" hidden="false" customHeight="false" outlineLevel="0" collapsed="false">
      <c r="A115" s="569" t="s">
        <v>339</v>
      </c>
    </row>
    <row r="116" customFormat="false" ht="12" hidden="false" customHeight="false" outlineLevel="0" collapsed="false">
      <c r="A116" s="569" t="s">
        <v>1</v>
      </c>
    </row>
    <row r="117" customFormat="false" ht="12" hidden="false" customHeight="false" outlineLevel="0" collapsed="false">
      <c r="A117" s="569" t="s">
        <v>339</v>
      </c>
    </row>
    <row r="118" customFormat="false" ht="12" hidden="false" customHeight="false" outlineLevel="0" collapsed="false">
      <c r="A118" s="569" t="s">
        <v>1</v>
      </c>
    </row>
    <row r="119" customFormat="false" ht="12" hidden="false" customHeight="false" outlineLevel="0" collapsed="false">
      <c r="A119" s="569" t="s">
        <v>1</v>
      </c>
    </row>
    <row r="120" customFormat="false" ht="12" hidden="false" customHeight="false" outlineLevel="0" collapsed="false">
      <c r="A120" s="569" t="s">
        <v>1</v>
      </c>
    </row>
    <row r="121" customFormat="false" ht="12" hidden="false" customHeight="false" outlineLevel="0" collapsed="false">
      <c r="A121" s="569" t="s">
        <v>1</v>
      </c>
    </row>
    <row r="122" customFormat="false" ht="12" hidden="false" customHeight="false" outlineLevel="0" collapsed="false">
      <c r="A122" s="569" t="s">
        <v>1</v>
      </c>
    </row>
    <row r="123" customFormat="false" ht="12" hidden="false" customHeight="false" outlineLevel="0" collapsed="false">
      <c r="A123" s="569" t="s">
        <v>1</v>
      </c>
    </row>
    <row r="124" customFormat="false" ht="12" hidden="false" customHeight="false" outlineLevel="0" collapsed="false">
      <c r="A124" s="569" t="s">
        <v>1</v>
      </c>
    </row>
    <row r="125" customFormat="false" ht="12" hidden="false" customHeight="false" outlineLevel="0" collapsed="false">
      <c r="A125" s="569" t="s">
        <v>1</v>
      </c>
    </row>
    <row r="126" customFormat="false" ht="12" hidden="false" customHeight="false" outlineLevel="0" collapsed="false">
      <c r="A126" s="569" t="s">
        <v>1134</v>
      </c>
    </row>
    <row r="127" customFormat="false" ht="12" hidden="false" customHeight="false" outlineLevel="0" collapsed="false">
      <c r="A127" s="569" t="s">
        <v>1</v>
      </c>
    </row>
    <row r="128" customFormat="false" ht="12" hidden="false" customHeight="false" outlineLevel="0" collapsed="false">
      <c r="A128" s="569" t="s">
        <v>1</v>
      </c>
    </row>
    <row r="129" customFormat="false" ht="12" hidden="false" customHeight="false" outlineLevel="0" collapsed="false">
      <c r="A129" s="569" t="s">
        <v>1</v>
      </c>
    </row>
    <row r="130" customFormat="false" ht="12" hidden="false" customHeight="false" outlineLevel="0" collapsed="false">
      <c r="A130" s="569" t="s">
        <v>1</v>
      </c>
    </row>
    <row r="131" customFormat="false" ht="12" hidden="false" customHeight="false" outlineLevel="0" collapsed="false">
      <c r="A131" s="569" t="s">
        <v>1</v>
      </c>
    </row>
    <row r="132" customFormat="false" ht="12" hidden="false" customHeight="false" outlineLevel="0" collapsed="false">
      <c r="A132" s="569" t="s">
        <v>1</v>
      </c>
    </row>
    <row r="133" customFormat="false" ht="12" hidden="false" customHeight="false" outlineLevel="0" collapsed="false">
      <c r="A133" s="569" t="s">
        <v>1</v>
      </c>
    </row>
    <row r="134" customFormat="false" ht="12" hidden="false" customHeight="false" outlineLevel="0" collapsed="false">
      <c r="A134" s="569" t="s">
        <v>1</v>
      </c>
    </row>
    <row r="135" customFormat="false" ht="12" hidden="false" customHeight="false" outlineLevel="0" collapsed="false">
      <c r="A135" s="569" t="s">
        <v>1</v>
      </c>
    </row>
    <row r="136" customFormat="false" ht="12" hidden="false" customHeight="false" outlineLevel="0" collapsed="false">
      <c r="A136" s="569" t="s">
        <v>1</v>
      </c>
    </row>
    <row r="137" customFormat="false" ht="12" hidden="false" customHeight="false" outlineLevel="0" collapsed="false">
      <c r="A137" s="569" t="s">
        <v>1</v>
      </c>
    </row>
    <row r="138" customFormat="false" ht="12" hidden="false" customHeight="false" outlineLevel="0" collapsed="false">
      <c r="A138" s="569" t="s">
        <v>1</v>
      </c>
    </row>
    <row r="139" customFormat="false" ht="12" hidden="false" customHeight="false" outlineLevel="0" collapsed="false">
      <c r="A139" s="569" t="s">
        <v>1</v>
      </c>
    </row>
    <row r="140" customFormat="false" ht="12" hidden="false" customHeight="false" outlineLevel="0" collapsed="false">
      <c r="A140" s="569" t="s">
        <v>1</v>
      </c>
    </row>
    <row r="141" customFormat="false" ht="12" hidden="false" customHeight="false" outlineLevel="0" collapsed="false">
      <c r="A141" s="569" t="s">
        <v>1</v>
      </c>
    </row>
    <row r="142" customFormat="false" ht="12" hidden="false" customHeight="false" outlineLevel="0" collapsed="false">
      <c r="A142" s="569" t="s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tru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6" min="16" style="30" width="12.28"/>
    <col collapsed="false" customWidth="false" hidden="false" outlineLevel="0" max="17" min="17" style="27" width="9.14"/>
    <col collapsed="false" customWidth="true" hidden="false" outlineLevel="0" max="18" min="18" style="27" width="13.7"/>
    <col collapsed="false" customWidth="false" hidden="false" outlineLevel="0" max="20" min="19" style="27" width="9.14"/>
    <col collapsed="false" customWidth="true" hidden="false" outlineLevel="0" max="21" min="21" style="30" width="13.56"/>
    <col collapsed="false" customWidth="true" hidden="false" outlineLevel="0" max="22" min="22" style="27" width="42.28"/>
    <col collapsed="false" customWidth="false" hidden="false" outlineLevel="0" max="24" min="23" style="30" width="9.14"/>
    <col collapsed="false" customWidth="true" hidden="false" outlineLevel="0" max="25" min="25" style="27" width="12.42"/>
    <col collapsed="false" customWidth="false" hidden="false" outlineLevel="0" max="257" min="26" style="27" width="9.14"/>
  </cols>
  <sheetData>
    <row r="1" customFormat="false" ht="12.75" hidden="false" customHeight="false" outlineLevel="0" collapsed="false">
      <c r="A1" s="31" t="s">
        <v>97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4"/>
      <c r="Q1" s="34"/>
      <c r="R1" s="35"/>
      <c r="S1" s="35"/>
      <c r="T1" s="35"/>
      <c r="U1" s="36"/>
      <c r="V1" s="35"/>
      <c r="W1" s="37"/>
      <c r="X1" s="37"/>
    </row>
    <row r="2" customFormat="false" ht="12.75" hidden="false" customHeight="false" outlineLevel="0" collapsed="false">
      <c r="A2" s="38" t="s">
        <v>100</v>
      </c>
      <c r="B2" s="38"/>
      <c r="C2" s="38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4"/>
      <c r="Q2" s="34"/>
      <c r="R2" s="35"/>
      <c r="S2" s="35"/>
      <c r="T2" s="35"/>
      <c r="U2" s="36"/>
      <c r="V2" s="35"/>
      <c r="W2" s="37"/>
      <c r="X2" s="37"/>
    </row>
    <row r="3" customFormat="false" ht="12.75" hidden="false" customHeight="false" outlineLevel="0" collapsed="false">
      <c r="A3" s="39" t="s">
        <v>102</v>
      </c>
      <c r="B3" s="39"/>
      <c r="C3" s="39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4"/>
      <c r="Q3" s="34"/>
      <c r="R3" s="35"/>
      <c r="S3" s="35"/>
      <c r="T3" s="35"/>
      <c r="U3" s="36"/>
      <c r="V3" s="35"/>
      <c r="W3" s="37"/>
      <c r="X3" s="37"/>
    </row>
    <row r="4" customFormat="false" ht="12.75" hidden="false" customHeight="false" outlineLevel="0" collapsed="false">
      <c r="A4" s="42" t="s">
        <v>103</v>
      </c>
      <c r="B4" s="43"/>
      <c r="C4" s="43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4"/>
      <c r="Q4" s="34"/>
      <c r="R4" s="35"/>
      <c r="S4" s="45"/>
      <c r="T4" s="45"/>
      <c r="U4" s="46"/>
      <c r="V4" s="35"/>
      <c r="W4" s="37"/>
      <c r="X4" s="37"/>
    </row>
    <row r="5" customFormat="false" ht="12.75" hidden="false" customHeight="false" outlineLevel="0" collapsed="false">
      <c r="A5" s="15" t="s">
        <v>104</v>
      </c>
      <c r="B5" s="16"/>
      <c r="C5" s="47" t="s">
        <v>105</v>
      </c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4"/>
      <c r="Q5" s="34"/>
      <c r="R5" s="35"/>
      <c r="S5" s="45"/>
      <c r="T5" s="45"/>
      <c r="U5" s="46"/>
      <c r="V5" s="35"/>
      <c r="W5" s="37"/>
      <c r="X5" s="37"/>
    </row>
    <row r="6" customFormat="false" ht="12.75" hidden="false" customHeight="false" outlineLevel="0" collapsed="false">
      <c r="A6" s="15"/>
      <c r="B6" s="16"/>
      <c r="C6" s="47" t="s">
        <v>106</v>
      </c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4"/>
      <c r="Q6" s="34"/>
      <c r="R6" s="35"/>
      <c r="S6" s="45"/>
      <c r="T6" s="45"/>
      <c r="U6" s="46"/>
      <c r="V6" s="35"/>
      <c r="W6" s="37"/>
      <c r="X6" s="37"/>
    </row>
    <row r="7" customFormat="false" ht="12.75" hidden="false" customHeight="false" outlineLevel="0" collapsed="false">
      <c r="A7" s="15"/>
      <c r="B7" s="16"/>
      <c r="C7" s="47" t="s">
        <v>107</v>
      </c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4"/>
      <c r="Q7" s="34"/>
      <c r="R7" s="35"/>
      <c r="S7" s="45"/>
      <c r="T7" s="45"/>
      <c r="U7" s="46"/>
      <c r="V7" s="35"/>
      <c r="W7" s="37"/>
      <c r="X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4"/>
      <c r="Q8" s="34"/>
      <c r="R8" s="35"/>
      <c r="S8" s="45"/>
      <c r="T8" s="45"/>
      <c r="U8" s="46"/>
      <c r="V8" s="35"/>
      <c r="W8" s="37"/>
      <c r="X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4"/>
      <c r="Q9" s="34"/>
      <c r="R9" s="35"/>
      <c r="S9" s="45"/>
      <c r="T9" s="45"/>
      <c r="U9" s="46"/>
      <c r="V9" s="35"/>
      <c r="W9" s="37"/>
      <c r="X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4"/>
      <c r="Q10" s="34"/>
      <c r="R10" s="35"/>
      <c r="S10" s="45"/>
      <c r="T10" s="45"/>
      <c r="U10" s="46"/>
      <c r="V10" s="35"/>
      <c r="W10" s="37"/>
      <c r="X10" s="37"/>
    </row>
    <row r="11" customFormat="false" ht="12.75" hidden="false" customHeight="false" outlineLevel="0" collapsed="false">
      <c r="A11" s="48" t="s">
        <v>108</v>
      </c>
      <c r="B11" s="49" t="s">
        <v>109</v>
      </c>
      <c r="C11" s="49" t="s">
        <v>110</v>
      </c>
      <c r="D11" s="50" t="s">
        <v>111</v>
      </c>
      <c r="E11" s="50"/>
      <c r="F11" s="48" t="s">
        <v>112</v>
      </c>
      <c r="G11" s="48" t="s">
        <v>113</v>
      </c>
      <c r="H11" s="49" t="s">
        <v>114</v>
      </c>
      <c r="I11" s="51" t="s">
        <v>115</v>
      </c>
      <c r="J11" s="49" t="s">
        <v>116</v>
      </c>
      <c r="K11" s="49" t="s">
        <v>117</v>
      </c>
      <c r="L11" s="49" t="s">
        <v>118</v>
      </c>
      <c r="M11" s="49" t="s">
        <v>119</v>
      </c>
      <c r="N11" s="52" t="s">
        <v>120</v>
      </c>
      <c r="O11" s="49" t="s">
        <v>121</v>
      </c>
      <c r="P11" s="53" t="s">
        <v>122</v>
      </c>
      <c r="Q11" s="49" t="s">
        <v>123</v>
      </c>
      <c r="R11" s="48" t="s">
        <v>124</v>
      </c>
      <c r="S11" s="54" t="s">
        <v>125</v>
      </c>
      <c r="T11" s="54" t="s">
        <v>126</v>
      </c>
      <c r="U11" s="55" t="s">
        <v>4</v>
      </c>
      <c r="V11" s="54" t="s">
        <v>127</v>
      </c>
      <c r="W11" s="24"/>
      <c r="X11" s="24"/>
    </row>
    <row r="12" customFormat="false" ht="12.75" hidden="false" customHeight="false" outlineLevel="0" collapsed="false">
      <c r="A12" s="15" t="s">
        <v>92</v>
      </c>
      <c r="B12" s="16" t="s">
        <v>128</v>
      </c>
      <c r="C12" s="16" t="s">
        <v>129</v>
      </c>
      <c r="D12" s="17" t="n">
        <v>36526</v>
      </c>
      <c r="E12" s="17" t="n">
        <v>36830</v>
      </c>
      <c r="F12" s="15" t="s">
        <v>130</v>
      </c>
      <c r="G12" s="15" t="s">
        <v>131</v>
      </c>
      <c r="H12" s="16"/>
      <c r="I12" s="19" t="n">
        <f aca="false">1.0603/I$1</f>
        <v>0.0342032258064516</v>
      </c>
      <c r="J12" s="20" t="n">
        <v>0.0017</v>
      </c>
      <c r="K12" s="20" t="n">
        <v>0.0022</v>
      </c>
      <c r="L12" s="20" t="n">
        <v>0</v>
      </c>
      <c r="M12" s="20" t="n">
        <v>0</v>
      </c>
      <c r="N12" s="25" t="n">
        <v>0.00593</v>
      </c>
      <c r="O12" s="20" t="n">
        <f aca="false">SUM(I12:M12)</f>
        <v>0.0381032258064516</v>
      </c>
      <c r="P12" s="24" t="n">
        <v>42789</v>
      </c>
      <c r="Q12" s="16" t="n">
        <v>30000</v>
      </c>
      <c r="R12" s="15" t="s">
        <v>132</v>
      </c>
      <c r="S12" s="23" t="n">
        <f aca="false">I12*I$1*Q12</f>
        <v>31809</v>
      </c>
      <c r="T12" s="23"/>
      <c r="U12" s="26" t="n">
        <v>140447</v>
      </c>
      <c r="V12" s="15"/>
      <c r="W12" s="24"/>
      <c r="X12" s="2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56" t="s">
        <v>1</v>
      </c>
      <c r="B13" s="57" t="s">
        <v>1</v>
      </c>
      <c r="C13" s="58" t="s">
        <v>1</v>
      </c>
      <c r="D13" s="59" t="s">
        <v>1</v>
      </c>
      <c r="E13" s="59"/>
      <c r="F13" s="56" t="s">
        <v>1</v>
      </c>
      <c r="G13" s="60" t="s">
        <v>1</v>
      </c>
      <c r="H13" s="57" t="s">
        <v>1</v>
      </c>
      <c r="I13" s="61"/>
      <c r="J13" s="62"/>
      <c r="K13" s="62"/>
      <c r="L13" s="62"/>
      <c r="M13" s="62"/>
      <c r="N13" s="63"/>
      <c r="O13" s="62"/>
      <c r="P13" s="64" t="s">
        <v>1</v>
      </c>
      <c r="Q13" s="57" t="n">
        <f aca="false">SUM(Q12)</f>
        <v>30000</v>
      </c>
      <c r="R13" s="56" t="s">
        <v>1</v>
      </c>
      <c r="S13" s="65" t="n">
        <f aca="false">SUM(S12)</f>
        <v>31809</v>
      </c>
      <c r="T13" s="65" t="n">
        <f aca="false">SUM(T12)</f>
        <v>0</v>
      </c>
      <c r="U13" s="66"/>
      <c r="V13" s="67"/>
      <c r="W13" s="24"/>
      <c r="X13" s="24"/>
    </row>
    <row r="14" customFormat="false" ht="12.75" hidden="false" customHeight="false" outlineLevel="0" collapsed="false">
      <c r="A14" s="48" t="s">
        <v>108</v>
      </c>
      <c r="B14" s="49" t="s">
        <v>109</v>
      </c>
      <c r="C14" s="49" t="s">
        <v>110</v>
      </c>
      <c r="D14" s="50" t="s">
        <v>111</v>
      </c>
      <c r="E14" s="50"/>
      <c r="F14" s="48" t="s">
        <v>112</v>
      </c>
      <c r="G14" s="48" t="s">
        <v>113</v>
      </c>
      <c r="H14" s="49" t="s">
        <v>114</v>
      </c>
      <c r="I14" s="51" t="s">
        <v>115</v>
      </c>
      <c r="J14" s="49" t="s">
        <v>116</v>
      </c>
      <c r="K14" s="49" t="s">
        <v>117</v>
      </c>
      <c r="L14" s="49" t="s">
        <v>118</v>
      </c>
      <c r="M14" s="49" t="s">
        <v>119</v>
      </c>
      <c r="N14" s="52" t="s">
        <v>120</v>
      </c>
      <c r="O14" s="49" t="s">
        <v>121</v>
      </c>
      <c r="P14" s="53" t="s">
        <v>122</v>
      </c>
      <c r="Q14" s="49" t="s">
        <v>123</v>
      </c>
      <c r="R14" s="48" t="s">
        <v>124</v>
      </c>
      <c r="S14" s="54" t="s">
        <v>133</v>
      </c>
      <c r="T14" s="54" t="s">
        <v>133</v>
      </c>
      <c r="U14" s="55"/>
      <c r="V14" s="54" t="str">
        <f aca="false">+V11</f>
        <v>Questions</v>
      </c>
      <c r="W14" s="24"/>
      <c r="X14" s="24"/>
    </row>
    <row r="15" customFormat="false" ht="12.75" hidden="false" customHeight="false" outlineLevel="0" collapsed="false">
      <c r="A15" s="15" t="s">
        <v>92</v>
      </c>
      <c r="B15" s="16" t="s">
        <v>134</v>
      </c>
      <c r="C15" s="16" t="s">
        <v>129</v>
      </c>
      <c r="D15" s="17" t="n">
        <v>36526</v>
      </c>
      <c r="E15" s="17" t="s">
        <v>90</v>
      </c>
      <c r="F15" s="15" t="s">
        <v>135</v>
      </c>
      <c r="G15" s="15" t="s">
        <v>135</v>
      </c>
      <c r="H15" s="16"/>
      <c r="I15" s="19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5" t="n">
        <v>0</v>
      </c>
      <c r="O15" s="20" t="n">
        <f aca="false">SUM(I15:M15)</f>
        <v>0</v>
      </c>
      <c r="P15" s="24" t="n">
        <v>36907</v>
      </c>
      <c r="Q15" s="16" t="n">
        <v>0</v>
      </c>
      <c r="R15" s="15" t="s">
        <v>136</v>
      </c>
      <c r="S15" s="23" t="n">
        <f aca="false">I15*I$1*Q15</f>
        <v>0</v>
      </c>
      <c r="T15" s="23"/>
      <c r="U15" s="26" t="n">
        <v>148659</v>
      </c>
      <c r="V15" s="23"/>
      <c r="W15" s="24"/>
      <c r="X15" s="2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137</v>
      </c>
      <c r="B16" s="16" t="s">
        <v>134</v>
      </c>
      <c r="C16" s="16" t="s">
        <v>138</v>
      </c>
      <c r="D16" s="17" t="n">
        <v>36526</v>
      </c>
      <c r="E16" s="17" t="s">
        <v>90</v>
      </c>
      <c r="F16" s="15" t="s">
        <v>135</v>
      </c>
      <c r="G16" s="15" t="s">
        <v>135</v>
      </c>
      <c r="H16" s="16"/>
      <c r="I16" s="19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5" t="n">
        <v>0</v>
      </c>
      <c r="O16" s="20" t="n">
        <f aca="false">SUM(I16:M16)</f>
        <v>0</v>
      </c>
      <c r="P16" s="24" t="n">
        <v>48049</v>
      </c>
      <c r="Q16" s="16" t="n">
        <v>0</v>
      </c>
      <c r="R16" s="15" t="s">
        <v>136</v>
      </c>
      <c r="S16" s="23" t="n">
        <f aca="false">I16*I$1*Q16</f>
        <v>0</v>
      </c>
      <c r="T16" s="23"/>
      <c r="U16" s="26" t="n">
        <v>149173</v>
      </c>
      <c r="V16" s="23"/>
      <c r="W16" s="24"/>
      <c r="X16" s="2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92</v>
      </c>
      <c r="B17" s="16" t="s">
        <v>134</v>
      </c>
      <c r="C17" s="16" t="s">
        <v>129</v>
      </c>
      <c r="D17" s="17" t="n">
        <v>36526</v>
      </c>
      <c r="E17" s="17" t="s">
        <v>90</v>
      </c>
      <c r="F17" s="15" t="s">
        <v>135</v>
      </c>
      <c r="G17" s="15" t="s">
        <v>135</v>
      </c>
      <c r="H17" s="16"/>
      <c r="I17" s="19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5" t="n">
        <v>0</v>
      </c>
      <c r="O17" s="20" t="n">
        <f aca="false">SUM(I17:M17)</f>
        <v>0</v>
      </c>
      <c r="P17" s="24" t="n">
        <v>39999</v>
      </c>
      <c r="Q17" s="16" t="n">
        <v>0</v>
      </c>
      <c r="R17" s="15" t="s">
        <v>139</v>
      </c>
      <c r="S17" s="23" t="n">
        <f aca="false">I17*I$1*Q17</f>
        <v>0</v>
      </c>
      <c r="T17" s="23"/>
      <c r="U17" s="26" t="n">
        <v>149337</v>
      </c>
      <c r="V17" s="23"/>
      <c r="W17" s="24"/>
      <c r="X17" s="2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137</v>
      </c>
      <c r="B18" s="16" t="s">
        <v>134</v>
      </c>
      <c r="C18" s="16" t="s">
        <v>138</v>
      </c>
      <c r="D18" s="17" t="n">
        <v>36526</v>
      </c>
      <c r="E18" s="17" t="s">
        <v>90</v>
      </c>
      <c r="F18" s="15" t="s">
        <v>135</v>
      </c>
      <c r="G18" s="15" t="s">
        <v>135</v>
      </c>
      <c r="H18" s="16"/>
      <c r="I18" s="19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5" t="n">
        <v>0</v>
      </c>
      <c r="O18" s="20" t="n">
        <f aca="false">SUM(I18:M18)</f>
        <v>0</v>
      </c>
      <c r="P18" s="24" t="n">
        <v>48050</v>
      </c>
      <c r="Q18" s="16" t="n">
        <v>0</v>
      </c>
      <c r="R18" s="15" t="s">
        <v>139</v>
      </c>
      <c r="S18" s="23" t="n">
        <f aca="false">I18*I$1*Q18</f>
        <v>0</v>
      </c>
      <c r="T18" s="23"/>
      <c r="U18" s="26" t="n">
        <v>149338</v>
      </c>
      <c r="V18" s="23"/>
      <c r="W18" s="24"/>
      <c r="X18" s="2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/>
      <c r="B19" s="16"/>
      <c r="C19" s="16"/>
      <c r="D19" s="17" t="s">
        <v>1</v>
      </c>
      <c r="E19" s="17"/>
      <c r="F19" s="15"/>
      <c r="G19" s="15"/>
      <c r="H19" s="16"/>
      <c r="I19" s="19"/>
      <c r="J19" s="20"/>
      <c r="K19" s="68"/>
      <c r="L19" s="20"/>
      <c r="M19" s="20"/>
      <c r="N19" s="25"/>
      <c r="O19" s="20"/>
      <c r="P19" s="37"/>
      <c r="Q19" s="45"/>
      <c r="R19" s="69"/>
      <c r="S19" s="70"/>
      <c r="T19" s="35"/>
      <c r="U19" s="36"/>
      <c r="V19" s="35"/>
      <c r="W19" s="37"/>
      <c r="X19" s="37"/>
    </row>
    <row r="20" customFormat="false" ht="12.75" hidden="false" customHeight="false" outlineLevel="0" collapsed="false">
      <c r="A20" s="48" t="s">
        <v>108</v>
      </c>
      <c r="B20" s="49" t="s">
        <v>109</v>
      </c>
      <c r="C20" s="49" t="s">
        <v>110</v>
      </c>
      <c r="D20" s="50" t="s">
        <v>111</v>
      </c>
      <c r="E20" s="50"/>
      <c r="F20" s="48" t="s">
        <v>112</v>
      </c>
      <c r="G20" s="48" t="s">
        <v>113</v>
      </c>
      <c r="H20" s="49" t="s">
        <v>114</v>
      </c>
      <c r="I20" s="51" t="s">
        <v>115</v>
      </c>
      <c r="J20" s="49" t="s">
        <v>116</v>
      </c>
      <c r="K20" s="49" t="s">
        <v>117</v>
      </c>
      <c r="L20" s="49" t="s">
        <v>118</v>
      </c>
      <c r="M20" s="49" t="s">
        <v>119</v>
      </c>
      <c r="N20" s="52" t="s">
        <v>120</v>
      </c>
      <c r="O20" s="49" t="s">
        <v>121</v>
      </c>
      <c r="P20" s="53" t="s">
        <v>122</v>
      </c>
      <c r="Q20" s="49" t="s">
        <v>123</v>
      </c>
      <c r="R20" s="48" t="s">
        <v>124</v>
      </c>
      <c r="S20" s="54" t="s">
        <v>125</v>
      </c>
      <c r="T20" s="54" t="s">
        <v>126</v>
      </c>
      <c r="U20" s="55" t="s">
        <v>4</v>
      </c>
      <c r="V20" s="54" t="s">
        <v>127</v>
      </c>
      <c r="W20" s="24"/>
      <c r="X20" s="24"/>
    </row>
    <row r="21" customFormat="false" ht="12.75" hidden="false" customHeight="false" outlineLevel="0" collapsed="false">
      <c r="A21" s="15" t="s">
        <v>92</v>
      </c>
      <c r="B21" s="16" t="s">
        <v>140</v>
      </c>
      <c r="C21" s="16" t="s">
        <v>129</v>
      </c>
      <c r="D21" s="17" t="n">
        <v>36526</v>
      </c>
      <c r="E21" s="17" t="s">
        <v>90</v>
      </c>
      <c r="F21" s="15" t="s">
        <v>94</v>
      </c>
      <c r="G21" s="15" t="s">
        <v>94</v>
      </c>
      <c r="H21" s="16" t="s">
        <v>11</v>
      </c>
      <c r="I21" s="19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5" t="n">
        <v>0</v>
      </c>
      <c r="O21" s="20" t="n">
        <f aca="false">SUM(I21:M21)</f>
        <v>0</v>
      </c>
      <c r="P21" s="24" t="n">
        <v>238</v>
      </c>
      <c r="Q21" s="16" t="n">
        <v>0</v>
      </c>
      <c r="R21" s="15" t="s">
        <v>141</v>
      </c>
      <c r="S21" s="23" t="n">
        <f aca="false">I21*I$1*Q21</f>
        <v>0</v>
      </c>
      <c r="T21" s="23"/>
      <c r="U21" s="26" t="n">
        <v>149902</v>
      </c>
      <c r="V21" s="15"/>
      <c r="W21" s="24"/>
      <c r="X21" s="24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56" t="s">
        <v>1</v>
      </c>
      <c r="B22" s="57" t="s">
        <v>1</v>
      </c>
      <c r="C22" s="58" t="s">
        <v>1</v>
      </c>
      <c r="D22" s="59" t="s">
        <v>1</v>
      </c>
      <c r="E22" s="59"/>
      <c r="F22" s="56" t="s">
        <v>1</v>
      </c>
      <c r="G22" s="60" t="s">
        <v>1</v>
      </c>
      <c r="H22" s="57" t="s">
        <v>1</v>
      </c>
      <c r="I22" s="61"/>
      <c r="J22" s="62"/>
      <c r="K22" s="62"/>
      <c r="L22" s="62"/>
      <c r="M22" s="62"/>
      <c r="N22" s="63"/>
      <c r="O22" s="62"/>
      <c r="P22" s="64" t="s">
        <v>1</v>
      </c>
      <c r="Q22" s="57" t="n">
        <f aca="false">SUM(Q21)</f>
        <v>0</v>
      </c>
      <c r="R22" s="56" t="s">
        <v>1</v>
      </c>
      <c r="S22" s="65" t="n">
        <f aca="false">SUM(S21)</f>
        <v>0</v>
      </c>
      <c r="T22" s="65" t="n">
        <f aca="false">SUM(T21)</f>
        <v>0</v>
      </c>
      <c r="U22" s="66"/>
      <c r="V22" s="67"/>
      <c r="W22" s="24"/>
      <c r="X22" s="24"/>
    </row>
    <row r="23" customFormat="false" ht="12.75" hidden="false" customHeight="false" outlineLevel="0" collapsed="false">
      <c r="A23" s="48" t="s">
        <v>108</v>
      </c>
      <c r="B23" s="49" t="s">
        <v>109</v>
      </c>
      <c r="C23" s="49" t="s">
        <v>110</v>
      </c>
      <c r="D23" s="50" t="s">
        <v>111</v>
      </c>
      <c r="E23" s="50"/>
      <c r="F23" s="48" t="s">
        <v>112</v>
      </c>
      <c r="G23" s="48" t="s">
        <v>113</v>
      </c>
      <c r="H23" s="49" t="s">
        <v>114</v>
      </c>
      <c r="I23" s="51" t="s">
        <v>115</v>
      </c>
      <c r="J23" s="49" t="s">
        <v>116</v>
      </c>
      <c r="K23" s="49" t="s">
        <v>117</v>
      </c>
      <c r="L23" s="49" t="s">
        <v>118</v>
      </c>
      <c r="M23" s="49" t="s">
        <v>119</v>
      </c>
      <c r="N23" s="52" t="s">
        <v>120</v>
      </c>
      <c r="O23" s="49" t="s">
        <v>121</v>
      </c>
      <c r="P23" s="53" t="s">
        <v>122</v>
      </c>
      <c r="Q23" s="49" t="s">
        <v>123</v>
      </c>
      <c r="R23" s="48" t="s">
        <v>124</v>
      </c>
      <c r="S23" s="54" t="s">
        <v>125</v>
      </c>
      <c r="T23" s="54" t="s">
        <v>126</v>
      </c>
      <c r="U23" s="55" t="s">
        <v>4</v>
      </c>
      <c r="V23" s="54" t="s">
        <v>127</v>
      </c>
      <c r="W23" s="24"/>
      <c r="X23" s="24"/>
    </row>
    <row r="24" customFormat="false" ht="12.75" hidden="false" customHeight="false" outlineLevel="0" collapsed="false">
      <c r="A24" s="15" t="s">
        <v>92</v>
      </c>
      <c r="B24" s="16" t="s">
        <v>93</v>
      </c>
      <c r="C24" s="16" t="s">
        <v>129</v>
      </c>
      <c r="D24" s="17" t="n">
        <v>36526</v>
      </c>
      <c r="E24" s="17" t="s">
        <v>90</v>
      </c>
      <c r="F24" s="15" t="s">
        <v>94</v>
      </c>
      <c r="G24" s="15" t="s">
        <v>94</v>
      </c>
      <c r="H24" s="16" t="s">
        <v>11</v>
      </c>
      <c r="I24" s="19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5" t="n">
        <v>0</v>
      </c>
      <c r="O24" s="20" t="n">
        <f aca="false">SUM(I24:M24)</f>
        <v>0</v>
      </c>
      <c r="P24" s="24" t="n">
        <v>3.2846</v>
      </c>
      <c r="Q24" s="16" t="n">
        <v>0</v>
      </c>
      <c r="R24" s="15" t="s">
        <v>141</v>
      </c>
      <c r="S24" s="23" t="n">
        <f aca="false">I24*I$1*Q24</f>
        <v>0</v>
      </c>
      <c r="T24" s="23"/>
      <c r="U24" s="26" t="n">
        <v>149876</v>
      </c>
      <c r="V24" s="15"/>
      <c r="W24" s="24"/>
      <c r="X24" s="2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56" t="s">
        <v>1</v>
      </c>
      <c r="B25" s="57" t="s">
        <v>1</v>
      </c>
      <c r="C25" s="58" t="s">
        <v>1</v>
      </c>
      <c r="D25" s="59" t="s">
        <v>1</v>
      </c>
      <c r="E25" s="59"/>
      <c r="F25" s="56" t="s">
        <v>1</v>
      </c>
      <c r="G25" s="60" t="s">
        <v>1</v>
      </c>
      <c r="H25" s="57" t="s">
        <v>1</v>
      </c>
      <c r="I25" s="61"/>
      <c r="J25" s="62"/>
      <c r="K25" s="62"/>
      <c r="L25" s="62"/>
      <c r="M25" s="62"/>
      <c r="N25" s="63"/>
      <c r="O25" s="62"/>
      <c r="P25" s="64" t="s">
        <v>1</v>
      </c>
      <c r="Q25" s="57" t="n">
        <f aca="false">SUM(Q24)</f>
        <v>0</v>
      </c>
      <c r="R25" s="56" t="s">
        <v>1</v>
      </c>
      <c r="S25" s="65" t="n">
        <f aca="false">SUM(S24)</f>
        <v>0</v>
      </c>
      <c r="T25" s="65" t="n">
        <f aca="false">SUM(T24)</f>
        <v>0</v>
      </c>
      <c r="U25" s="66"/>
      <c r="V25" s="67"/>
      <c r="W25" s="24"/>
      <c r="X25" s="24"/>
    </row>
    <row r="26" customFormat="false" ht="12.75" hidden="false" customHeight="false" outlineLevel="0" collapsed="false">
      <c r="A26" s="28"/>
      <c r="B26" s="16"/>
      <c r="C26" s="16"/>
      <c r="D26" s="17"/>
      <c r="E26" s="17"/>
      <c r="F26" s="15"/>
      <c r="G26" s="15"/>
      <c r="H26" s="16"/>
      <c r="I26" s="19"/>
      <c r="J26" s="20"/>
      <c r="K26" s="20"/>
      <c r="L26" s="20"/>
      <c r="M26" s="20"/>
      <c r="N26" s="25"/>
      <c r="O26" s="20"/>
      <c r="P26" s="37"/>
      <c r="Q26" s="71"/>
      <c r="R26" s="69"/>
      <c r="S26" s="35"/>
      <c r="T26" s="35"/>
      <c r="U26" s="36"/>
      <c r="V26" s="35"/>
      <c r="W26" s="37"/>
      <c r="X26" s="37"/>
    </row>
    <row r="27" customFormat="false" ht="12.75" hidden="false" customHeight="false" outlineLevel="0" collapsed="false">
      <c r="A27" s="28"/>
      <c r="B27" s="16"/>
      <c r="C27" s="16"/>
      <c r="D27" s="17"/>
      <c r="E27" s="17"/>
      <c r="F27" s="15"/>
      <c r="G27" s="15"/>
      <c r="H27" s="16"/>
      <c r="I27" s="20"/>
      <c r="J27" s="20"/>
      <c r="K27" s="20"/>
      <c r="L27" s="20"/>
      <c r="M27" s="20"/>
      <c r="N27" s="25"/>
      <c r="O27" s="20"/>
      <c r="P27" s="37"/>
      <c r="Q27" s="71"/>
      <c r="R27" s="35"/>
      <c r="S27" s="35"/>
      <c r="T27" s="35"/>
      <c r="U27" s="36"/>
      <c r="V27" s="35"/>
      <c r="W27" s="37"/>
      <c r="X27" s="37"/>
    </row>
    <row r="28" customFormat="false" ht="12.75" hidden="false" customHeight="false" outlineLevel="0" collapsed="false">
      <c r="A28" s="28"/>
      <c r="B28" s="16"/>
      <c r="C28" s="16"/>
      <c r="D28" s="17"/>
      <c r="E28" s="17"/>
      <c r="F28" s="15"/>
      <c r="G28" s="15"/>
      <c r="H28" s="16"/>
      <c r="I28" s="19"/>
      <c r="J28" s="20"/>
      <c r="K28" s="20"/>
      <c r="L28" s="20"/>
      <c r="M28" s="20"/>
      <c r="N28" s="25"/>
      <c r="O28" s="20"/>
      <c r="P28" s="37"/>
      <c r="Q28" s="71"/>
      <c r="R28" s="35"/>
      <c r="S28" s="35"/>
      <c r="T28" s="35"/>
      <c r="U28" s="36"/>
      <c r="V28" s="35"/>
      <c r="W28" s="37"/>
      <c r="X28" s="37"/>
    </row>
    <row r="29" customFormat="false" ht="12.75" hidden="false" customHeight="false" outlineLevel="0" collapsed="false">
      <c r="A29" s="28" t="s">
        <v>142</v>
      </c>
      <c r="B29" s="16"/>
      <c r="C29" s="16"/>
      <c r="D29" s="17"/>
      <c r="E29" s="17"/>
      <c r="F29" s="15"/>
      <c r="G29" s="15"/>
      <c r="H29" s="16"/>
      <c r="I29" s="20"/>
      <c r="J29" s="20"/>
      <c r="K29" s="20"/>
      <c r="L29" s="20"/>
      <c r="M29" s="20"/>
      <c r="N29" s="25"/>
      <c r="O29" s="20"/>
      <c r="P29" s="37"/>
      <c r="Q29" s="71"/>
      <c r="R29" s="35"/>
      <c r="S29" s="35"/>
      <c r="T29" s="35"/>
      <c r="U29" s="36"/>
      <c r="V29" s="35"/>
      <c r="W29" s="37"/>
      <c r="X29" s="37"/>
    </row>
    <row r="30" customFormat="false" ht="12.75" hidden="false" customHeight="false" outlineLevel="0" collapsed="false">
      <c r="A30" s="28"/>
      <c r="B30" s="15" t="s">
        <v>143</v>
      </c>
      <c r="C30" s="16"/>
      <c r="D30" s="17"/>
      <c r="E30" s="17"/>
      <c r="F30" s="15"/>
      <c r="G30" s="15"/>
      <c r="H30" s="16"/>
      <c r="I30" s="19"/>
      <c r="J30" s="20"/>
      <c r="K30" s="20"/>
      <c r="L30" s="20"/>
      <c r="M30" s="20"/>
      <c r="N30" s="25"/>
      <c r="O30" s="20"/>
      <c r="P30" s="37"/>
      <c r="Q30" s="71"/>
      <c r="R30" s="35"/>
      <c r="S30" s="35"/>
      <c r="T30" s="35"/>
      <c r="U30" s="36"/>
      <c r="V30" s="35"/>
      <c r="W30" s="37"/>
      <c r="X30" s="37"/>
    </row>
    <row r="31" customFormat="false" ht="12.75" hidden="false" customHeight="false" outlineLevel="0" collapsed="false">
      <c r="A31" s="28"/>
      <c r="B31" s="16" t="s">
        <v>144</v>
      </c>
      <c r="C31" s="24" t="n">
        <v>149776</v>
      </c>
      <c r="D31" s="17"/>
      <c r="E31" s="17"/>
      <c r="F31" s="15"/>
      <c r="G31" s="15"/>
      <c r="H31" s="16"/>
      <c r="I31" s="20"/>
      <c r="J31" s="20"/>
      <c r="K31" s="20"/>
      <c r="L31" s="20"/>
      <c r="M31" s="20"/>
      <c r="N31" s="25"/>
      <c r="O31" s="20"/>
      <c r="P31" s="37"/>
      <c r="Q31" s="71"/>
      <c r="R31" s="35"/>
      <c r="S31" s="35"/>
      <c r="T31" s="35"/>
      <c r="U31" s="36"/>
      <c r="V31" s="35"/>
      <c r="W31" s="37"/>
      <c r="X31" s="37"/>
    </row>
    <row r="32" customFormat="false" ht="12.75" hidden="false" customHeight="false" outlineLevel="0" collapsed="false">
      <c r="A32" s="28"/>
      <c r="B32" s="16" t="s">
        <v>145</v>
      </c>
      <c r="C32" s="24" t="n">
        <v>149775</v>
      </c>
      <c r="D32" s="17"/>
      <c r="E32" s="17"/>
      <c r="F32" s="15"/>
      <c r="G32" s="15"/>
      <c r="H32" s="16"/>
      <c r="I32" s="20"/>
      <c r="J32" s="20"/>
      <c r="K32" s="20"/>
      <c r="L32" s="20"/>
      <c r="M32" s="20"/>
      <c r="N32" s="25"/>
      <c r="O32" s="20"/>
      <c r="P32" s="37"/>
      <c r="Q32" s="71"/>
      <c r="R32" s="35"/>
      <c r="S32" s="35"/>
      <c r="T32" s="35"/>
      <c r="U32" s="36"/>
      <c r="V32" s="35"/>
      <c r="W32" s="69"/>
      <c r="X32" s="37"/>
    </row>
    <row r="33" customFormat="false" ht="12.75" hidden="false" customHeight="false" outlineLevel="0" collapsed="false">
      <c r="A33" s="28"/>
      <c r="B33" s="16"/>
      <c r="C33" s="16"/>
      <c r="D33" s="17"/>
      <c r="E33" s="17"/>
      <c r="F33" s="15"/>
      <c r="G33" s="15"/>
      <c r="H33" s="16"/>
      <c r="I33" s="20"/>
      <c r="J33" s="20"/>
      <c r="K33" s="20"/>
      <c r="L33" s="20"/>
      <c r="M33" s="20"/>
      <c r="N33" s="25"/>
      <c r="O33" s="20"/>
      <c r="P33" s="37"/>
      <c r="Q33" s="71"/>
      <c r="R33" s="35"/>
      <c r="S33" s="35"/>
      <c r="T33" s="35"/>
      <c r="U33" s="36"/>
      <c r="V33" s="35"/>
      <c r="W33" s="37"/>
      <c r="X33" s="37"/>
    </row>
    <row r="34" customFormat="false" ht="12.75" hidden="false" customHeight="false" outlineLevel="0" collapsed="false">
      <c r="A34" s="28"/>
      <c r="B34" s="16"/>
      <c r="C34" s="16"/>
      <c r="D34" s="17"/>
      <c r="E34" s="17"/>
      <c r="F34" s="15"/>
      <c r="G34" s="15"/>
      <c r="H34" s="16"/>
      <c r="I34" s="20"/>
      <c r="J34" s="20"/>
      <c r="K34" s="20"/>
      <c r="L34" s="20"/>
      <c r="M34" s="20"/>
      <c r="N34" s="25"/>
      <c r="O34" s="20"/>
      <c r="P34" s="37"/>
      <c r="Q34" s="71"/>
      <c r="R34" s="35"/>
      <c r="S34" s="35"/>
      <c r="T34" s="35"/>
      <c r="U34" s="36"/>
      <c r="V34" s="35"/>
      <c r="W34" s="37"/>
      <c r="X34" s="37"/>
    </row>
    <row r="35" customFormat="false" ht="12.75" hidden="false" customHeight="false" outlineLevel="0" collapsed="false">
      <c r="A35" s="28"/>
      <c r="B35" s="16"/>
      <c r="C35" s="16"/>
      <c r="D35" s="17"/>
      <c r="E35" s="17"/>
      <c r="F35" s="15"/>
      <c r="G35" s="15"/>
      <c r="H35" s="16"/>
      <c r="I35" s="19"/>
      <c r="J35" s="20"/>
      <c r="K35" s="20"/>
      <c r="L35" s="20"/>
      <c r="M35" s="20"/>
      <c r="N35" s="25"/>
      <c r="O35" s="20"/>
      <c r="P35" s="37"/>
      <c r="Q35" s="71"/>
      <c r="R35" s="69"/>
      <c r="S35" s="35"/>
      <c r="T35" s="35"/>
      <c r="U35" s="36"/>
      <c r="V35" s="35"/>
      <c r="W35" s="37"/>
      <c r="X35" s="37"/>
    </row>
    <row r="36" customFormat="false" ht="12.75" hidden="false" customHeight="false" outlineLevel="0" collapsed="false">
      <c r="A36" s="28"/>
      <c r="B36" s="16"/>
      <c r="C36" s="16"/>
      <c r="D36" s="17"/>
      <c r="E36" s="17"/>
      <c r="F36" s="15"/>
      <c r="G36" s="15"/>
      <c r="H36" s="16"/>
      <c r="I36" s="19"/>
      <c r="J36" s="20"/>
      <c r="K36" s="20"/>
      <c r="L36" s="20"/>
      <c r="M36" s="20"/>
      <c r="N36" s="25"/>
      <c r="O36" s="20"/>
      <c r="P36" s="37"/>
      <c r="Q36" s="71"/>
      <c r="R36" s="69"/>
      <c r="S36" s="35"/>
      <c r="T36" s="35"/>
      <c r="U36" s="36"/>
      <c r="V36" s="35"/>
      <c r="W36" s="37"/>
      <c r="X36" s="37"/>
    </row>
    <row r="37" customFormat="false" ht="12.75" hidden="false" customHeight="false" outlineLevel="0" collapsed="false">
      <c r="P37" s="72"/>
      <c r="Q37" s="73"/>
      <c r="R37" s="73"/>
      <c r="S37" s="73"/>
      <c r="T37" s="73"/>
      <c r="U37" s="72"/>
      <c r="V37" s="73"/>
      <c r="W37" s="72"/>
    </row>
    <row r="38" customFormat="false" ht="12.75" hidden="false" customHeight="false" outlineLevel="0" collapsed="false">
      <c r="P38" s="72"/>
      <c r="Q38" s="73"/>
      <c r="R38" s="73"/>
      <c r="S38" s="73"/>
      <c r="T38" s="73"/>
      <c r="U38" s="72"/>
      <c r="V38" s="73"/>
      <c r="W38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I31" colorId="64" zoomScale="100" zoomScaleNormal="100" zoomScalePageLayoutView="100" workbookViewId="0">
      <selection pane="topLeft" activeCell="S54" activeCellId="0" sqref="S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false" outlineLevel="0" max="9" min="9" style="27" width="8.85"/>
    <col collapsed="false" customWidth="false" hidden="false" outlineLevel="0" max="13" min="10" style="27" width="9.14"/>
    <col collapsed="false" customWidth="false" hidden="false" outlineLevel="0" max="14" min="14" style="29" width="9.14"/>
    <col collapsed="false" customWidth="false" hidden="false" outlineLevel="0" max="15" min="15" style="27" width="9.14"/>
    <col collapsed="false" customWidth="true" hidden="false" outlineLevel="0" max="16" min="16" style="27" width="12.28"/>
    <col collapsed="false" customWidth="false" hidden="false" outlineLevel="0" max="17" min="17" style="27" width="9.14"/>
    <col collapsed="false" customWidth="true" hidden="false" outlineLevel="0" max="18" min="18" style="27" width="13.7"/>
    <col collapsed="false" customWidth="true" hidden="false" outlineLevel="0" max="19" min="19" style="27" width="12.85"/>
    <col collapsed="false" customWidth="false" hidden="false" outlineLevel="0" max="20" min="20" style="27" width="9.14"/>
    <col collapsed="false" customWidth="true" hidden="false" outlineLevel="0" max="21" min="21" style="30" width="13.56"/>
    <col collapsed="false" customWidth="false" hidden="false" outlineLevel="0" max="23" min="22" style="30" width="9.14"/>
    <col collapsed="false" customWidth="true" hidden="false" outlineLevel="0" max="24" min="24" style="27" width="12.42"/>
    <col collapsed="false" customWidth="false" hidden="false" outlineLevel="0" max="257" min="25" style="27" width="9.14"/>
  </cols>
  <sheetData>
    <row r="1" customFormat="false" ht="12.75" hidden="false" customHeight="false" outlineLevel="0" collapsed="false">
      <c r="A1" s="31" t="s">
        <v>146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2"/>
      <c r="Q1" s="34"/>
      <c r="R1" s="35"/>
      <c r="S1" s="35"/>
      <c r="T1" s="35"/>
      <c r="U1" s="36"/>
      <c r="V1" s="37"/>
      <c r="W1" s="37"/>
    </row>
    <row r="2" customFormat="false" ht="12.75" hidden="false" customHeight="false" outlineLevel="0" collapsed="false">
      <c r="A2" s="15" t="s">
        <v>100</v>
      </c>
      <c r="B2" s="15"/>
      <c r="C2" s="15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2"/>
      <c r="Q2" s="34"/>
      <c r="R2" s="35"/>
      <c r="S2" s="35"/>
      <c r="T2" s="35"/>
      <c r="U2" s="36"/>
      <c r="V2" s="37"/>
      <c r="W2" s="37"/>
    </row>
    <row r="3" customFormat="false" ht="12.75" hidden="false" customHeight="false" outlineLevel="0" collapsed="false">
      <c r="A3" s="15" t="s">
        <v>102</v>
      </c>
      <c r="B3" s="15"/>
      <c r="C3" s="15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2"/>
      <c r="Q3" s="34"/>
      <c r="R3" s="35"/>
      <c r="S3" s="35"/>
      <c r="T3" s="35"/>
      <c r="U3" s="36"/>
      <c r="V3" s="37"/>
      <c r="W3" s="37"/>
    </row>
    <row r="4" customFormat="false" ht="12.75" hidden="false" customHeight="false" outlineLevel="0" collapsed="false">
      <c r="A4" s="15" t="s">
        <v>103</v>
      </c>
      <c r="B4" s="16"/>
      <c r="C4" s="16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2"/>
      <c r="Q4" s="34"/>
      <c r="R4" s="35"/>
      <c r="S4" s="45"/>
      <c r="T4" s="45"/>
      <c r="U4" s="46"/>
      <c r="V4" s="37"/>
      <c r="W4" s="37"/>
    </row>
    <row r="5" customFormat="false" ht="12.75" hidden="false" customHeight="false" outlineLevel="0" collapsed="false">
      <c r="A5" s="15" t="s">
        <v>104</v>
      </c>
      <c r="B5" s="16"/>
      <c r="C5" s="47"/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2"/>
      <c r="Q5" s="34"/>
      <c r="R5" s="35"/>
      <c r="S5" s="45"/>
      <c r="T5" s="45"/>
      <c r="U5" s="46"/>
      <c r="V5" s="37"/>
      <c r="W5" s="37"/>
    </row>
    <row r="6" customFormat="false" ht="12.75" hidden="false" customHeight="false" outlineLevel="0" collapsed="false">
      <c r="A6" s="15"/>
      <c r="B6" s="16"/>
      <c r="C6" s="47"/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2"/>
      <c r="Q6" s="34"/>
      <c r="R6" s="35"/>
      <c r="S6" s="45"/>
      <c r="T6" s="45"/>
      <c r="U6" s="46"/>
      <c r="V6" s="37"/>
      <c r="W6" s="37"/>
    </row>
    <row r="7" customFormat="false" ht="12.75" hidden="false" customHeight="false" outlineLevel="0" collapsed="false">
      <c r="A7" s="15"/>
      <c r="B7" s="16"/>
      <c r="C7" s="47"/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2"/>
      <c r="Q7" s="34"/>
      <c r="R7" s="35"/>
      <c r="S7" s="45"/>
      <c r="T7" s="45"/>
      <c r="U7" s="46"/>
      <c r="V7" s="37"/>
      <c r="W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2"/>
      <c r="Q8" s="34"/>
      <c r="R8" s="35"/>
      <c r="S8" s="45"/>
      <c r="T8" s="45"/>
      <c r="U8" s="46"/>
      <c r="V8" s="37"/>
      <c r="W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2"/>
      <c r="Q9" s="34"/>
      <c r="R9" s="35"/>
      <c r="S9" s="45"/>
      <c r="T9" s="45"/>
      <c r="U9" s="46"/>
      <c r="V9" s="37"/>
      <c r="W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2"/>
      <c r="Q10" s="34"/>
      <c r="R10" s="35"/>
      <c r="S10" s="45"/>
      <c r="T10" s="45"/>
      <c r="U10" s="46"/>
      <c r="V10" s="37"/>
      <c r="W10" s="37"/>
    </row>
    <row r="11" customFormat="false" ht="12.75" hidden="false" customHeight="false" outlineLevel="0" collapsed="false">
      <c r="A11" s="48" t="s">
        <v>108</v>
      </c>
      <c r="B11" s="49" t="s">
        <v>109</v>
      </c>
      <c r="C11" s="49" t="s">
        <v>110</v>
      </c>
      <c r="D11" s="50" t="s">
        <v>111</v>
      </c>
      <c r="E11" s="50"/>
      <c r="F11" s="48" t="s">
        <v>112</v>
      </c>
      <c r="G11" s="48" t="s">
        <v>113</v>
      </c>
      <c r="H11" s="49" t="s">
        <v>114</v>
      </c>
      <c r="I11" s="51" t="s">
        <v>115</v>
      </c>
      <c r="J11" s="49" t="s">
        <v>116</v>
      </c>
      <c r="K11" s="49" t="s">
        <v>117</v>
      </c>
      <c r="L11" s="49" t="s">
        <v>118</v>
      </c>
      <c r="M11" s="49" t="s">
        <v>119</v>
      </c>
      <c r="N11" s="52" t="s">
        <v>120</v>
      </c>
      <c r="O11" s="49" t="s">
        <v>121</v>
      </c>
      <c r="P11" s="74" t="s">
        <v>147</v>
      </c>
      <c r="Q11" s="49" t="s">
        <v>123</v>
      </c>
      <c r="R11" s="48" t="s">
        <v>124</v>
      </c>
      <c r="S11" s="54" t="s">
        <v>125</v>
      </c>
      <c r="T11" s="54" t="s">
        <v>126</v>
      </c>
      <c r="U11" s="55" t="s">
        <v>148</v>
      </c>
      <c r="V11" s="24"/>
      <c r="W11" s="24"/>
    </row>
    <row r="12" customFormat="false" ht="12.75" hidden="false" customHeight="false" outlineLevel="0" collapsed="false">
      <c r="A12" s="38" t="s">
        <v>149</v>
      </c>
      <c r="B12" s="75" t="s">
        <v>150</v>
      </c>
      <c r="C12" s="75" t="s">
        <v>151</v>
      </c>
      <c r="D12" s="76" t="n">
        <v>36647</v>
      </c>
      <c r="E12" s="76" t="n">
        <v>36830</v>
      </c>
      <c r="F12" s="38" t="s">
        <v>152</v>
      </c>
      <c r="G12" s="38" t="s">
        <v>153</v>
      </c>
      <c r="H12" s="75" t="s">
        <v>154</v>
      </c>
      <c r="I12" s="77" t="n">
        <f aca="false">0.6*0.0328767</f>
        <v>0.01972602</v>
      </c>
      <c r="J12" s="78" t="n">
        <v>0</v>
      </c>
      <c r="K12" s="78" t="n">
        <v>0</v>
      </c>
      <c r="L12" s="78" t="n">
        <v>0</v>
      </c>
      <c r="M12" s="78" t="n">
        <v>0</v>
      </c>
      <c r="N12" s="79" t="n">
        <v>0</v>
      </c>
      <c r="O12" s="78" t="n">
        <f aca="false">SUM(I12:M12)</f>
        <v>0.01972602</v>
      </c>
      <c r="P12" s="80" t="n">
        <v>771169</v>
      </c>
      <c r="Q12" s="75" t="n">
        <v>5690</v>
      </c>
      <c r="R12" s="38" t="s">
        <v>155</v>
      </c>
      <c r="S12" s="81" t="n">
        <f aca="false">I12*I$1*Q12</f>
        <v>3479.4726678</v>
      </c>
      <c r="T12" s="81"/>
      <c r="U12" s="82" t="n">
        <v>247184</v>
      </c>
      <c r="V12" s="83"/>
      <c r="W12" s="83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customFormat="false" ht="12.75" hidden="false" customHeight="false" outlineLevel="0" collapsed="false">
      <c r="A13" s="38" t="s">
        <v>149</v>
      </c>
      <c r="B13" s="75" t="s">
        <v>150</v>
      </c>
      <c r="C13" s="75" t="s">
        <v>151</v>
      </c>
      <c r="D13" s="76" t="n">
        <v>36647</v>
      </c>
      <c r="E13" s="76" t="n">
        <v>36830</v>
      </c>
      <c r="F13" s="38" t="s">
        <v>152</v>
      </c>
      <c r="G13" s="38" t="s">
        <v>153</v>
      </c>
      <c r="H13" s="75" t="s">
        <v>154</v>
      </c>
      <c r="I13" s="77" t="n">
        <f aca="false">0.3*0.0328767</f>
        <v>0.00986301</v>
      </c>
      <c r="J13" s="78" t="n">
        <v>0</v>
      </c>
      <c r="K13" s="78" t="n">
        <v>0</v>
      </c>
      <c r="L13" s="78" t="n">
        <v>0</v>
      </c>
      <c r="M13" s="78" t="n">
        <v>0</v>
      </c>
      <c r="N13" s="79" t="n">
        <v>0</v>
      </c>
      <c r="O13" s="78" t="n">
        <f aca="false">SUM(I13:M13)</f>
        <v>0.00986301</v>
      </c>
      <c r="P13" s="80" t="n">
        <v>771168</v>
      </c>
      <c r="Q13" s="75" t="n">
        <v>965</v>
      </c>
      <c r="R13" s="38" t="s">
        <v>156</v>
      </c>
      <c r="S13" s="81" t="n">
        <f aca="false">I13*I$1*Q13</f>
        <v>295.05194415</v>
      </c>
      <c r="T13" s="81"/>
      <c r="U13" s="82" t="n">
        <v>236735</v>
      </c>
      <c r="V13" s="83"/>
      <c r="W13" s="83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customFormat="false" ht="12.75" hidden="false" customHeight="false" outlineLevel="0" collapsed="false">
      <c r="A14" s="38" t="s">
        <v>149</v>
      </c>
      <c r="B14" s="75" t="s">
        <v>150</v>
      </c>
      <c r="C14" s="75" t="s">
        <v>151</v>
      </c>
      <c r="D14" s="76" t="n">
        <v>36647</v>
      </c>
      <c r="E14" s="76" t="n">
        <v>36830</v>
      </c>
      <c r="F14" s="38" t="s">
        <v>157</v>
      </c>
      <c r="G14" s="38" t="s">
        <v>153</v>
      </c>
      <c r="H14" s="75" t="s">
        <v>154</v>
      </c>
      <c r="I14" s="77" t="n">
        <f aca="false">0.3*0.0328767</f>
        <v>0.00986301</v>
      </c>
      <c r="J14" s="78" t="n">
        <v>0</v>
      </c>
      <c r="K14" s="78" t="n">
        <v>0</v>
      </c>
      <c r="L14" s="78" t="n">
        <v>0</v>
      </c>
      <c r="M14" s="78" t="n">
        <v>0</v>
      </c>
      <c r="N14" s="79" t="n">
        <v>0</v>
      </c>
      <c r="O14" s="78" t="n">
        <f aca="false">SUM(I14:M14)</f>
        <v>0.00986301</v>
      </c>
      <c r="P14" s="80" t="n">
        <v>771168</v>
      </c>
      <c r="Q14" s="75" t="n">
        <v>286</v>
      </c>
      <c r="R14" s="38" t="s">
        <v>156</v>
      </c>
      <c r="S14" s="81" t="n">
        <f aca="false">I14*I$1*Q14</f>
        <v>87.44544666</v>
      </c>
      <c r="T14" s="81"/>
      <c r="U14" s="82" t="n">
        <v>236735</v>
      </c>
      <c r="V14" s="83"/>
      <c r="W14" s="83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customFormat="false" ht="12.75" hidden="false" customHeight="false" outlineLevel="0" collapsed="false">
      <c r="A15" s="38" t="s">
        <v>149</v>
      </c>
      <c r="B15" s="75" t="s">
        <v>150</v>
      </c>
      <c r="C15" s="75" t="s">
        <v>158</v>
      </c>
      <c r="D15" s="76" t="n">
        <v>36647</v>
      </c>
      <c r="E15" s="76" t="n">
        <v>36799</v>
      </c>
      <c r="F15" s="38" t="s">
        <v>152</v>
      </c>
      <c r="G15" s="38" t="s">
        <v>159</v>
      </c>
      <c r="H15" s="75" t="s">
        <v>160</v>
      </c>
      <c r="I15" s="77" t="n">
        <f aca="false">0.61*0.0328767</f>
        <v>0.020054787</v>
      </c>
      <c r="J15" s="78" t="n">
        <v>0</v>
      </c>
      <c r="K15" s="78" t="n">
        <v>0</v>
      </c>
      <c r="L15" s="78" t="n">
        <v>0</v>
      </c>
      <c r="M15" s="78" t="n">
        <v>0</v>
      </c>
      <c r="N15" s="79" t="n">
        <v>0</v>
      </c>
      <c r="O15" s="78" t="n">
        <f aca="false">SUM(I15:M15)</f>
        <v>0.020054787</v>
      </c>
      <c r="P15" s="80" t="n">
        <v>771199</v>
      </c>
      <c r="Q15" s="75" t="n">
        <v>5000</v>
      </c>
      <c r="R15" s="38" t="s">
        <v>161</v>
      </c>
      <c r="S15" s="81" t="n">
        <f aca="false">I15*I$1*Q15</f>
        <v>3108.491985</v>
      </c>
      <c r="T15" s="81"/>
      <c r="U15" s="82" t="n">
        <v>255854</v>
      </c>
      <c r="V15" s="83"/>
      <c r="W15" s="83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customFormat="false" ht="12.75" hidden="false" customHeight="false" outlineLevel="0" collapsed="false">
      <c r="A16" s="42" t="s">
        <v>149</v>
      </c>
      <c r="B16" s="43" t="s">
        <v>150</v>
      </c>
      <c r="C16" s="43" t="s">
        <v>158</v>
      </c>
      <c r="D16" s="85" t="n">
        <v>36800</v>
      </c>
      <c r="E16" s="85" t="n">
        <v>36830</v>
      </c>
      <c r="F16" s="42" t="s">
        <v>152</v>
      </c>
      <c r="G16" s="42" t="s">
        <v>159</v>
      </c>
      <c r="H16" s="43" t="s">
        <v>160</v>
      </c>
      <c r="I16" s="86" t="n">
        <f aca="false">0.61*0.0328767</f>
        <v>0.020054787</v>
      </c>
      <c r="J16" s="87" t="n">
        <v>0</v>
      </c>
      <c r="K16" s="87" t="n">
        <v>0</v>
      </c>
      <c r="L16" s="87" t="n">
        <v>0</v>
      </c>
      <c r="M16" s="87" t="n">
        <v>0</v>
      </c>
      <c r="N16" s="88" t="n">
        <v>0</v>
      </c>
      <c r="O16" s="87" t="n">
        <f aca="false">SUM(I16:M16)</f>
        <v>0.020054787</v>
      </c>
      <c r="P16" s="89" t="n">
        <v>771173</v>
      </c>
      <c r="Q16" s="43" t="n">
        <v>5000</v>
      </c>
      <c r="R16" s="42" t="s">
        <v>162</v>
      </c>
      <c r="S16" s="90" t="s">
        <v>163</v>
      </c>
      <c r="T16" s="90"/>
      <c r="U16" s="91" t="n">
        <v>253236</v>
      </c>
      <c r="V16" s="92"/>
      <c r="W16" s="92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customFormat="false" ht="12.75" hidden="false" customHeight="false" outlineLevel="0" collapsed="false">
      <c r="A17" s="56" t="s">
        <v>1</v>
      </c>
      <c r="B17" s="57" t="s">
        <v>1</v>
      </c>
      <c r="C17" s="58" t="s">
        <v>1</v>
      </c>
      <c r="D17" s="59" t="s">
        <v>1</v>
      </c>
      <c r="E17" s="59"/>
      <c r="F17" s="56" t="s">
        <v>1</v>
      </c>
      <c r="G17" s="60" t="s">
        <v>1</v>
      </c>
      <c r="H17" s="57" t="s">
        <v>1</v>
      </c>
      <c r="I17" s="61"/>
      <c r="J17" s="62"/>
      <c r="K17" s="62"/>
      <c r="L17" s="62"/>
      <c r="M17" s="62"/>
      <c r="N17" s="63"/>
      <c r="O17" s="62"/>
      <c r="P17" s="94" t="s">
        <v>1</v>
      </c>
      <c r="Q17" s="57" t="n">
        <f aca="false">SUM(Q12:Q16)</f>
        <v>16941</v>
      </c>
      <c r="R17" s="56" t="s">
        <v>1</v>
      </c>
      <c r="S17" s="95" t="n">
        <f aca="false">SUM(S12:S16)</f>
        <v>6970.46204361</v>
      </c>
      <c r="T17" s="65" t="n">
        <f aca="false">SUM(T12:T16)</f>
        <v>0</v>
      </c>
      <c r="U17" s="66"/>
      <c r="V17" s="24"/>
      <c r="W17" s="24"/>
    </row>
    <row r="18" customFormat="false" ht="12.75" hidden="false" customHeight="false" outlineLevel="0" collapsed="false">
      <c r="A18" s="48" t="s">
        <v>108</v>
      </c>
      <c r="B18" s="49" t="s">
        <v>109</v>
      </c>
      <c r="C18" s="49" t="s">
        <v>110</v>
      </c>
      <c r="D18" s="50" t="s">
        <v>111</v>
      </c>
      <c r="E18" s="50"/>
      <c r="F18" s="48" t="s">
        <v>112</v>
      </c>
      <c r="G18" s="48" t="s">
        <v>113</v>
      </c>
      <c r="H18" s="49" t="s">
        <v>114</v>
      </c>
      <c r="I18" s="51" t="s">
        <v>115</v>
      </c>
      <c r="J18" s="49" t="s">
        <v>116</v>
      </c>
      <c r="K18" s="49" t="s">
        <v>117</v>
      </c>
      <c r="L18" s="49" t="s">
        <v>118</v>
      </c>
      <c r="M18" s="49" t="s">
        <v>119</v>
      </c>
      <c r="N18" s="52" t="s">
        <v>120</v>
      </c>
      <c r="O18" s="49" t="s">
        <v>121</v>
      </c>
      <c r="P18" s="74" t="s">
        <v>147</v>
      </c>
      <c r="Q18" s="49" t="s">
        <v>123</v>
      </c>
      <c r="R18" s="48" t="s">
        <v>124</v>
      </c>
      <c r="S18" s="54" t="s">
        <v>125</v>
      </c>
      <c r="T18" s="54" t="s">
        <v>126</v>
      </c>
      <c r="U18" s="55" t="s">
        <v>148</v>
      </c>
      <c r="V18" s="24"/>
      <c r="W18" s="24"/>
    </row>
    <row r="19" customFormat="false" ht="12.75" hidden="false" customHeight="false" outlineLevel="0" collapsed="false">
      <c r="A19" s="15" t="s">
        <v>164</v>
      </c>
      <c r="B19" s="16" t="s">
        <v>48</v>
      </c>
      <c r="C19" s="16" t="s">
        <v>165</v>
      </c>
      <c r="D19" s="17" t="n">
        <v>36617</v>
      </c>
      <c r="E19" s="17" t="n">
        <v>36830</v>
      </c>
      <c r="F19" s="15" t="s">
        <v>166</v>
      </c>
      <c r="G19" s="15" t="s">
        <v>165</v>
      </c>
      <c r="H19" s="16" t="s">
        <v>167</v>
      </c>
      <c r="I19" s="19" t="n">
        <v>0.0318709677419355</v>
      </c>
      <c r="J19" s="20" t="n">
        <v>0</v>
      </c>
      <c r="K19" s="20" t="n">
        <v>0</v>
      </c>
      <c r="L19" s="20" t="n">
        <v>0</v>
      </c>
      <c r="M19" s="20" t="n">
        <v>0</v>
      </c>
      <c r="N19" s="25" t="n">
        <v>0</v>
      </c>
      <c r="O19" s="20" t="n">
        <f aca="false">SUM(I19:M19)</f>
        <v>0.0318709677419355</v>
      </c>
      <c r="P19" s="22" t="s">
        <v>168</v>
      </c>
      <c r="Q19" s="16" t="n">
        <v>15000</v>
      </c>
      <c r="R19" s="15" t="s">
        <v>169</v>
      </c>
      <c r="S19" s="23" t="n">
        <f aca="false">I19*I$1*Q19</f>
        <v>14820</v>
      </c>
      <c r="T19" s="23"/>
      <c r="U19" s="26" t="n">
        <v>229957</v>
      </c>
      <c r="V19" s="24"/>
      <c r="W19" s="2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5" t="s">
        <v>164</v>
      </c>
      <c r="B20" s="16" t="s">
        <v>48</v>
      </c>
      <c r="C20" s="16" t="s">
        <v>165</v>
      </c>
      <c r="D20" s="17" t="n">
        <v>36617</v>
      </c>
      <c r="E20" s="17" t="n">
        <v>36830</v>
      </c>
      <c r="F20" s="15" t="s">
        <v>170</v>
      </c>
      <c r="G20" s="15" t="s">
        <v>165</v>
      </c>
      <c r="H20" s="16" t="s">
        <v>167</v>
      </c>
      <c r="I20" s="19" t="n">
        <v>0.0294193548387097</v>
      </c>
      <c r="J20" s="20" t="n">
        <v>0</v>
      </c>
      <c r="K20" s="20" t="n">
        <v>0</v>
      </c>
      <c r="L20" s="20" t="n">
        <v>0</v>
      </c>
      <c r="M20" s="20" t="n">
        <v>0</v>
      </c>
      <c r="N20" s="25" t="n">
        <v>0</v>
      </c>
      <c r="O20" s="20" t="n">
        <f aca="false">SUM(I20:M20)</f>
        <v>0.0294193548387097</v>
      </c>
      <c r="P20" s="22" t="s">
        <v>171</v>
      </c>
      <c r="Q20" s="16" t="n">
        <v>4003</v>
      </c>
      <c r="R20" s="15" t="s">
        <v>172</v>
      </c>
      <c r="S20" s="23" t="n">
        <f aca="false">I20*I$1*Q20</f>
        <v>3650.736</v>
      </c>
      <c r="T20" s="23"/>
      <c r="U20" s="26" t="n">
        <v>233047</v>
      </c>
      <c r="V20" s="24"/>
      <c r="W20" s="2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15" t="s">
        <v>164</v>
      </c>
      <c r="B21" s="16" t="s">
        <v>48</v>
      </c>
      <c r="C21" s="16" t="s">
        <v>165</v>
      </c>
      <c r="D21" s="17" t="n">
        <v>36617</v>
      </c>
      <c r="E21" s="17" t="n">
        <v>36830</v>
      </c>
      <c r="F21" s="15" t="s">
        <v>173</v>
      </c>
      <c r="G21" s="15" t="s">
        <v>165</v>
      </c>
      <c r="H21" s="16" t="s">
        <v>167</v>
      </c>
      <c r="I21" s="19" t="n">
        <v>0.0294193548387097</v>
      </c>
      <c r="J21" s="20" t="n">
        <v>0</v>
      </c>
      <c r="K21" s="20" t="n">
        <v>0</v>
      </c>
      <c r="L21" s="20" t="n">
        <v>0</v>
      </c>
      <c r="M21" s="20" t="n">
        <v>0</v>
      </c>
      <c r="N21" s="25" t="n">
        <v>0</v>
      </c>
      <c r="O21" s="20" t="n">
        <f aca="false">SUM(I21:M21)</f>
        <v>0.0294193548387097</v>
      </c>
      <c r="P21" s="22" t="s">
        <v>171</v>
      </c>
      <c r="Q21" s="16" t="n">
        <v>383</v>
      </c>
      <c r="R21" s="15" t="s">
        <v>172</v>
      </c>
      <c r="S21" s="23" t="n">
        <f aca="false">I21*I$1*Q21</f>
        <v>349.296</v>
      </c>
      <c r="T21" s="23"/>
      <c r="U21" s="26" t="n">
        <v>233047</v>
      </c>
      <c r="V21" s="24"/>
      <c r="W21" s="2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15" t="s">
        <v>164</v>
      </c>
      <c r="B22" s="16" t="s">
        <v>48</v>
      </c>
      <c r="C22" s="16" t="s">
        <v>158</v>
      </c>
      <c r="D22" s="17" t="n">
        <v>36617</v>
      </c>
      <c r="E22" s="17" t="n">
        <v>36799</v>
      </c>
      <c r="F22" s="15" t="s">
        <v>170</v>
      </c>
      <c r="G22" s="15" t="s">
        <v>174</v>
      </c>
      <c r="H22" s="16" t="s">
        <v>167</v>
      </c>
      <c r="I22" s="19" t="n">
        <v>0.0196129032258065</v>
      </c>
      <c r="J22" s="20" t="n">
        <v>0</v>
      </c>
      <c r="K22" s="20" t="n">
        <v>0</v>
      </c>
      <c r="L22" s="20" t="n">
        <v>0</v>
      </c>
      <c r="M22" s="20" t="n">
        <v>0</v>
      </c>
      <c r="N22" s="25" t="n">
        <v>0</v>
      </c>
      <c r="O22" s="20" t="n">
        <f aca="false">SUM(I22:M22)</f>
        <v>0.0196129032258065</v>
      </c>
      <c r="P22" s="22" t="s">
        <v>175</v>
      </c>
      <c r="Q22" s="16" t="n">
        <v>3947</v>
      </c>
      <c r="R22" s="15" t="s">
        <v>176</v>
      </c>
      <c r="S22" s="23" t="n">
        <f aca="false">I22*I$1*Q22</f>
        <v>2399.776</v>
      </c>
      <c r="T22" s="23"/>
      <c r="U22" s="26" t="n">
        <v>231229</v>
      </c>
      <c r="V22" s="24"/>
      <c r="W22" s="24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56" t="s">
        <v>1</v>
      </c>
      <c r="B23" s="57" t="s">
        <v>1</v>
      </c>
      <c r="C23" s="58" t="s">
        <v>1</v>
      </c>
      <c r="D23" s="59" t="s">
        <v>1</v>
      </c>
      <c r="E23" s="59"/>
      <c r="F23" s="56" t="s">
        <v>1</v>
      </c>
      <c r="G23" s="60" t="s">
        <v>1</v>
      </c>
      <c r="H23" s="57" t="s">
        <v>1</v>
      </c>
      <c r="I23" s="61"/>
      <c r="J23" s="62"/>
      <c r="K23" s="62"/>
      <c r="L23" s="62"/>
      <c r="M23" s="62"/>
      <c r="N23" s="63"/>
      <c r="O23" s="62"/>
      <c r="P23" s="94" t="s">
        <v>1</v>
      </c>
      <c r="Q23" s="57" t="n">
        <f aca="false">SUM(Q19:Q22)</f>
        <v>23333</v>
      </c>
      <c r="R23" s="56" t="s">
        <v>1</v>
      </c>
      <c r="S23" s="95" t="n">
        <f aca="false">SUM(S19:S22)</f>
        <v>21219.808</v>
      </c>
      <c r="T23" s="65" t="n">
        <f aca="false">SUM(T19:T22)</f>
        <v>0</v>
      </c>
      <c r="U23" s="66"/>
      <c r="V23" s="24"/>
      <c r="W23" s="24"/>
    </row>
    <row r="24" customFormat="false" ht="12.75" hidden="false" customHeight="false" outlineLevel="0" collapsed="false">
      <c r="A24" s="48" t="s">
        <v>108</v>
      </c>
      <c r="B24" s="49" t="s">
        <v>109</v>
      </c>
      <c r="C24" s="49" t="s">
        <v>110</v>
      </c>
      <c r="D24" s="50" t="s">
        <v>111</v>
      </c>
      <c r="E24" s="50"/>
      <c r="F24" s="48" t="s">
        <v>112</v>
      </c>
      <c r="G24" s="48" t="s">
        <v>113</v>
      </c>
      <c r="H24" s="49" t="s">
        <v>114</v>
      </c>
      <c r="I24" s="51" t="s">
        <v>115</v>
      </c>
      <c r="J24" s="49" t="s">
        <v>116</v>
      </c>
      <c r="K24" s="49" t="s">
        <v>117</v>
      </c>
      <c r="L24" s="49" t="s">
        <v>118</v>
      </c>
      <c r="M24" s="49" t="s">
        <v>119</v>
      </c>
      <c r="N24" s="52" t="s">
        <v>120</v>
      </c>
      <c r="O24" s="49" t="s">
        <v>121</v>
      </c>
      <c r="P24" s="74" t="s">
        <v>147</v>
      </c>
      <c r="Q24" s="49" t="s">
        <v>123</v>
      </c>
      <c r="R24" s="48" t="s">
        <v>124</v>
      </c>
      <c r="S24" s="54" t="s">
        <v>133</v>
      </c>
      <c r="T24" s="54" t="s">
        <v>133</v>
      </c>
      <c r="U24" s="55"/>
      <c r="V24" s="24"/>
      <c r="W24" s="24"/>
    </row>
    <row r="25" customFormat="false" ht="12.75" hidden="false" customHeight="false" outlineLevel="0" collapsed="false">
      <c r="A25" s="15" t="s">
        <v>149</v>
      </c>
      <c r="B25" s="16" t="s">
        <v>134</v>
      </c>
      <c r="C25" s="16" t="s">
        <v>134</v>
      </c>
      <c r="D25" s="17" t="s">
        <v>90</v>
      </c>
      <c r="E25" s="17" t="s">
        <v>90</v>
      </c>
      <c r="F25" s="15" t="s">
        <v>177</v>
      </c>
      <c r="G25" s="15"/>
      <c r="H25" s="16"/>
      <c r="I25" s="19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5" t="n">
        <v>0</v>
      </c>
      <c r="O25" s="20" t="n">
        <f aca="false">SUM(I25:M25)</f>
        <v>0</v>
      </c>
      <c r="P25" s="22" t="s">
        <v>178</v>
      </c>
      <c r="Q25" s="16"/>
      <c r="R25" s="15"/>
      <c r="S25" s="23" t="n">
        <f aca="false">I25*I$1*Q25</f>
        <v>0</v>
      </c>
      <c r="T25" s="23"/>
      <c r="U25" s="26"/>
      <c r="V25" s="24"/>
      <c r="W25" s="2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38" t="s">
        <v>145</v>
      </c>
      <c r="B26" s="75" t="s">
        <v>134</v>
      </c>
      <c r="C26" s="75" t="s">
        <v>134</v>
      </c>
      <c r="D26" s="76" t="n">
        <v>36647</v>
      </c>
      <c r="E26" s="76" t="n">
        <v>36677</v>
      </c>
      <c r="F26" s="38" t="s">
        <v>179</v>
      </c>
      <c r="G26" s="38" t="s">
        <v>180</v>
      </c>
      <c r="H26" s="75" t="s">
        <v>181</v>
      </c>
      <c r="I26" s="77" t="n">
        <v>0.015</v>
      </c>
      <c r="J26" s="78" t="n">
        <v>0</v>
      </c>
      <c r="K26" s="78" t="n">
        <v>0</v>
      </c>
      <c r="L26" s="78" t="n">
        <v>0</v>
      </c>
      <c r="M26" s="78" t="n">
        <v>0</v>
      </c>
      <c r="N26" s="79" t="n">
        <v>0</v>
      </c>
      <c r="O26" s="78" t="n">
        <f aca="false">SUM(I26:M26)</f>
        <v>0.015</v>
      </c>
      <c r="P26" s="80" t="n">
        <v>67693</v>
      </c>
      <c r="Q26" s="75" t="n">
        <v>-20000</v>
      </c>
      <c r="R26" s="38" t="s">
        <v>182</v>
      </c>
      <c r="S26" s="81" t="n">
        <f aca="false">I26*I$1*Q26</f>
        <v>-9300</v>
      </c>
      <c r="T26" s="81"/>
      <c r="U26" s="82" t="n">
        <v>254584</v>
      </c>
      <c r="V26" s="83"/>
      <c r="W26" s="83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  <c r="IW26" s="84"/>
    </row>
    <row r="27" customFormat="false" ht="12.75" hidden="false" customHeight="false" outlineLevel="0" collapsed="false">
      <c r="A27" s="38" t="s">
        <v>164</v>
      </c>
      <c r="B27" s="75" t="s">
        <v>134</v>
      </c>
      <c r="C27" s="75" t="s">
        <v>134</v>
      </c>
      <c r="D27" s="76" t="n">
        <v>36617</v>
      </c>
      <c r="E27" s="76" t="n">
        <v>36981</v>
      </c>
      <c r="F27" s="38" t="s">
        <v>179</v>
      </c>
      <c r="G27" s="38" t="n">
        <v>19</v>
      </c>
      <c r="H27" s="75" t="s">
        <v>167</v>
      </c>
      <c r="I27" s="77" t="n">
        <f aca="false">4.41/I$1</f>
        <v>0.142258064516129</v>
      </c>
      <c r="J27" s="78" t="n">
        <v>0</v>
      </c>
      <c r="K27" s="78" t="n">
        <v>0</v>
      </c>
      <c r="L27" s="78" t="n">
        <v>0</v>
      </c>
      <c r="M27" s="78" t="n">
        <v>0</v>
      </c>
      <c r="N27" s="79" t="n">
        <v>0</v>
      </c>
      <c r="O27" s="78" t="n">
        <f aca="false">SUM(I27:M27)</f>
        <v>0.142258064516129</v>
      </c>
      <c r="P27" s="80" t="n">
        <v>66930</v>
      </c>
      <c r="Q27" s="75" t="n">
        <v>4000</v>
      </c>
      <c r="R27" s="38" t="s">
        <v>183</v>
      </c>
      <c r="S27" s="81" t="n">
        <f aca="false">I27*I$1*Q27</f>
        <v>17640</v>
      </c>
      <c r="T27" s="81"/>
      <c r="U27" s="82" t="n">
        <v>227986</v>
      </c>
      <c r="V27" s="83"/>
      <c r="W27" s="83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  <c r="IW27" s="84"/>
    </row>
    <row r="28" customFormat="false" ht="12.75" hidden="false" customHeight="false" outlineLevel="0" collapsed="false">
      <c r="A28" s="38" t="s">
        <v>164</v>
      </c>
      <c r="B28" s="75" t="s">
        <v>134</v>
      </c>
      <c r="C28" s="75" t="s">
        <v>134</v>
      </c>
      <c r="D28" s="76" t="n">
        <v>36617</v>
      </c>
      <c r="E28" s="76" t="n">
        <v>36981</v>
      </c>
      <c r="F28" s="38" t="s">
        <v>179</v>
      </c>
      <c r="G28" s="38" t="s">
        <v>184</v>
      </c>
      <c r="H28" s="75" t="s">
        <v>160</v>
      </c>
      <c r="I28" s="77" t="n">
        <f aca="false">4.41/I$1</f>
        <v>0.142258064516129</v>
      </c>
      <c r="J28" s="78" t="n">
        <v>0</v>
      </c>
      <c r="K28" s="78" t="n">
        <v>0</v>
      </c>
      <c r="L28" s="78" t="n">
        <v>0</v>
      </c>
      <c r="M28" s="78" t="n">
        <v>0</v>
      </c>
      <c r="N28" s="79" t="n">
        <v>0</v>
      </c>
      <c r="O28" s="78" t="n">
        <f aca="false">SUM(I28:M28)</f>
        <v>0.142258064516129</v>
      </c>
      <c r="P28" s="80" t="n">
        <v>66931</v>
      </c>
      <c r="Q28" s="75" t="n">
        <v>4000</v>
      </c>
      <c r="R28" s="38" t="s">
        <v>185</v>
      </c>
      <c r="S28" s="81" t="n">
        <f aca="false">I28*I$1*Q28</f>
        <v>17640</v>
      </c>
      <c r="T28" s="81"/>
      <c r="U28" s="82" t="n">
        <v>227996</v>
      </c>
      <c r="V28" s="83"/>
      <c r="W28" s="83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</row>
    <row r="29" customFormat="false" ht="12.75" hidden="false" customHeight="false" outlineLevel="0" collapsed="false">
      <c r="A29" s="38" t="s">
        <v>164</v>
      </c>
      <c r="B29" s="75" t="s">
        <v>134</v>
      </c>
      <c r="C29" s="75" t="s">
        <v>134</v>
      </c>
      <c r="D29" s="76" t="n">
        <v>36617</v>
      </c>
      <c r="E29" s="76" t="n">
        <v>36981</v>
      </c>
      <c r="F29" s="38" t="s">
        <v>179</v>
      </c>
      <c r="G29" s="38" t="s">
        <v>186</v>
      </c>
      <c r="H29" s="75" t="s">
        <v>167</v>
      </c>
      <c r="I29" s="77" t="n">
        <f aca="false">6.201/I$1</f>
        <v>0.200032258064516</v>
      </c>
      <c r="J29" s="78" t="n">
        <v>0</v>
      </c>
      <c r="K29" s="78" t="n">
        <v>0</v>
      </c>
      <c r="L29" s="78" t="n">
        <v>0</v>
      </c>
      <c r="M29" s="78" t="n">
        <v>0</v>
      </c>
      <c r="N29" s="79" t="n">
        <v>0</v>
      </c>
      <c r="O29" s="78" t="n">
        <f aca="false">SUM(I29:M29)</f>
        <v>0.200032258064516</v>
      </c>
      <c r="P29" s="80" t="n">
        <v>66932</v>
      </c>
      <c r="Q29" s="75" t="n">
        <v>4000</v>
      </c>
      <c r="R29" s="38" t="s">
        <v>185</v>
      </c>
      <c r="S29" s="81" t="n">
        <f aca="false">I29*I$1*Q29</f>
        <v>24804</v>
      </c>
      <c r="T29" s="81"/>
      <c r="U29" s="82" t="n">
        <v>228003</v>
      </c>
      <c r="V29" s="83"/>
      <c r="W29" s="83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  <c r="IW29" s="84"/>
    </row>
    <row r="30" customFormat="false" ht="12.75" hidden="false" customHeight="false" outlineLevel="0" collapsed="false">
      <c r="A30" s="38" t="s">
        <v>164</v>
      </c>
      <c r="B30" s="75" t="s">
        <v>134</v>
      </c>
      <c r="C30" s="75" t="s">
        <v>134</v>
      </c>
      <c r="D30" s="76" t="n">
        <v>36617</v>
      </c>
      <c r="E30" s="76" t="n">
        <v>36830</v>
      </c>
      <c r="F30" s="38" t="s">
        <v>187</v>
      </c>
      <c r="G30" s="38" t="s">
        <v>188</v>
      </c>
      <c r="H30" s="75" t="s">
        <v>167</v>
      </c>
      <c r="I30" s="77" t="n">
        <f aca="false">1.5286/I$1</f>
        <v>0.0493096774193548</v>
      </c>
      <c r="J30" s="78" t="n">
        <v>0</v>
      </c>
      <c r="K30" s="78" t="n">
        <v>0</v>
      </c>
      <c r="L30" s="78" t="n">
        <v>0</v>
      </c>
      <c r="M30" s="78" t="n">
        <v>0</v>
      </c>
      <c r="N30" s="79" t="n">
        <v>0</v>
      </c>
      <c r="O30" s="78" t="n">
        <f aca="false">SUM(I30:M30)</f>
        <v>0.0493096774193548</v>
      </c>
      <c r="P30" s="80" t="n">
        <v>66965</v>
      </c>
      <c r="Q30" s="75" t="n">
        <v>20000</v>
      </c>
      <c r="R30" s="38" t="s">
        <v>189</v>
      </c>
      <c r="S30" s="81" t="n">
        <f aca="false">I30*I$1*Q30</f>
        <v>30572</v>
      </c>
      <c r="T30" s="81"/>
      <c r="U30" s="82" t="n">
        <v>229727</v>
      </c>
      <c r="V30" s="83"/>
      <c r="W30" s="83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</row>
    <row r="31" customFormat="false" ht="12.75" hidden="false" customHeight="false" outlineLevel="0" collapsed="false">
      <c r="A31" s="38" t="s">
        <v>164</v>
      </c>
      <c r="B31" s="75" t="s">
        <v>134</v>
      </c>
      <c r="C31" s="75" t="s">
        <v>134</v>
      </c>
      <c r="D31" s="76" t="n">
        <v>36647</v>
      </c>
      <c r="E31" s="76" t="n">
        <v>36677</v>
      </c>
      <c r="F31" s="38" t="s">
        <v>179</v>
      </c>
      <c r="G31" s="38" t="s">
        <v>190</v>
      </c>
      <c r="H31" s="75" t="s">
        <v>167</v>
      </c>
      <c r="I31" s="77" t="n">
        <f aca="false">2.48/I$1</f>
        <v>0.08</v>
      </c>
      <c r="J31" s="78" t="n">
        <v>0</v>
      </c>
      <c r="K31" s="78" t="n">
        <v>0</v>
      </c>
      <c r="L31" s="78" t="n">
        <v>0</v>
      </c>
      <c r="M31" s="78" t="n">
        <v>0</v>
      </c>
      <c r="N31" s="79" t="n">
        <v>0</v>
      </c>
      <c r="O31" s="78" t="n">
        <f aca="false">SUM(I31:M31)</f>
        <v>0.08</v>
      </c>
      <c r="P31" s="80" t="n">
        <v>68278</v>
      </c>
      <c r="Q31" s="75" t="n">
        <v>7500</v>
      </c>
      <c r="R31" s="38" t="s">
        <v>191</v>
      </c>
      <c r="S31" s="81" t="n">
        <f aca="false">I31*I$1*Q31</f>
        <v>18600</v>
      </c>
      <c r="T31" s="81"/>
      <c r="U31" s="82" t="n">
        <v>255858</v>
      </c>
      <c r="V31" s="83"/>
      <c r="W31" s="83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  <c r="IW31" s="84"/>
    </row>
    <row r="32" customFormat="false" ht="12.75" hidden="false" customHeight="false" outlineLevel="0" collapsed="false">
      <c r="A32" s="96" t="s">
        <v>164</v>
      </c>
      <c r="B32" s="97" t="s">
        <v>134</v>
      </c>
      <c r="C32" s="97" t="s">
        <v>134</v>
      </c>
      <c r="D32" s="98" t="n">
        <v>36678</v>
      </c>
      <c r="E32" s="98" t="n">
        <v>36830</v>
      </c>
      <c r="F32" s="96" t="s">
        <v>179</v>
      </c>
      <c r="G32" s="96" t="s">
        <v>190</v>
      </c>
      <c r="H32" s="97" t="s">
        <v>167</v>
      </c>
      <c r="I32" s="99" t="n">
        <f aca="false">2.48/I$1</f>
        <v>0.08</v>
      </c>
      <c r="J32" s="100" t="n">
        <v>0</v>
      </c>
      <c r="K32" s="100" t="n">
        <v>0</v>
      </c>
      <c r="L32" s="100" t="n">
        <v>0</v>
      </c>
      <c r="M32" s="100" t="n">
        <v>0</v>
      </c>
      <c r="N32" s="101" t="n">
        <v>0</v>
      </c>
      <c r="O32" s="100" t="n">
        <f aca="false">SUM(I32:M32)</f>
        <v>0.08</v>
      </c>
      <c r="P32" s="102" t="s">
        <v>192</v>
      </c>
      <c r="Q32" s="97" t="n">
        <v>7500</v>
      </c>
      <c r="R32" s="96"/>
      <c r="S32" s="103" t="s">
        <v>193</v>
      </c>
      <c r="T32" s="103"/>
      <c r="U32" s="104"/>
      <c r="V32" s="105"/>
      <c r="W32" s="105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6"/>
      <c r="GF32" s="106"/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6"/>
      <c r="GZ32" s="106"/>
      <c r="HA32" s="106"/>
      <c r="HB32" s="106"/>
      <c r="HC32" s="106"/>
      <c r="HD32" s="106"/>
      <c r="HE32" s="106"/>
      <c r="HF32" s="106"/>
      <c r="HG32" s="106"/>
      <c r="HH32" s="106"/>
      <c r="HI32" s="106"/>
      <c r="HJ32" s="106"/>
      <c r="HK32" s="106"/>
      <c r="HL32" s="106"/>
      <c r="HM32" s="106"/>
      <c r="HN32" s="106"/>
      <c r="HO32" s="106"/>
      <c r="HP32" s="106"/>
      <c r="HQ32" s="106"/>
      <c r="HR32" s="106"/>
      <c r="HS32" s="106"/>
      <c r="HT32" s="106"/>
      <c r="HU32" s="106"/>
      <c r="HV32" s="106"/>
      <c r="HW32" s="106"/>
      <c r="HX32" s="106"/>
      <c r="HY32" s="106"/>
      <c r="HZ32" s="106"/>
      <c r="IA32" s="106"/>
      <c r="IB32" s="106"/>
      <c r="IC32" s="106"/>
      <c r="ID32" s="106"/>
      <c r="IE32" s="106"/>
      <c r="IF32" s="106"/>
      <c r="IG32" s="106"/>
      <c r="IH32" s="106"/>
      <c r="II32" s="106"/>
      <c r="IJ32" s="106"/>
      <c r="IK32" s="106"/>
      <c r="IL32" s="106"/>
      <c r="IM32" s="106"/>
      <c r="IN32" s="106"/>
      <c r="IO32" s="106"/>
      <c r="IP32" s="106"/>
      <c r="IQ32" s="106"/>
      <c r="IR32" s="106"/>
      <c r="IS32" s="106"/>
      <c r="IT32" s="106"/>
      <c r="IU32" s="106"/>
      <c r="IV32" s="106"/>
      <c r="IW32" s="106"/>
    </row>
    <row r="33" customFormat="false" ht="12.75" hidden="false" customHeight="false" outlineLevel="0" collapsed="false">
      <c r="A33" s="15" t="s">
        <v>149</v>
      </c>
      <c r="B33" s="16" t="s">
        <v>134</v>
      </c>
      <c r="C33" s="16" t="s">
        <v>194</v>
      </c>
      <c r="D33" s="17" t="n">
        <v>36464</v>
      </c>
      <c r="E33" s="17" t="n">
        <v>36860</v>
      </c>
      <c r="F33" s="15" t="s">
        <v>179</v>
      </c>
      <c r="G33" s="15" t="s">
        <v>195</v>
      </c>
      <c r="H33" s="16"/>
      <c r="I33" s="19" t="n">
        <f aca="false">6.423/I$1</f>
        <v>0.207193548387097</v>
      </c>
      <c r="J33" s="20" t="n">
        <v>0</v>
      </c>
      <c r="K33" s="20" t="n">
        <v>0</v>
      </c>
      <c r="L33" s="20" t="n">
        <v>0</v>
      </c>
      <c r="M33" s="20" t="n">
        <v>0</v>
      </c>
      <c r="N33" s="25" t="n">
        <v>0</v>
      </c>
      <c r="O33" s="20" t="n">
        <f aca="false">SUM(I33:M33)</f>
        <v>0.207193548387097</v>
      </c>
      <c r="P33" s="22" t="n">
        <v>65071</v>
      </c>
      <c r="Q33" s="16" t="n">
        <v>5429</v>
      </c>
      <c r="R33" s="15" t="s">
        <v>196</v>
      </c>
      <c r="S33" s="23" t="n">
        <f aca="false">I33*I$1*Q33</f>
        <v>34870.467</v>
      </c>
      <c r="T33" s="23"/>
      <c r="U33" s="26" t="n">
        <v>205687</v>
      </c>
      <c r="V33" s="24"/>
      <c r="W33" s="2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5" t="s">
        <v>149</v>
      </c>
      <c r="B34" s="16" t="s">
        <v>134</v>
      </c>
      <c r="C34" s="16" t="s">
        <v>194</v>
      </c>
      <c r="D34" s="17" t="n">
        <v>36464</v>
      </c>
      <c r="E34" s="17" t="n">
        <v>36860</v>
      </c>
      <c r="F34" s="15" t="s">
        <v>179</v>
      </c>
      <c r="G34" s="15" t="s">
        <v>197</v>
      </c>
      <c r="H34" s="16"/>
      <c r="I34" s="19" t="n">
        <f aca="false">6.423/I$1</f>
        <v>0.207193548387097</v>
      </c>
      <c r="J34" s="20" t="n">
        <v>0</v>
      </c>
      <c r="K34" s="20" t="n">
        <v>0</v>
      </c>
      <c r="L34" s="20" t="n">
        <v>0</v>
      </c>
      <c r="M34" s="20" t="n">
        <v>0</v>
      </c>
      <c r="N34" s="25" t="n">
        <v>0</v>
      </c>
      <c r="O34" s="20" t="n">
        <f aca="false">SUM(I34:M34)</f>
        <v>0.207193548387097</v>
      </c>
      <c r="P34" s="22" t="n">
        <v>65071</v>
      </c>
      <c r="Q34" s="16" t="n">
        <v>1000</v>
      </c>
      <c r="R34" s="15" t="s">
        <v>196</v>
      </c>
      <c r="S34" s="23" t="n">
        <f aca="false">I34*I$1*Q34</f>
        <v>6423</v>
      </c>
      <c r="T34" s="23"/>
      <c r="U34" s="26" t="n">
        <v>205687</v>
      </c>
      <c r="V34" s="24"/>
      <c r="W34" s="2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5" t="s">
        <v>149</v>
      </c>
      <c r="B35" s="16" t="s">
        <v>134</v>
      </c>
      <c r="C35" s="16" t="s">
        <v>194</v>
      </c>
      <c r="D35" s="17" t="n">
        <v>36464</v>
      </c>
      <c r="E35" s="17" t="n">
        <v>36860</v>
      </c>
      <c r="F35" s="15" t="s">
        <v>179</v>
      </c>
      <c r="G35" s="15" t="s">
        <v>198</v>
      </c>
      <c r="H35" s="16"/>
      <c r="I35" s="19" t="n">
        <f aca="false">6.423/I$1</f>
        <v>0.207193548387097</v>
      </c>
      <c r="J35" s="20" t="n">
        <v>0</v>
      </c>
      <c r="K35" s="20" t="n">
        <v>0</v>
      </c>
      <c r="L35" s="20" t="n">
        <v>0</v>
      </c>
      <c r="M35" s="20" t="n">
        <v>0</v>
      </c>
      <c r="N35" s="25" t="n">
        <v>0</v>
      </c>
      <c r="O35" s="20" t="n">
        <f aca="false">SUM(I35:M35)</f>
        <v>0.207193548387097</v>
      </c>
      <c r="P35" s="22" t="n">
        <v>65071</v>
      </c>
      <c r="Q35" s="16" t="n">
        <v>1000</v>
      </c>
      <c r="R35" s="15" t="s">
        <v>196</v>
      </c>
      <c r="S35" s="23" t="n">
        <f aca="false">I35*I$1*Q35</f>
        <v>6423</v>
      </c>
      <c r="T35" s="23"/>
      <c r="U35" s="26" t="n">
        <v>205687</v>
      </c>
      <c r="V35" s="24"/>
      <c r="W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3.5" hidden="false" customHeight="false" outlineLevel="0" collapsed="false">
      <c r="A36" s="38" t="s">
        <v>149</v>
      </c>
      <c r="B36" s="75" t="s">
        <v>134</v>
      </c>
      <c r="C36" s="38" t="s">
        <v>199</v>
      </c>
      <c r="D36" s="76" t="n">
        <v>36647</v>
      </c>
      <c r="E36" s="76" t="n">
        <v>36677</v>
      </c>
      <c r="F36" s="38" t="s">
        <v>179</v>
      </c>
      <c r="G36" s="38" t="s">
        <v>197</v>
      </c>
      <c r="H36" s="75"/>
      <c r="I36" s="77" t="n">
        <f aca="false">6.423/I$1</f>
        <v>0.207193548387097</v>
      </c>
      <c r="J36" s="78" t="n">
        <v>0</v>
      </c>
      <c r="K36" s="78" t="n">
        <v>0</v>
      </c>
      <c r="L36" s="78" t="n">
        <v>0</v>
      </c>
      <c r="M36" s="78" t="n">
        <v>0</v>
      </c>
      <c r="N36" s="79" t="n">
        <v>0</v>
      </c>
      <c r="O36" s="78" t="n">
        <f aca="false">SUM(I36:M36)</f>
        <v>0.207193548387097</v>
      </c>
      <c r="P36" s="80" t="n">
        <v>65071</v>
      </c>
      <c r="Q36" s="107" t="n">
        <v>-437</v>
      </c>
      <c r="R36" s="38" t="s">
        <v>200</v>
      </c>
      <c r="S36" s="81" t="n">
        <f aca="false">I36*I$1*Q36</f>
        <v>-2806.851</v>
      </c>
      <c r="T36" s="81"/>
      <c r="U36" s="82" t="n">
        <v>251574</v>
      </c>
      <c r="V36" s="83"/>
      <c r="W36" s="83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13.5" hidden="false" customHeight="false" outlineLevel="0" collapsed="false">
      <c r="A37" s="15" t="s">
        <v>149</v>
      </c>
      <c r="B37" s="16" t="s">
        <v>134</v>
      </c>
      <c r="C37" s="16" t="s">
        <v>201</v>
      </c>
      <c r="D37" s="17" t="n">
        <v>36434</v>
      </c>
      <c r="E37" s="17" t="n">
        <v>36714</v>
      </c>
      <c r="F37" s="15" t="s">
        <v>202</v>
      </c>
      <c r="G37" s="15" t="s">
        <v>203</v>
      </c>
      <c r="H37" s="16"/>
      <c r="I37" s="19" t="n">
        <v>0.085</v>
      </c>
      <c r="J37" s="20" t="n">
        <v>0</v>
      </c>
      <c r="K37" s="20" t="n">
        <v>0</v>
      </c>
      <c r="L37" s="20" t="n">
        <v>0</v>
      </c>
      <c r="M37" s="20" t="n">
        <v>0</v>
      </c>
      <c r="N37" s="25" t="n">
        <v>0</v>
      </c>
      <c r="O37" s="20" t="n">
        <f aca="false">SUM(I37:M37)</f>
        <v>0.085</v>
      </c>
      <c r="P37" s="22"/>
      <c r="Q37" s="16" t="n">
        <v>40000</v>
      </c>
      <c r="R37" s="15" t="s">
        <v>204</v>
      </c>
      <c r="S37" s="23" t="n">
        <f aca="false">I37*I$1*Q37</f>
        <v>105400</v>
      </c>
      <c r="T37" s="23"/>
      <c r="U37" s="26"/>
      <c r="V37" s="24"/>
      <c r="W37" s="2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56" t="s">
        <v>1</v>
      </c>
      <c r="B38" s="57" t="s">
        <v>1</v>
      </c>
      <c r="C38" s="57" t="s">
        <v>1</v>
      </c>
      <c r="D38" s="59" t="s">
        <v>1</v>
      </c>
      <c r="E38" s="59" t="s">
        <v>1</v>
      </c>
      <c r="F38" s="56" t="s">
        <v>1</v>
      </c>
      <c r="G38" s="60" t="s">
        <v>1</v>
      </c>
      <c r="H38" s="57" t="s">
        <v>1</v>
      </c>
      <c r="I38" s="61"/>
      <c r="J38" s="62"/>
      <c r="K38" s="62"/>
      <c r="L38" s="62"/>
      <c r="M38" s="62"/>
      <c r="N38" s="63"/>
      <c r="O38" s="62"/>
      <c r="P38" s="94" t="s">
        <v>1</v>
      </c>
      <c r="Q38" s="57" t="n">
        <f aca="false">SUM(Q25:Q37)</f>
        <v>73992</v>
      </c>
      <c r="R38" s="56" t="s">
        <v>1</v>
      </c>
      <c r="S38" s="65" t="n">
        <f aca="false">SUM(S25:S37)</f>
        <v>250265.616</v>
      </c>
      <c r="T38" s="65" t="n">
        <f aca="false">SUM(T33:T37)</f>
        <v>0</v>
      </c>
      <c r="U38" s="66"/>
      <c r="V38" s="24"/>
      <c r="W38" s="24"/>
    </row>
    <row r="39" customFormat="false" ht="12.75" hidden="false" customHeight="false" outlineLevel="0" collapsed="false">
      <c r="A39" s="48" t="s">
        <v>108</v>
      </c>
      <c r="B39" s="49" t="s">
        <v>109</v>
      </c>
      <c r="C39" s="49" t="s">
        <v>110</v>
      </c>
      <c r="D39" s="50" t="s">
        <v>111</v>
      </c>
      <c r="E39" s="50"/>
      <c r="F39" s="48" t="s">
        <v>112</v>
      </c>
      <c r="G39" s="48" t="s">
        <v>113</v>
      </c>
      <c r="H39" s="49" t="s">
        <v>114</v>
      </c>
      <c r="I39" s="51" t="s">
        <v>115</v>
      </c>
      <c r="J39" s="49" t="s">
        <v>116</v>
      </c>
      <c r="K39" s="49" t="s">
        <v>117</v>
      </c>
      <c r="L39" s="49" t="s">
        <v>118</v>
      </c>
      <c r="M39" s="49" t="s">
        <v>119</v>
      </c>
      <c r="N39" s="52" t="s">
        <v>120</v>
      </c>
      <c r="O39" s="49" t="s">
        <v>121</v>
      </c>
      <c r="P39" s="74" t="s">
        <v>147</v>
      </c>
      <c r="Q39" s="49" t="s">
        <v>123</v>
      </c>
      <c r="R39" s="48" t="s">
        <v>124</v>
      </c>
      <c r="S39" s="54" t="s">
        <v>125</v>
      </c>
      <c r="T39" s="54" t="s">
        <v>126</v>
      </c>
      <c r="U39" s="55" t="s">
        <v>148</v>
      </c>
      <c r="V39" s="24"/>
      <c r="W39" s="24"/>
    </row>
    <row r="40" customFormat="false" ht="12.75" hidden="false" customHeight="false" outlineLevel="0" collapsed="false">
      <c r="A40" s="15" t="s">
        <v>149</v>
      </c>
      <c r="B40" s="16" t="s">
        <v>128</v>
      </c>
      <c r="C40" s="16" t="s">
        <v>128</v>
      </c>
      <c r="D40" s="17" t="n">
        <v>34274</v>
      </c>
      <c r="E40" s="17" t="n">
        <v>37042</v>
      </c>
      <c r="F40" s="15" t="s">
        <v>205</v>
      </c>
      <c r="G40" s="15" t="s">
        <v>206</v>
      </c>
      <c r="H40" s="16" t="s">
        <v>167</v>
      </c>
      <c r="I40" s="19" t="n">
        <f aca="false">1.0603/I$1</f>
        <v>0.0342032258064516</v>
      </c>
      <c r="J40" s="20" t="n">
        <v>0</v>
      </c>
      <c r="K40" s="20" t="n">
        <v>0</v>
      </c>
      <c r="L40" s="20" t="n">
        <v>0</v>
      </c>
      <c r="M40" s="20" t="n">
        <v>0</v>
      </c>
      <c r="N40" s="25" t="n">
        <v>0</v>
      </c>
      <c r="O40" s="20" t="n">
        <f aca="false">SUM(I40:M40)</f>
        <v>0.0342032258064516</v>
      </c>
      <c r="P40" s="22" t="n">
        <v>37393</v>
      </c>
      <c r="Q40" s="16" t="n">
        <v>20000</v>
      </c>
      <c r="R40" s="15" t="s">
        <v>207</v>
      </c>
      <c r="S40" s="23" t="n">
        <f aca="false">I40*I$1*Q40</f>
        <v>21206</v>
      </c>
      <c r="T40" s="23"/>
      <c r="U40" s="26" t="n">
        <v>92346</v>
      </c>
      <c r="V40" s="24"/>
      <c r="W40" s="24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5" t="s">
        <v>149</v>
      </c>
      <c r="B41" s="16" t="s">
        <v>128</v>
      </c>
      <c r="C41" s="16" t="s">
        <v>128</v>
      </c>
      <c r="D41" s="17" t="n">
        <v>36434</v>
      </c>
      <c r="E41" s="17" t="n">
        <v>36799</v>
      </c>
      <c r="F41" s="15" t="s">
        <v>208</v>
      </c>
      <c r="G41" s="15" t="s">
        <v>209</v>
      </c>
      <c r="H41" s="16" t="s">
        <v>167</v>
      </c>
      <c r="I41" s="19" t="n">
        <v>0.015</v>
      </c>
      <c r="J41" s="20" t="n">
        <v>0</v>
      </c>
      <c r="K41" s="20" t="n">
        <v>0</v>
      </c>
      <c r="L41" s="20" t="n">
        <v>0</v>
      </c>
      <c r="M41" s="20" t="n">
        <v>0</v>
      </c>
      <c r="N41" s="25" t="n">
        <v>0</v>
      </c>
      <c r="O41" s="20" t="n">
        <f aca="false">SUM(I41:M41)</f>
        <v>0.015</v>
      </c>
      <c r="P41" s="22" t="n">
        <v>64937</v>
      </c>
      <c r="Q41" s="16" t="n">
        <v>10000</v>
      </c>
      <c r="R41" s="15"/>
      <c r="S41" s="23" t="n">
        <f aca="false">I41*I$1*Q41</f>
        <v>4650</v>
      </c>
      <c r="T41" s="23"/>
      <c r="U41" s="26"/>
      <c r="V41" s="24"/>
      <c r="W41" s="24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5" t="s">
        <v>149</v>
      </c>
      <c r="B42" s="16" t="s">
        <v>128</v>
      </c>
      <c r="C42" s="16" t="s">
        <v>128</v>
      </c>
      <c r="D42" s="17" t="n">
        <v>36617</v>
      </c>
      <c r="E42" s="17" t="n">
        <v>36981</v>
      </c>
      <c r="F42" s="15" t="s">
        <v>210</v>
      </c>
      <c r="G42" s="15" t="s">
        <v>211</v>
      </c>
      <c r="H42" s="16" t="s">
        <v>167</v>
      </c>
      <c r="I42" s="19" t="n">
        <f aca="false">1.5238/I$1</f>
        <v>0.0491548387096774</v>
      </c>
      <c r="J42" s="20" t="n">
        <v>0</v>
      </c>
      <c r="K42" s="20" t="n">
        <v>0</v>
      </c>
      <c r="L42" s="20" t="n">
        <v>0</v>
      </c>
      <c r="M42" s="20" t="n">
        <v>0</v>
      </c>
      <c r="N42" s="25" t="n">
        <v>0</v>
      </c>
      <c r="O42" s="20" t="n">
        <f aca="false">SUM(I42:M42)</f>
        <v>0.0491548387096774</v>
      </c>
      <c r="P42" s="22" t="n">
        <v>66973</v>
      </c>
      <c r="Q42" s="16" t="n">
        <v>10000</v>
      </c>
      <c r="R42" s="15" t="s">
        <v>212</v>
      </c>
      <c r="S42" s="23" t="n">
        <f aca="false">I42*I$1*Q42</f>
        <v>15238</v>
      </c>
      <c r="T42" s="23"/>
      <c r="U42" s="26" t="n">
        <v>231728</v>
      </c>
      <c r="V42" s="24"/>
      <c r="W42" s="24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5" t="s">
        <v>149</v>
      </c>
      <c r="B43" s="16" t="s">
        <v>128</v>
      </c>
      <c r="C43" s="16" t="s">
        <v>128</v>
      </c>
      <c r="D43" s="17" t="n">
        <v>34274</v>
      </c>
      <c r="E43" s="17" t="n">
        <v>40117</v>
      </c>
      <c r="F43" s="15" t="s">
        <v>206</v>
      </c>
      <c r="G43" s="15" t="s">
        <v>213</v>
      </c>
      <c r="H43" s="16" t="s">
        <v>167</v>
      </c>
      <c r="I43" s="19" t="n">
        <f aca="false">3.145/I$1</f>
        <v>0.101451612903226</v>
      </c>
      <c r="J43" s="20" t="n">
        <v>0</v>
      </c>
      <c r="K43" s="20" t="n">
        <v>0</v>
      </c>
      <c r="L43" s="20" t="n">
        <v>0</v>
      </c>
      <c r="M43" s="20" t="n">
        <v>0</v>
      </c>
      <c r="N43" s="25" t="n">
        <v>0</v>
      </c>
      <c r="O43" s="20" t="n">
        <f aca="false">SUM(I43:M43)</f>
        <v>0.101451612903226</v>
      </c>
      <c r="P43" s="22" t="n">
        <v>37861</v>
      </c>
      <c r="Q43" s="16" t="n">
        <v>15000</v>
      </c>
      <c r="R43" s="15" t="s">
        <v>214</v>
      </c>
      <c r="S43" s="23" t="n">
        <f aca="false">I43*I$1*Q43</f>
        <v>47175</v>
      </c>
      <c r="T43" s="23"/>
      <c r="U43" s="26" t="n">
        <v>93034</v>
      </c>
      <c r="V43" s="24"/>
      <c r="W43" s="24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5" t="s">
        <v>149</v>
      </c>
      <c r="B44" s="16" t="s">
        <v>128</v>
      </c>
      <c r="C44" s="16" t="s">
        <v>129</v>
      </c>
      <c r="D44" s="17" t="n">
        <v>36557</v>
      </c>
      <c r="E44" s="17" t="n">
        <v>36830</v>
      </c>
      <c r="F44" s="15" t="s">
        <v>130</v>
      </c>
      <c r="G44" s="15" t="s">
        <v>131</v>
      </c>
      <c r="H44" s="16"/>
      <c r="I44" s="19" t="n">
        <f aca="false">1.0603/I$1</f>
        <v>0.0342032258064516</v>
      </c>
      <c r="J44" s="20" t="n">
        <v>0</v>
      </c>
      <c r="K44" s="20" t="n">
        <v>0</v>
      </c>
      <c r="L44" s="20" t="n">
        <v>0</v>
      </c>
      <c r="M44" s="20" t="n">
        <v>0</v>
      </c>
      <c r="N44" s="25" t="n">
        <v>0</v>
      </c>
      <c r="O44" s="20" t="n">
        <f aca="false">SUM(I44:M44)</f>
        <v>0.0342032258064516</v>
      </c>
      <c r="P44" s="22" t="n">
        <v>42789</v>
      </c>
      <c r="Q44" s="16" t="n">
        <v>30000</v>
      </c>
      <c r="R44" s="15" t="s">
        <v>132</v>
      </c>
      <c r="S44" s="23" t="n">
        <f aca="false">I44*I$1*Q44</f>
        <v>31809</v>
      </c>
      <c r="T44" s="23"/>
      <c r="U44" s="26" t="n">
        <v>156388</v>
      </c>
      <c r="V44" s="24"/>
      <c r="W44" s="24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15" t="s">
        <v>149</v>
      </c>
      <c r="B45" s="16" t="s">
        <v>128</v>
      </c>
      <c r="C45" s="16" t="s">
        <v>129</v>
      </c>
      <c r="D45" s="17" t="n">
        <v>36557</v>
      </c>
      <c r="E45" s="17" t="n">
        <v>36830</v>
      </c>
      <c r="F45" s="15" t="s">
        <v>215</v>
      </c>
      <c r="G45" s="15" t="s">
        <v>131</v>
      </c>
      <c r="H45" s="16"/>
      <c r="I45" s="19" t="n">
        <f aca="false">1.0603/I$1</f>
        <v>0.0342032258064516</v>
      </c>
      <c r="J45" s="20" t="n">
        <v>0</v>
      </c>
      <c r="K45" s="20" t="n">
        <v>0</v>
      </c>
      <c r="L45" s="20" t="n">
        <v>0</v>
      </c>
      <c r="M45" s="20" t="n">
        <v>0</v>
      </c>
      <c r="N45" s="25" t="n">
        <v>0</v>
      </c>
      <c r="O45" s="20" t="n">
        <f aca="false">SUM(I45:M45)</f>
        <v>0.0342032258064516</v>
      </c>
      <c r="P45" s="22" t="n">
        <v>50250</v>
      </c>
      <c r="Q45" s="16" t="n">
        <v>20000</v>
      </c>
      <c r="R45" s="15" t="s">
        <v>216</v>
      </c>
      <c r="S45" s="23" t="n">
        <f aca="false">I45*I$1*Q45</f>
        <v>21206</v>
      </c>
      <c r="T45" s="23"/>
      <c r="U45" s="26" t="n">
        <v>156399</v>
      </c>
      <c r="V45" s="24"/>
      <c r="W45" s="24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15" t="s">
        <v>149</v>
      </c>
      <c r="B46" s="16" t="s">
        <v>128</v>
      </c>
      <c r="C46" s="16" t="s">
        <v>129</v>
      </c>
      <c r="D46" s="17" t="n">
        <v>36557</v>
      </c>
      <c r="E46" s="17" t="n">
        <v>38442</v>
      </c>
      <c r="F46" s="15" t="s">
        <v>131</v>
      </c>
      <c r="G46" s="15" t="s">
        <v>213</v>
      </c>
      <c r="H46" s="16"/>
      <c r="I46" s="19" t="n">
        <f aca="false">3.145/I$1</f>
        <v>0.101451612903226</v>
      </c>
      <c r="J46" s="20" t="n">
        <v>0</v>
      </c>
      <c r="K46" s="20" t="n">
        <v>0</v>
      </c>
      <c r="L46" s="20" t="n">
        <v>0</v>
      </c>
      <c r="M46" s="20" t="n">
        <v>0</v>
      </c>
      <c r="N46" s="25" t="n">
        <v>0</v>
      </c>
      <c r="O46" s="20" t="n">
        <f aca="false">SUM(I46:M46)</f>
        <v>0.101451612903226</v>
      </c>
      <c r="P46" s="22" t="n">
        <v>58654</v>
      </c>
      <c r="Q46" s="16" t="n">
        <v>15000</v>
      </c>
      <c r="R46" s="15" t="s">
        <v>217</v>
      </c>
      <c r="S46" s="23" t="n">
        <f aca="false">I46*I$1*Q46</f>
        <v>47175</v>
      </c>
      <c r="T46" s="23"/>
      <c r="U46" s="26" t="n">
        <v>156408</v>
      </c>
      <c r="V46" s="24"/>
      <c r="W46" s="24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15" t="s">
        <v>149</v>
      </c>
      <c r="B47" s="16" t="s">
        <v>128</v>
      </c>
      <c r="C47" s="16" t="s">
        <v>129</v>
      </c>
      <c r="D47" s="17" t="n">
        <v>36557</v>
      </c>
      <c r="E47" s="17" t="n">
        <v>37955</v>
      </c>
      <c r="F47" s="15" t="s">
        <v>218</v>
      </c>
      <c r="G47" s="15" t="s">
        <v>219</v>
      </c>
      <c r="H47" s="16"/>
      <c r="I47" s="19" t="n">
        <f aca="false">1.0603/I$1</f>
        <v>0.0342032258064516</v>
      </c>
      <c r="J47" s="20" t="n">
        <v>0</v>
      </c>
      <c r="K47" s="20" t="n">
        <v>0</v>
      </c>
      <c r="L47" s="20" t="n">
        <v>0</v>
      </c>
      <c r="M47" s="20" t="n">
        <v>0</v>
      </c>
      <c r="N47" s="25" t="n">
        <v>0</v>
      </c>
      <c r="O47" s="20" t="n">
        <f aca="false">SUM(I47:M47)</f>
        <v>0.0342032258064516</v>
      </c>
      <c r="P47" s="22" t="n">
        <v>62408</v>
      </c>
      <c r="Q47" s="16" t="n">
        <v>40000</v>
      </c>
      <c r="R47" s="15" t="s">
        <v>220</v>
      </c>
      <c r="S47" s="23" t="n">
        <f aca="false">I47*I$1*Q47</f>
        <v>42412</v>
      </c>
      <c r="T47" s="23"/>
      <c r="U47" s="26" t="n">
        <v>156526</v>
      </c>
      <c r="V47" s="24"/>
      <c r="W47" s="2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5" t="s">
        <v>149</v>
      </c>
      <c r="B48" s="16" t="s">
        <v>128</v>
      </c>
      <c r="C48" s="16" t="s">
        <v>129</v>
      </c>
      <c r="D48" s="17" t="n">
        <v>36557</v>
      </c>
      <c r="E48" s="17" t="n">
        <v>37346</v>
      </c>
      <c r="F48" s="15" t="s">
        <v>131</v>
      </c>
      <c r="G48" s="15" t="s">
        <v>213</v>
      </c>
      <c r="H48" s="16"/>
      <c r="I48" s="19" t="n">
        <f aca="false">2.6805/I$1</f>
        <v>0.0864677419354839</v>
      </c>
      <c r="J48" s="20" t="n">
        <v>0</v>
      </c>
      <c r="K48" s="20" t="n">
        <v>0</v>
      </c>
      <c r="L48" s="20" t="n">
        <v>0</v>
      </c>
      <c r="M48" s="20" t="n">
        <v>0</v>
      </c>
      <c r="N48" s="25" t="n">
        <v>0</v>
      </c>
      <c r="O48" s="20" t="n">
        <f aca="false">SUM(I48:M48)</f>
        <v>0.0864677419354839</v>
      </c>
      <c r="P48" s="22" t="n">
        <v>63115</v>
      </c>
      <c r="Q48" s="16" t="n">
        <v>30000</v>
      </c>
      <c r="R48" s="15" t="s">
        <v>217</v>
      </c>
      <c r="S48" s="23" t="n">
        <f aca="false">I48*I$1*Q48</f>
        <v>80415</v>
      </c>
      <c r="T48" s="23"/>
      <c r="U48" s="26" t="n">
        <v>156532</v>
      </c>
      <c r="V48" s="24"/>
      <c r="W48" s="2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5" t="s">
        <v>149</v>
      </c>
      <c r="B49" s="16" t="s">
        <v>128</v>
      </c>
      <c r="C49" s="16" t="s">
        <v>129</v>
      </c>
      <c r="D49" s="17" t="n">
        <v>36557</v>
      </c>
      <c r="E49" s="17" t="n">
        <v>38291</v>
      </c>
      <c r="F49" s="15" t="s">
        <v>221</v>
      </c>
      <c r="G49" s="15" t="s">
        <v>131</v>
      </c>
      <c r="H49" s="16"/>
      <c r="I49" s="19" t="n">
        <f aca="false">1.0603/I$1</f>
        <v>0.0342032258064516</v>
      </c>
      <c r="J49" s="20" t="n">
        <v>0</v>
      </c>
      <c r="K49" s="20" t="n">
        <v>0</v>
      </c>
      <c r="L49" s="20" t="n">
        <v>0</v>
      </c>
      <c r="M49" s="20" t="n">
        <v>0</v>
      </c>
      <c r="N49" s="25" t="n">
        <v>0</v>
      </c>
      <c r="O49" s="20" t="n">
        <f aca="false">SUM(I49:M49)</f>
        <v>0.0342032258064516</v>
      </c>
      <c r="P49" s="22" t="n">
        <v>63922</v>
      </c>
      <c r="Q49" s="16" t="n">
        <v>25654</v>
      </c>
      <c r="R49" s="15" t="s">
        <v>222</v>
      </c>
      <c r="S49" s="23" t="n">
        <f aca="false">I49*I$1*Q49</f>
        <v>27200.9362</v>
      </c>
      <c r="T49" s="23"/>
      <c r="U49" s="26" t="n">
        <v>156540</v>
      </c>
      <c r="V49" s="24"/>
      <c r="W49" s="2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39" t="s">
        <v>149</v>
      </c>
      <c r="B50" s="108" t="s">
        <v>128</v>
      </c>
      <c r="C50" s="108" t="s">
        <v>129</v>
      </c>
      <c r="D50" s="109" t="n">
        <v>36557</v>
      </c>
      <c r="E50" s="109" t="n">
        <v>36769</v>
      </c>
      <c r="F50" s="39" t="s">
        <v>223</v>
      </c>
      <c r="G50" s="39" t="s">
        <v>224</v>
      </c>
      <c r="H50" s="108"/>
      <c r="I50" s="110" t="n">
        <f aca="false">1.4381/I$1</f>
        <v>0.0463903225806452</v>
      </c>
      <c r="J50" s="111" t="n">
        <v>0</v>
      </c>
      <c r="K50" s="111" t="n">
        <v>0</v>
      </c>
      <c r="L50" s="111" t="n">
        <v>0</v>
      </c>
      <c r="M50" s="111" t="n">
        <v>0</v>
      </c>
      <c r="N50" s="112" t="n">
        <v>0</v>
      </c>
      <c r="O50" s="111" t="n">
        <f aca="false">SUM(I50:M50)</f>
        <v>0.0463903225806452</v>
      </c>
      <c r="P50" s="113" t="n">
        <v>64502</v>
      </c>
      <c r="Q50" s="108" t="n">
        <v>29000</v>
      </c>
      <c r="R50" s="39" t="s">
        <v>225</v>
      </c>
      <c r="S50" s="114" t="n">
        <f aca="false">I50*I$1*Q50</f>
        <v>41704.9</v>
      </c>
      <c r="T50" s="114"/>
      <c r="U50" s="115"/>
      <c r="V50" s="116" t="s">
        <v>226</v>
      </c>
      <c r="W50" s="117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18"/>
      <c r="CS50" s="118"/>
      <c r="CT50" s="118"/>
      <c r="CU50" s="118"/>
      <c r="CV50" s="118"/>
      <c r="CW50" s="118"/>
      <c r="CX50" s="118"/>
      <c r="CY50" s="118"/>
      <c r="CZ50" s="118"/>
      <c r="DA50" s="118"/>
      <c r="DB50" s="118"/>
      <c r="DC50" s="118"/>
      <c r="DD50" s="118"/>
      <c r="DE50" s="118"/>
      <c r="DF50" s="118"/>
      <c r="DG50" s="118"/>
      <c r="DH50" s="118"/>
      <c r="DI50" s="118"/>
      <c r="DJ50" s="118"/>
      <c r="DK50" s="118"/>
      <c r="DL50" s="118"/>
      <c r="DM50" s="118"/>
      <c r="DN50" s="118"/>
      <c r="DO50" s="118"/>
      <c r="DP50" s="118"/>
      <c r="DQ50" s="118"/>
      <c r="DR50" s="118"/>
      <c r="DS50" s="118"/>
      <c r="DT50" s="118"/>
      <c r="DU50" s="118"/>
      <c r="DV50" s="118"/>
      <c r="DW50" s="118"/>
      <c r="DX50" s="118"/>
      <c r="DY50" s="118"/>
      <c r="DZ50" s="118"/>
      <c r="EA50" s="118"/>
      <c r="EB50" s="118"/>
      <c r="EC50" s="118"/>
      <c r="ED50" s="118"/>
      <c r="EE50" s="118"/>
      <c r="EF50" s="118"/>
      <c r="EG50" s="118"/>
      <c r="EH50" s="118"/>
      <c r="EI50" s="118"/>
      <c r="EJ50" s="118"/>
      <c r="EK50" s="118"/>
      <c r="EL50" s="118"/>
      <c r="EM50" s="118"/>
      <c r="EN50" s="118"/>
      <c r="EO50" s="118"/>
      <c r="EP50" s="118"/>
      <c r="EQ50" s="118"/>
      <c r="ER50" s="118"/>
      <c r="ES50" s="118"/>
      <c r="ET50" s="118"/>
      <c r="EU50" s="118"/>
      <c r="EV50" s="118"/>
      <c r="EW50" s="118"/>
      <c r="EX50" s="118"/>
      <c r="EY50" s="118"/>
      <c r="EZ50" s="118"/>
      <c r="FA50" s="118"/>
      <c r="FB50" s="118"/>
      <c r="FC50" s="118"/>
      <c r="FD50" s="118"/>
      <c r="FE50" s="118"/>
      <c r="FF50" s="118"/>
      <c r="FG50" s="118"/>
      <c r="FH50" s="118"/>
      <c r="FI50" s="118"/>
      <c r="FJ50" s="118"/>
      <c r="FK50" s="118"/>
      <c r="FL50" s="118"/>
      <c r="FM50" s="118"/>
      <c r="FN50" s="118"/>
      <c r="FO50" s="118"/>
      <c r="FP50" s="118"/>
      <c r="FQ50" s="118"/>
      <c r="FR50" s="118"/>
      <c r="FS50" s="118"/>
      <c r="FT50" s="118"/>
      <c r="FU50" s="118"/>
      <c r="FV50" s="118"/>
      <c r="FW50" s="118"/>
      <c r="FX50" s="118"/>
      <c r="FY50" s="118"/>
      <c r="FZ50" s="118"/>
      <c r="GA50" s="118"/>
      <c r="GB50" s="118"/>
      <c r="GC50" s="118"/>
      <c r="GD50" s="118"/>
      <c r="GE50" s="118"/>
      <c r="GF50" s="118"/>
      <c r="GG50" s="118"/>
      <c r="GH50" s="118"/>
      <c r="GI50" s="118"/>
      <c r="GJ50" s="118"/>
      <c r="GK50" s="118"/>
      <c r="GL50" s="118"/>
      <c r="GM50" s="118"/>
      <c r="GN50" s="118"/>
      <c r="GO50" s="118"/>
      <c r="GP50" s="118"/>
      <c r="GQ50" s="118"/>
      <c r="GR50" s="118"/>
      <c r="GS50" s="118"/>
      <c r="GT50" s="118"/>
      <c r="GU50" s="118"/>
      <c r="GV50" s="118"/>
      <c r="GW50" s="118"/>
      <c r="GX50" s="118"/>
      <c r="GY50" s="118"/>
      <c r="GZ50" s="118"/>
      <c r="HA50" s="118"/>
      <c r="HB50" s="118"/>
      <c r="HC50" s="118"/>
      <c r="HD50" s="118"/>
      <c r="HE50" s="118"/>
      <c r="HF50" s="118"/>
      <c r="HG50" s="118"/>
      <c r="HH50" s="118"/>
      <c r="HI50" s="118"/>
      <c r="HJ50" s="118"/>
      <c r="HK50" s="118"/>
      <c r="HL50" s="118"/>
      <c r="HM50" s="118"/>
      <c r="HN50" s="118"/>
      <c r="HO50" s="118"/>
      <c r="HP50" s="118"/>
      <c r="HQ50" s="118"/>
      <c r="HR50" s="118"/>
      <c r="HS50" s="118"/>
      <c r="HT50" s="118"/>
      <c r="HU50" s="118"/>
      <c r="HV50" s="118"/>
      <c r="HW50" s="118"/>
      <c r="HX50" s="118"/>
      <c r="HY50" s="118"/>
      <c r="HZ50" s="118"/>
      <c r="IA50" s="118"/>
      <c r="IB50" s="118"/>
      <c r="IC50" s="118"/>
      <c r="ID50" s="118"/>
      <c r="IE50" s="118"/>
      <c r="IF50" s="118"/>
      <c r="IG50" s="118"/>
      <c r="IH50" s="118"/>
      <c r="II50" s="118"/>
      <c r="IJ50" s="118"/>
      <c r="IK50" s="118"/>
      <c r="IL50" s="118"/>
      <c r="IM50" s="118"/>
      <c r="IN50" s="118"/>
      <c r="IO50" s="118"/>
      <c r="IP50" s="118"/>
      <c r="IQ50" s="118"/>
      <c r="IR50" s="118"/>
      <c r="IS50" s="118"/>
      <c r="IT50" s="118"/>
      <c r="IU50" s="118"/>
      <c r="IV50" s="118"/>
      <c r="IW50" s="118"/>
    </row>
    <row r="51" customFormat="false" ht="12.75" hidden="false" customHeight="false" outlineLevel="0" collapsed="false">
      <c r="A51" s="15" t="s">
        <v>149</v>
      </c>
      <c r="B51" s="16" t="s">
        <v>128</v>
      </c>
      <c r="C51" s="16" t="s">
        <v>194</v>
      </c>
      <c r="D51" s="17" t="n">
        <v>36557</v>
      </c>
      <c r="E51" s="17" t="n">
        <v>36830</v>
      </c>
      <c r="F51" s="15" t="s">
        <v>227</v>
      </c>
      <c r="G51" s="15" t="s">
        <v>179</v>
      </c>
      <c r="H51" s="16"/>
      <c r="I51" s="19" t="n">
        <f aca="false">3.145/I$1</f>
        <v>0.101451612903226</v>
      </c>
      <c r="J51" s="20" t="n">
        <v>0</v>
      </c>
      <c r="K51" s="20" t="n">
        <v>0</v>
      </c>
      <c r="L51" s="20" t="n">
        <v>0</v>
      </c>
      <c r="M51" s="20" t="n">
        <v>0</v>
      </c>
      <c r="N51" s="25" t="n">
        <v>0</v>
      </c>
      <c r="O51" s="20" t="n">
        <f aca="false">SUM(I51:M51)</f>
        <v>0.101451612903226</v>
      </c>
      <c r="P51" s="22" t="n">
        <v>65072</v>
      </c>
      <c r="Q51" s="16" t="n">
        <v>7610</v>
      </c>
      <c r="R51" s="15" t="s">
        <v>228</v>
      </c>
      <c r="S51" s="23" t="n">
        <f aca="false">I51*I$1*Q51</f>
        <v>23933.45</v>
      </c>
      <c r="T51" s="23"/>
      <c r="U51" s="26" t="n">
        <v>156603</v>
      </c>
      <c r="V51" s="24"/>
      <c r="W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38" t="s">
        <v>149</v>
      </c>
      <c r="B52" s="75" t="s">
        <v>128</v>
      </c>
      <c r="C52" s="75" t="s">
        <v>194</v>
      </c>
      <c r="D52" s="76" t="n">
        <v>36647</v>
      </c>
      <c r="E52" s="76" t="n">
        <v>36676</v>
      </c>
      <c r="F52" s="38" t="s">
        <v>227</v>
      </c>
      <c r="G52" s="38" t="s">
        <v>179</v>
      </c>
      <c r="H52" s="75"/>
      <c r="I52" s="77" t="n">
        <f aca="false">3.145/I$1</f>
        <v>0.101451612903226</v>
      </c>
      <c r="J52" s="78" t="n">
        <v>0</v>
      </c>
      <c r="K52" s="78" t="n">
        <v>0</v>
      </c>
      <c r="L52" s="78" t="n">
        <v>0</v>
      </c>
      <c r="M52" s="78" t="n">
        <v>0</v>
      </c>
      <c r="N52" s="79" t="n">
        <v>0</v>
      </c>
      <c r="O52" s="78" t="n">
        <f aca="false">SUM(I52:M52)</f>
        <v>0.101451612903226</v>
      </c>
      <c r="P52" s="80" t="n">
        <v>65072</v>
      </c>
      <c r="Q52" s="119" t="n">
        <v>-446</v>
      </c>
      <c r="R52" s="38" t="s">
        <v>229</v>
      </c>
      <c r="S52" s="81" t="n">
        <f aca="false">I52*I$1*Q52</f>
        <v>-1402.67</v>
      </c>
      <c r="T52" s="81"/>
      <c r="U52" s="82" t="n">
        <v>251585</v>
      </c>
      <c r="V52" s="83"/>
      <c r="W52" s="83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12.75" hidden="false" customHeight="false" outlineLevel="0" collapsed="false">
      <c r="A53" s="15"/>
      <c r="B53" s="16"/>
      <c r="C53" s="16"/>
      <c r="D53" s="17"/>
      <c r="E53" s="17"/>
      <c r="F53" s="15"/>
      <c r="G53" s="15"/>
      <c r="H53" s="16"/>
      <c r="I53" s="19"/>
      <c r="J53" s="20"/>
      <c r="K53" s="20"/>
      <c r="L53" s="20"/>
      <c r="M53" s="20"/>
      <c r="N53" s="25"/>
      <c r="O53" s="20"/>
      <c r="P53" s="22"/>
      <c r="Q53" s="120"/>
      <c r="R53" s="15"/>
      <c r="S53" s="23"/>
      <c r="T53" s="23"/>
      <c r="U53" s="26"/>
      <c r="V53" s="24"/>
      <c r="W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56" t="s">
        <v>1</v>
      </c>
      <c r="B54" s="57" t="s">
        <v>1</v>
      </c>
      <c r="C54" s="58" t="s">
        <v>1</v>
      </c>
      <c r="D54" s="59" t="s">
        <v>1</v>
      </c>
      <c r="E54" s="59"/>
      <c r="F54" s="56" t="s">
        <v>1</v>
      </c>
      <c r="G54" s="60" t="s">
        <v>1</v>
      </c>
      <c r="H54" s="57" t="s">
        <v>1</v>
      </c>
      <c r="I54" s="61"/>
      <c r="J54" s="62"/>
      <c r="K54" s="62"/>
      <c r="L54" s="62"/>
      <c r="M54" s="62"/>
      <c r="N54" s="63"/>
      <c r="O54" s="62"/>
      <c r="P54" s="94" t="s">
        <v>1</v>
      </c>
      <c r="Q54" s="57" t="n">
        <f aca="false">SUM(Q40:Q53)</f>
        <v>251818</v>
      </c>
      <c r="R54" s="56" t="s">
        <v>1</v>
      </c>
      <c r="S54" s="121" t="n">
        <f aca="false">SUM(S40:S53)</f>
        <v>402722.6162</v>
      </c>
      <c r="T54" s="65" t="n">
        <f aca="false">SUM(T44:T53)</f>
        <v>0</v>
      </c>
      <c r="U54" s="66"/>
      <c r="V54" s="24"/>
      <c r="W54" s="24"/>
    </row>
    <row r="55" customFormat="false" ht="12.75" hidden="false" customHeight="false" outlineLevel="0" collapsed="false">
      <c r="A55" s="48" t="s">
        <v>108</v>
      </c>
      <c r="B55" s="49" t="s">
        <v>109</v>
      </c>
      <c r="C55" s="49" t="s">
        <v>110</v>
      </c>
      <c r="D55" s="50" t="s">
        <v>111</v>
      </c>
      <c r="E55" s="50"/>
      <c r="F55" s="48" t="s">
        <v>112</v>
      </c>
      <c r="G55" s="48" t="s">
        <v>113</v>
      </c>
      <c r="H55" s="49" t="s">
        <v>230</v>
      </c>
      <c r="I55" s="51" t="s">
        <v>115</v>
      </c>
      <c r="J55" s="49" t="s">
        <v>116</v>
      </c>
      <c r="K55" s="49" t="s">
        <v>117</v>
      </c>
      <c r="L55" s="49" t="s">
        <v>118</v>
      </c>
      <c r="M55" s="49" t="s">
        <v>119</v>
      </c>
      <c r="N55" s="52" t="s">
        <v>120</v>
      </c>
      <c r="O55" s="49" t="s">
        <v>121</v>
      </c>
      <c r="P55" s="74" t="s">
        <v>147</v>
      </c>
      <c r="Q55" s="49" t="s">
        <v>123</v>
      </c>
      <c r="R55" s="48" t="s">
        <v>124</v>
      </c>
      <c r="S55" s="54" t="s">
        <v>125</v>
      </c>
      <c r="T55" s="54" t="s">
        <v>126</v>
      </c>
      <c r="U55" s="55" t="s">
        <v>148</v>
      </c>
      <c r="V55" s="24"/>
      <c r="W55" s="24"/>
    </row>
    <row r="56" customFormat="false" ht="12.75" hidden="false" customHeight="false" outlineLevel="0" collapsed="false">
      <c r="A56" s="15" t="s">
        <v>231</v>
      </c>
      <c r="B56" s="15" t="s">
        <v>232</v>
      </c>
      <c r="C56" s="16"/>
      <c r="D56" s="17" t="n">
        <v>36526</v>
      </c>
      <c r="E56" s="17" t="n">
        <v>36769</v>
      </c>
      <c r="F56" s="15" t="s">
        <v>233</v>
      </c>
      <c r="G56" s="15"/>
      <c r="H56" s="16" t="s">
        <v>234</v>
      </c>
      <c r="I56" s="19" t="n">
        <v>0.125</v>
      </c>
      <c r="J56" s="20" t="n">
        <v>0</v>
      </c>
      <c r="K56" s="20" t="n">
        <v>0.0022</v>
      </c>
      <c r="L56" s="20" t="n">
        <v>0.0072</v>
      </c>
      <c r="M56" s="20" t="n">
        <v>0.0131</v>
      </c>
      <c r="N56" s="25" t="n">
        <v>0</v>
      </c>
      <c r="O56" s="20" t="n">
        <f aca="false">SUM(I56:M56)</f>
        <v>0.1475</v>
      </c>
      <c r="P56" s="22" t="s">
        <v>235</v>
      </c>
      <c r="Q56" s="16" t="n">
        <v>1000000</v>
      </c>
      <c r="R56" s="15" t="s">
        <v>236</v>
      </c>
      <c r="S56" s="122" t="n">
        <v>125000</v>
      </c>
      <c r="T56" s="23"/>
      <c r="U56" s="26"/>
      <c r="V56" s="24"/>
      <c r="W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5"/>
      <c r="B57" s="16"/>
      <c r="C57" s="16"/>
      <c r="D57" s="17"/>
      <c r="E57" s="17"/>
      <c r="F57" s="15"/>
      <c r="G57" s="15"/>
      <c r="H57" s="16"/>
      <c r="I57" s="19"/>
      <c r="J57" s="20"/>
      <c r="K57" s="20"/>
      <c r="L57" s="20"/>
      <c r="M57" s="20"/>
      <c r="N57" s="25"/>
      <c r="O57" s="20"/>
      <c r="P57" s="22"/>
      <c r="Q57" s="16"/>
      <c r="R57" s="15"/>
      <c r="S57" s="23" t="n">
        <f aca="false">SUM(S56)</f>
        <v>125000</v>
      </c>
      <c r="T57" s="23"/>
      <c r="U57" s="26"/>
      <c r="V57" s="24"/>
      <c r="W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48" t="s">
        <v>108</v>
      </c>
      <c r="B58" s="49" t="s">
        <v>109</v>
      </c>
      <c r="C58" s="49" t="s">
        <v>110</v>
      </c>
      <c r="D58" s="50" t="s">
        <v>111</v>
      </c>
      <c r="E58" s="50"/>
      <c r="F58" s="48" t="s">
        <v>112</v>
      </c>
      <c r="G58" s="48" t="s">
        <v>113</v>
      </c>
      <c r="H58" s="49" t="s">
        <v>230</v>
      </c>
      <c r="I58" s="51" t="s">
        <v>115</v>
      </c>
      <c r="J58" s="49" t="s">
        <v>116</v>
      </c>
      <c r="K58" s="49" t="s">
        <v>117</v>
      </c>
      <c r="L58" s="49" t="s">
        <v>118</v>
      </c>
      <c r="M58" s="49" t="s">
        <v>119</v>
      </c>
      <c r="N58" s="52" t="s">
        <v>120</v>
      </c>
      <c r="O58" s="49" t="s">
        <v>121</v>
      </c>
      <c r="P58" s="74" t="s">
        <v>147</v>
      </c>
      <c r="Q58" s="49" t="s">
        <v>123</v>
      </c>
      <c r="R58" s="48" t="s">
        <v>124</v>
      </c>
      <c r="S58" s="54" t="s">
        <v>125</v>
      </c>
      <c r="T58" s="54" t="s">
        <v>126</v>
      </c>
      <c r="U58" s="55" t="s">
        <v>148</v>
      </c>
      <c r="V58" s="24"/>
      <c r="W58" s="24"/>
    </row>
    <row r="59" customFormat="false" ht="12.75" hidden="false" customHeight="false" outlineLevel="0" collapsed="false">
      <c r="A59" s="15" t="s">
        <v>92</v>
      </c>
      <c r="B59" s="16" t="s">
        <v>140</v>
      </c>
      <c r="C59" s="16" t="s">
        <v>129</v>
      </c>
      <c r="D59" s="17" t="n">
        <v>35612</v>
      </c>
      <c r="E59" s="17" t="n">
        <v>37437</v>
      </c>
      <c r="F59" s="15" t="s">
        <v>13</v>
      </c>
      <c r="G59" s="15" t="s">
        <v>13</v>
      </c>
      <c r="H59" s="16" t="s">
        <v>237</v>
      </c>
      <c r="I59" s="19" t="n">
        <f aca="false">7.007/$I$1</f>
        <v>0.226032258064516</v>
      </c>
      <c r="J59" s="20" t="n">
        <v>0</v>
      </c>
      <c r="K59" s="20" t="n">
        <v>0.0022</v>
      </c>
      <c r="L59" s="20" t="n">
        <v>0.0072</v>
      </c>
      <c r="M59" s="20" t="n">
        <v>0.0131</v>
      </c>
      <c r="N59" s="25" t="n">
        <v>0</v>
      </c>
      <c r="O59" s="20" t="n">
        <f aca="false">SUM(I59:M59)</f>
        <v>0.248532258064516</v>
      </c>
      <c r="P59" s="22" t="n">
        <v>270</v>
      </c>
      <c r="Q59" s="16" t="n">
        <v>1000</v>
      </c>
      <c r="R59" s="15" t="s">
        <v>238</v>
      </c>
      <c r="S59" s="23" t="n">
        <f aca="false">I59*I$1*Q59</f>
        <v>7007</v>
      </c>
      <c r="T59" s="23"/>
      <c r="U59" s="26"/>
      <c r="V59" s="24"/>
      <c r="W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5"/>
      <c r="B60" s="16"/>
      <c r="C60" s="16"/>
      <c r="D60" s="17"/>
      <c r="E60" s="17"/>
      <c r="F60" s="15"/>
      <c r="G60" s="15"/>
      <c r="H60" s="16"/>
      <c r="I60" s="19"/>
      <c r="J60" s="20"/>
      <c r="K60" s="20"/>
      <c r="L60" s="20"/>
      <c r="M60" s="20"/>
      <c r="N60" s="25"/>
      <c r="O60" s="20"/>
      <c r="P60" s="22"/>
      <c r="Q60" s="16"/>
      <c r="R60" s="15"/>
      <c r="S60" s="23" t="n">
        <f aca="false">SUM(S59)</f>
        <v>7007</v>
      </c>
      <c r="T60" s="23"/>
      <c r="U60" s="26"/>
      <c r="V60" s="24"/>
      <c r="W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48" t="s">
        <v>108</v>
      </c>
      <c r="B61" s="49" t="s">
        <v>109</v>
      </c>
      <c r="C61" s="49" t="s">
        <v>110</v>
      </c>
      <c r="D61" s="50" t="s">
        <v>111</v>
      </c>
      <c r="E61" s="50"/>
      <c r="F61" s="48" t="s">
        <v>112</v>
      </c>
      <c r="G61" s="48" t="s">
        <v>113</v>
      </c>
      <c r="H61" s="49" t="s">
        <v>230</v>
      </c>
      <c r="I61" s="51" t="s">
        <v>115</v>
      </c>
      <c r="J61" s="49" t="s">
        <v>116</v>
      </c>
      <c r="K61" s="49" t="s">
        <v>117</v>
      </c>
      <c r="L61" s="49" t="s">
        <v>118</v>
      </c>
      <c r="M61" s="49" t="s">
        <v>119</v>
      </c>
      <c r="N61" s="52" t="s">
        <v>120</v>
      </c>
      <c r="O61" s="49" t="s">
        <v>121</v>
      </c>
      <c r="P61" s="74" t="s">
        <v>147</v>
      </c>
      <c r="Q61" s="49" t="s">
        <v>123</v>
      </c>
      <c r="R61" s="48" t="s">
        <v>124</v>
      </c>
      <c r="S61" s="54" t="s">
        <v>125</v>
      </c>
      <c r="T61" s="54" t="s">
        <v>126</v>
      </c>
      <c r="U61" s="55" t="s">
        <v>148</v>
      </c>
      <c r="V61" s="24"/>
      <c r="W61" s="24"/>
    </row>
    <row r="62" customFormat="false" ht="11.25" hidden="false" customHeight="false" outlineLevel="0" collapsed="false">
      <c r="A62" s="15" t="s">
        <v>149</v>
      </c>
      <c r="B62" s="15" t="s">
        <v>239</v>
      </c>
      <c r="C62" s="15" t="s">
        <v>194</v>
      </c>
      <c r="D62" s="17" t="n">
        <v>36557</v>
      </c>
      <c r="E62" s="17" t="n">
        <v>36830</v>
      </c>
      <c r="F62" s="15" t="s">
        <v>240</v>
      </c>
      <c r="G62" s="15" t="s">
        <v>241</v>
      </c>
      <c r="H62" s="15" t="s">
        <v>242</v>
      </c>
      <c r="I62" s="123" t="n">
        <f aca="false">18.29*0.0328767</f>
        <v>0.601314843</v>
      </c>
      <c r="J62" s="15" t="n">
        <v>0</v>
      </c>
      <c r="K62" s="15" t="n">
        <v>0.0022</v>
      </c>
      <c r="L62" s="15" t="n">
        <v>0.0072</v>
      </c>
      <c r="M62" s="15" t="n">
        <v>0.0131</v>
      </c>
      <c r="N62" s="15" t="n">
        <v>0</v>
      </c>
      <c r="O62" s="15" t="n">
        <f aca="false">SUM(I62:M62)</f>
        <v>0.623814843</v>
      </c>
      <c r="P62" s="22" t="n">
        <v>892510</v>
      </c>
      <c r="Q62" s="15" t="n">
        <v>16136</v>
      </c>
      <c r="R62" s="15" t="s">
        <v>243</v>
      </c>
      <c r="S62" s="16" t="n">
        <f aca="false">I62*I$1*Q62</f>
        <v>300787.305506088</v>
      </c>
      <c r="T62" s="15"/>
      <c r="U62" s="26" t="s">
        <v>244</v>
      </c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</row>
    <row r="63" customFormat="false" ht="11.25" hidden="false" customHeight="false" outlineLevel="0" collapsed="false">
      <c r="A63" s="38" t="s">
        <v>149</v>
      </c>
      <c r="B63" s="38" t="s">
        <v>239</v>
      </c>
      <c r="C63" s="38" t="s">
        <v>194</v>
      </c>
      <c r="D63" s="76" t="n">
        <v>36647</v>
      </c>
      <c r="E63" s="76" t="n">
        <v>36677</v>
      </c>
      <c r="F63" s="38" t="s">
        <v>240</v>
      </c>
      <c r="G63" s="38" t="s">
        <v>241</v>
      </c>
      <c r="H63" s="38" t="s">
        <v>242</v>
      </c>
      <c r="I63" s="124" t="n">
        <f aca="false">18.889*0.0328767</f>
        <v>0.6210079863</v>
      </c>
      <c r="J63" s="38" t="n">
        <v>0</v>
      </c>
      <c r="K63" s="38" t="n">
        <v>0.0022</v>
      </c>
      <c r="L63" s="38" t="n">
        <v>0.0072</v>
      </c>
      <c r="M63" s="38" t="n">
        <v>0.0131</v>
      </c>
      <c r="N63" s="38" t="n">
        <v>0</v>
      </c>
      <c r="O63" s="38" t="n">
        <f aca="false">SUM(I63:M63)</f>
        <v>0.6435079863</v>
      </c>
      <c r="P63" s="80" t="n">
        <v>892511</v>
      </c>
      <c r="Q63" s="38" t="n">
        <v>-731</v>
      </c>
      <c r="R63" s="38"/>
      <c r="S63" s="75" t="n">
        <f aca="false">I63*I$1*Q63</f>
        <v>-14072.6619775443</v>
      </c>
      <c r="T63" s="38"/>
      <c r="U63" s="82" t="n">
        <v>251824</v>
      </c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</row>
    <row r="64" customFormat="false" ht="12.75" hidden="false" customHeight="false" outlineLevel="0" collapsed="false">
      <c r="A64" s="15" t="s">
        <v>149</v>
      </c>
      <c r="B64" s="16" t="s">
        <v>239</v>
      </c>
      <c r="C64" s="16" t="s">
        <v>194</v>
      </c>
      <c r="D64" s="17" t="n">
        <v>36465</v>
      </c>
      <c r="E64" s="17" t="n">
        <v>36830</v>
      </c>
      <c r="F64" s="15" t="s">
        <v>240</v>
      </c>
      <c r="G64" s="15" t="s">
        <v>241</v>
      </c>
      <c r="H64" s="16" t="s">
        <v>242</v>
      </c>
      <c r="I64" s="123" t="n">
        <f aca="false">18.889*0.0328767</f>
        <v>0.6210079863</v>
      </c>
      <c r="J64" s="20" t="n">
        <v>0</v>
      </c>
      <c r="K64" s="20" t="n">
        <v>0.0022</v>
      </c>
      <c r="L64" s="20" t="n">
        <v>0.0072</v>
      </c>
      <c r="M64" s="20" t="n">
        <v>0.0131</v>
      </c>
      <c r="N64" s="25" t="n">
        <v>0</v>
      </c>
      <c r="O64" s="20" t="n">
        <f aca="false">SUM(I64:M64)</f>
        <v>0.6435079863</v>
      </c>
      <c r="P64" s="22" t="n">
        <v>892511</v>
      </c>
      <c r="Q64" s="16" t="n">
        <v>8068</v>
      </c>
      <c r="R64" s="15"/>
      <c r="S64" s="16" t="n">
        <f aca="false">I64*I$1*Q64</f>
        <v>155319.06543752</v>
      </c>
      <c r="T64" s="23"/>
      <c r="U64" s="26" t="s">
        <v>245</v>
      </c>
      <c r="V64" s="24"/>
      <c r="W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false" outlineLevel="0" collapsed="false">
      <c r="A65" s="15"/>
      <c r="B65" s="16"/>
      <c r="C65" s="16"/>
      <c r="D65" s="17"/>
      <c r="E65" s="17"/>
      <c r="F65" s="15"/>
      <c r="G65" s="15"/>
      <c r="H65" s="16"/>
      <c r="I65" s="19"/>
      <c r="J65" s="20"/>
      <c r="K65" s="68"/>
      <c r="L65" s="20"/>
      <c r="M65" s="20"/>
      <c r="N65" s="25"/>
      <c r="O65" s="20"/>
      <c r="P65" s="22"/>
      <c r="Q65" s="34"/>
      <c r="R65" s="16"/>
      <c r="S65" s="23" t="n">
        <f aca="false">SUM(S62:S64)</f>
        <v>442033.708966064</v>
      </c>
      <c r="T65" s="23"/>
      <c r="U65" s="26"/>
      <c r="V65" s="24"/>
      <c r="W65" s="24"/>
    </row>
    <row r="66" customFormat="false" ht="12.75" hidden="false" customHeight="false" outlineLevel="0" collapsed="false">
      <c r="A66" s="48" t="s">
        <v>108</v>
      </c>
      <c r="B66" s="49" t="s">
        <v>109</v>
      </c>
      <c r="C66" s="49" t="s">
        <v>110</v>
      </c>
      <c r="D66" s="50" t="s">
        <v>111</v>
      </c>
      <c r="E66" s="50"/>
      <c r="F66" s="48" t="s">
        <v>112</v>
      </c>
      <c r="G66" s="48" t="s">
        <v>113</v>
      </c>
      <c r="H66" s="49" t="s">
        <v>230</v>
      </c>
      <c r="I66" s="51" t="s">
        <v>115</v>
      </c>
      <c r="J66" s="49" t="s">
        <v>116</v>
      </c>
      <c r="K66" s="49" t="s">
        <v>117</v>
      </c>
      <c r="L66" s="49" t="s">
        <v>118</v>
      </c>
      <c r="M66" s="49" t="s">
        <v>119</v>
      </c>
      <c r="N66" s="52" t="s">
        <v>120</v>
      </c>
      <c r="O66" s="49" t="s">
        <v>121</v>
      </c>
      <c r="P66" s="74" t="s">
        <v>147</v>
      </c>
      <c r="Q66" s="49" t="s">
        <v>123</v>
      </c>
      <c r="R66" s="48" t="s">
        <v>124</v>
      </c>
      <c r="S66" s="54" t="s">
        <v>125</v>
      </c>
      <c r="T66" s="54" t="s">
        <v>126</v>
      </c>
      <c r="U66" s="55" t="s">
        <v>148</v>
      </c>
      <c r="V66" s="24"/>
      <c r="W66" s="24"/>
    </row>
    <row r="67" customFormat="false" ht="12.75" hidden="false" customHeight="false" outlineLevel="0" collapsed="false">
      <c r="A67" s="15" t="s">
        <v>149</v>
      </c>
      <c r="B67" s="16" t="s">
        <v>246</v>
      </c>
      <c r="C67" s="16" t="s">
        <v>247</v>
      </c>
      <c r="D67" s="17"/>
      <c r="E67" s="17"/>
      <c r="F67" s="15"/>
      <c r="G67" s="15"/>
      <c r="H67" s="16"/>
      <c r="I67" s="19" t="n">
        <f aca="false">4.28/31</f>
        <v>0.138064516129032</v>
      </c>
      <c r="J67" s="20"/>
      <c r="K67" s="68"/>
      <c r="L67" s="20"/>
      <c r="M67" s="20"/>
      <c r="N67" s="25"/>
      <c r="O67" s="20"/>
      <c r="P67" s="22" t="n">
        <v>714638</v>
      </c>
      <c r="Q67" s="34" t="n">
        <v>40000</v>
      </c>
      <c r="R67" s="16"/>
      <c r="S67" s="125" t="n">
        <f aca="false">I67*I$1*Q67</f>
        <v>171200</v>
      </c>
      <c r="T67" s="23"/>
      <c r="U67" s="26"/>
      <c r="V67" s="24"/>
      <c r="W67" s="24"/>
    </row>
    <row r="68" customFormat="false" ht="12.75" hidden="false" customHeight="false" outlineLevel="0" collapsed="false">
      <c r="A68" s="15" t="s">
        <v>149</v>
      </c>
      <c r="B68" s="16" t="s">
        <v>246</v>
      </c>
      <c r="C68" s="16" t="s">
        <v>129</v>
      </c>
      <c r="D68" s="17"/>
      <c r="E68" s="17"/>
      <c r="F68" s="15"/>
      <c r="G68" s="15"/>
      <c r="H68" s="16"/>
      <c r="I68" s="19" t="n">
        <f aca="false">4.28/31</f>
        <v>0.138064516129032</v>
      </c>
      <c r="J68" s="20"/>
      <c r="K68" s="68"/>
      <c r="L68" s="20"/>
      <c r="M68" s="20"/>
      <c r="N68" s="25"/>
      <c r="O68" s="20"/>
      <c r="P68" s="22" t="n">
        <v>712131</v>
      </c>
      <c r="Q68" s="34" t="n">
        <v>3750</v>
      </c>
      <c r="R68" s="16"/>
      <c r="S68" s="23" t="n">
        <f aca="false">I68*I$1*Q68</f>
        <v>16050</v>
      </c>
      <c r="T68" s="23"/>
      <c r="U68" s="26"/>
      <c r="V68" s="24"/>
      <c r="W68" s="24"/>
    </row>
    <row r="69" customFormat="false" ht="12.75" hidden="false" customHeight="false" outlineLevel="0" collapsed="false">
      <c r="A69" s="15"/>
      <c r="B69" s="16"/>
      <c r="C69" s="16"/>
      <c r="D69" s="17"/>
      <c r="E69" s="17"/>
      <c r="F69" s="15"/>
      <c r="G69" s="15"/>
      <c r="H69" s="16"/>
      <c r="I69" s="19"/>
      <c r="J69" s="20"/>
      <c r="K69" s="68"/>
      <c r="L69" s="20"/>
      <c r="M69" s="20"/>
      <c r="N69" s="25"/>
      <c r="O69" s="20"/>
      <c r="P69" s="22"/>
      <c r="Q69" s="34"/>
      <c r="R69" s="16"/>
      <c r="S69" s="126" t="n">
        <f aca="false">SUM(S67:S68)</f>
        <v>187250</v>
      </c>
      <c r="T69" s="23"/>
      <c r="U69" s="26"/>
      <c r="V69" s="24"/>
      <c r="W69" s="24"/>
    </row>
    <row r="70" customFormat="false" ht="12.75" hidden="false" customHeight="false" outlineLevel="0" collapsed="false">
      <c r="A70" s="15"/>
      <c r="B70" s="16"/>
      <c r="C70" s="16"/>
      <c r="D70" s="17"/>
      <c r="E70" s="17"/>
      <c r="F70" s="15"/>
      <c r="G70" s="15"/>
      <c r="H70" s="16"/>
      <c r="I70" s="19"/>
      <c r="J70" s="20"/>
      <c r="K70" s="68"/>
      <c r="L70" s="20"/>
      <c r="M70" s="20"/>
      <c r="N70" s="25"/>
      <c r="O70" s="20"/>
      <c r="P70" s="22"/>
      <c r="Q70" s="34"/>
      <c r="R70" s="16"/>
      <c r="S70" s="127"/>
      <c r="T70" s="23"/>
      <c r="U70" s="26"/>
      <c r="V70" s="24"/>
      <c r="W70" s="24"/>
    </row>
    <row r="71" customFormat="false" ht="12.75" hidden="false" customHeight="false" outlineLevel="0" collapsed="false">
      <c r="A71" s="15"/>
      <c r="B71" s="16"/>
      <c r="C71" s="16"/>
      <c r="D71" s="17"/>
      <c r="E71" s="17"/>
      <c r="F71" s="15"/>
      <c r="G71" s="15"/>
      <c r="H71" s="16"/>
      <c r="I71" s="19"/>
      <c r="J71" s="20"/>
      <c r="K71" s="68"/>
      <c r="L71" s="20"/>
      <c r="M71" s="20"/>
      <c r="N71" s="128"/>
      <c r="O71" s="20"/>
      <c r="P71" s="22"/>
      <c r="Q71" s="16"/>
      <c r="R71" s="16"/>
      <c r="V71" s="129"/>
      <c r="W71" s="129"/>
    </row>
    <row r="72" customFormat="false" ht="12.75" hidden="false" customHeight="false" outlineLevel="0" collapsed="false">
      <c r="A72" s="15"/>
      <c r="B72" s="16"/>
      <c r="C72" s="16"/>
      <c r="D72" s="17" t="s">
        <v>1</v>
      </c>
      <c r="E72" s="17"/>
      <c r="F72" s="15"/>
      <c r="G72" s="15"/>
      <c r="H72" s="16"/>
      <c r="I72" s="19"/>
      <c r="J72" s="20"/>
      <c r="K72" s="68"/>
      <c r="L72" s="20"/>
      <c r="M72" s="20"/>
      <c r="N72" s="25"/>
      <c r="O72" s="20"/>
      <c r="P72" s="130"/>
      <c r="Q72" s="45"/>
      <c r="R72" s="131" t="s">
        <v>248</v>
      </c>
      <c r="S72" s="132" t="n">
        <f aca="false">SUM(S69,S65,S60,S57,S38,S54)</f>
        <v>1414278.94116606</v>
      </c>
      <c r="T72" s="35"/>
      <c r="U72" s="36"/>
      <c r="V72" s="37"/>
      <c r="W72" s="37"/>
    </row>
    <row r="73" customFormat="false" ht="12.75" hidden="false" customHeight="false" outlineLevel="0" collapsed="false">
      <c r="A73" s="28"/>
      <c r="B73" s="16"/>
      <c r="C73" s="16"/>
      <c r="D73" s="17"/>
      <c r="E73" s="17"/>
      <c r="F73" s="15"/>
      <c r="G73" s="15"/>
      <c r="H73" s="16"/>
      <c r="I73" s="19"/>
      <c r="J73" s="20"/>
      <c r="K73" s="20"/>
      <c r="L73" s="20"/>
      <c r="M73" s="20"/>
      <c r="N73" s="25"/>
      <c r="O73" s="20"/>
      <c r="P73" s="130"/>
      <c r="Q73" s="71"/>
      <c r="R73" s="35" t="s">
        <v>249</v>
      </c>
      <c r="S73" s="133" t="n">
        <f aca="false">SUM(S62:S64,S33:S36,S51:S53)</f>
        <v>509474.104966064</v>
      </c>
      <c r="T73" s="35"/>
      <c r="U73" s="36"/>
      <c r="V73" s="37"/>
      <c r="W73" s="37"/>
    </row>
    <row r="74" customFormat="false" ht="13.5" hidden="false" customHeight="false" outlineLevel="0" collapsed="false">
      <c r="A74" s="28"/>
      <c r="B74" s="16"/>
      <c r="C74" s="16"/>
      <c r="D74" s="17"/>
      <c r="E74" s="17"/>
      <c r="F74" s="15"/>
      <c r="G74" s="15"/>
      <c r="H74" s="16"/>
      <c r="I74" s="20"/>
      <c r="J74" s="20"/>
      <c r="K74" s="20"/>
      <c r="L74" s="20"/>
      <c r="M74" s="20"/>
      <c r="N74" s="25"/>
      <c r="O74" s="20"/>
      <c r="P74" s="130"/>
      <c r="Q74" s="71"/>
      <c r="R74" s="35" t="s">
        <v>250</v>
      </c>
      <c r="S74" s="134" t="n">
        <f aca="false">+S72-S73</f>
        <v>904804.8362</v>
      </c>
      <c r="T74" s="35"/>
      <c r="U74" s="36"/>
      <c r="V74" s="37"/>
      <c r="W74" s="37"/>
    </row>
    <row r="75" customFormat="false" ht="13.5" hidden="false" customHeight="false" outlineLevel="0" collapsed="false">
      <c r="A75" s="28"/>
      <c r="B75" s="16"/>
      <c r="C75" s="16"/>
      <c r="D75" s="17"/>
      <c r="E75" s="17"/>
      <c r="F75" s="15"/>
      <c r="G75" s="15"/>
      <c r="H75" s="16"/>
      <c r="I75" s="19"/>
      <c r="J75" s="20"/>
      <c r="K75" s="20"/>
      <c r="L75" s="20"/>
      <c r="M75" s="20"/>
      <c r="N75" s="25"/>
      <c r="O75" s="20"/>
      <c r="P75" s="130"/>
      <c r="Q75" s="71"/>
      <c r="R75" s="35"/>
      <c r="S75" s="35"/>
      <c r="T75" s="35"/>
      <c r="U75" s="36"/>
      <c r="V75" s="37"/>
      <c r="W75" s="37"/>
    </row>
    <row r="76" customFormat="false" ht="12.75" hidden="false" customHeight="false" outlineLevel="0" collapsed="false">
      <c r="A76" s="28"/>
      <c r="B76" s="16"/>
      <c r="C76" s="16"/>
      <c r="D76" s="17"/>
      <c r="E76" s="17"/>
      <c r="F76" s="15"/>
      <c r="G76" s="15"/>
      <c r="H76" s="16"/>
      <c r="I76" s="20"/>
      <c r="J76" s="20"/>
      <c r="K76" s="20"/>
      <c r="L76" s="20"/>
      <c r="M76" s="20"/>
      <c r="N76" s="25"/>
      <c r="O76" s="20"/>
      <c r="P76" s="130"/>
      <c r="Q76" s="71"/>
      <c r="R76" s="35"/>
      <c r="S76" s="35"/>
      <c r="T76" s="35"/>
      <c r="U76" s="36"/>
      <c r="V76" s="37"/>
      <c r="W76" s="37"/>
    </row>
    <row r="77" customFormat="false" ht="12.75" hidden="false" customHeight="false" outlineLevel="0" collapsed="false">
      <c r="A77" s="28"/>
      <c r="B77" s="16"/>
      <c r="C77" s="16"/>
      <c r="D77" s="17"/>
      <c r="E77" s="17"/>
      <c r="F77" s="15"/>
      <c r="G77" s="15"/>
      <c r="H77" s="16"/>
      <c r="I77" s="19"/>
      <c r="J77" s="20"/>
      <c r="K77" s="20"/>
      <c r="L77" s="20"/>
      <c r="M77" s="20"/>
      <c r="N77" s="25"/>
      <c r="O77" s="20"/>
      <c r="P77" s="130"/>
      <c r="Q77" s="71"/>
      <c r="R77" s="35"/>
      <c r="S77" s="35"/>
      <c r="T77" s="35"/>
      <c r="U77" s="36"/>
      <c r="V77" s="37"/>
      <c r="W77" s="37"/>
    </row>
    <row r="78" customFormat="false" ht="12.75" hidden="false" customHeight="false" outlineLevel="0" collapsed="false">
      <c r="A78" s="28"/>
      <c r="B78" s="16"/>
      <c r="C78" s="16"/>
      <c r="D78" s="17"/>
      <c r="E78" s="17"/>
      <c r="F78" s="15"/>
      <c r="G78" s="15"/>
      <c r="H78" s="16"/>
      <c r="I78" s="20"/>
      <c r="J78" s="20"/>
      <c r="K78" s="20"/>
      <c r="L78" s="20"/>
      <c r="M78" s="20"/>
      <c r="N78" s="25"/>
      <c r="O78" s="20"/>
      <c r="P78" s="130"/>
      <c r="Q78" s="71"/>
      <c r="R78" s="35"/>
      <c r="S78" s="35"/>
      <c r="T78" s="35"/>
      <c r="U78" s="36"/>
      <c r="V78" s="37"/>
      <c r="W78" s="37"/>
    </row>
    <row r="79" customFormat="false" ht="12.75" hidden="false" customHeight="false" outlineLevel="0" collapsed="false">
      <c r="A79" s="28"/>
      <c r="B79" s="16"/>
      <c r="C79" s="16"/>
      <c r="D79" s="17"/>
      <c r="E79" s="17"/>
      <c r="F79" s="15"/>
      <c r="G79" s="15"/>
      <c r="H79" s="16"/>
      <c r="I79" s="20"/>
      <c r="J79" s="20"/>
      <c r="K79" s="20"/>
      <c r="L79" s="20"/>
      <c r="M79" s="20"/>
      <c r="N79" s="25"/>
      <c r="O79" s="20"/>
      <c r="P79" s="130"/>
      <c r="Q79" s="71"/>
      <c r="R79" s="35"/>
      <c r="S79" s="35"/>
      <c r="T79" s="35"/>
      <c r="U79" s="36"/>
      <c r="V79" s="69"/>
      <c r="W79" s="37"/>
    </row>
    <row r="80" customFormat="false" ht="12.75" hidden="false" customHeight="false" outlineLevel="0" collapsed="false">
      <c r="A80" s="28"/>
      <c r="B80" s="16"/>
      <c r="C80" s="16"/>
      <c r="D80" s="17"/>
      <c r="E80" s="17"/>
      <c r="F80" s="15"/>
      <c r="G80" s="15"/>
      <c r="H80" s="16"/>
      <c r="I80" s="20"/>
      <c r="J80" s="20"/>
      <c r="K80" s="20"/>
      <c r="L80" s="20"/>
      <c r="M80" s="20"/>
      <c r="N80" s="25"/>
      <c r="O80" s="20"/>
      <c r="P80" s="130"/>
      <c r="Q80" s="71"/>
      <c r="R80" s="35"/>
      <c r="S80" s="35"/>
      <c r="T80" s="35"/>
      <c r="U80" s="36"/>
      <c r="V80" s="37"/>
      <c r="W80" s="37"/>
    </row>
    <row r="81" customFormat="false" ht="12.75" hidden="false" customHeight="false" outlineLevel="0" collapsed="false">
      <c r="A81" s="28"/>
      <c r="B81" s="16"/>
      <c r="C81" s="16"/>
      <c r="D81" s="17"/>
      <c r="E81" s="17"/>
      <c r="F81" s="15"/>
      <c r="G81" s="15"/>
      <c r="H81" s="16"/>
      <c r="I81" s="20"/>
      <c r="J81" s="20"/>
      <c r="K81" s="20"/>
      <c r="L81" s="20"/>
      <c r="M81" s="20"/>
      <c r="N81" s="25"/>
      <c r="O81" s="20"/>
      <c r="P81" s="130"/>
      <c r="Q81" s="71"/>
      <c r="R81" s="35"/>
      <c r="S81" s="35"/>
      <c r="T81" s="35"/>
      <c r="U81" s="36"/>
      <c r="V81" s="37"/>
      <c r="W81" s="37"/>
    </row>
    <row r="82" customFormat="false" ht="12.75" hidden="false" customHeight="false" outlineLevel="0" collapsed="false">
      <c r="A82" s="28"/>
      <c r="B82" s="16"/>
      <c r="C82" s="16"/>
      <c r="D82" s="17"/>
      <c r="E82" s="17"/>
      <c r="F82" s="15"/>
      <c r="G82" s="15"/>
      <c r="H82" s="16"/>
      <c r="I82" s="19"/>
      <c r="J82" s="20"/>
      <c r="K82" s="20"/>
      <c r="L82" s="20"/>
      <c r="M82" s="20"/>
      <c r="N82" s="25"/>
      <c r="O82" s="20"/>
      <c r="P82" s="130"/>
      <c r="Q82" s="71"/>
      <c r="R82" s="69"/>
      <c r="S82" s="35"/>
      <c r="T82" s="35"/>
      <c r="U82" s="36"/>
      <c r="V82" s="37"/>
      <c r="W82" s="37"/>
    </row>
    <row r="83" customFormat="false" ht="12.75" hidden="false" customHeight="false" outlineLevel="0" collapsed="false">
      <c r="A83" s="28"/>
      <c r="B83" s="16"/>
      <c r="C83" s="16"/>
      <c r="D83" s="17"/>
      <c r="E83" s="17"/>
      <c r="F83" s="15"/>
      <c r="G83" s="15"/>
      <c r="H83" s="16"/>
      <c r="I83" s="19"/>
      <c r="J83" s="20"/>
      <c r="K83" s="20"/>
      <c r="L83" s="20"/>
      <c r="M83" s="20"/>
      <c r="N83" s="25"/>
      <c r="O83" s="20"/>
      <c r="P83" s="130"/>
      <c r="Q83" s="71"/>
      <c r="R83" s="69"/>
      <c r="S83" s="35"/>
      <c r="T83" s="35"/>
      <c r="U83" s="36"/>
      <c r="V83" s="37"/>
      <c r="W83" s="37"/>
    </row>
    <row r="84" customFormat="false" ht="12.75" hidden="false" customHeight="false" outlineLevel="0" collapsed="false">
      <c r="P84" s="73"/>
      <c r="Q84" s="73"/>
      <c r="R84" s="73"/>
      <c r="S84" s="73"/>
      <c r="T84" s="73"/>
      <c r="U84" s="72"/>
      <c r="V84" s="72"/>
    </row>
    <row r="85" customFormat="false" ht="12.75" hidden="false" customHeight="false" outlineLevel="0" collapsed="false">
      <c r="P85" s="73"/>
      <c r="Q85" s="73"/>
      <c r="R85" s="73"/>
      <c r="S85" s="73"/>
      <c r="T85" s="73"/>
      <c r="U85" s="72"/>
      <c r="V85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true" showRowColHeaders="true" showZeros="true" rightToLeft="false" tabSelected="true" showOutlineSymbols="true" defaultGridColor="true" view="normal" topLeftCell="A1" colorId="64" zoomScale="125" zoomScaleNormal="125" zoomScalePageLayoutView="100" workbookViewId="0">
      <pane xSplit="4" ySplit="4" topLeftCell="Q111" activePane="bottomRight" state="frozen"/>
      <selection pane="topLeft" activeCell="A1" activeCellId="0" sqref="A1"/>
      <selection pane="topRight" activeCell="Q1" activeCellId="0" sqref="Q1"/>
      <selection pane="bottomLeft" activeCell="A111" activeCellId="0" sqref="A111"/>
      <selection pane="bottomRigh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6.28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11.13"/>
    <col collapsed="false" customWidth="true" hidden="false" outlineLevel="0" max="5" min="5" style="27" width="7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false" outlineLevel="0" max="9" min="9" style="27" width="9.28"/>
    <col collapsed="false" customWidth="true" hidden="true" outlineLevel="0" max="16" min="10" style="27" width="9.06"/>
    <col collapsed="false" customWidth="true" hidden="false" outlineLevel="0" max="17" min="17" style="27" width="15.13"/>
    <col collapsed="false" customWidth="false" hidden="false" outlineLevel="0" max="18" min="18" style="27" width="9.14"/>
    <col collapsed="false" customWidth="true" hidden="false" outlineLevel="0" max="19" min="19" style="27" width="14.7"/>
    <col collapsed="false" customWidth="false" hidden="false" outlineLevel="0" max="20" min="20" style="135" width="9.14"/>
    <col collapsed="false" customWidth="true" hidden="false" outlineLevel="0" max="21" min="21" style="27" width="7.28"/>
    <col collapsed="false" customWidth="true" hidden="false" outlineLevel="0" max="22" min="22" style="30" width="12.56"/>
    <col collapsed="false" customWidth="false" hidden="false" outlineLevel="0" max="23" min="23" style="30" width="9.14"/>
    <col collapsed="false" customWidth="true" hidden="false" outlineLevel="0" max="24" min="24" style="27" width="12.42"/>
    <col collapsed="false" customWidth="false" hidden="false" outlineLevel="0" max="257" min="25" style="27" width="9.14"/>
  </cols>
  <sheetData>
    <row r="1" customFormat="false" ht="12.75" hidden="false" customHeight="false" outlineLevel="0" collapsed="false">
      <c r="A1" s="31" t="s">
        <v>146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20"/>
      <c r="K1" s="20"/>
      <c r="L1" s="20"/>
      <c r="M1" s="20"/>
      <c r="N1" s="20"/>
      <c r="O1" s="21"/>
      <c r="P1" s="20"/>
      <c r="Q1" s="22"/>
      <c r="R1" s="34"/>
      <c r="S1" s="35"/>
      <c r="T1" s="136"/>
      <c r="U1" s="35"/>
      <c r="V1" s="37"/>
      <c r="W1" s="37"/>
    </row>
    <row r="2" customFormat="false" ht="12.75" hidden="false" customHeight="false" outlineLevel="0" collapsed="false">
      <c r="A2" s="38" t="s">
        <v>100</v>
      </c>
      <c r="B2" s="38"/>
      <c r="C2" s="38"/>
      <c r="D2" s="17"/>
      <c r="E2" s="17"/>
      <c r="F2" s="15"/>
      <c r="G2" s="15"/>
      <c r="H2" s="16"/>
      <c r="I2" s="32"/>
      <c r="J2" s="20"/>
      <c r="K2" s="20"/>
      <c r="L2" s="20"/>
      <c r="M2" s="20"/>
      <c r="N2" s="20"/>
      <c r="O2" s="21"/>
      <c r="P2" s="20"/>
      <c r="Q2" s="22"/>
      <c r="R2" s="34"/>
      <c r="S2" s="35"/>
      <c r="T2" s="136"/>
      <c r="U2" s="35"/>
      <c r="V2" s="37"/>
      <c r="W2" s="37"/>
    </row>
    <row r="3" customFormat="false" ht="12.75" hidden="false" customHeight="false" outlineLevel="0" collapsed="false">
      <c r="A3" s="39" t="s">
        <v>102</v>
      </c>
      <c r="B3" s="39"/>
      <c r="C3" s="39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41" t="s">
        <v>1</v>
      </c>
      <c r="O3" s="21"/>
      <c r="P3" s="41" t="s">
        <v>1</v>
      </c>
      <c r="Q3" s="22"/>
      <c r="R3" s="34"/>
      <c r="S3" s="35"/>
      <c r="T3" s="136"/>
      <c r="U3" s="35"/>
      <c r="V3" s="37"/>
      <c r="W3" s="37"/>
      <c r="Z3" s="27" t="n">
        <v>2.8</v>
      </c>
      <c r="AC3" s="27" t="n">
        <v>3.03</v>
      </c>
    </row>
    <row r="4" customFormat="false" ht="12.75" hidden="false" customHeight="false" outlineLevel="0" collapsed="false">
      <c r="A4" s="42" t="s">
        <v>251</v>
      </c>
      <c r="B4" s="43"/>
      <c r="C4" s="43"/>
      <c r="D4" s="17"/>
      <c r="E4" s="17"/>
      <c r="F4" s="44"/>
      <c r="G4" s="15"/>
      <c r="H4" s="44"/>
      <c r="I4" s="19"/>
      <c r="J4" s="44"/>
      <c r="K4" s="20"/>
      <c r="L4" s="44"/>
      <c r="M4" s="34"/>
      <c r="N4" s="44"/>
      <c r="O4" s="21"/>
      <c r="P4" s="34"/>
      <c r="Q4" s="22"/>
      <c r="R4" s="34"/>
      <c r="S4" s="35"/>
      <c r="T4" s="136"/>
      <c r="U4" s="45"/>
      <c r="V4" s="37" t="s">
        <v>252</v>
      </c>
      <c r="W4" s="37"/>
    </row>
    <row r="5" customFormat="false" ht="12.75" hidden="false" customHeight="false" outlineLevel="0" collapsed="false">
      <c r="A5" s="137" t="s">
        <v>108</v>
      </c>
      <c r="B5" s="138" t="s">
        <v>109</v>
      </c>
      <c r="C5" s="138" t="s">
        <v>110</v>
      </c>
      <c r="D5" s="139" t="s">
        <v>111</v>
      </c>
      <c r="E5" s="139"/>
      <c r="F5" s="137" t="s">
        <v>112</v>
      </c>
      <c r="G5" s="137" t="s">
        <v>113</v>
      </c>
      <c r="H5" s="138" t="s">
        <v>114</v>
      </c>
      <c r="I5" s="140" t="s">
        <v>115</v>
      </c>
      <c r="J5" s="138" t="s">
        <v>116</v>
      </c>
      <c r="K5" s="138" t="s">
        <v>117</v>
      </c>
      <c r="L5" s="138" t="s">
        <v>118</v>
      </c>
      <c r="M5" s="138" t="s">
        <v>119</v>
      </c>
      <c r="N5" s="138" t="s">
        <v>253</v>
      </c>
      <c r="O5" s="141" t="s">
        <v>120</v>
      </c>
      <c r="P5" s="138" t="s">
        <v>121</v>
      </c>
      <c r="Q5" s="142" t="s">
        <v>122</v>
      </c>
      <c r="R5" s="138" t="s">
        <v>123</v>
      </c>
      <c r="S5" s="137" t="s">
        <v>124</v>
      </c>
      <c r="T5" s="143" t="s">
        <v>254</v>
      </c>
      <c r="U5" s="144" t="s">
        <v>255</v>
      </c>
      <c r="V5" s="24"/>
      <c r="W5" s="24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2.75" hidden="false" customHeight="false" outlineLevel="0" collapsed="false">
      <c r="A6" s="15"/>
      <c r="B6" s="16" t="s">
        <v>256</v>
      </c>
      <c r="C6" s="16" t="s">
        <v>256</v>
      </c>
      <c r="D6" s="17" t="n">
        <v>36631</v>
      </c>
      <c r="E6" s="17" t="n">
        <v>36981</v>
      </c>
      <c r="F6" s="15"/>
      <c r="G6" s="15"/>
      <c r="H6" s="16" t="s">
        <v>167</v>
      </c>
      <c r="I6" s="19" t="n">
        <v>0.65</v>
      </c>
      <c r="J6" s="20" t="n">
        <v>0</v>
      </c>
      <c r="K6" s="20" t="n">
        <v>0</v>
      </c>
      <c r="L6" s="20" t="n">
        <v>0</v>
      </c>
      <c r="M6" s="20" t="n">
        <v>0</v>
      </c>
      <c r="N6" s="20" t="n">
        <v>0</v>
      </c>
      <c r="O6" s="21" t="n">
        <v>0.0369</v>
      </c>
      <c r="P6" s="20" t="n">
        <v>0</v>
      </c>
      <c r="Q6" s="22" t="s">
        <v>257</v>
      </c>
      <c r="R6" s="16" t="n">
        <v>36000</v>
      </c>
      <c r="S6" s="15" t="s">
        <v>258</v>
      </c>
      <c r="T6" s="125" t="n">
        <f aca="false">+R6*I6</f>
        <v>23400</v>
      </c>
      <c r="U6" s="23"/>
      <c r="V6" s="24" t="n">
        <v>247741</v>
      </c>
      <c r="W6" s="2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5"/>
      <c r="B7" s="16"/>
      <c r="C7" s="16"/>
      <c r="D7" s="17"/>
      <c r="E7" s="17"/>
      <c r="F7" s="15"/>
      <c r="G7" s="15"/>
      <c r="H7" s="16"/>
      <c r="I7" s="19"/>
      <c r="J7" s="20"/>
      <c r="K7" s="20"/>
      <c r="L7" s="20"/>
      <c r="M7" s="20"/>
      <c r="N7" s="20"/>
      <c r="O7" s="21"/>
      <c r="P7" s="20"/>
      <c r="Q7" s="22"/>
      <c r="R7" s="16"/>
      <c r="S7" s="23"/>
      <c r="T7" s="125" t="n">
        <f aca="false">SUM(T6)</f>
        <v>23400</v>
      </c>
      <c r="U7" s="23"/>
      <c r="V7" s="24"/>
      <c r="W7" s="2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.75" hidden="false" customHeight="false" outlineLevel="0" collapsed="false">
      <c r="A8" s="137" t="s">
        <v>108</v>
      </c>
      <c r="B8" s="138" t="s">
        <v>109</v>
      </c>
      <c r="C8" s="138" t="s">
        <v>110</v>
      </c>
      <c r="D8" s="139" t="s">
        <v>111</v>
      </c>
      <c r="E8" s="139"/>
      <c r="F8" s="137" t="s">
        <v>112</v>
      </c>
      <c r="G8" s="137" t="s">
        <v>113</v>
      </c>
      <c r="H8" s="138" t="s">
        <v>114</v>
      </c>
      <c r="I8" s="140" t="s">
        <v>115</v>
      </c>
      <c r="J8" s="138" t="s">
        <v>116</v>
      </c>
      <c r="K8" s="138" t="s">
        <v>117</v>
      </c>
      <c r="L8" s="138" t="s">
        <v>118</v>
      </c>
      <c r="M8" s="138" t="s">
        <v>119</v>
      </c>
      <c r="N8" s="138" t="s">
        <v>253</v>
      </c>
      <c r="O8" s="141" t="s">
        <v>120</v>
      </c>
      <c r="P8" s="138" t="s">
        <v>121</v>
      </c>
      <c r="Q8" s="142" t="s">
        <v>122</v>
      </c>
      <c r="R8" s="138" t="s">
        <v>123</v>
      </c>
      <c r="S8" s="137" t="s">
        <v>124</v>
      </c>
      <c r="T8" s="143" t="s">
        <v>254</v>
      </c>
      <c r="U8" s="144" t="s">
        <v>255</v>
      </c>
      <c r="V8" s="24"/>
      <c r="W8" s="2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5" t="s">
        <v>52</v>
      </c>
      <c r="B9" s="16" t="s">
        <v>259</v>
      </c>
      <c r="C9" s="16" t="s">
        <v>259</v>
      </c>
      <c r="D9" s="17" t="n">
        <v>36100</v>
      </c>
      <c r="E9" s="17" t="n">
        <v>39022</v>
      </c>
      <c r="F9" s="15" t="n">
        <v>1</v>
      </c>
      <c r="G9" s="15" t="n">
        <v>2</v>
      </c>
      <c r="H9" s="16" t="s">
        <v>167</v>
      </c>
      <c r="I9" s="19" t="n">
        <f aca="false">(14.1123+0.2)/I$1</f>
        <v>0.461687096774194</v>
      </c>
      <c r="J9" s="20" t="n">
        <v>0.0054</v>
      </c>
      <c r="K9" s="20" t="n">
        <v>0.0022</v>
      </c>
      <c r="L9" s="20" t="n">
        <v>0.0075</v>
      </c>
      <c r="M9" s="20" t="n">
        <v>0.0012</v>
      </c>
      <c r="N9" s="20" t="n">
        <f aca="false">+O9*2.3</f>
        <v>0.0161</v>
      </c>
      <c r="O9" s="21" t="n">
        <v>0.007</v>
      </c>
      <c r="P9" s="20" t="n">
        <f aca="false">SUM(I9:N9)</f>
        <v>0.494087096774194</v>
      </c>
      <c r="Q9" s="22" t="s">
        <v>260</v>
      </c>
      <c r="R9" s="16" t="n">
        <v>2017</v>
      </c>
      <c r="S9" s="15" t="s">
        <v>261</v>
      </c>
      <c r="T9" s="125" t="n">
        <f aca="false">I9*I$1*R9</f>
        <v>28867.9091</v>
      </c>
      <c r="U9" s="23"/>
      <c r="V9" s="24" t="n">
        <v>77758</v>
      </c>
      <c r="W9" s="2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5" t="s">
        <v>52</v>
      </c>
      <c r="B10" s="16" t="s">
        <v>259</v>
      </c>
      <c r="C10" s="16" t="s">
        <v>262</v>
      </c>
      <c r="D10" s="17" t="n">
        <v>36100</v>
      </c>
      <c r="E10" s="17" t="n">
        <v>39539</v>
      </c>
      <c r="F10" s="15" t="s">
        <v>263</v>
      </c>
      <c r="G10" s="15" t="s">
        <v>264</v>
      </c>
      <c r="H10" s="16" t="s">
        <v>1</v>
      </c>
      <c r="I10" s="19" t="n">
        <f aca="false">(8.5058)/I$1</f>
        <v>0.27438064516129</v>
      </c>
      <c r="J10" s="20" t="n">
        <v>0.003</v>
      </c>
      <c r="K10" s="20" t="n">
        <v>0.0022</v>
      </c>
      <c r="L10" s="20" t="n">
        <v>0</v>
      </c>
      <c r="M10" s="20" t="n">
        <v>0.0007</v>
      </c>
      <c r="N10" s="20" t="n">
        <f aca="false">+O10*2.3</f>
        <v>0</v>
      </c>
      <c r="O10" s="21" t="n">
        <v>0</v>
      </c>
      <c r="P10" s="20" t="n">
        <f aca="false">SUM(I10:N10)</f>
        <v>0.28028064516129</v>
      </c>
      <c r="Q10" s="22" t="s">
        <v>265</v>
      </c>
      <c r="R10" s="16" t="n">
        <v>35465</v>
      </c>
      <c r="S10" s="15" t="s">
        <v>266</v>
      </c>
      <c r="T10" s="125" t="n">
        <f aca="false">I10*I$1*R10</f>
        <v>301658.197</v>
      </c>
      <c r="U10" s="23"/>
      <c r="V10" s="24" t="n">
        <v>77729</v>
      </c>
      <c r="W10" s="2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A11" s="15"/>
      <c r="B11" s="16"/>
      <c r="C11" s="16"/>
      <c r="D11" s="17"/>
      <c r="E11" s="17"/>
      <c r="F11" s="15"/>
      <c r="G11" s="15"/>
      <c r="H11" s="16"/>
      <c r="I11" s="19"/>
      <c r="J11" s="20"/>
      <c r="K11" s="20"/>
      <c r="L11" s="20"/>
      <c r="M11" s="20"/>
      <c r="N11" s="20"/>
      <c r="O11" s="21"/>
      <c r="P11" s="20"/>
      <c r="Q11" s="22"/>
      <c r="R11" s="16"/>
      <c r="S11" s="15"/>
      <c r="T11" s="125" t="n">
        <f aca="false">SUM(T9:T10)</f>
        <v>330526.1061</v>
      </c>
      <c r="U11" s="23" t="n">
        <f aca="false">SUM(U9:U10)</f>
        <v>0</v>
      </c>
      <c r="V11" s="24"/>
      <c r="W11" s="2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75" hidden="false" customHeight="false" outlineLevel="0" collapsed="false">
      <c r="A12" s="15"/>
      <c r="B12" s="16"/>
      <c r="C12" s="16"/>
      <c r="D12" s="17"/>
      <c r="E12" s="17"/>
      <c r="F12" s="15"/>
      <c r="G12" s="15"/>
      <c r="H12" s="16"/>
      <c r="I12" s="19"/>
      <c r="J12" s="20"/>
      <c r="K12" s="68"/>
      <c r="L12" s="20"/>
      <c r="M12" s="20"/>
      <c r="N12" s="20"/>
      <c r="O12" s="21"/>
      <c r="P12" s="20"/>
      <c r="Q12" s="22"/>
      <c r="R12" s="16"/>
      <c r="S12" s="16"/>
      <c r="T12" s="125"/>
      <c r="U12" s="23"/>
      <c r="V12" s="24"/>
      <c r="W12" s="2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37" t="s">
        <v>108</v>
      </c>
      <c r="B13" s="138" t="s">
        <v>109</v>
      </c>
      <c r="C13" s="138" t="s">
        <v>110</v>
      </c>
      <c r="D13" s="139" t="s">
        <v>111</v>
      </c>
      <c r="E13" s="139"/>
      <c r="F13" s="137" t="s">
        <v>112</v>
      </c>
      <c r="G13" s="137" t="s">
        <v>113</v>
      </c>
      <c r="H13" s="138" t="s">
        <v>114</v>
      </c>
      <c r="I13" s="140" t="s">
        <v>115</v>
      </c>
      <c r="J13" s="138" t="s">
        <v>116</v>
      </c>
      <c r="K13" s="138" t="s">
        <v>117</v>
      </c>
      <c r="L13" s="138" t="s">
        <v>118</v>
      </c>
      <c r="M13" s="138" t="s">
        <v>119</v>
      </c>
      <c r="N13" s="138" t="s">
        <v>253</v>
      </c>
      <c r="O13" s="141" t="s">
        <v>120</v>
      </c>
      <c r="P13" s="138" t="s">
        <v>121</v>
      </c>
      <c r="Q13" s="142" t="s">
        <v>122</v>
      </c>
      <c r="R13" s="138" t="s">
        <v>123</v>
      </c>
      <c r="S13" s="137" t="s">
        <v>124</v>
      </c>
      <c r="T13" s="143" t="s">
        <v>254</v>
      </c>
      <c r="U13" s="144" t="s">
        <v>255</v>
      </c>
      <c r="V13" s="24"/>
      <c r="W13" s="2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3.5" hidden="false" customHeight="true" outlineLevel="0" collapsed="false">
      <c r="A14" s="15" t="s">
        <v>267</v>
      </c>
      <c r="B14" s="16" t="s">
        <v>268</v>
      </c>
      <c r="C14" s="16" t="s">
        <v>269</v>
      </c>
      <c r="D14" s="17" t="n">
        <v>36526</v>
      </c>
      <c r="E14" s="17" t="n">
        <v>36556</v>
      </c>
      <c r="F14" s="15" t="s">
        <v>270</v>
      </c>
      <c r="G14" s="15" t="s">
        <v>269</v>
      </c>
      <c r="H14" s="16"/>
      <c r="I14" s="19" t="n">
        <v>0.1275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f aca="false">+O14*2.2</f>
        <v>0.0176</v>
      </c>
      <c r="O14" s="21" t="n">
        <v>0.008</v>
      </c>
      <c r="P14" s="20" t="n">
        <f aca="false">SUM(I14:N14)</f>
        <v>0.1451</v>
      </c>
      <c r="Q14" s="22" t="n">
        <v>6025</v>
      </c>
      <c r="R14" s="16" t="n">
        <v>4581</v>
      </c>
      <c r="S14" s="15"/>
      <c r="T14" s="145" t="n">
        <f aca="false">I14*I$1*R14</f>
        <v>18106.4025</v>
      </c>
      <c r="U14" s="23"/>
      <c r="V14" s="24" t="n">
        <v>145032</v>
      </c>
      <c r="W14" s="2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5" t="s">
        <v>267</v>
      </c>
      <c r="B15" s="16" t="s">
        <v>268</v>
      </c>
      <c r="C15" s="16" t="s">
        <v>269</v>
      </c>
      <c r="D15" s="17" t="n">
        <v>36526</v>
      </c>
      <c r="E15" s="17" t="n">
        <v>36556</v>
      </c>
      <c r="F15" s="15" t="s">
        <v>270</v>
      </c>
      <c r="G15" s="15" t="s">
        <v>269</v>
      </c>
      <c r="H15" s="16"/>
      <c r="I15" s="19" t="n">
        <v>0.1275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f aca="false">+O15*2.2</f>
        <v>0.0176</v>
      </c>
      <c r="O15" s="21" t="n">
        <v>0.008</v>
      </c>
      <c r="P15" s="20" t="n">
        <f aca="false">SUM(I15:N15)</f>
        <v>0.1451</v>
      </c>
      <c r="Q15" s="22" t="n">
        <v>6041</v>
      </c>
      <c r="R15" s="16" t="n">
        <v>835</v>
      </c>
      <c r="S15" s="15"/>
      <c r="T15" s="145" t="n">
        <f aca="false">I15*I$1*R15</f>
        <v>3300.3375</v>
      </c>
      <c r="U15" s="23"/>
      <c r="V15" s="24" t="n">
        <v>145036</v>
      </c>
      <c r="W15" s="2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267</v>
      </c>
      <c r="B16" s="16" t="s">
        <v>268</v>
      </c>
      <c r="C16" s="16" t="s">
        <v>271</v>
      </c>
      <c r="D16" s="17" t="n">
        <v>36526</v>
      </c>
      <c r="E16" s="17" t="n">
        <v>36556</v>
      </c>
      <c r="F16" s="15" t="s">
        <v>270</v>
      </c>
      <c r="G16" s="15" t="s">
        <v>271</v>
      </c>
      <c r="H16" s="16"/>
      <c r="I16" s="19" t="n">
        <v>0.1275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f aca="false">+O16*2.2</f>
        <v>0.0176</v>
      </c>
      <c r="O16" s="21" t="n">
        <v>0.008</v>
      </c>
      <c r="P16" s="20" t="n">
        <f aca="false">SUM(I16:N16)</f>
        <v>0.1451</v>
      </c>
      <c r="Q16" s="22" t="n">
        <v>6011</v>
      </c>
      <c r="R16" s="16" t="n">
        <v>500</v>
      </c>
      <c r="S16" s="15"/>
      <c r="T16" s="145" t="n">
        <f aca="false">I16*I$1*R16</f>
        <v>1976.25</v>
      </c>
      <c r="U16" s="23"/>
      <c r="V16" s="24" t="n">
        <v>145040</v>
      </c>
      <c r="W16" s="2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46" t="s">
        <v>145</v>
      </c>
      <c r="B17" s="147" t="s">
        <v>268</v>
      </c>
      <c r="C17" s="147" t="s">
        <v>271</v>
      </c>
      <c r="D17" s="148" t="n">
        <v>36647</v>
      </c>
      <c r="E17" s="148" t="n">
        <v>36677</v>
      </c>
      <c r="F17" s="146" t="s">
        <v>270</v>
      </c>
      <c r="G17" s="146" t="s">
        <v>271</v>
      </c>
      <c r="H17" s="147"/>
      <c r="I17" s="149" t="n">
        <v>0.0456</v>
      </c>
      <c r="J17" s="150"/>
      <c r="K17" s="150"/>
      <c r="L17" s="150"/>
      <c r="M17" s="150"/>
      <c r="N17" s="150"/>
      <c r="O17" s="151"/>
      <c r="P17" s="150"/>
      <c r="Q17" s="152" t="n">
        <v>6011</v>
      </c>
      <c r="R17" s="147" t="n">
        <v>-500</v>
      </c>
      <c r="S17" s="146"/>
      <c r="T17" s="153" t="n">
        <f aca="false">I17*I$1*R17</f>
        <v>-706.8</v>
      </c>
      <c r="U17" s="154"/>
      <c r="V17" s="155" t="n">
        <v>256505</v>
      </c>
      <c r="W17" s="155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  <c r="GX17" s="156"/>
      <c r="GY17" s="156"/>
      <c r="GZ17" s="156"/>
      <c r="HA17" s="156"/>
      <c r="HB17" s="156"/>
      <c r="HC17" s="156"/>
      <c r="HD17" s="156"/>
      <c r="HE17" s="156"/>
      <c r="HF17" s="156"/>
      <c r="HG17" s="156"/>
      <c r="HH17" s="156"/>
      <c r="HI17" s="156"/>
      <c r="HJ17" s="156"/>
      <c r="HK17" s="156"/>
      <c r="HL17" s="156"/>
      <c r="HM17" s="156"/>
      <c r="HN17" s="156"/>
      <c r="HO17" s="156"/>
      <c r="HP17" s="156"/>
      <c r="HQ17" s="156"/>
      <c r="HR17" s="156"/>
      <c r="HS17" s="156"/>
      <c r="HT17" s="156"/>
      <c r="HU17" s="156"/>
      <c r="HV17" s="156"/>
      <c r="HW17" s="156"/>
      <c r="HX17" s="156"/>
      <c r="HY17" s="156"/>
      <c r="HZ17" s="156"/>
      <c r="IA17" s="156"/>
      <c r="IB17" s="156"/>
      <c r="IC17" s="156"/>
      <c r="ID17" s="156"/>
      <c r="IE17" s="156"/>
      <c r="IF17" s="156"/>
      <c r="IG17" s="156"/>
      <c r="IH17" s="156"/>
      <c r="II17" s="156"/>
      <c r="IJ17" s="156"/>
      <c r="IK17" s="156"/>
      <c r="IL17" s="156"/>
      <c r="IM17" s="156"/>
      <c r="IN17" s="156"/>
      <c r="IO17" s="156"/>
      <c r="IP17" s="156"/>
      <c r="IQ17" s="156"/>
      <c r="IR17" s="156"/>
      <c r="IS17" s="156"/>
      <c r="IT17" s="156"/>
      <c r="IU17" s="156"/>
      <c r="IV17" s="156"/>
      <c r="IW17" s="156"/>
    </row>
    <row r="18" customFormat="false" ht="12.75" hidden="false" customHeight="false" outlineLevel="0" collapsed="false">
      <c r="A18" s="15" t="s">
        <v>267</v>
      </c>
      <c r="B18" s="16" t="s">
        <v>268</v>
      </c>
      <c r="C18" s="16" t="s">
        <v>272</v>
      </c>
      <c r="D18" s="17" t="n">
        <v>36526</v>
      </c>
      <c r="E18" s="17" t="n">
        <v>36556</v>
      </c>
      <c r="F18" s="15" t="s">
        <v>270</v>
      </c>
      <c r="G18" s="15" t="s">
        <v>272</v>
      </c>
      <c r="H18" s="16"/>
      <c r="I18" s="19" t="n">
        <v>0.1275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f aca="false">+O18*2.2</f>
        <v>0.0176</v>
      </c>
      <c r="O18" s="21" t="n">
        <v>0.008</v>
      </c>
      <c r="P18" s="20" t="n">
        <f aca="false">SUM(I18:N18)</f>
        <v>0.1451</v>
      </c>
      <c r="Q18" s="22" t="n">
        <v>6500</v>
      </c>
      <c r="R18" s="16" t="n">
        <v>359</v>
      </c>
      <c r="S18" s="15"/>
      <c r="T18" s="145" t="n">
        <f aca="false">I18*I$1*R18</f>
        <v>1418.9475</v>
      </c>
      <c r="U18" s="23"/>
      <c r="V18" s="24" t="n">
        <v>145042</v>
      </c>
      <c r="W18" s="24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 t="s">
        <v>267</v>
      </c>
      <c r="B19" s="16" t="s">
        <v>268</v>
      </c>
      <c r="C19" s="16" t="s">
        <v>273</v>
      </c>
      <c r="D19" s="17" t="n">
        <v>36526</v>
      </c>
      <c r="E19" s="17" t="n">
        <v>36556</v>
      </c>
      <c r="F19" s="15" t="s">
        <v>270</v>
      </c>
      <c r="G19" s="15" t="s">
        <v>272</v>
      </c>
      <c r="H19" s="16"/>
      <c r="I19" s="19" t="n">
        <v>0.1275</v>
      </c>
      <c r="J19" s="20" t="n">
        <v>0</v>
      </c>
      <c r="K19" s="20" t="n">
        <v>0</v>
      </c>
      <c r="L19" s="20" t="n">
        <v>0</v>
      </c>
      <c r="M19" s="20" t="n">
        <v>0</v>
      </c>
      <c r="N19" s="20" t="n">
        <f aca="false">+O19*2.2</f>
        <v>0.0176</v>
      </c>
      <c r="O19" s="21" t="n">
        <v>0.008</v>
      </c>
      <c r="P19" s="20" t="n">
        <f aca="false">SUM(I19:N19)</f>
        <v>0.1451</v>
      </c>
      <c r="Q19" s="22" t="n">
        <v>6005</v>
      </c>
      <c r="R19" s="16" t="n">
        <v>1690</v>
      </c>
      <c r="S19" s="15"/>
      <c r="T19" s="145" t="n">
        <f aca="false">I19*I$1*R19</f>
        <v>6679.725</v>
      </c>
      <c r="U19" s="23"/>
      <c r="V19" s="24" t="n">
        <v>144644</v>
      </c>
      <c r="W19" s="2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5" t="s">
        <v>267</v>
      </c>
      <c r="B20" s="16" t="s">
        <v>268</v>
      </c>
      <c r="C20" s="16" t="s">
        <v>273</v>
      </c>
      <c r="D20" s="17" t="n">
        <v>36526</v>
      </c>
      <c r="E20" s="17" t="n">
        <v>36556</v>
      </c>
      <c r="F20" s="15" t="s">
        <v>270</v>
      </c>
      <c r="G20" s="15" t="s">
        <v>272</v>
      </c>
      <c r="H20" s="16"/>
      <c r="I20" s="19" t="n">
        <v>0.1275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f aca="false">+O20*2.2</f>
        <v>0.0176</v>
      </c>
      <c r="O20" s="21" t="n">
        <v>0.008</v>
      </c>
      <c r="P20" s="20" t="n">
        <f aca="false">SUM(I20:N20)</f>
        <v>0.1451</v>
      </c>
      <c r="Q20" s="22" t="n">
        <v>6047</v>
      </c>
      <c r="R20" s="16" t="n">
        <v>1758</v>
      </c>
      <c r="S20" s="15"/>
      <c r="T20" s="145" t="n">
        <f aca="false">I20*I$1*R20</f>
        <v>6948.495</v>
      </c>
      <c r="U20" s="23"/>
      <c r="V20" s="24" t="n">
        <v>145016</v>
      </c>
      <c r="W20" s="2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15" t="s">
        <v>267</v>
      </c>
      <c r="B21" s="16" t="s">
        <v>268</v>
      </c>
      <c r="C21" s="16" t="s">
        <v>273</v>
      </c>
      <c r="D21" s="17" t="n">
        <v>36526</v>
      </c>
      <c r="E21" s="17" t="n">
        <v>36556</v>
      </c>
      <c r="F21" s="15" t="s">
        <v>270</v>
      </c>
      <c r="G21" s="15" t="s">
        <v>272</v>
      </c>
      <c r="H21" s="16"/>
      <c r="I21" s="19" t="n">
        <v>0.1275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f aca="false">+O21*2.2</f>
        <v>0.0176</v>
      </c>
      <c r="O21" s="21" t="n">
        <v>0.008</v>
      </c>
      <c r="P21" s="20" t="n">
        <f aca="false">SUM(I21:N21)</f>
        <v>0.1451</v>
      </c>
      <c r="Q21" s="22" t="n">
        <v>6048</v>
      </c>
      <c r="R21" s="16" t="n">
        <v>2500</v>
      </c>
      <c r="S21" s="15"/>
      <c r="T21" s="145" t="n">
        <f aca="false">I21*I$1*R21</f>
        <v>9881.25</v>
      </c>
      <c r="U21" s="23"/>
      <c r="V21" s="24" t="n">
        <v>145019</v>
      </c>
      <c r="W21" s="2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15" t="s">
        <v>267</v>
      </c>
      <c r="B22" s="16" t="s">
        <v>268</v>
      </c>
      <c r="C22" s="16" t="s">
        <v>273</v>
      </c>
      <c r="D22" s="17" t="n">
        <v>36526</v>
      </c>
      <c r="E22" s="17" t="n">
        <v>36556</v>
      </c>
      <c r="F22" s="15" t="s">
        <v>270</v>
      </c>
      <c r="G22" s="15" t="s">
        <v>272</v>
      </c>
      <c r="H22" s="16"/>
      <c r="I22" s="19" t="n">
        <v>0.1275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f aca="false">+O22*2.2</f>
        <v>0.0176</v>
      </c>
      <c r="O22" s="21" t="n">
        <v>0.008</v>
      </c>
      <c r="P22" s="20" t="n">
        <f aca="false">SUM(I22:N22)</f>
        <v>0.1451</v>
      </c>
      <c r="Q22" s="22" t="n">
        <v>6049</v>
      </c>
      <c r="R22" s="16" t="n">
        <v>12000</v>
      </c>
      <c r="S22" s="15"/>
      <c r="T22" s="145" t="n">
        <f aca="false">I22*I$1*R22</f>
        <v>47430</v>
      </c>
      <c r="U22" s="23"/>
      <c r="V22" s="24" t="n">
        <v>145020</v>
      </c>
      <c r="W22" s="24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15" t="s">
        <v>267</v>
      </c>
      <c r="B23" s="16" t="s">
        <v>268</v>
      </c>
      <c r="C23" s="16" t="s">
        <v>273</v>
      </c>
      <c r="D23" s="17" t="n">
        <v>36526</v>
      </c>
      <c r="E23" s="17" t="n">
        <v>36556</v>
      </c>
      <c r="F23" s="15" t="s">
        <v>270</v>
      </c>
      <c r="G23" s="15" t="s">
        <v>272</v>
      </c>
      <c r="H23" s="16"/>
      <c r="I23" s="19" t="n">
        <v>0.1275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f aca="false">+O23*2.2</f>
        <v>0.0176</v>
      </c>
      <c r="O23" s="21" t="n">
        <v>0.008</v>
      </c>
      <c r="P23" s="20" t="n">
        <f aca="false">SUM(I23:N23)</f>
        <v>0.1451</v>
      </c>
      <c r="Q23" s="22" t="n">
        <v>6050</v>
      </c>
      <c r="R23" s="16" t="n">
        <v>1745</v>
      </c>
      <c r="S23" s="15"/>
      <c r="T23" s="145" t="n">
        <f aca="false">I23*I$1*R23</f>
        <v>6897.1125</v>
      </c>
      <c r="U23" s="23"/>
      <c r="V23" s="24" t="n">
        <v>145025</v>
      </c>
      <c r="W23" s="2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5" t="s">
        <v>267</v>
      </c>
      <c r="B24" s="16" t="s">
        <v>268</v>
      </c>
      <c r="C24" s="16" t="s">
        <v>273</v>
      </c>
      <c r="D24" s="17" t="n">
        <v>36526</v>
      </c>
      <c r="E24" s="17" t="n">
        <v>36556</v>
      </c>
      <c r="F24" s="15" t="s">
        <v>270</v>
      </c>
      <c r="G24" s="15" t="s">
        <v>272</v>
      </c>
      <c r="H24" s="16"/>
      <c r="I24" s="19" t="n">
        <v>0.1275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f aca="false">+O24*2.2</f>
        <v>0.0176</v>
      </c>
      <c r="O24" s="21" t="n">
        <v>0.008</v>
      </c>
      <c r="P24" s="20" t="n">
        <f aca="false">SUM(I24:N24)</f>
        <v>0.1451</v>
      </c>
      <c r="Q24" s="22" t="n">
        <v>6051</v>
      </c>
      <c r="R24" s="16" t="n">
        <v>2800</v>
      </c>
      <c r="S24" s="15"/>
      <c r="T24" s="145" t="n">
        <f aca="false">I24*I$1*R24</f>
        <v>11067</v>
      </c>
      <c r="U24" s="23"/>
      <c r="V24" s="24" t="n">
        <v>145028</v>
      </c>
      <c r="W24" s="2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5" t="s">
        <v>267</v>
      </c>
      <c r="B25" s="16" t="s">
        <v>268</v>
      </c>
      <c r="C25" s="16" t="s">
        <v>273</v>
      </c>
      <c r="D25" s="17" t="n">
        <v>36526</v>
      </c>
      <c r="E25" s="17" t="n">
        <v>36556</v>
      </c>
      <c r="F25" s="15" t="s">
        <v>270</v>
      </c>
      <c r="G25" s="15" t="s">
        <v>272</v>
      </c>
      <c r="H25" s="16"/>
      <c r="I25" s="19" t="n">
        <v>0.1275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f aca="false">+O25*2.2</f>
        <v>0.0176</v>
      </c>
      <c r="O25" s="21" t="n">
        <v>0.008</v>
      </c>
      <c r="P25" s="20" t="n">
        <f aca="false">SUM(I25:N25)</f>
        <v>0.1451</v>
      </c>
      <c r="Q25" s="22" t="n">
        <v>6052</v>
      </c>
      <c r="R25" s="16" t="n">
        <v>1241</v>
      </c>
      <c r="S25" s="15"/>
      <c r="T25" s="145" t="n">
        <f aca="false">I25*I$1*R25</f>
        <v>4905.0525</v>
      </c>
      <c r="U25" s="23"/>
      <c r="V25" s="24" t="n">
        <v>145029</v>
      </c>
      <c r="W25" s="2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5" t="s">
        <v>267</v>
      </c>
      <c r="B26" s="16" t="s">
        <v>268</v>
      </c>
      <c r="C26" s="16" t="s">
        <v>273</v>
      </c>
      <c r="D26" s="17" t="n">
        <v>36526</v>
      </c>
      <c r="E26" s="17" t="n">
        <v>36556</v>
      </c>
      <c r="F26" s="15" t="s">
        <v>270</v>
      </c>
      <c r="G26" s="15" t="s">
        <v>272</v>
      </c>
      <c r="H26" s="16"/>
      <c r="I26" s="19" t="n">
        <v>0.1275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f aca="false">+O26*2.2</f>
        <v>0.0176</v>
      </c>
      <c r="O26" s="21" t="n">
        <v>0.008</v>
      </c>
      <c r="P26" s="20" t="n">
        <f aca="false">SUM(I26:N26)</f>
        <v>0.1451</v>
      </c>
      <c r="Q26" s="22" t="n">
        <v>6053</v>
      </c>
      <c r="R26" s="16" t="n">
        <v>2500</v>
      </c>
      <c r="S26" s="15"/>
      <c r="T26" s="145" t="n">
        <f aca="false">I26*I$1*R26</f>
        <v>9881.25</v>
      </c>
      <c r="U26" s="23"/>
      <c r="V26" s="24" t="n">
        <v>145030</v>
      </c>
      <c r="W26" s="2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5" t="s">
        <v>267</v>
      </c>
      <c r="B27" s="16" t="s">
        <v>268</v>
      </c>
      <c r="C27" s="16" t="s">
        <v>274</v>
      </c>
      <c r="D27" s="17" t="n">
        <v>36526</v>
      </c>
      <c r="E27" s="17" t="n">
        <v>36556</v>
      </c>
      <c r="F27" s="15" t="s">
        <v>270</v>
      </c>
      <c r="G27" s="15" t="s">
        <v>274</v>
      </c>
      <c r="H27" s="16"/>
      <c r="I27" s="19" t="n">
        <v>0.1275</v>
      </c>
      <c r="J27" s="20" t="n">
        <v>0</v>
      </c>
      <c r="K27" s="20" t="n">
        <v>0</v>
      </c>
      <c r="L27" s="20" t="n">
        <v>0</v>
      </c>
      <c r="M27" s="20" t="n">
        <v>0</v>
      </c>
      <c r="N27" s="20" t="n">
        <f aca="false">+O27*2.2</f>
        <v>0.0176</v>
      </c>
      <c r="O27" s="21" t="n">
        <v>0.008</v>
      </c>
      <c r="P27" s="20" t="n">
        <f aca="false">SUM(I27:N27)</f>
        <v>0.1451</v>
      </c>
      <c r="Q27" s="22" t="n">
        <v>6009</v>
      </c>
      <c r="R27" s="16" t="n">
        <v>5281</v>
      </c>
      <c r="S27" s="15"/>
      <c r="T27" s="145" t="n">
        <f aca="false">I27*I$1*R27</f>
        <v>20873.1525</v>
      </c>
      <c r="U27" s="23"/>
      <c r="V27" s="24" t="n">
        <v>145645</v>
      </c>
      <c r="W27" s="2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5" t="s">
        <v>267</v>
      </c>
      <c r="B28" s="16" t="s">
        <v>268</v>
      </c>
      <c r="C28" s="16" t="s">
        <v>274</v>
      </c>
      <c r="D28" s="17" t="n">
        <v>36526</v>
      </c>
      <c r="E28" s="17" t="n">
        <v>36556</v>
      </c>
      <c r="F28" s="15" t="s">
        <v>270</v>
      </c>
      <c r="G28" s="15" t="s">
        <v>274</v>
      </c>
      <c r="H28" s="16"/>
      <c r="I28" s="19" t="n">
        <v>0.1275</v>
      </c>
      <c r="J28" s="20" t="n">
        <v>0</v>
      </c>
      <c r="K28" s="20" t="n">
        <v>0</v>
      </c>
      <c r="L28" s="20" t="n">
        <v>0</v>
      </c>
      <c r="M28" s="20" t="n">
        <v>0</v>
      </c>
      <c r="N28" s="20" t="n">
        <f aca="false">+O28*2.2</f>
        <v>0.0176</v>
      </c>
      <c r="O28" s="21" t="n">
        <v>0.008</v>
      </c>
      <c r="P28" s="20" t="n">
        <f aca="false">SUM(I28:N28)</f>
        <v>0.1451</v>
      </c>
      <c r="Q28" s="22" t="n">
        <v>6055</v>
      </c>
      <c r="R28" s="16" t="n">
        <v>23254</v>
      </c>
      <c r="S28" s="15"/>
      <c r="T28" s="145" t="n">
        <f aca="false">I28*I$1*R28</f>
        <v>91911.435</v>
      </c>
      <c r="U28" s="23"/>
      <c r="V28" s="24" t="n">
        <v>145048</v>
      </c>
      <c r="W28" s="2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15" t="s">
        <v>267</v>
      </c>
      <c r="B29" s="16" t="s">
        <v>268</v>
      </c>
      <c r="C29" s="16" t="s">
        <v>274</v>
      </c>
      <c r="D29" s="17" t="n">
        <v>36526</v>
      </c>
      <c r="E29" s="17" t="n">
        <v>36556</v>
      </c>
      <c r="F29" s="15" t="s">
        <v>270</v>
      </c>
      <c r="G29" s="15" t="s">
        <v>274</v>
      </c>
      <c r="H29" s="16"/>
      <c r="I29" s="19" t="n">
        <v>0.1275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f aca="false">+O29*2.2</f>
        <v>0.0176</v>
      </c>
      <c r="O29" s="21" t="n">
        <v>0.008</v>
      </c>
      <c r="P29" s="20" t="n">
        <f aca="false">SUM(I29:N29)</f>
        <v>0.1451</v>
      </c>
      <c r="Q29" s="22" t="n">
        <v>6056</v>
      </c>
      <c r="R29" s="16" t="n">
        <v>10000</v>
      </c>
      <c r="S29" s="15"/>
      <c r="T29" s="145" t="n">
        <f aca="false">I29*I$1*R29</f>
        <v>39525</v>
      </c>
      <c r="U29" s="23"/>
      <c r="V29" s="24" t="n">
        <v>145049</v>
      </c>
      <c r="W29" s="2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5" t="s">
        <v>267</v>
      </c>
      <c r="B30" s="16" t="s">
        <v>268</v>
      </c>
      <c r="C30" s="16" t="s">
        <v>274</v>
      </c>
      <c r="D30" s="17" t="n">
        <v>36526</v>
      </c>
      <c r="E30" s="17" t="n">
        <v>36556</v>
      </c>
      <c r="F30" s="15" t="s">
        <v>270</v>
      </c>
      <c r="G30" s="15" t="s">
        <v>274</v>
      </c>
      <c r="H30" s="16"/>
      <c r="I30" s="19" t="n">
        <v>0.1275</v>
      </c>
      <c r="J30" s="20" t="n">
        <v>0</v>
      </c>
      <c r="K30" s="20" t="n">
        <v>0</v>
      </c>
      <c r="L30" s="20" t="n">
        <v>0</v>
      </c>
      <c r="M30" s="20" t="n">
        <v>0</v>
      </c>
      <c r="N30" s="20" t="n">
        <f aca="false">+O30*2.2</f>
        <v>0.0176</v>
      </c>
      <c r="O30" s="21" t="n">
        <v>0.008</v>
      </c>
      <c r="P30" s="20" t="n">
        <f aca="false">SUM(I30:N30)</f>
        <v>0.1451</v>
      </c>
      <c r="Q30" s="22" t="n">
        <v>6063</v>
      </c>
      <c r="R30" s="16" t="n">
        <v>5000</v>
      </c>
      <c r="S30" s="15"/>
      <c r="T30" s="145" t="n">
        <f aca="false">I30*I$1*R30</f>
        <v>19762.5</v>
      </c>
      <c r="U30" s="23"/>
      <c r="V30" s="24" t="n">
        <v>145050</v>
      </c>
      <c r="W30" s="2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5" t="s">
        <v>267</v>
      </c>
      <c r="B31" s="16" t="s">
        <v>268</v>
      </c>
      <c r="C31" s="16" t="s">
        <v>275</v>
      </c>
      <c r="D31" s="17" t="n">
        <v>36526</v>
      </c>
      <c r="E31" s="17" t="n">
        <v>36556</v>
      </c>
      <c r="F31" s="15" t="s">
        <v>270</v>
      </c>
      <c r="G31" s="15" t="s">
        <v>269</v>
      </c>
      <c r="H31" s="16"/>
      <c r="I31" s="19" t="n">
        <v>0.1275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f aca="false">+O31*2.2</f>
        <v>0.0176</v>
      </c>
      <c r="O31" s="21" t="n">
        <v>0.008</v>
      </c>
      <c r="P31" s="20" t="n">
        <f aca="false">SUM(I31:N31)</f>
        <v>0.1451</v>
      </c>
      <c r="Q31" s="22" t="n">
        <v>6056</v>
      </c>
      <c r="R31" s="16"/>
      <c r="S31" s="15"/>
      <c r="T31" s="125"/>
      <c r="U31" s="23"/>
      <c r="V31" s="24"/>
      <c r="W31" s="24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5"/>
      <c r="B32" s="16"/>
      <c r="C32" s="16"/>
      <c r="D32" s="17"/>
      <c r="E32" s="17"/>
      <c r="F32" s="15"/>
      <c r="G32" s="15"/>
      <c r="H32" s="16"/>
      <c r="I32" s="19"/>
      <c r="J32" s="20"/>
      <c r="K32" s="68"/>
      <c r="L32" s="20"/>
      <c r="M32" s="20"/>
      <c r="N32" s="20"/>
      <c r="O32" s="21"/>
      <c r="P32" s="20"/>
      <c r="Q32" s="22"/>
      <c r="R32" s="16"/>
      <c r="S32" s="16"/>
      <c r="T32" s="125" t="n">
        <f aca="false">SUM(T14:T31)</f>
        <v>299857.11</v>
      </c>
      <c r="U32" s="23"/>
      <c r="V32" s="24"/>
      <c r="W32" s="24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37" t="s">
        <v>108</v>
      </c>
      <c r="B33" s="138" t="s">
        <v>109</v>
      </c>
      <c r="C33" s="138" t="s">
        <v>110</v>
      </c>
      <c r="D33" s="139" t="s">
        <v>111</v>
      </c>
      <c r="E33" s="139"/>
      <c r="F33" s="137" t="s">
        <v>112</v>
      </c>
      <c r="G33" s="137" t="s">
        <v>113</v>
      </c>
      <c r="H33" s="138" t="s">
        <v>114</v>
      </c>
      <c r="I33" s="140" t="s">
        <v>115</v>
      </c>
      <c r="J33" s="138" t="s">
        <v>116</v>
      </c>
      <c r="K33" s="138" t="s">
        <v>117</v>
      </c>
      <c r="L33" s="138" t="s">
        <v>118</v>
      </c>
      <c r="M33" s="138" t="s">
        <v>119</v>
      </c>
      <c r="N33" s="138" t="s">
        <v>253</v>
      </c>
      <c r="O33" s="141" t="s">
        <v>120</v>
      </c>
      <c r="P33" s="138" t="s">
        <v>121</v>
      </c>
      <c r="Q33" s="142" t="s">
        <v>122</v>
      </c>
      <c r="R33" s="138" t="s">
        <v>123</v>
      </c>
      <c r="S33" s="137" t="s">
        <v>124</v>
      </c>
      <c r="T33" s="143" t="s">
        <v>254</v>
      </c>
      <c r="U33" s="144" t="s">
        <v>255</v>
      </c>
      <c r="V33" s="24"/>
      <c r="W33" s="2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5" t="s">
        <v>52</v>
      </c>
      <c r="B34" s="16" t="s">
        <v>276</v>
      </c>
      <c r="C34" s="16" t="s">
        <v>277</v>
      </c>
      <c r="D34" s="17" t="n">
        <v>36100</v>
      </c>
      <c r="E34" s="17" t="n">
        <v>39387</v>
      </c>
      <c r="F34" s="15" t="s">
        <v>278</v>
      </c>
      <c r="G34" s="15" t="s">
        <v>279</v>
      </c>
      <c r="H34" s="16" t="s">
        <v>1</v>
      </c>
      <c r="I34" s="20" t="n">
        <f aca="false">6.1038/I$1</f>
        <v>0.196896774193548</v>
      </c>
      <c r="J34" s="20" t="n">
        <v>0.0013</v>
      </c>
      <c r="K34" s="20" t="n">
        <v>0.0022</v>
      </c>
      <c r="L34" s="20" t="n">
        <v>0</v>
      </c>
      <c r="M34" s="20" t="n">
        <v>0</v>
      </c>
      <c r="N34" s="20" t="n">
        <f aca="false">+O34*2.02</f>
        <v>0.0404</v>
      </c>
      <c r="O34" s="21" t="n">
        <v>0.02</v>
      </c>
      <c r="P34" s="20" t="n">
        <f aca="false">SUM(I34:N34)</f>
        <v>0.240796774193548</v>
      </c>
      <c r="Q34" s="22" t="s">
        <v>280</v>
      </c>
      <c r="R34" s="16" t="n">
        <v>117</v>
      </c>
      <c r="S34" s="15" t="s">
        <v>281</v>
      </c>
      <c r="T34" s="145" t="n">
        <f aca="false">I34*I$1*R34</f>
        <v>714.1446</v>
      </c>
      <c r="U34" s="126"/>
      <c r="V34" s="24" t="n">
        <v>79923</v>
      </c>
      <c r="W34" s="2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5" t="s">
        <v>52</v>
      </c>
      <c r="B35" s="16" t="s">
        <v>276</v>
      </c>
      <c r="C35" s="16" t="s">
        <v>277</v>
      </c>
      <c r="D35" s="17" t="n">
        <v>36465</v>
      </c>
      <c r="E35" s="17" t="n">
        <v>36831</v>
      </c>
      <c r="F35" s="15" t="s">
        <v>278</v>
      </c>
      <c r="G35" s="15" t="s">
        <v>279</v>
      </c>
      <c r="H35" s="16" t="s">
        <v>1</v>
      </c>
      <c r="I35" s="20" t="n">
        <f aca="false">6.1038/I$1</f>
        <v>0.196896774193548</v>
      </c>
      <c r="J35" s="20" t="n">
        <v>0.0013</v>
      </c>
      <c r="K35" s="20" t="n">
        <v>0.0022</v>
      </c>
      <c r="L35" s="20" t="n">
        <v>0</v>
      </c>
      <c r="M35" s="20" t="n">
        <v>0</v>
      </c>
      <c r="N35" s="20" t="n">
        <f aca="false">+O35*2.02</f>
        <v>0.0404</v>
      </c>
      <c r="O35" s="21" t="n">
        <v>0.02</v>
      </c>
      <c r="P35" s="20" t="n">
        <f aca="false">SUM(I35:N35)</f>
        <v>0.240796774193548</v>
      </c>
      <c r="Q35" s="22" t="s">
        <v>282</v>
      </c>
      <c r="R35" s="16" t="n">
        <v>9005</v>
      </c>
      <c r="S35" s="15" t="s">
        <v>281</v>
      </c>
      <c r="T35" s="145" t="n">
        <f aca="false">I35*I$1*R35</f>
        <v>54964.719</v>
      </c>
      <c r="U35" s="126"/>
      <c r="V35" s="24"/>
      <c r="W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5"/>
      <c r="B36" s="16"/>
      <c r="C36" s="16"/>
      <c r="D36" s="17"/>
      <c r="E36" s="17"/>
      <c r="F36" s="15"/>
      <c r="G36" s="15"/>
      <c r="H36" s="16"/>
      <c r="I36" s="19"/>
      <c r="J36" s="20"/>
      <c r="K36" s="20"/>
      <c r="L36" s="20"/>
      <c r="M36" s="20"/>
      <c r="N36" s="20"/>
      <c r="O36" s="21"/>
      <c r="P36" s="20"/>
      <c r="Q36" s="22"/>
      <c r="R36" s="16"/>
      <c r="S36" s="15"/>
      <c r="T36" s="125" t="n">
        <f aca="false">SUM(T34:T35)</f>
        <v>55678.8636</v>
      </c>
      <c r="U36" s="23" t="n">
        <f aca="false">SUM(U34:U35)</f>
        <v>0</v>
      </c>
      <c r="V36" s="24"/>
      <c r="W36" s="2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37" t="s">
        <v>108</v>
      </c>
      <c r="B37" s="138" t="s">
        <v>109</v>
      </c>
      <c r="C37" s="138" t="s">
        <v>110</v>
      </c>
      <c r="D37" s="139" t="s">
        <v>111</v>
      </c>
      <c r="E37" s="139"/>
      <c r="F37" s="137" t="s">
        <v>112</v>
      </c>
      <c r="G37" s="137" t="s">
        <v>113</v>
      </c>
      <c r="H37" s="138" t="s">
        <v>114</v>
      </c>
      <c r="I37" s="140" t="s">
        <v>115</v>
      </c>
      <c r="J37" s="138" t="s">
        <v>116</v>
      </c>
      <c r="K37" s="138" t="s">
        <v>117</v>
      </c>
      <c r="L37" s="138" t="s">
        <v>118</v>
      </c>
      <c r="M37" s="138" t="s">
        <v>119</v>
      </c>
      <c r="N37" s="138" t="s">
        <v>253</v>
      </c>
      <c r="O37" s="141" t="s">
        <v>120</v>
      </c>
      <c r="P37" s="138" t="s">
        <v>121</v>
      </c>
      <c r="Q37" s="142" t="s">
        <v>122</v>
      </c>
      <c r="R37" s="138" t="s">
        <v>123</v>
      </c>
      <c r="S37" s="137" t="s">
        <v>124</v>
      </c>
      <c r="T37" s="143" t="s">
        <v>254</v>
      </c>
      <c r="U37" s="144" t="s">
        <v>255</v>
      </c>
      <c r="V37" s="24"/>
      <c r="W37" s="2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5" t="s">
        <v>52</v>
      </c>
      <c r="B38" s="15" t="s">
        <v>283</v>
      </c>
      <c r="C38" s="16" t="s">
        <v>277</v>
      </c>
      <c r="D38" s="17" t="n">
        <v>36281</v>
      </c>
      <c r="E38" s="17" t="n">
        <v>36831</v>
      </c>
      <c r="F38" s="15" t="s">
        <v>284</v>
      </c>
      <c r="G38" s="15" t="s">
        <v>285</v>
      </c>
      <c r="H38" s="16" t="s">
        <v>1</v>
      </c>
      <c r="I38" s="20" t="n">
        <v>0.039</v>
      </c>
      <c r="J38" s="20" t="n">
        <v>0.003</v>
      </c>
      <c r="K38" s="20" t="n">
        <v>0.0022</v>
      </c>
      <c r="L38" s="20" t="n">
        <v>0</v>
      </c>
      <c r="M38" s="20" t="n">
        <v>0</v>
      </c>
      <c r="N38" s="20" t="n">
        <f aca="false">+O38*2.02</f>
        <v>0</v>
      </c>
      <c r="O38" s="21" t="n">
        <v>0</v>
      </c>
      <c r="P38" s="20" t="n">
        <f aca="false">SUM(I38:N38)</f>
        <v>0.0442</v>
      </c>
      <c r="Q38" s="22" t="n">
        <v>105431</v>
      </c>
      <c r="R38" s="16" t="n">
        <v>5000</v>
      </c>
      <c r="S38" s="15" t="s">
        <v>286</v>
      </c>
      <c r="T38" s="145" t="n">
        <f aca="false">I38*I$1*R38</f>
        <v>6045</v>
      </c>
      <c r="U38" s="126"/>
      <c r="V38" s="24" t="n">
        <v>93729</v>
      </c>
      <c r="W38" s="24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5"/>
      <c r="B39" s="16"/>
      <c r="C39" s="16"/>
      <c r="D39" s="17"/>
      <c r="E39" s="17"/>
      <c r="F39" s="15"/>
      <c r="G39" s="15"/>
      <c r="H39" s="16"/>
      <c r="I39" s="19"/>
      <c r="J39" s="20"/>
      <c r="K39" s="68"/>
      <c r="L39" s="20"/>
      <c r="M39" s="20"/>
      <c r="N39" s="20"/>
      <c r="O39" s="21"/>
      <c r="P39" s="20"/>
      <c r="Q39" s="22"/>
      <c r="R39" s="16"/>
      <c r="S39" s="16"/>
      <c r="T39" s="157" t="n">
        <f aca="false">SUM(T38)</f>
        <v>6045</v>
      </c>
      <c r="U39" s="158" t="n">
        <f aca="false">SUM(U38)</f>
        <v>0</v>
      </c>
      <c r="V39" s="24"/>
      <c r="W39" s="24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37" t="s">
        <v>108</v>
      </c>
      <c r="B40" s="138" t="s">
        <v>109</v>
      </c>
      <c r="C40" s="138" t="s">
        <v>110</v>
      </c>
      <c r="D40" s="139" t="s">
        <v>111</v>
      </c>
      <c r="E40" s="139"/>
      <c r="F40" s="137" t="s">
        <v>112</v>
      </c>
      <c r="G40" s="137" t="s">
        <v>113</v>
      </c>
      <c r="H40" s="138" t="s">
        <v>114</v>
      </c>
      <c r="I40" s="140" t="s">
        <v>115</v>
      </c>
      <c r="J40" s="138" t="s">
        <v>116</v>
      </c>
      <c r="K40" s="138" t="s">
        <v>117</v>
      </c>
      <c r="L40" s="138" t="s">
        <v>118</v>
      </c>
      <c r="M40" s="138" t="s">
        <v>119</v>
      </c>
      <c r="N40" s="138" t="s">
        <v>253</v>
      </c>
      <c r="O40" s="141" t="s">
        <v>120</v>
      </c>
      <c r="P40" s="138" t="s">
        <v>121</v>
      </c>
      <c r="Q40" s="142" t="s">
        <v>122</v>
      </c>
      <c r="R40" s="138" t="s">
        <v>123</v>
      </c>
      <c r="S40" s="137" t="s">
        <v>124</v>
      </c>
      <c r="T40" s="143" t="s">
        <v>254</v>
      </c>
      <c r="U40" s="144" t="s">
        <v>255</v>
      </c>
      <c r="V40" s="24"/>
      <c r="W40" s="24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5" t="s">
        <v>267</v>
      </c>
      <c r="B41" s="16" t="s">
        <v>287</v>
      </c>
      <c r="C41" s="16" t="s">
        <v>288</v>
      </c>
      <c r="D41" s="17" t="n">
        <v>36526</v>
      </c>
      <c r="E41" s="17" t="n">
        <v>36556</v>
      </c>
      <c r="F41" s="15" t="s">
        <v>289</v>
      </c>
      <c r="G41" s="15" t="s">
        <v>289</v>
      </c>
      <c r="H41" s="16" t="s">
        <v>167</v>
      </c>
      <c r="I41" s="19" t="n">
        <v>0</v>
      </c>
      <c r="J41" s="20" t="n">
        <v>0</v>
      </c>
      <c r="K41" s="20" t="n">
        <v>0</v>
      </c>
      <c r="L41" s="20" t="n">
        <v>0</v>
      </c>
      <c r="M41" s="20" t="n">
        <v>0</v>
      </c>
      <c r="N41" s="20" t="n">
        <v>0</v>
      </c>
      <c r="O41" s="21" t="n">
        <v>0.0369</v>
      </c>
      <c r="P41" s="20" t="n">
        <v>0</v>
      </c>
      <c r="Q41" s="22" t="s">
        <v>290</v>
      </c>
      <c r="R41" s="16" t="n">
        <v>0</v>
      </c>
      <c r="S41" s="23" t="s">
        <v>1</v>
      </c>
      <c r="T41" s="125" t="n">
        <v>115083.34</v>
      </c>
      <c r="U41" s="23"/>
      <c r="V41" s="24"/>
      <c r="W41" s="24"/>
      <c r="X41" s="1" t="s">
        <v>291</v>
      </c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5" t="s">
        <v>267</v>
      </c>
      <c r="B42" s="16" t="s">
        <v>287</v>
      </c>
      <c r="C42" s="16" t="s">
        <v>288</v>
      </c>
      <c r="D42" s="17" t="n">
        <v>36039</v>
      </c>
      <c r="E42" s="17" t="n">
        <v>36831</v>
      </c>
      <c r="F42" s="15" t="s">
        <v>292</v>
      </c>
      <c r="G42" s="15"/>
      <c r="H42" s="16" t="s">
        <v>167</v>
      </c>
      <c r="I42" s="19" t="n">
        <v>0</v>
      </c>
      <c r="J42" s="20" t="n">
        <v>0</v>
      </c>
      <c r="K42" s="20" t="n">
        <v>0</v>
      </c>
      <c r="L42" s="20" t="n">
        <v>0</v>
      </c>
      <c r="M42" s="20" t="n">
        <v>0</v>
      </c>
      <c r="N42" s="20" t="n">
        <v>0</v>
      </c>
      <c r="O42" s="21" t="n">
        <v>0.0369</v>
      </c>
      <c r="P42" s="20" t="n">
        <v>0</v>
      </c>
      <c r="Q42" s="22" t="n">
        <v>4310</v>
      </c>
      <c r="R42" s="16" t="n">
        <v>0</v>
      </c>
      <c r="S42" s="23" t="s">
        <v>293</v>
      </c>
      <c r="T42" s="125" t="n">
        <v>30106.57</v>
      </c>
      <c r="U42" s="23"/>
      <c r="V42" s="24" t="n">
        <v>105938</v>
      </c>
      <c r="W42" s="24" t="n">
        <v>96005270</v>
      </c>
      <c r="X42" s="1" t="s">
        <v>291</v>
      </c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5" t="s">
        <v>267</v>
      </c>
      <c r="B43" s="16" t="s">
        <v>287</v>
      </c>
      <c r="C43" s="16" t="s">
        <v>294</v>
      </c>
      <c r="D43" s="17" t="n">
        <v>36039</v>
      </c>
      <c r="E43" s="17" t="n">
        <v>36831</v>
      </c>
      <c r="F43" s="15" t="s">
        <v>292</v>
      </c>
      <c r="G43" s="15"/>
      <c r="H43" s="16" t="s">
        <v>167</v>
      </c>
      <c r="I43" s="19" t="n">
        <v>0</v>
      </c>
      <c r="J43" s="20" t="n">
        <v>0</v>
      </c>
      <c r="K43" s="20" t="n">
        <v>0</v>
      </c>
      <c r="L43" s="20" t="n">
        <v>0</v>
      </c>
      <c r="M43" s="20" t="n">
        <v>0</v>
      </c>
      <c r="N43" s="20" t="n">
        <v>0</v>
      </c>
      <c r="O43" s="21" t="n">
        <v>0.0369</v>
      </c>
      <c r="P43" s="20" t="n">
        <v>0</v>
      </c>
      <c r="Q43" s="22" t="n">
        <v>4345</v>
      </c>
      <c r="R43" s="16" t="n">
        <v>0</v>
      </c>
      <c r="S43" s="23" t="s">
        <v>295</v>
      </c>
      <c r="T43" s="125" t="n">
        <v>445.69</v>
      </c>
      <c r="U43" s="23"/>
      <c r="V43" s="24" t="n">
        <v>105939</v>
      </c>
      <c r="W43" s="24" t="n">
        <v>96006727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5" t="s">
        <v>267</v>
      </c>
      <c r="B44" s="16" t="s">
        <v>287</v>
      </c>
      <c r="C44" s="16" t="s">
        <v>294</v>
      </c>
      <c r="D44" s="17" t="n">
        <v>36039</v>
      </c>
      <c r="E44" s="17" t="n">
        <v>36831</v>
      </c>
      <c r="F44" s="15" t="s">
        <v>289</v>
      </c>
      <c r="G44" s="15" t="s">
        <v>289</v>
      </c>
      <c r="H44" s="16" t="s">
        <v>167</v>
      </c>
      <c r="I44" s="19" t="n">
        <v>0</v>
      </c>
      <c r="J44" s="20" t="n">
        <v>0</v>
      </c>
      <c r="K44" s="20" t="n">
        <v>0</v>
      </c>
      <c r="L44" s="20" t="n">
        <v>0</v>
      </c>
      <c r="M44" s="20" t="n">
        <v>0</v>
      </c>
      <c r="N44" s="20" t="n">
        <v>0</v>
      </c>
      <c r="O44" s="21" t="n">
        <v>0.0369</v>
      </c>
      <c r="P44" s="20" t="n">
        <v>0</v>
      </c>
      <c r="Q44" s="22" t="n">
        <v>4371</v>
      </c>
      <c r="R44" s="16" t="n">
        <v>0</v>
      </c>
      <c r="S44" s="23" t="s">
        <v>296</v>
      </c>
      <c r="T44" s="125" t="n">
        <v>2044.04</v>
      </c>
      <c r="U44" s="23"/>
      <c r="V44" s="24"/>
      <c r="W44" s="24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15" t="s">
        <v>52</v>
      </c>
      <c r="B45" s="16" t="s">
        <v>287</v>
      </c>
      <c r="C45" s="16" t="s">
        <v>262</v>
      </c>
      <c r="D45" s="17" t="n">
        <v>0</v>
      </c>
      <c r="E45" s="17" t="n">
        <v>0</v>
      </c>
      <c r="F45" s="15" t="s">
        <v>297</v>
      </c>
      <c r="G45" s="15" t="s">
        <v>298</v>
      </c>
      <c r="H45" s="16" t="s">
        <v>181</v>
      </c>
      <c r="I45" s="19" t="n">
        <v>0</v>
      </c>
      <c r="J45" s="20" t="n">
        <v>0.0873</v>
      </c>
      <c r="K45" s="20" t="n">
        <v>0.0022</v>
      </c>
      <c r="L45" s="20" t="n">
        <v>0.0075</v>
      </c>
      <c r="M45" s="20" t="n">
        <v>0</v>
      </c>
      <c r="N45" s="20" t="n">
        <v>0.09867</v>
      </c>
      <c r="O45" s="159" t="n">
        <v>0.0429</v>
      </c>
      <c r="P45" s="20" t="n">
        <v>0.22067</v>
      </c>
      <c r="Q45" s="22"/>
      <c r="R45" s="16"/>
      <c r="S45" s="160" t="s">
        <v>1</v>
      </c>
      <c r="T45" s="125"/>
      <c r="U45" s="23"/>
      <c r="V45" s="24"/>
      <c r="W45" s="24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15" t="s">
        <v>52</v>
      </c>
      <c r="B46" s="16" t="s">
        <v>287</v>
      </c>
      <c r="C46" s="16" t="s">
        <v>299</v>
      </c>
      <c r="D46" s="17" t="n">
        <v>36434</v>
      </c>
      <c r="E46" s="17" t="n">
        <v>36465</v>
      </c>
      <c r="F46" s="15" t="s">
        <v>300</v>
      </c>
      <c r="G46" s="15" t="s">
        <v>298</v>
      </c>
      <c r="H46" s="16" t="s">
        <v>181</v>
      </c>
      <c r="I46" s="19" t="n">
        <v>0.02</v>
      </c>
      <c r="J46" s="20" t="n">
        <v>0.0873</v>
      </c>
      <c r="K46" s="20" t="n">
        <v>0.0022</v>
      </c>
      <c r="L46" s="20" t="n">
        <v>0.0075</v>
      </c>
      <c r="M46" s="20" t="n">
        <v>0</v>
      </c>
      <c r="N46" s="20" t="n">
        <f aca="false">+O46*2.3</f>
        <v>0.11592</v>
      </c>
      <c r="O46" s="159" t="n">
        <v>0.0504</v>
      </c>
      <c r="P46" s="20" t="n">
        <f aca="false">SUM(I46:N46)</f>
        <v>0.23292</v>
      </c>
      <c r="Q46" s="22" t="n">
        <v>30880</v>
      </c>
      <c r="R46" s="16"/>
      <c r="S46" s="160" t="s">
        <v>1</v>
      </c>
      <c r="T46" s="125" t="n">
        <f aca="false">I46*$I$1*R46</f>
        <v>0</v>
      </c>
      <c r="U46" s="23"/>
      <c r="V46" s="24"/>
      <c r="W46" s="24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15" t="s">
        <v>52</v>
      </c>
      <c r="B47" s="16" t="s">
        <v>287</v>
      </c>
      <c r="C47" s="16" t="s">
        <v>262</v>
      </c>
      <c r="D47" s="17" t="n">
        <v>35827</v>
      </c>
      <c r="E47" s="17" t="n">
        <v>36342</v>
      </c>
      <c r="F47" s="15" t="s">
        <v>301</v>
      </c>
      <c r="G47" s="15" t="s">
        <v>302</v>
      </c>
      <c r="H47" s="16" t="s">
        <v>181</v>
      </c>
      <c r="I47" s="19" t="n">
        <f aca="false">(5.9+5.42)/I$1</f>
        <v>0.365161290322581</v>
      </c>
      <c r="J47" s="20" t="n">
        <v>0</v>
      </c>
      <c r="K47" s="20" t="n">
        <v>0.0022</v>
      </c>
      <c r="L47" s="20" t="n">
        <v>0.0075</v>
      </c>
      <c r="M47" s="20" t="n">
        <v>0</v>
      </c>
      <c r="N47" s="20" t="n">
        <f aca="false">+O47*2.3</f>
        <v>0.03013</v>
      </c>
      <c r="O47" s="159" t="n">
        <v>0.0131</v>
      </c>
      <c r="P47" s="20" t="n">
        <f aca="false">SUM(I47:N47)</f>
        <v>0.404991290322581</v>
      </c>
      <c r="Q47" s="22" t="n">
        <v>23231</v>
      </c>
      <c r="R47" s="16" t="n">
        <v>0</v>
      </c>
      <c r="S47" s="160" t="s">
        <v>303</v>
      </c>
      <c r="T47" s="125" t="n">
        <f aca="false">I47*$I$1*R47</f>
        <v>0</v>
      </c>
      <c r="U47" s="23"/>
      <c r="V47" s="24" t="n">
        <v>77257</v>
      </c>
      <c r="W47" s="2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5" t="s">
        <v>52</v>
      </c>
      <c r="B48" s="16" t="s">
        <v>287</v>
      </c>
      <c r="C48" s="16" t="s">
        <v>262</v>
      </c>
      <c r="D48" s="17" t="n">
        <v>36342</v>
      </c>
      <c r="E48" s="17" t="n">
        <v>39539</v>
      </c>
      <c r="F48" s="15" t="s">
        <v>301</v>
      </c>
      <c r="G48" s="15" t="s">
        <v>302</v>
      </c>
      <c r="H48" s="16" t="s">
        <v>181</v>
      </c>
      <c r="I48" s="19" t="n">
        <f aca="false">(5.9+5.42)/I$1</f>
        <v>0.365161290322581</v>
      </c>
      <c r="J48" s="20" t="n">
        <v>0</v>
      </c>
      <c r="K48" s="20" t="n">
        <v>0.0022</v>
      </c>
      <c r="L48" s="20" t="n">
        <v>0.0075</v>
      </c>
      <c r="M48" s="20" t="n">
        <v>0</v>
      </c>
      <c r="N48" s="20" t="n">
        <f aca="false">+O48*2.3</f>
        <v>0.03013</v>
      </c>
      <c r="O48" s="159" t="n">
        <v>0.0131</v>
      </c>
      <c r="P48" s="20" t="n">
        <f aca="false">SUM(I48:N48)</f>
        <v>0.404991290322581</v>
      </c>
      <c r="Q48" s="22" t="n">
        <v>29667</v>
      </c>
      <c r="R48" s="16" t="n">
        <v>35000</v>
      </c>
      <c r="S48" s="160" t="n">
        <v>13.36</v>
      </c>
      <c r="T48" s="125" t="n">
        <f aca="false">I48*$I$1*R48</f>
        <v>396200</v>
      </c>
      <c r="U48" s="23"/>
      <c r="V48" s="24" t="n">
        <v>93036</v>
      </c>
      <c r="W48" s="2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" hidden="false" customHeight="true" outlineLevel="0" collapsed="false">
      <c r="A49" s="15" t="s">
        <v>144</v>
      </c>
      <c r="B49" s="16" t="s">
        <v>287</v>
      </c>
      <c r="C49" s="16"/>
      <c r="D49" s="17" t="n">
        <v>36373</v>
      </c>
      <c r="E49" s="17" t="n">
        <v>36404</v>
      </c>
      <c r="F49" s="15" t="s">
        <v>304</v>
      </c>
      <c r="G49" s="15"/>
      <c r="H49" s="16" t="s">
        <v>181</v>
      </c>
      <c r="I49" s="19" t="n">
        <v>0</v>
      </c>
      <c r="J49" s="20" t="n">
        <v>0.0835</v>
      </c>
      <c r="K49" s="20" t="n">
        <v>0.0022</v>
      </c>
      <c r="L49" s="20" t="n">
        <v>0.0075</v>
      </c>
      <c r="M49" s="20" t="n">
        <v>0</v>
      </c>
      <c r="N49" s="20" t="n">
        <f aca="false">+O49*(1.75)</f>
        <v>0.0336</v>
      </c>
      <c r="O49" s="21" t="n">
        <v>0.0192</v>
      </c>
      <c r="P49" s="20" t="n">
        <f aca="false">SUM(I49:N49)</f>
        <v>0.1268</v>
      </c>
      <c r="Q49" s="22"/>
      <c r="R49" s="16"/>
      <c r="S49" s="161" t="s">
        <v>1</v>
      </c>
      <c r="T49" s="125" t="n">
        <f aca="false">I49*$I$1*R49</f>
        <v>0</v>
      </c>
      <c r="U49" s="23"/>
      <c r="V49" s="24"/>
      <c r="W49" s="2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" hidden="false" customHeight="true" outlineLevel="0" collapsed="false">
      <c r="A50" s="15" t="s">
        <v>144</v>
      </c>
      <c r="B50" s="16" t="s">
        <v>287</v>
      </c>
      <c r="C50" s="16"/>
      <c r="D50" s="17"/>
      <c r="E50" s="17" t="n">
        <v>36585</v>
      </c>
      <c r="F50" s="15" t="s">
        <v>305</v>
      </c>
      <c r="G50" s="15" t="s">
        <v>306</v>
      </c>
      <c r="H50" s="16" t="s">
        <v>167</v>
      </c>
      <c r="I50" s="19" t="n">
        <v>0.02</v>
      </c>
      <c r="J50" s="20" t="n">
        <v>0.0669</v>
      </c>
      <c r="K50" s="20" t="n">
        <v>0.0022</v>
      </c>
      <c r="L50" s="20" t="n">
        <v>0.0075</v>
      </c>
      <c r="M50" s="20" t="n">
        <v>0</v>
      </c>
      <c r="N50" s="20" t="n">
        <f aca="false">+O50*(1.75)</f>
        <v>0.048825</v>
      </c>
      <c r="O50" s="21" t="n">
        <v>0.0279</v>
      </c>
      <c r="P50" s="20" t="n">
        <f aca="false">SUM(I50:N50)</f>
        <v>0.145425</v>
      </c>
      <c r="Q50" s="22"/>
      <c r="R50" s="16" t="n">
        <v>0</v>
      </c>
      <c r="S50" s="161" t="s">
        <v>1</v>
      </c>
      <c r="T50" s="125" t="n">
        <f aca="false">I50*$I$1*R50</f>
        <v>0</v>
      </c>
      <c r="U50" s="23"/>
      <c r="V50" s="24"/>
      <c r="W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" hidden="false" customHeight="true" outlineLevel="0" collapsed="false">
      <c r="A51" s="15" t="s">
        <v>144</v>
      </c>
      <c r="B51" s="16" t="s">
        <v>287</v>
      </c>
      <c r="C51" s="16" t="s">
        <v>307</v>
      </c>
      <c r="D51" s="17" t="n">
        <v>36617</v>
      </c>
      <c r="E51" s="17" t="n">
        <v>36830</v>
      </c>
      <c r="F51" s="15" t="s">
        <v>308</v>
      </c>
      <c r="G51" s="15" t="s">
        <v>306</v>
      </c>
      <c r="H51" s="16" t="s">
        <v>167</v>
      </c>
      <c r="I51" s="19" t="n">
        <f aca="false">0.47/31</f>
        <v>0.0151612903225806</v>
      </c>
      <c r="J51" s="20" t="n">
        <v>0.0669</v>
      </c>
      <c r="K51" s="20" t="n">
        <v>0.0022</v>
      </c>
      <c r="L51" s="20" t="n">
        <v>0.0075</v>
      </c>
      <c r="M51" s="20" t="n">
        <v>0</v>
      </c>
      <c r="N51" s="20" t="n">
        <f aca="false">+O51*(1.75)</f>
        <v>0.048825</v>
      </c>
      <c r="O51" s="21" t="n">
        <v>0.0279</v>
      </c>
      <c r="P51" s="20" t="n">
        <f aca="false">SUM(I51:N51)</f>
        <v>0.140586290322581</v>
      </c>
      <c r="Q51" s="22" t="n">
        <v>32976</v>
      </c>
      <c r="R51" s="16" t="n">
        <v>10000</v>
      </c>
      <c r="S51" s="161" t="s">
        <v>1</v>
      </c>
      <c r="T51" s="125" t="n">
        <f aca="false">I51*$I$1*R51</f>
        <v>4700</v>
      </c>
      <c r="U51" s="23"/>
      <c r="V51" s="24" t="n">
        <v>227993</v>
      </c>
      <c r="W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" hidden="false" customHeight="true" outlineLevel="0" collapsed="false">
      <c r="A52" s="15" t="s">
        <v>144</v>
      </c>
      <c r="B52" s="16" t="s">
        <v>287</v>
      </c>
      <c r="C52" s="16" t="s">
        <v>309</v>
      </c>
      <c r="D52" s="17" t="n">
        <v>36617</v>
      </c>
      <c r="E52" s="17" t="n">
        <v>36830</v>
      </c>
      <c r="F52" s="15" t="s">
        <v>308</v>
      </c>
      <c r="G52" s="15" t="s">
        <v>308</v>
      </c>
      <c r="H52" s="16" t="s">
        <v>167</v>
      </c>
      <c r="I52" s="19" t="n">
        <v>0</v>
      </c>
      <c r="J52" s="20" t="n">
        <v>0.0669</v>
      </c>
      <c r="K52" s="20" t="n">
        <v>0.0022</v>
      </c>
      <c r="L52" s="20" t="n">
        <v>0.0075</v>
      </c>
      <c r="M52" s="20" t="n">
        <v>0</v>
      </c>
      <c r="N52" s="20" t="n">
        <f aca="false">+O52*(1.75)</f>
        <v>0.048825</v>
      </c>
      <c r="O52" s="21" t="n">
        <v>0.0279</v>
      </c>
      <c r="P52" s="20" t="n">
        <f aca="false">SUM(I52:N52)</f>
        <v>0.125425</v>
      </c>
      <c r="Q52" s="22" t="n">
        <v>32975</v>
      </c>
      <c r="R52" s="16" t="n">
        <v>10000</v>
      </c>
      <c r="S52" s="161" t="s">
        <v>310</v>
      </c>
      <c r="T52" s="125" t="n">
        <f aca="false">I52*$I$1*R52</f>
        <v>0</v>
      </c>
      <c r="U52" s="23"/>
      <c r="V52" s="24" t="n">
        <v>231367</v>
      </c>
      <c r="W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" hidden="false" customHeight="true" outlineLevel="0" collapsed="false">
      <c r="A53" s="15" t="s">
        <v>144</v>
      </c>
      <c r="B53" s="16" t="s">
        <v>311</v>
      </c>
      <c r="C53" s="16" t="s">
        <v>270</v>
      </c>
      <c r="D53" s="17" t="n">
        <v>36617</v>
      </c>
      <c r="E53" s="17" t="n">
        <v>36829</v>
      </c>
      <c r="F53" s="15" t="s">
        <v>312</v>
      </c>
      <c r="G53" s="15" t="n">
        <v>5</v>
      </c>
      <c r="H53" s="16" t="s">
        <v>167</v>
      </c>
      <c r="I53" s="19" t="n">
        <f aca="false">0.91/I1</f>
        <v>0.0293548387096774</v>
      </c>
      <c r="J53" s="20" t="n">
        <v>0</v>
      </c>
      <c r="K53" s="20" t="n">
        <v>0</v>
      </c>
      <c r="L53" s="20" t="n">
        <v>0</v>
      </c>
      <c r="M53" s="20" t="n">
        <v>0</v>
      </c>
      <c r="N53" s="20" t="n">
        <f aca="false">+O53*(1.75)</f>
        <v>0.017675</v>
      </c>
      <c r="O53" s="21" t="n">
        <v>0.0101</v>
      </c>
      <c r="P53" s="20" t="n">
        <f aca="false">SUM(I53:N53)</f>
        <v>0.0470298387096774</v>
      </c>
      <c r="Q53" s="22" t="n">
        <v>32954</v>
      </c>
      <c r="R53" s="16" t="n">
        <v>1900</v>
      </c>
      <c r="S53" s="161" t="s">
        <v>1</v>
      </c>
      <c r="T53" s="125" t="n">
        <f aca="false">I53*$I$1*R53</f>
        <v>1729</v>
      </c>
      <c r="U53" s="23"/>
      <c r="V53" s="24" t="n">
        <v>231261</v>
      </c>
      <c r="W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" hidden="false" customHeight="true" outlineLevel="0" collapsed="false">
      <c r="A54" s="15" t="s">
        <v>144</v>
      </c>
      <c r="B54" s="16" t="s">
        <v>311</v>
      </c>
      <c r="C54" s="16" t="s">
        <v>270</v>
      </c>
      <c r="D54" s="17" t="n">
        <v>36617</v>
      </c>
      <c r="E54" s="17" t="n">
        <v>36829</v>
      </c>
      <c r="F54" s="15" t="s">
        <v>312</v>
      </c>
      <c r="G54" s="15" t="n">
        <v>5</v>
      </c>
      <c r="H54" s="16" t="s">
        <v>167</v>
      </c>
      <c r="I54" s="19" t="n">
        <f aca="false">0.91/I1</f>
        <v>0.0293548387096774</v>
      </c>
      <c r="J54" s="20" t="n">
        <v>0</v>
      </c>
      <c r="K54" s="20" t="n">
        <v>0</v>
      </c>
      <c r="L54" s="20" t="n">
        <v>0</v>
      </c>
      <c r="M54" s="20" t="n">
        <v>0</v>
      </c>
      <c r="N54" s="20" t="n">
        <f aca="false">+O54*(1.75)</f>
        <v>0.017675</v>
      </c>
      <c r="O54" s="21" t="n">
        <v>0.0101</v>
      </c>
      <c r="P54" s="20" t="n">
        <f aca="false">SUM(I54:N54)</f>
        <v>0.0470298387096774</v>
      </c>
      <c r="Q54" s="22" t="n">
        <v>32956</v>
      </c>
      <c r="R54" s="16" t="n">
        <v>2899</v>
      </c>
      <c r="S54" s="161" t="s">
        <v>1</v>
      </c>
      <c r="T54" s="125" t="n">
        <f aca="false">I54*$I$1*R54</f>
        <v>2638.09</v>
      </c>
      <c r="U54" s="23"/>
      <c r="V54" s="24" t="n">
        <v>231241</v>
      </c>
      <c r="W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" hidden="false" customHeight="true" outlineLevel="0" collapsed="false">
      <c r="A55" s="15" t="s">
        <v>144</v>
      </c>
      <c r="B55" s="16" t="s">
        <v>313</v>
      </c>
      <c r="C55" s="16" t="s">
        <v>270</v>
      </c>
      <c r="D55" s="17" t="n">
        <v>36617</v>
      </c>
      <c r="E55" s="17" t="n">
        <v>36829</v>
      </c>
      <c r="F55" s="15" t="n">
        <v>4</v>
      </c>
      <c r="G55" s="15" t="n">
        <v>6</v>
      </c>
      <c r="H55" s="16" t="s">
        <v>167</v>
      </c>
      <c r="I55" s="19" t="n">
        <f aca="false">0.76/I1</f>
        <v>0.0245161290322581</v>
      </c>
      <c r="J55" s="20" t="n">
        <v>0</v>
      </c>
      <c r="K55" s="20" t="n">
        <v>0</v>
      </c>
      <c r="L55" s="20" t="n">
        <v>0</v>
      </c>
      <c r="M55" s="20" t="n">
        <v>0</v>
      </c>
      <c r="N55" s="20" t="n">
        <f aca="false">+O55*(1.75)</f>
        <v>0.017675</v>
      </c>
      <c r="O55" s="21" t="n">
        <v>0.0101</v>
      </c>
      <c r="P55" s="20" t="n">
        <f aca="false">SUM(I55:N55)</f>
        <v>0.0421911290322581</v>
      </c>
      <c r="Q55" s="22" t="n">
        <v>32958</v>
      </c>
      <c r="R55" s="16" t="n">
        <v>5265</v>
      </c>
      <c r="S55" s="161" t="s">
        <v>1</v>
      </c>
      <c r="T55" s="125" t="n">
        <f aca="false">I55*$I$1*R55</f>
        <v>4001.4</v>
      </c>
      <c r="U55" s="23"/>
      <c r="V55" s="24" t="n">
        <v>231270</v>
      </c>
      <c r="W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" hidden="false" customHeight="true" outlineLevel="0" collapsed="false">
      <c r="A56" s="15" t="s">
        <v>144</v>
      </c>
      <c r="B56" s="16" t="s">
        <v>313</v>
      </c>
      <c r="C56" s="16" t="s">
        <v>270</v>
      </c>
      <c r="D56" s="17" t="n">
        <v>36617</v>
      </c>
      <c r="E56" s="17" t="n">
        <v>36646</v>
      </c>
      <c r="F56" s="15" t="n">
        <v>4</v>
      </c>
      <c r="G56" s="15" t="n">
        <v>6</v>
      </c>
      <c r="H56" s="16" t="s">
        <v>167</v>
      </c>
      <c r="I56" s="24" t="n">
        <f aca="false">0.6/I1</f>
        <v>0.0193548387096774</v>
      </c>
      <c r="J56" s="20" t="n">
        <v>0</v>
      </c>
      <c r="K56" s="20" t="n">
        <v>0</v>
      </c>
      <c r="L56" s="20" t="n">
        <v>0</v>
      </c>
      <c r="M56" s="20" t="n">
        <v>0</v>
      </c>
      <c r="N56" s="20" t="n">
        <f aca="false">+O56*(1.75)</f>
        <v>0.017675</v>
      </c>
      <c r="O56" s="21" t="n">
        <v>0.0101</v>
      </c>
      <c r="P56" s="20" t="n">
        <f aca="false">SUM(I56:N56)</f>
        <v>0.0370298387096774</v>
      </c>
      <c r="Q56" s="22" t="n">
        <v>33072</v>
      </c>
      <c r="R56" s="16" t="n">
        <v>5000</v>
      </c>
      <c r="S56" s="161" t="s">
        <v>1</v>
      </c>
      <c r="T56" s="125" t="n">
        <f aca="false">I56*$I$1*R56</f>
        <v>3000</v>
      </c>
      <c r="U56" s="23"/>
      <c r="V56" s="24" t="n">
        <v>232900</v>
      </c>
      <c r="W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" hidden="false" customHeight="true" outlineLevel="0" collapsed="false">
      <c r="A57" s="15" t="s">
        <v>314</v>
      </c>
      <c r="B57" s="16" t="s">
        <v>287</v>
      </c>
      <c r="C57" s="16" t="s">
        <v>270</v>
      </c>
      <c r="D57" s="17" t="n">
        <v>36861</v>
      </c>
      <c r="E57" s="17" t="n">
        <v>36631</v>
      </c>
      <c r="F57" s="15" t="s">
        <v>315</v>
      </c>
      <c r="G57" s="15" t="s">
        <v>314</v>
      </c>
      <c r="H57" s="16" t="s">
        <v>167</v>
      </c>
      <c r="I57" s="19" t="n">
        <v>0.1</v>
      </c>
      <c r="J57" s="20" t="n">
        <v>0</v>
      </c>
      <c r="K57" s="20" t="n">
        <v>0</v>
      </c>
      <c r="L57" s="20" t="n">
        <v>0</v>
      </c>
      <c r="M57" s="20" t="n">
        <v>0</v>
      </c>
      <c r="N57" s="20" t="n">
        <v>0</v>
      </c>
      <c r="O57" s="21" t="n">
        <v>0</v>
      </c>
      <c r="P57" s="20" t="n">
        <f aca="false">SUM(I57:N57)</f>
        <v>0.1</v>
      </c>
      <c r="Q57" s="22" t="n">
        <v>33188</v>
      </c>
      <c r="R57" s="16" t="n">
        <v>12396</v>
      </c>
      <c r="S57" s="161"/>
      <c r="T57" s="125" t="n">
        <f aca="false">+R57*I57</f>
        <v>1239.6</v>
      </c>
      <c r="U57" s="23"/>
      <c r="V57" s="24"/>
      <c r="W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" hidden="false" customHeight="true" outlineLevel="0" collapsed="false">
      <c r="A58" s="15" t="s">
        <v>314</v>
      </c>
      <c r="B58" s="16" t="s">
        <v>24</v>
      </c>
      <c r="C58" s="16" t="s">
        <v>270</v>
      </c>
      <c r="D58" s="17" t="n">
        <v>36861</v>
      </c>
      <c r="E58" s="17" t="n">
        <v>36631</v>
      </c>
      <c r="F58" s="15" t="s">
        <v>315</v>
      </c>
      <c r="G58" s="15" t="s">
        <v>314</v>
      </c>
      <c r="H58" s="16" t="s">
        <v>167</v>
      </c>
      <c r="I58" s="19" t="n">
        <v>0.1</v>
      </c>
      <c r="J58" s="20" t="n">
        <v>0</v>
      </c>
      <c r="K58" s="20" t="n">
        <v>0</v>
      </c>
      <c r="L58" s="20" t="n">
        <v>0</v>
      </c>
      <c r="M58" s="20" t="n">
        <v>0</v>
      </c>
      <c r="N58" s="20" t="n">
        <v>0</v>
      </c>
      <c r="O58" s="21" t="n">
        <v>0</v>
      </c>
      <c r="P58" s="20" t="n">
        <f aca="false">SUM(I58:N58)</f>
        <v>0.1</v>
      </c>
      <c r="Q58" s="22" t="n">
        <v>33189</v>
      </c>
      <c r="R58" s="16" t="n">
        <v>12000</v>
      </c>
      <c r="S58" s="161"/>
      <c r="T58" s="125" t="n">
        <f aca="false">+R58*I58</f>
        <v>1200</v>
      </c>
      <c r="U58" s="23"/>
      <c r="V58" s="24"/>
      <c r="W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" hidden="false" customHeight="true" outlineLevel="0" collapsed="false">
      <c r="A59" s="15" t="s">
        <v>309</v>
      </c>
      <c r="B59" s="16" t="s">
        <v>24</v>
      </c>
      <c r="C59" s="16" t="s">
        <v>316</v>
      </c>
      <c r="D59" s="17" t="n">
        <v>36526</v>
      </c>
      <c r="E59" s="17" t="n">
        <v>36556</v>
      </c>
      <c r="F59" s="15" t="s">
        <v>317</v>
      </c>
      <c r="G59" s="15" t="s">
        <v>317</v>
      </c>
      <c r="H59" s="16" t="s">
        <v>167</v>
      </c>
      <c r="I59" s="19" t="n">
        <v>0</v>
      </c>
      <c r="J59" s="20" t="n">
        <v>0.0572</v>
      </c>
      <c r="K59" s="20" t="n">
        <v>0.0022</v>
      </c>
      <c r="L59" s="20" t="n">
        <v>0.0075</v>
      </c>
      <c r="M59" s="20" t="n">
        <v>0</v>
      </c>
      <c r="N59" s="20" t="n">
        <f aca="false">+O59*(1.75)</f>
        <v>0.017675</v>
      </c>
      <c r="O59" s="21" t="n">
        <v>0.0101</v>
      </c>
      <c r="P59" s="20" t="n">
        <f aca="false">SUM(I59:N59)</f>
        <v>0.084575</v>
      </c>
      <c r="Q59" s="22"/>
      <c r="R59" s="16" t="n">
        <v>0</v>
      </c>
      <c r="S59" s="161" t="s">
        <v>1</v>
      </c>
      <c r="T59" s="125" t="n">
        <f aca="false">I59*$I$1*R59</f>
        <v>0</v>
      </c>
      <c r="U59" s="23"/>
      <c r="V59" s="24"/>
      <c r="W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" hidden="false" customHeight="true" outlineLevel="0" collapsed="false">
      <c r="A60" s="15" t="s">
        <v>144</v>
      </c>
      <c r="B60" s="16" t="s">
        <v>24</v>
      </c>
      <c r="C60" s="16" t="s">
        <v>270</v>
      </c>
      <c r="D60" s="17" t="n">
        <v>36526</v>
      </c>
      <c r="E60" s="17" t="n">
        <v>36556</v>
      </c>
      <c r="F60" s="15" t="s">
        <v>318</v>
      </c>
      <c r="G60" s="15" t="s">
        <v>319</v>
      </c>
      <c r="H60" s="16" t="s">
        <v>167</v>
      </c>
      <c r="I60" s="19" t="n">
        <v>0.1671</v>
      </c>
      <c r="J60" s="20" t="n">
        <v>0.0765</v>
      </c>
      <c r="K60" s="20" t="n">
        <v>0.0022</v>
      </c>
      <c r="L60" s="20" t="n">
        <v>0.0075</v>
      </c>
      <c r="M60" s="20" t="n">
        <v>0</v>
      </c>
      <c r="N60" s="20" t="n">
        <f aca="false">+O60*(2.15)</f>
        <v>0.027305</v>
      </c>
      <c r="O60" s="21" t="n">
        <v>0.0127</v>
      </c>
      <c r="P60" s="20" t="n">
        <f aca="false">SUM(I60:N60)</f>
        <v>0.280605</v>
      </c>
      <c r="Q60" s="22"/>
      <c r="R60" s="16" t="n">
        <v>0</v>
      </c>
      <c r="S60" s="161" t="s">
        <v>1</v>
      </c>
      <c r="T60" s="125" t="n">
        <f aca="false">I60*$I$1*R60</f>
        <v>0</v>
      </c>
      <c r="U60" s="23"/>
      <c r="V60" s="24"/>
      <c r="W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5" t="s">
        <v>144</v>
      </c>
      <c r="B61" s="16" t="s">
        <v>24</v>
      </c>
      <c r="C61" s="16" t="s">
        <v>270</v>
      </c>
      <c r="D61" s="17" t="n">
        <v>36477</v>
      </c>
      <c r="E61" s="17" t="n">
        <v>36494</v>
      </c>
      <c r="F61" s="15" t="s">
        <v>320</v>
      </c>
      <c r="G61" s="15" t="s">
        <v>93</v>
      </c>
      <c r="H61" s="16" t="s">
        <v>181</v>
      </c>
      <c r="I61" s="19"/>
      <c r="J61" s="20" t="n">
        <v>0.02</v>
      </c>
      <c r="K61" s="20" t="n">
        <v>0</v>
      </c>
      <c r="L61" s="20" t="n">
        <v>0</v>
      </c>
      <c r="M61" s="20" t="n">
        <v>0</v>
      </c>
      <c r="N61" s="20" t="n">
        <f aca="false">+O61*2.3</f>
        <v>0.02323</v>
      </c>
      <c r="O61" s="159" t="n">
        <v>0.0101</v>
      </c>
      <c r="P61" s="20" t="n">
        <f aca="false">SUM(I61:N61)</f>
        <v>0.04323</v>
      </c>
      <c r="Q61" s="22"/>
      <c r="R61" s="16"/>
      <c r="S61" s="160"/>
      <c r="T61" s="125" t="n">
        <f aca="false">I61*$I$1*R61</f>
        <v>0</v>
      </c>
      <c r="U61" s="23"/>
      <c r="V61" s="24"/>
      <c r="W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" hidden="false" customHeight="true" outlineLevel="0" collapsed="false">
      <c r="A62" s="15" t="s">
        <v>314</v>
      </c>
      <c r="B62" s="16" t="s">
        <v>24</v>
      </c>
      <c r="C62" s="16" t="s">
        <v>270</v>
      </c>
      <c r="D62" s="17" t="n">
        <v>36617</v>
      </c>
      <c r="E62" s="17" t="n">
        <v>36829</v>
      </c>
      <c r="F62" s="15" t="s">
        <v>315</v>
      </c>
      <c r="G62" s="15" t="s">
        <v>314</v>
      </c>
      <c r="H62" s="16" t="s">
        <v>167</v>
      </c>
      <c r="I62" s="19" t="s">
        <v>321</v>
      </c>
      <c r="J62" s="20" t="n">
        <v>0</v>
      </c>
      <c r="K62" s="20" t="n">
        <v>0</v>
      </c>
      <c r="L62" s="20" t="n">
        <v>0</v>
      </c>
      <c r="M62" s="20" t="n">
        <v>0</v>
      </c>
      <c r="N62" s="20" t="n">
        <v>0</v>
      </c>
      <c r="O62" s="21" t="n">
        <v>0</v>
      </c>
      <c r="P62" s="20" t="n">
        <f aca="false">SUM(I62:N62)</f>
        <v>0</v>
      </c>
      <c r="Q62" s="22" t="n">
        <v>33140</v>
      </c>
      <c r="R62" s="16" t="n">
        <v>250000</v>
      </c>
      <c r="S62" s="161" t="s">
        <v>322</v>
      </c>
      <c r="T62" s="125" t="n">
        <v>10000</v>
      </c>
      <c r="U62" s="23"/>
      <c r="V62" s="24"/>
      <c r="W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" hidden="false" customHeight="true" outlineLevel="0" collapsed="false">
      <c r="A63" s="15" t="s">
        <v>52</v>
      </c>
      <c r="B63" s="16" t="s">
        <v>24</v>
      </c>
      <c r="C63" s="16"/>
      <c r="D63" s="17"/>
      <c r="E63" s="17"/>
      <c r="F63" s="15" t="s">
        <v>323</v>
      </c>
      <c r="G63" s="15" t="s">
        <v>324</v>
      </c>
      <c r="H63" s="16" t="s">
        <v>167</v>
      </c>
      <c r="I63" s="19" t="n">
        <v>0</v>
      </c>
      <c r="J63" s="20" t="n">
        <v>0.0776</v>
      </c>
      <c r="K63" s="20" t="n">
        <v>0.0022</v>
      </c>
      <c r="L63" s="20" t="n">
        <v>0.0075</v>
      </c>
      <c r="M63" s="20" t="n">
        <v>0</v>
      </c>
      <c r="N63" s="20" t="n">
        <f aca="false">+O63*(1.75)</f>
        <v>0.0749</v>
      </c>
      <c r="O63" s="21" t="n">
        <v>0.0428</v>
      </c>
      <c r="P63" s="20" t="n">
        <f aca="false">SUM(I63:N63)</f>
        <v>0.1622</v>
      </c>
      <c r="Q63" s="22"/>
      <c r="R63" s="16"/>
      <c r="S63" s="161"/>
      <c r="T63" s="125"/>
      <c r="U63" s="23"/>
      <c r="V63" s="24"/>
      <c r="W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" hidden="false" customHeight="true" outlineLevel="0" collapsed="false">
      <c r="A64" s="15" t="s">
        <v>325</v>
      </c>
      <c r="B64" s="16" t="s">
        <v>24</v>
      </c>
      <c r="C64" s="16" t="s">
        <v>149</v>
      </c>
      <c r="D64" s="17" t="n">
        <v>36526</v>
      </c>
      <c r="E64" s="17" t="n">
        <v>36556</v>
      </c>
      <c r="F64" s="15" t="s">
        <v>312</v>
      </c>
      <c r="G64" s="15" t="n">
        <v>3</v>
      </c>
      <c r="H64" s="16" t="s">
        <v>167</v>
      </c>
      <c r="I64" s="19" t="n">
        <v>0</v>
      </c>
      <c r="J64" s="20" t="n">
        <v>0.135</v>
      </c>
      <c r="K64" s="20" t="n">
        <v>0</v>
      </c>
      <c r="L64" s="20" t="n">
        <v>0</v>
      </c>
      <c r="M64" s="20" t="n">
        <v>0</v>
      </c>
      <c r="N64" s="20" t="n">
        <f aca="false">+O64*(1.75)</f>
        <v>0.087325</v>
      </c>
      <c r="O64" s="21" t="n">
        <v>0.0499</v>
      </c>
      <c r="P64" s="20" t="n">
        <f aca="false">SUM(I64:N64)</f>
        <v>0.222325</v>
      </c>
      <c r="Q64" s="22" t="n">
        <v>3905</v>
      </c>
      <c r="R64" s="16"/>
      <c r="S64" s="161"/>
      <c r="T64" s="125" t="n">
        <f aca="false">I64*$I$1*R64</f>
        <v>0</v>
      </c>
      <c r="U64" s="23"/>
      <c r="V64" s="24"/>
      <c r="W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" hidden="false" customHeight="true" outlineLevel="0" collapsed="false">
      <c r="A65" s="38" t="s">
        <v>309</v>
      </c>
      <c r="B65" s="75" t="s">
        <v>24</v>
      </c>
      <c r="C65" s="75" t="s">
        <v>149</v>
      </c>
      <c r="D65" s="76" t="n">
        <v>36647</v>
      </c>
      <c r="E65" s="76" t="n">
        <v>36677</v>
      </c>
      <c r="F65" s="38" t="s">
        <v>326</v>
      </c>
      <c r="G65" s="38" t="s">
        <v>319</v>
      </c>
      <c r="H65" s="75" t="s">
        <v>160</v>
      </c>
      <c r="I65" s="77"/>
      <c r="J65" s="78"/>
      <c r="K65" s="78"/>
      <c r="L65" s="78"/>
      <c r="M65" s="78"/>
      <c r="N65" s="78"/>
      <c r="O65" s="162"/>
      <c r="P65" s="78"/>
      <c r="Q65" s="80" t="n">
        <v>33575</v>
      </c>
      <c r="R65" s="75" t="n">
        <v>5265</v>
      </c>
      <c r="S65" s="163" t="s">
        <v>327</v>
      </c>
      <c r="T65" s="164" t="n">
        <v>0</v>
      </c>
      <c r="U65" s="81"/>
      <c r="V65" s="83" t="n">
        <v>256223</v>
      </c>
      <c r="W65" s="83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  <c r="IW65" s="84"/>
    </row>
    <row r="66" customFormat="false" ht="12" hidden="false" customHeight="true" outlineLevel="0" collapsed="false">
      <c r="A66" s="38" t="s">
        <v>309</v>
      </c>
      <c r="B66" s="75" t="s">
        <v>24</v>
      </c>
      <c r="C66" s="75" t="s">
        <v>149</v>
      </c>
      <c r="D66" s="76" t="n">
        <v>36647</v>
      </c>
      <c r="E66" s="76" t="n">
        <v>36677</v>
      </c>
      <c r="F66" s="38" t="s">
        <v>326</v>
      </c>
      <c r="G66" s="38" t="s">
        <v>319</v>
      </c>
      <c r="H66" s="75" t="s">
        <v>160</v>
      </c>
      <c r="I66" s="77"/>
      <c r="J66" s="78"/>
      <c r="K66" s="78"/>
      <c r="L66" s="78"/>
      <c r="M66" s="78"/>
      <c r="N66" s="78"/>
      <c r="O66" s="162"/>
      <c r="P66" s="78"/>
      <c r="Q66" s="80" t="n">
        <v>33550</v>
      </c>
      <c r="R66" s="75" t="n">
        <v>5000</v>
      </c>
      <c r="S66" s="163" t="s">
        <v>328</v>
      </c>
      <c r="T66" s="164" t="n">
        <v>0</v>
      </c>
      <c r="U66" s="81"/>
      <c r="V66" s="83" t="n">
        <v>256088</v>
      </c>
      <c r="W66" s="83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</row>
    <row r="68" customFormat="false" ht="12" hidden="false" customHeight="true" outlineLevel="0" collapsed="false">
      <c r="A68" s="15"/>
      <c r="B68" s="16"/>
      <c r="C68" s="16"/>
      <c r="D68" s="17"/>
      <c r="E68" s="17"/>
      <c r="F68" s="15"/>
      <c r="G68" s="15"/>
      <c r="H68" s="16"/>
      <c r="I68" s="19"/>
      <c r="J68" s="20"/>
      <c r="K68" s="20"/>
      <c r="L68" s="20"/>
      <c r="M68" s="20"/>
      <c r="N68" s="20"/>
      <c r="O68" s="21"/>
      <c r="P68" s="20"/>
      <c r="Q68" s="22"/>
      <c r="R68" s="16"/>
      <c r="S68" s="161"/>
      <c r="T68" s="125"/>
      <c r="U68" s="23"/>
      <c r="V68" s="24"/>
      <c r="W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" hidden="false" customHeight="true" outlineLevel="0" collapsed="false">
      <c r="A69" s="15"/>
      <c r="B69" s="16"/>
      <c r="C69" s="16"/>
      <c r="D69" s="17"/>
      <c r="E69" s="17"/>
      <c r="F69" s="15"/>
      <c r="G69" s="15"/>
      <c r="H69" s="16"/>
      <c r="I69" s="19"/>
      <c r="J69" s="20"/>
      <c r="K69" s="20"/>
      <c r="L69" s="20"/>
      <c r="M69" s="20"/>
      <c r="N69" s="20"/>
      <c r="O69" s="21"/>
      <c r="P69" s="20"/>
      <c r="Q69" s="22"/>
      <c r="R69" s="16"/>
      <c r="S69" s="161"/>
      <c r="T69" s="125"/>
      <c r="U69" s="23"/>
      <c r="V69" s="24"/>
      <c r="W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" hidden="false" customHeight="true" outlineLevel="0" collapsed="false">
      <c r="A70" s="15"/>
      <c r="B70" s="16"/>
      <c r="C70" s="16"/>
      <c r="D70" s="17"/>
      <c r="E70" s="17"/>
      <c r="F70" s="15"/>
      <c r="G70" s="15"/>
      <c r="H70" s="16"/>
      <c r="I70" s="19"/>
      <c r="J70" s="20"/>
      <c r="K70" s="20"/>
      <c r="L70" s="20"/>
      <c r="M70" s="20"/>
      <c r="N70" s="20"/>
      <c r="O70" s="21"/>
      <c r="P70" s="20"/>
      <c r="Q70" s="22"/>
      <c r="R70" s="16"/>
      <c r="S70" s="161"/>
      <c r="T70" s="125"/>
      <c r="U70" s="23"/>
      <c r="V70" s="24"/>
      <c r="W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3.5" hidden="false" customHeight="true" outlineLevel="0" collapsed="false">
      <c r="A71" s="15" t="s">
        <v>267</v>
      </c>
      <c r="B71" s="16" t="s">
        <v>287</v>
      </c>
      <c r="C71" s="16" t="s">
        <v>269</v>
      </c>
      <c r="D71" s="17" t="n">
        <v>36526</v>
      </c>
      <c r="E71" s="17" t="n">
        <v>36556</v>
      </c>
      <c r="F71" s="15" t="s">
        <v>312</v>
      </c>
      <c r="G71" s="15" t="s">
        <v>329</v>
      </c>
      <c r="H71" s="16"/>
      <c r="I71" s="19" t="n">
        <v>0.2216</v>
      </c>
      <c r="J71" s="20" t="n">
        <v>0.0669</v>
      </c>
      <c r="K71" s="20" t="n">
        <v>0.0022</v>
      </c>
      <c r="L71" s="20" t="n">
        <v>0</v>
      </c>
      <c r="M71" s="20" t="n">
        <v>0</v>
      </c>
      <c r="N71" s="20" t="n">
        <f aca="false">+O71*2.2</f>
        <v>0.05368</v>
      </c>
      <c r="O71" s="21" t="n">
        <v>0.0244</v>
      </c>
      <c r="P71" s="20" t="n">
        <f aca="false">SUM(I71:N71)</f>
        <v>0.34438</v>
      </c>
      <c r="Q71" s="22"/>
      <c r="R71" s="16" t="n">
        <v>4581</v>
      </c>
      <c r="S71" s="15"/>
      <c r="T71" s="145" t="n">
        <f aca="false">I71*I$1*R71</f>
        <v>31469.6376</v>
      </c>
      <c r="U71" s="23"/>
      <c r="V71" s="24"/>
      <c r="W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false" outlineLevel="0" collapsed="false">
      <c r="A72" s="15" t="s">
        <v>267</v>
      </c>
      <c r="B72" s="16" t="s">
        <v>287</v>
      </c>
      <c r="C72" s="16" t="s">
        <v>269</v>
      </c>
      <c r="D72" s="17" t="n">
        <v>36526</v>
      </c>
      <c r="E72" s="17" t="n">
        <v>36556</v>
      </c>
      <c r="F72" s="15" t="s">
        <v>270</v>
      </c>
      <c r="G72" s="15" t="s">
        <v>329</v>
      </c>
      <c r="H72" s="16"/>
      <c r="I72" s="19" t="n">
        <v>0.2216</v>
      </c>
      <c r="J72" s="20" t="n">
        <v>0</v>
      </c>
      <c r="K72" s="20" t="n">
        <v>0</v>
      </c>
      <c r="L72" s="20" t="n">
        <v>0</v>
      </c>
      <c r="M72" s="20" t="n">
        <v>0</v>
      </c>
      <c r="N72" s="20" t="n">
        <f aca="false">+O72*2.2</f>
        <v>0.05368</v>
      </c>
      <c r="O72" s="21" t="n">
        <v>0.0244</v>
      </c>
      <c r="P72" s="20" t="n">
        <f aca="false">SUM(I72:N72)</f>
        <v>0.27528</v>
      </c>
      <c r="Q72" s="22"/>
      <c r="R72" s="16" t="n">
        <v>2500</v>
      </c>
      <c r="S72" s="15"/>
      <c r="T72" s="145" t="n">
        <f aca="false">I72*I$1*R72</f>
        <v>17174</v>
      </c>
      <c r="U72" s="23"/>
      <c r="V72" s="24"/>
      <c r="W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A73" s="15" t="s">
        <v>267</v>
      </c>
      <c r="B73" s="16" t="s">
        <v>287</v>
      </c>
      <c r="C73" s="16" t="s">
        <v>330</v>
      </c>
      <c r="D73" s="17" t="n">
        <v>36526</v>
      </c>
      <c r="E73" s="17" t="n">
        <v>36556</v>
      </c>
      <c r="F73" s="15" t="s">
        <v>270</v>
      </c>
      <c r="G73" s="15" t="s">
        <v>329</v>
      </c>
      <c r="H73" s="16"/>
      <c r="I73" s="19" t="n">
        <v>0.2216</v>
      </c>
      <c r="J73" s="20" t="n">
        <v>0</v>
      </c>
      <c r="K73" s="20" t="n">
        <v>0</v>
      </c>
      <c r="L73" s="20" t="n">
        <v>0</v>
      </c>
      <c r="M73" s="20" t="n">
        <v>0</v>
      </c>
      <c r="N73" s="20" t="n">
        <f aca="false">+O73*2.2</f>
        <v>0.05368</v>
      </c>
      <c r="O73" s="21" t="n">
        <v>0.0244</v>
      </c>
      <c r="P73" s="20" t="n">
        <f aca="false">SUM(I73:N73)</f>
        <v>0.27528</v>
      </c>
      <c r="Q73" s="22" t="n">
        <v>2156</v>
      </c>
      <c r="R73" s="16" t="n">
        <v>3778</v>
      </c>
      <c r="S73" s="15" t="s">
        <v>331</v>
      </c>
      <c r="T73" s="145" t="n">
        <f aca="false">I73*I$1*R73</f>
        <v>25953.3488</v>
      </c>
      <c r="U73" s="23"/>
      <c r="V73" s="24" t="n">
        <v>142767</v>
      </c>
      <c r="W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false" outlineLevel="0" collapsed="false">
      <c r="A74" s="15" t="s">
        <v>267</v>
      </c>
      <c r="B74" s="16" t="s">
        <v>287</v>
      </c>
      <c r="C74" s="16" t="s">
        <v>330</v>
      </c>
      <c r="D74" s="17" t="n">
        <v>36617</v>
      </c>
      <c r="E74" s="17" t="n">
        <v>36646</v>
      </c>
      <c r="F74" s="15" t="s">
        <v>270</v>
      </c>
      <c r="G74" s="15" t="s">
        <v>332</v>
      </c>
      <c r="H74" s="16"/>
      <c r="I74" s="19" t="n">
        <v>0.05</v>
      </c>
      <c r="J74" s="20" t="n">
        <v>0</v>
      </c>
      <c r="K74" s="20" t="n">
        <v>0</v>
      </c>
      <c r="L74" s="20" t="n">
        <v>0</v>
      </c>
      <c r="M74" s="20" t="n">
        <v>0</v>
      </c>
      <c r="N74" s="20" t="n">
        <f aca="false">+O74*2.2</f>
        <v>0.05368</v>
      </c>
      <c r="O74" s="21" t="n">
        <v>0.0244</v>
      </c>
      <c r="P74" s="20" t="n">
        <f aca="false">SUM(I74:N74)</f>
        <v>0.10368</v>
      </c>
      <c r="Q74" s="22" t="n">
        <v>2156</v>
      </c>
      <c r="R74" s="16" t="n">
        <v>-500</v>
      </c>
      <c r="S74" s="15" t="s">
        <v>331</v>
      </c>
      <c r="T74" s="145" t="n">
        <f aca="false">I74*I$1*R74</f>
        <v>-775</v>
      </c>
      <c r="U74" s="23"/>
      <c r="V74" s="24" t="n">
        <v>228526</v>
      </c>
      <c r="W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false" customHeight="false" outlineLevel="0" collapsed="false">
      <c r="A75" s="165" t="s">
        <v>267</v>
      </c>
      <c r="B75" s="166" t="s">
        <v>287</v>
      </c>
      <c r="C75" s="166" t="s">
        <v>272</v>
      </c>
      <c r="D75" s="167" t="n">
        <v>36526</v>
      </c>
      <c r="E75" s="167" t="n">
        <v>36556</v>
      </c>
      <c r="F75" s="165" t="s">
        <v>270</v>
      </c>
      <c r="G75" s="165" t="s">
        <v>329</v>
      </c>
      <c r="H75" s="166"/>
      <c r="I75" s="168" t="n">
        <v>0.2216</v>
      </c>
      <c r="J75" s="169" t="n">
        <v>0</v>
      </c>
      <c r="K75" s="169" t="n">
        <v>0</v>
      </c>
      <c r="L75" s="169" t="n">
        <v>0</v>
      </c>
      <c r="M75" s="169" t="n">
        <v>0</v>
      </c>
      <c r="N75" s="169" t="n">
        <f aca="false">+O75*2.2</f>
        <v>0.05368</v>
      </c>
      <c r="O75" s="170" t="n">
        <v>0.0244</v>
      </c>
      <c r="P75" s="169" t="n">
        <f aca="false">SUM(I75:N75)</f>
        <v>0.27528</v>
      </c>
      <c r="Q75" s="171" t="n">
        <v>1943</v>
      </c>
      <c r="R75" s="166" t="n">
        <v>359</v>
      </c>
      <c r="S75" s="165" t="s">
        <v>333</v>
      </c>
      <c r="T75" s="172" t="n">
        <f aca="false">I75*I$1*R75</f>
        <v>2466.1864</v>
      </c>
      <c r="U75" s="173"/>
      <c r="V75" s="174" t="n">
        <v>142636</v>
      </c>
      <c r="W75" s="174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  <c r="CH75" s="175"/>
      <c r="CI75" s="175"/>
      <c r="CJ75" s="175"/>
      <c r="CK75" s="175"/>
      <c r="CL75" s="175"/>
      <c r="CM75" s="175"/>
      <c r="CN75" s="175"/>
      <c r="CO75" s="175"/>
      <c r="CP75" s="175"/>
      <c r="CQ75" s="175"/>
      <c r="CR75" s="175"/>
      <c r="CS75" s="175"/>
      <c r="CT75" s="175"/>
      <c r="CU75" s="175"/>
      <c r="CV75" s="175"/>
      <c r="CW75" s="175"/>
      <c r="CX75" s="175"/>
      <c r="CY75" s="175"/>
      <c r="CZ75" s="175"/>
      <c r="DA75" s="175"/>
      <c r="DB75" s="175"/>
      <c r="DC75" s="175"/>
      <c r="DD75" s="175"/>
      <c r="DE75" s="175"/>
      <c r="DF75" s="175"/>
      <c r="DG75" s="175"/>
      <c r="DH75" s="175"/>
      <c r="DI75" s="175"/>
      <c r="DJ75" s="175"/>
      <c r="DK75" s="175"/>
      <c r="DL75" s="175"/>
      <c r="DM75" s="175"/>
      <c r="DN75" s="175"/>
      <c r="DO75" s="175"/>
      <c r="DP75" s="175"/>
      <c r="DQ75" s="175"/>
      <c r="DR75" s="175"/>
      <c r="DS75" s="175"/>
      <c r="DT75" s="175"/>
      <c r="DU75" s="175"/>
      <c r="DV75" s="175"/>
      <c r="DW75" s="175"/>
      <c r="DX75" s="175"/>
      <c r="DY75" s="175"/>
      <c r="DZ75" s="175"/>
      <c r="EA75" s="175"/>
      <c r="EB75" s="175"/>
      <c r="EC75" s="175"/>
      <c r="ED75" s="175"/>
      <c r="EE75" s="175"/>
      <c r="EF75" s="175"/>
      <c r="EG75" s="175"/>
      <c r="EH75" s="175"/>
      <c r="EI75" s="175"/>
      <c r="EJ75" s="175"/>
      <c r="EK75" s="175"/>
      <c r="EL75" s="175"/>
      <c r="EM75" s="175"/>
      <c r="EN75" s="175"/>
      <c r="EO75" s="175"/>
      <c r="EP75" s="175"/>
      <c r="EQ75" s="175"/>
      <c r="ER75" s="175"/>
      <c r="ES75" s="175"/>
      <c r="ET75" s="175"/>
      <c r="EU75" s="175"/>
      <c r="EV75" s="175"/>
      <c r="EW75" s="175"/>
      <c r="EX75" s="175"/>
      <c r="EY75" s="175"/>
      <c r="EZ75" s="175"/>
      <c r="FA75" s="175"/>
      <c r="FB75" s="175"/>
      <c r="FC75" s="175"/>
      <c r="FD75" s="175"/>
      <c r="FE75" s="175"/>
      <c r="FF75" s="175"/>
      <c r="FG75" s="175"/>
      <c r="FH75" s="175"/>
      <c r="FI75" s="175"/>
      <c r="FJ75" s="175"/>
      <c r="FK75" s="175"/>
      <c r="FL75" s="175"/>
      <c r="FM75" s="175"/>
      <c r="FN75" s="175"/>
      <c r="FO75" s="175"/>
      <c r="FP75" s="175"/>
      <c r="FQ75" s="175"/>
      <c r="FR75" s="175"/>
      <c r="FS75" s="175"/>
      <c r="FT75" s="175"/>
      <c r="FU75" s="175"/>
      <c r="FV75" s="175"/>
      <c r="FW75" s="175"/>
      <c r="FX75" s="175"/>
      <c r="FY75" s="175"/>
      <c r="FZ75" s="175"/>
      <c r="GA75" s="175"/>
      <c r="GB75" s="175"/>
      <c r="GC75" s="175"/>
      <c r="GD75" s="175"/>
      <c r="GE75" s="175"/>
      <c r="GF75" s="175"/>
      <c r="GG75" s="175"/>
      <c r="GH75" s="175"/>
      <c r="GI75" s="175"/>
      <c r="GJ75" s="175"/>
      <c r="GK75" s="175"/>
      <c r="GL75" s="175"/>
      <c r="GM75" s="175"/>
      <c r="GN75" s="175"/>
      <c r="GO75" s="175"/>
      <c r="GP75" s="175"/>
      <c r="GQ75" s="175"/>
      <c r="GR75" s="175"/>
      <c r="GS75" s="175"/>
      <c r="GT75" s="175"/>
      <c r="GU75" s="175"/>
      <c r="GV75" s="175"/>
      <c r="GW75" s="175"/>
      <c r="GX75" s="175"/>
      <c r="GY75" s="175"/>
      <c r="GZ75" s="175"/>
      <c r="HA75" s="175"/>
      <c r="HB75" s="175"/>
      <c r="HC75" s="175"/>
      <c r="HD75" s="175"/>
      <c r="HE75" s="175"/>
      <c r="HF75" s="175"/>
      <c r="HG75" s="175"/>
      <c r="HH75" s="175"/>
      <c r="HI75" s="175"/>
      <c r="HJ75" s="175"/>
      <c r="HK75" s="175"/>
      <c r="HL75" s="175"/>
      <c r="HM75" s="175"/>
      <c r="HN75" s="175"/>
      <c r="HO75" s="175"/>
      <c r="HP75" s="175"/>
      <c r="HQ75" s="175"/>
      <c r="HR75" s="175"/>
      <c r="HS75" s="175"/>
      <c r="HT75" s="175"/>
      <c r="HU75" s="175"/>
      <c r="HV75" s="175"/>
      <c r="HW75" s="175"/>
      <c r="HX75" s="175"/>
      <c r="HY75" s="175"/>
      <c r="HZ75" s="175"/>
      <c r="IA75" s="175"/>
      <c r="IB75" s="175"/>
      <c r="IC75" s="175"/>
      <c r="ID75" s="175"/>
      <c r="IE75" s="175"/>
      <c r="IF75" s="175"/>
      <c r="IG75" s="175"/>
      <c r="IH75" s="175"/>
      <c r="II75" s="175"/>
      <c r="IJ75" s="175"/>
      <c r="IK75" s="175"/>
      <c r="IL75" s="175"/>
      <c r="IM75" s="175"/>
      <c r="IN75" s="175"/>
      <c r="IO75" s="175"/>
      <c r="IP75" s="175"/>
      <c r="IQ75" s="175"/>
      <c r="IR75" s="175"/>
      <c r="IS75" s="175"/>
      <c r="IT75" s="175"/>
      <c r="IU75" s="175"/>
      <c r="IV75" s="175"/>
      <c r="IW75" s="175"/>
    </row>
    <row r="76" customFormat="false" ht="12.75" hidden="false" customHeight="false" outlineLevel="0" collapsed="false">
      <c r="A76" s="15" t="s">
        <v>267</v>
      </c>
      <c r="B76" s="16" t="s">
        <v>287</v>
      </c>
      <c r="C76" s="16" t="s">
        <v>273</v>
      </c>
      <c r="D76" s="17" t="n">
        <v>36526</v>
      </c>
      <c r="E76" s="17" t="n">
        <v>36556</v>
      </c>
      <c r="F76" s="15" t="s">
        <v>270</v>
      </c>
      <c r="G76" s="15" t="s">
        <v>329</v>
      </c>
      <c r="H76" s="16"/>
      <c r="I76" s="19" t="n">
        <v>0.2216</v>
      </c>
      <c r="J76" s="20" t="n">
        <v>0</v>
      </c>
      <c r="K76" s="20" t="n">
        <v>0</v>
      </c>
      <c r="L76" s="20" t="n">
        <v>0</v>
      </c>
      <c r="M76" s="20" t="n">
        <v>0</v>
      </c>
      <c r="N76" s="20" t="n">
        <f aca="false">+O76*2.2</f>
        <v>0.05368</v>
      </c>
      <c r="O76" s="21" t="n">
        <v>0.0244</v>
      </c>
      <c r="P76" s="20" t="n">
        <f aca="false">SUM(I76:N76)</f>
        <v>0.27528</v>
      </c>
      <c r="Q76" s="22" t="n">
        <v>248</v>
      </c>
      <c r="R76" s="16" t="n">
        <v>6000</v>
      </c>
      <c r="S76" s="15"/>
      <c r="T76" s="145" t="n">
        <f aca="false">I76*I$1*R76</f>
        <v>41217.6</v>
      </c>
      <c r="U76" s="23"/>
      <c r="V76" s="24" t="n">
        <v>142568</v>
      </c>
      <c r="W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5" t="s">
        <v>267</v>
      </c>
      <c r="B77" s="16" t="s">
        <v>287</v>
      </c>
      <c r="C77" s="16" t="s">
        <v>273</v>
      </c>
      <c r="D77" s="17" t="n">
        <v>36526</v>
      </c>
      <c r="E77" s="17" t="n">
        <v>36556</v>
      </c>
      <c r="F77" s="15" t="s">
        <v>270</v>
      </c>
      <c r="G77" s="15" t="s">
        <v>329</v>
      </c>
      <c r="H77" s="16"/>
      <c r="I77" s="19" t="n">
        <v>0.2216</v>
      </c>
      <c r="J77" s="20" t="n">
        <v>0</v>
      </c>
      <c r="K77" s="20" t="n">
        <v>0</v>
      </c>
      <c r="L77" s="20" t="n">
        <v>0</v>
      </c>
      <c r="M77" s="20" t="n">
        <v>0</v>
      </c>
      <c r="N77" s="20" t="n">
        <f aca="false">+O77*2.2</f>
        <v>0.05368</v>
      </c>
      <c r="O77" s="21" t="n">
        <v>0.0244</v>
      </c>
      <c r="P77" s="20" t="n">
        <f aca="false">SUM(I77:N77)</f>
        <v>0.27528</v>
      </c>
      <c r="Q77" s="22" t="n">
        <v>250</v>
      </c>
      <c r="R77" s="16" t="n">
        <v>5400</v>
      </c>
      <c r="S77" s="15"/>
      <c r="T77" s="145" t="n">
        <f aca="false">I77*I$1*R77</f>
        <v>37095.84</v>
      </c>
      <c r="U77" s="23"/>
      <c r="V77" s="24" t="n">
        <v>142585</v>
      </c>
      <c r="W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15" t="s">
        <v>267</v>
      </c>
      <c r="B78" s="16" t="s">
        <v>287</v>
      </c>
      <c r="C78" s="16" t="s">
        <v>273</v>
      </c>
      <c r="D78" s="17" t="n">
        <v>36526</v>
      </c>
      <c r="E78" s="17" t="n">
        <v>36556</v>
      </c>
      <c r="F78" s="15" t="s">
        <v>270</v>
      </c>
      <c r="G78" s="15" t="s">
        <v>329</v>
      </c>
      <c r="H78" s="16"/>
      <c r="I78" s="19" t="n">
        <v>0.2216</v>
      </c>
      <c r="J78" s="20" t="n">
        <v>0</v>
      </c>
      <c r="K78" s="20" t="n">
        <v>0</v>
      </c>
      <c r="L78" s="20" t="n">
        <v>0</v>
      </c>
      <c r="M78" s="20" t="n">
        <v>0</v>
      </c>
      <c r="N78" s="20" t="n">
        <f aca="false">+O78*2.2</f>
        <v>0.05368</v>
      </c>
      <c r="O78" s="21" t="n">
        <v>0.0244</v>
      </c>
      <c r="P78" s="20" t="n">
        <f aca="false">SUM(I78:N78)</f>
        <v>0.27528</v>
      </c>
      <c r="Q78" s="22" t="n">
        <v>495</v>
      </c>
      <c r="R78" s="16" t="n">
        <v>1371</v>
      </c>
      <c r="S78" s="15"/>
      <c r="T78" s="145" t="n">
        <f aca="false">I78*I$1*R78</f>
        <v>9418.2216</v>
      </c>
      <c r="U78" s="23"/>
      <c r="V78" s="24" t="n">
        <v>142595</v>
      </c>
      <c r="W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5" t="s">
        <v>267</v>
      </c>
      <c r="B79" s="16" t="s">
        <v>287</v>
      </c>
      <c r="C79" s="16" t="s">
        <v>273</v>
      </c>
      <c r="D79" s="17" t="n">
        <v>36526</v>
      </c>
      <c r="E79" s="17" t="n">
        <v>36556</v>
      </c>
      <c r="F79" s="15" t="s">
        <v>270</v>
      </c>
      <c r="G79" s="15" t="s">
        <v>329</v>
      </c>
      <c r="H79" s="16"/>
      <c r="I79" s="19" t="n">
        <v>0.2216</v>
      </c>
      <c r="J79" s="20" t="n">
        <v>0</v>
      </c>
      <c r="K79" s="20" t="n">
        <v>0</v>
      </c>
      <c r="L79" s="20" t="n">
        <v>0</v>
      </c>
      <c r="M79" s="20" t="n">
        <v>0</v>
      </c>
      <c r="N79" s="20" t="n">
        <f aca="false">+O79*2.2</f>
        <v>0.05368</v>
      </c>
      <c r="O79" s="21" t="n">
        <v>0.0244</v>
      </c>
      <c r="P79" s="20" t="n">
        <f aca="false">SUM(I79:N79)</f>
        <v>0.27528</v>
      </c>
      <c r="Q79" s="22" t="n">
        <v>497</v>
      </c>
      <c r="R79" s="16" t="n">
        <v>9273</v>
      </c>
      <c r="S79" s="15"/>
      <c r="T79" s="145" t="n">
        <f aca="false">I79*I$1*R79</f>
        <v>63701.8008</v>
      </c>
      <c r="U79" s="23"/>
      <c r="V79" s="24" t="n">
        <v>142601</v>
      </c>
      <c r="W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15" t="s">
        <v>267</v>
      </c>
      <c r="B80" s="16" t="s">
        <v>287</v>
      </c>
      <c r="C80" s="16" t="s">
        <v>273</v>
      </c>
      <c r="D80" s="17" t="n">
        <v>36526</v>
      </c>
      <c r="E80" s="17" t="n">
        <v>36556</v>
      </c>
      <c r="F80" s="15" t="s">
        <v>270</v>
      </c>
      <c r="G80" s="15" t="s">
        <v>329</v>
      </c>
      <c r="H80" s="16"/>
      <c r="I80" s="19" t="n">
        <v>0.2216</v>
      </c>
      <c r="J80" s="20" t="n">
        <v>0</v>
      </c>
      <c r="K80" s="20" t="n">
        <v>0</v>
      </c>
      <c r="L80" s="20" t="n">
        <v>0</v>
      </c>
      <c r="M80" s="20" t="n">
        <v>0</v>
      </c>
      <c r="N80" s="20" t="n">
        <f aca="false">+O80*2.2</f>
        <v>0.05368</v>
      </c>
      <c r="O80" s="21" t="n">
        <v>0.0244</v>
      </c>
      <c r="P80" s="20" t="n">
        <f aca="false">SUM(I80:N80)</f>
        <v>0.27528</v>
      </c>
      <c r="Q80" s="22" t="n">
        <v>2042</v>
      </c>
      <c r="R80" s="16" t="n">
        <v>1690</v>
      </c>
      <c r="S80" s="15"/>
      <c r="T80" s="145" t="n">
        <f aca="false">I80*I$1*R80</f>
        <v>11609.624</v>
      </c>
      <c r="U80" s="23"/>
      <c r="V80" s="24" t="n">
        <v>142604</v>
      </c>
      <c r="W80" s="24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15" t="s">
        <v>267</v>
      </c>
      <c r="B81" s="16" t="s">
        <v>287</v>
      </c>
      <c r="C81" s="16" t="s">
        <v>273</v>
      </c>
      <c r="D81" s="17" t="n">
        <v>36526</v>
      </c>
      <c r="E81" s="17" t="n">
        <v>36556</v>
      </c>
      <c r="F81" s="15" t="s">
        <v>270</v>
      </c>
      <c r="G81" s="15" t="s">
        <v>329</v>
      </c>
      <c r="H81" s="16"/>
      <c r="I81" s="19" t="n">
        <v>0.2216</v>
      </c>
      <c r="J81" s="20" t="n">
        <v>0</v>
      </c>
      <c r="K81" s="20" t="n">
        <v>0</v>
      </c>
      <c r="L81" s="20" t="n">
        <v>0</v>
      </c>
      <c r="M81" s="20" t="n">
        <v>0</v>
      </c>
      <c r="N81" s="20" t="n">
        <f aca="false">+O81*2.2</f>
        <v>0.05368</v>
      </c>
      <c r="O81" s="21" t="n">
        <v>0.0244</v>
      </c>
      <c r="P81" s="20" t="n">
        <f aca="false">SUM(I81:N81)</f>
        <v>0.27528</v>
      </c>
      <c r="Q81" s="22" t="n">
        <v>23091</v>
      </c>
      <c r="R81" s="16" t="n">
        <v>2500</v>
      </c>
      <c r="S81" s="15"/>
      <c r="T81" s="145" t="n">
        <f aca="false">I81*I$1*R81</f>
        <v>17174</v>
      </c>
      <c r="U81" s="23"/>
      <c r="V81" s="24" t="n">
        <v>142606</v>
      </c>
      <c r="W81" s="24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5" t="s">
        <v>267</v>
      </c>
      <c r="B82" s="16" t="s">
        <v>287</v>
      </c>
      <c r="C82" s="16" t="s">
        <v>273</v>
      </c>
      <c r="D82" s="17" t="n">
        <v>36526</v>
      </c>
      <c r="E82" s="17" t="n">
        <v>36556</v>
      </c>
      <c r="F82" s="15" t="s">
        <v>270</v>
      </c>
      <c r="G82" s="15" t="s">
        <v>329</v>
      </c>
      <c r="H82" s="16"/>
      <c r="I82" s="19" t="n">
        <v>0.2216</v>
      </c>
      <c r="J82" s="20" t="n">
        <v>0</v>
      </c>
      <c r="K82" s="20" t="n">
        <v>0</v>
      </c>
      <c r="L82" s="20" t="n">
        <v>0</v>
      </c>
      <c r="M82" s="20" t="n">
        <v>0</v>
      </c>
      <c r="N82" s="20" t="n">
        <f aca="false">+O82*2.2</f>
        <v>0.05368</v>
      </c>
      <c r="O82" s="21" t="n">
        <v>0.0244</v>
      </c>
      <c r="P82" s="20" t="n">
        <f aca="false">SUM(I82:N82)</f>
        <v>0.27528</v>
      </c>
      <c r="Q82" s="22"/>
      <c r="R82" s="16" t="n">
        <v>0</v>
      </c>
      <c r="S82" s="15"/>
      <c r="T82" s="145" t="n">
        <f aca="false">I82*I$1*R82</f>
        <v>0</v>
      </c>
      <c r="U82" s="23"/>
      <c r="V82" s="24"/>
      <c r="W82" s="24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15" t="s">
        <v>267</v>
      </c>
      <c r="B83" s="16" t="s">
        <v>287</v>
      </c>
      <c r="C83" s="16" t="s">
        <v>273</v>
      </c>
      <c r="D83" s="17" t="n">
        <v>36526</v>
      </c>
      <c r="E83" s="17" t="n">
        <v>36556</v>
      </c>
      <c r="F83" s="15" t="s">
        <v>270</v>
      </c>
      <c r="G83" s="15" t="s">
        <v>329</v>
      </c>
      <c r="H83" s="16"/>
      <c r="I83" s="19" t="n">
        <v>0.2216</v>
      </c>
      <c r="J83" s="20" t="n">
        <v>0</v>
      </c>
      <c r="K83" s="20" t="n">
        <v>0</v>
      </c>
      <c r="L83" s="20" t="n">
        <v>0</v>
      </c>
      <c r="M83" s="20" t="n">
        <v>0</v>
      </c>
      <c r="N83" s="20" t="n">
        <f aca="false">+O83*2.2</f>
        <v>0.05368</v>
      </c>
      <c r="O83" s="21" t="n">
        <v>0.0244</v>
      </c>
      <c r="P83" s="20" t="n">
        <f aca="false">SUM(I83:N83)</f>
        <v>0.27528</v>
      </c>
      <c r="Q83" s="22"/>
      <c r="R83" s="16" t="n">
        <v>0</v>
      </c>
      <c r="S83" s="15"/>
      <c r="T83" s="145" t="n">
        <f aca="false">I83*I$1*R83</f>
        <v>0</v>
      </c>
      <c r="U83" s="23"/>
      <c r="V83" s="24"/>
      <c r="W83" s="24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15" t="s">
        <v>267</v>
      </c>
      <c r="B84" s="16" t="s">
        <v>287</v>
      </c>
      <c r="C84" s="16" t="s">
        <v>274</v>
      </c>
      <c r="D84" s="17" t="n">
        <v>36526</v>
      </c>
      <c r="E84" s="17" t="n">
        <v>36556</v>
      </c>
      <c r="F84" s="15" t="s">
        <v>270</v>
      </c>
      <c r="G84" s="15" t="s">
        <v>329</v>
      </c>
      <c r="H84" s="16"/>
      <c r="I84" s="19" t="n">
        <v>0.2216</v>
      </c>
      <c r="J84" s="20" t="n">
        <v>0</v>
      </c>
      <c r="K84" s="20" t="n">
        <v>0</v>
      </c>
      <c r="L84" s="20" t="n">
        <v>0</v>
      </c>
      <c r="M84" s="20" t="n">
        <v>0</v>
      </c>
      <c r="N84" s="20" t="n">
        <f aca="false">+O84*2.2</f>
        <v>0.05368</v>
      </c>
      <c r="O84" s="21" t="n">
        <v>0.0244</v>
      </c>
      <c r="P84" s="20" t="n">
        <f aca="false">SUM(I84:N84)</f>
        <v>0.27528</v>
      </c>
      <c r="Q84" s="22" t="n">
        <v>504</v>
      </c>
      <c r="R84" s="16" t="n">
        <v>28970</v>
      </c>
      <c r="S84" s="15"/>
      <c r="T84" s="145" t="n">
        <f aca="false">I84*I$1*R84</f>
        <v>199012.312</v>
      </c>
      <c r="U84" s="23"/>
      <c r="V84" s="24" t="n">
        <v>142770</v>
      </c>
      <c r="W84" s="24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15" t="s">
        <v>267</v>
      </c>
      <c r="B85" s="16" t="s">
        <v>287</v>
      </c>
      <c r="C85" s="16" t="s">
        <v>274</v>
      </c>
      <c r="D85" s="17" t="n">
        <v>36526</v>
      </c>
      <c r="E85" s="17" t="n">
        <v>36556</v>
      </c>
      <c r="F85" s="15" t="s">
        <v>270</v>
      </c>
      <c r="G85" s="15" t="s">
        <v>329</v>
      </c>
      <c r="H85" s="16"/>
      <c r="I85" s="19" t="n">
        <v>0.2216</v>
      </c>
      <c r="J85" s="20" t="n">
        <v>0</v>
      </c>
      <c r="K85" s="20" t="n">
        <v>0</v>
      </c>
      <c r="L85" s="20" t="n">
        <v>0</v>
      </c>
      <c r="M85" s="20" t="n">
        <v>0</v>
      </c>
      <c r="N85" s="20" t="n">
        <f aca="false">+O85*2.2</f>
        <v>0.05368</v>
      </c>
      <c r="O85" s="21" t="n">
        <v>0.0244</v>
      </c>
      <c r="P85" s="20" t="n">
        <f aca="false">SUM(I85:N85)</f>
        <v>0.27528</v>
      </c>
      <c r="Q85" s="22" t="n">
        <v>507</v>
      </c>
      <c r="R85" s="16" t="n">
        <v>4284</v>
      </c>
      <c r="S85" s="15"/>
      <c r="T85" s="145" t="n">
        <f aca="false">I85*I$1*R85</f>
        <v>29429.3664</v>
      </c>
      <c r="U85" s="23"/>
      <c r="V85" s="24" t="n">
        <v>142775</v>
      </c>
      <c r="W85" s="24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5" t="s">
        <v>334</v>
      </c>
      <c r="B86" s="16" t="s">
        <v>287</v>
      </c>
      <c r="C86" s="16" t="s">
        <v>274</v>
      </c>
      <c r="D86" s="17" t="n">
        <v>36651</v>
      </c>
      <c r="E86" s="17" t="n">
        <v>36830</v>
      </c>
      <c r="F86" s="15" t="n">
        <v>500</v>
      </c>
      <c r="G86" s="15" t="n">
        <v>2037</v>
      </c>
      <c r="H86" s="16"/>
      <c r="I86" s="19" t="n">
        <f aca="false">5.37/I1</f>
        <v>0.173225806451613</v>
      </c>
      <c r="J86" s="20"/>
      <c r="K86" s="20"/>
      <c r="L86" s="20"/>
      <c r="M86" s="20"/>
      <c r="N86" s="20"/>
      <c r="O86" s="21"/>
      <c r="P86" s="20"/>
      <c r="Q86" s="22"/>
      <c r="R86" s="16" t="n">
        <v>-1</v>
      </c>
      <c r="S86" s="15"/>
      <c r="T86" s="145" t="n">
        <f aca="false">I86*I$1*R86</f>
        <v>-5.37</v>
      </c>
      <c r="U86" s="23"/>
      <c r="V86" s="24" t="n">
        <v>260848</v>
      </c>
      <c r="W86" s="24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5" t="s">
        <v>267</v>
      </c>
      <c r="B87" s="16" t="s">
        <v>287</v>
      </c>
      <c r="C87" s="16" t="s">
        <v>274</v>
      </c>
      <c r="D87" s="17" t="n">
        <v>36526</v>
      </c>
      <c r="E87" s="17" t="n">
        <v>36556</v>
      </c>
      <c r="F87" s="15" t="s">
        <v>270</v>
      </c>
      <c r="G87" s="15" t="s">
        <v>329</v>
      </c>
      <c r="H87" s="16"/>
      <c r="I87" s="19" t="n">
        <v>0.2216</v>
      </c>
      <c r="J87" s="20" t="n">
        <v>0</v>
      </c>
      <c r="K87" s="20" t="n">
        <v>0</v>
      </c>
      <c r="L87" s="20" t="n">
        <v>0</v>
      </c>
      <c r="M87" s="20" t="n">
        <v>0</v>
      </c>
      <c r="N87" s="20" t="n">
        <f aca="false">+O87*2.2</f>
        <v>0.05368</v>
      </c>
      <c r="O87" s="21" t="n">
        <v>0.0244</v>
      </c>
      <c r="P87" s="20" t="n">
        <f aca="false">SUM(I87:N87)</f>
        <v>0.27528</v>
      </c>
      <c r="Q87" s="22" t="n">
        <v>305</v>
      </c>
      <c r="R87" s="16" t="n">
        <v>5281</v>
      </c>
      <c r="S87" s="15"/>
      <c r="T87" s="145" t="n">
        <f aca="false">I87*I$1*R87</f>
        <v>36278.3576</v>
      </c>
      <c r="U87" s="23"/>
      <c r="V87" s="24" t="n">
        <v>142778</v>
      </c>
      <c r="W87" s="24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5" t="s">
        <v>267</v>
      </c>
      <c r="B88" s="16" t="s">
        <v>287</v>
      </c>
      <c r="C88" s="16" t="s">
        <v>274</v>
      </c>
      <c r="D88" s="17" t="n">
        <v>36526</v>
      </c>
      <c r="E88" s="17" t="n">
        <v>36556</v>
      </c>
      <c r="F88" s="15" t="s">
        <v>270</v>
      </c>
      <c r="G88" s="15" t="s">
        <v>329</v>
      </c>
      <c r="H88" s="16"/>
      <c r="I88" s="19" t="n">
        <v>0.2216</v>
      </c>
      <c r="J88" s="20" t="n">
        <v>0</v>
      </c>
      <c r="K88" s="20" t="n">
        <v>0</v>
      </c>
      <c r="L88" s="20" t="n">
        <v>0</v>
      </c>
      <c r="M88" s="20" t="n">
        <v>0</v>
      </c>
      <c r="N88" s="20" t="n">
        <f aca="false">+O88*2.2</f>
        <v>0.05368</v>
      </c>
      <c r="O88" s="21" t="n">
        <v>0.0244</v>
      </c>
      <c r="P88" s="20" t="n">
        <f aca="false">SUM(I88:N88)</f>
        <v>0.27528</v>
      </c>
      <c r="Q88" s="22"/>
      <c r="R88" s="16"/>
      <c r="S88" s="15"/>
      <c r="T88" s="145" t="n">
        <f aca="false">I88*I$1*R88</f>
        <v>0</v>
      </c>
      <c r="U88" s="23"/>
      <c r="V88" s="24"/>
      <c r="W88" s="24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12.75" hidden="false" customHeight="false" outlineLevel="0" collapsed="false">
      <c r="A89" s="15" t="s">
        <v>267</v>
      </c>
      <c r="B89" s="16" t="s">
        <v>287</v>
      </c>
      <c r="C89" s="16" t="s">
        <v>275</v>
      </c>
      <c r="D89" s="17" t="n">
        <v>36526</v>
      </c>
      <c r="E89" s="17" t="n">
        <v>36556</v>
      </c>
      <c r="F89" s="15" t="s">
        <v>270</v>
      </c>
      <c r="G89" s="15" t="s">
        <v>329</v>
      </c>
      <c r="H89" s="16"/>
      <c r="I89" s="19" t="n">
        <v>0.2216</v>
      </c>
      <c r="J89" s="20" t="n">
        <v>0</v>
      </c>
      <c r="K89" s="20" t="n">
        <v>0</v>
      </c>
      <c r="L89" s="20" t="n">
        <v>0</v>
      </c>
      <c r="M89" s="20" t="n">
        <v>0</v>
      </c>
      <c r="N89" s="20" t="n">
        <f aca="false">+O89*2.2</f>
        <v>0.05368</v>
      </c>
      <c r="O89" s="21" t="n">
        <v>0.0244</v>
      </c>
      <c r="P89" s="20" t="n">
        <f aca="false">SUM(I89:N89)</f>
        <v>0.27528</v>
      </c>
      <c r="Q89" s="22"/>
      <c r="R89" s="16"/>
      <c r="S89" s="15"/>
      <c r="T89" s="125"/>
      <c r="U89" s="23"/>
      <c r="V89" s="24"/>
      <c r="W89" s="24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" hidden="false" customHeight="true" outlineLevel="0" collapsed="false">
      <c r="A90" s="15"/>
      <c r="B90" s="16"/>
      <c r="C90" s="16"/>
      <c r="D90" s="17"/>
      <c r="E90" s="17"/>
      <c r="F90" s="15"/>
      <c r="G90" s="15"/>
      <c r="H90" s="16"/>
      <c r="I90" s="19"/>
      <c r="J90" s="20"/>
      <c r="K90" s="20"/>
      <c r="L90" s="20"/>
      <c r="M90" s="20"/>
      <c r="N90" s="20"/>
      <c r="O90" s="21"/>
      <c r="P90" s="20"/>
      <c r="Q90" s="22"/>
      <c r="R90" s="16"/>
      <c r="S90" s="161"/>
      <c r="T90" s="125"/>
      <c r="U90" s="23"/>
      <c r="V90" s="24"/>
      <c r="W90" s="24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12" hidden="false" customHeight="true" outlineLevel="0" collapsed="false">
      <c r="A91" s="15" t="s">
        <v>52</v>
      </c>
      <c r="B91" s="16" t="s">
        <v>335</v>
      </c>
      <c r="C91" s="16" t="s">
        <v>335</v>
      </c>
      <c r="D91" s="17" t="n">
        <v>36465</v>
      </c>
      <c r="E91" s="17" t="n">
        <v>36951</v>
      </c>
      <c r="F91" s="15" t="s">
        <v>336</v>
      </c>
      <c r="G91" s="15" t="s">
        <v>337</v>
      </c>
      <c r="H91" s="16" t="s">
        <v>167</v>
      </c>
      <c r="I91" s="19" t="n">
        <v>0.0753</v>
      </c>
      <c r="J91" s="20" t="n">
        <v>0.0009</v>
      </c>
      <c r="K91" s="20" t="n">
        <v>0.0022</v>
      </c>
      <c r="L91" s="20" t="n">
        <v>0.0075</v>
      </c>
      <c r="M91" s="20" t="n">
        <v>0</v>
      </c>
      <c r="N91" s="20" t="n">
        <f aca="false">+O91*(1.75)</f>
        <v>0.00875</v>
      </c>
      <c r="O91" s="21" t="n">
        <v>0.005</v>
      </c>
      <c r="P91" s="20" t="n">
        <f aca="false">SUM(I91:N91)</f>
        <v>0.09465</v>
      </c>
      <c r="Q91" s="22" t="n">
        <v>31468</v>
      </c>
      <c r="R91" s="16" t="n">
        <v>1600</v>
      </c>
      <c r="S91" s="161" t="s">
        <v>1</v>
      </c>
      <c r="T91" s="125" t="n">
        <f aca="false">I91*$I$1*R91</f>
        <v>3734.88</v>
      </c>
      <c r="U91" s="23"/>
      <c r="V91" s="24" t="n">
        <v>125103</v>
      </c>
      <c r="W91" s="24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2" hidden="false" customHeight="true" outlineLevel="0" collapsed="false">
      <c r="A92" s="15"/>
      <c r="B92" s="16" t="s">
        <v>335</v>
      </c>
      <c r="C92" s="16" t="s">
        <v>335</v>
      </c>
      <c r="D92" s="17" t="n">
        <v>36526</v>
      </c>
      <c r="E92" s="17" t="n">
        <v>36556</v>
      </c>
      <c r="F92" s="15" t="s">
        <v>336</v>
      </c>
      <c r="G92" s="15" t="s">
        <v>337</v>
      </c>
      <c r="H92" s="16" t="s">
        <v>167</v>
      </c>
      <c r="I92" s="19" t="n">
        <v>0.0753</v>
      </c>
      <c r="J92" s="20" t="n">
        <v>0.0009</v>
      </c>
      <c r="K92" s="20" t="n">
        <v>0.0022</v>
      </c>
      <c r="L92" s="20" t="n">
        <v>0.0075</v>
      </c>
      <c r="M92" s="20" t="n">
        <v>0</v>
      </c>
      <c r="N92" s="20" t="n">
        <f aca="false">+O92*(1.75)</f>
        <v>0.00875</v>
      </c>
      <c r="O92" s="21" t="n">
        <v>0.005</v>
      </c>
      <c r="P92" s="20" t="n">
        <f aca="false">SUM(I92:N92)</f>
        <v>0.09465</v>
      </c>
      <c r="Q92" s="22"/>
      <c r="R92" s="16"/>
      <c r="S92" s="161" t="s">
        <v>1</v>
      </c>
      <c r="T92" s="125" t="n">
        <f aca="false">I92*$I$1*R92</f>
        <v>0</v>
      </c>
      <c r="U92" s="23"/>
      <c r="V92" s="24"/>
      <c r="W92" s="24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12" hidden="false" customHeight="true" outlineLevel="0" collapsed="false">
      <c r="A93" s="15"/>
      <c r="B93" s="16" t="s">
        <v>335</v>
      </c>
      <c r="C93" s="16" t="s">
        <v>335</v>
      </c>
      <c r="D93" s="17" t="n">
        <v>36526</v>
      </c>
      <c r="E93" s="17" t="n">
        <v>36556</v>
      </c>
      <c r="F93" s="15" t="s">
        <v>338</v>
      </c>
      <c r="G93" s="15" t="s">
        <v>336</v>
      </c>
      <c r="H93" s="16" t="s">
        <v>167</v>
      </c>
      <c r="I93" s="19" t="n">
        <v>0.0753</v>
      </c>
      <c r="J93" s="20" t="n">
        <v>0.0009</v>
      </c>
      <c r="K93" s="20" t="n">
        <v>0.0022</v>
      </c>
      <c r="L93" s="20" t="n">
        <v>0.0075</v>
      </c>
      <c r="M93" s="20" t="n">
        <v>0</v>
      </c>
      <c r="N93" s="20" t="n">
        <f aca="false">+O93*(1.75)</f>
        <v>0.0175</v>
      </c>
      <c r="O93" s="21" t="n">
        <v>0.01</v>
      </c>
      <c r="P93" s="20" t="n">
        <f aca="false">SUM(I93:N93)</f>
        <v>0.1034</v>
      </c>
      <c r="Q93" s="22"/>
      <c r="R93" s="16"/>
      <c r="S93" s="161" t="s">
        <v>1</v>
      </c>
      <c r="T93" s="125" t="n">
        <f aca="false">I93*$I$1*R93</f>
        <v>0</v>
      </c>
      <c r="U93" s="23"/>
      <c r="V93" s="24" t="n">
        <v>145900</v>
      </c>
      <c r="W93" s="24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2" hidden="false" customHeight="true" outlineLevel="0" collapsed="false">
      <c r="A94" s="15"/>
      <c r="B94" s="16"/>
      <c r="C94" s="16"/>
      <c r="D94" s="17"/>
      <c r="E94" s="17"/>
      <c r="F94" s="15"/>
      <c r="G94" s="15"/>
      <c r="H94" s="16"/>
      <c r="I94" s="19"/>
      <c r="J94" s="20"/>
      <c r="K94" s="20"/>
      <c r="L94" s="20"/>
      <c r="M94" s="20"/>
      <c r="N94" s="20"/>
      <c r="O94" s="21"/>
      <c r="P94" s="20"/>
      <c r="Q94" s="22"/>
      <c r="R94" s="16"/>
      <c r="S94" s="161"/>
      <c r="T94" s="125"/>
      <c r="U94" s="23"/>
      <c r="V94" s="24"/>
      <c r="W94" s="24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" hidden="false" customHeight="true" outlineLevel="0" collapsed="false">
      <c r="A95" s="15"/>
      <c r="B95" s="16"/>
      <c r="C95" s="16"/>
      <c r="D95" s="17"/>
      <c r="E95" s="17"/>
      <c r="F95" s="15"/>
      <c r="G95" s="15"/>
      <c r="H95" s="16"/>
      <c r="I95" s="19"/>
      <c r="J95" s="20"/>
      <c r="K95" s="20"/>
      <c r="L95" s="20"/>
      <c r="M95" s="20"/>
      <c r="N95" s="20"/>
      <c r="O95" s="21"/>
      <c r="P95" s="20"/>
      <c r="Q95" s="22"/>
      <c r="R95" s="16"/>
      <c r="S95" s="161"/>
      <c r="T95" s="125"/>
      <c r="U95" s="23"/>
      <c r="V95" s="24"/>
      <c r="W95" s="24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" hidden="false" customHeight="true" outlineLevel="0" collapsed="false">
      <c r="A96" s="15" t="s">
        <v>52</v>
      </c>
      <c r="B96" s="16"/>
      <c r="C96" s="16"/>
      <c r="D96" s="17"/>
      <c r="E96" s="17"/>
      <c r="F96" s="15" t="s">
        <v>336</v>
      </c>
      <c r="G96" s="15"/>
      <c r="H96" s="16" t="s">
        <v>167</v>
      </c>
      <c r="I96" s="19" t="n">
        <v>0</v>
      </c>
      <c r="J96" s="20" t="n">
        <v>0.0009</v>
      </c>
      <c r="K96" s="20" t="n">
        <v>0.0022</v>
      </c>
      <c r="L96" s="20" t="n">
        <v>0.0075</v>
      </c>
      <c r="M96" s="20" t="n">
        <v>0</v>
      </c>
      <c r="N96" s="20" t="n">
        <f aca="false">+O96*(1.75)</f>
        <v>0.00875</v>
      </c>
      <c r="O96" s="21" t="n">
        <v>0.005</v>
      </c>
      <c r="P96" s="20" t="n">
        <f aca="false">SUM(I96:N96)</f>
        <v>0.01935</v>
      </c>
      <c r="Q96" s="22" t="n">
        <v>31468</v>
      </c>
      <c r="R96" s="16" t="n">
        <v>1600</v>
      </c>
      <c r="S96" s="161" t="s">
        <v>1</v>
      </c>
      <c r="T96" s="125" t="n">
        <v>0</v>
      </c>
      <c r="U96" s="23"/>
      <c r="V96" s="24"/>
      <c r="W96" s="24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false" customHeight="false" outlineLevel="0" collapsed="false">
      <c r="A97" s="56" t="s">
        <v>1</v>
      </c>
      <c r="B97" s="58" t="s">
        <v>1</v>
      </c>
      <c r="C97" s="58" t="s">
        <v>1</v>
      </c>
      <c r="D97" s="59" t="s">
        <v>1</v>
      </c>
      <c r="E97" s="59" t="s">
        <v>1</v>
      </c>
      <c r="F97" s="56" t="s">
        <v>1</v>
      </c>
      <c r="G97" s="56" t="s">
        <v>1</v>
      </c>
      <c r="H97" s="58" t="s">
        <v>1</v>
      </c>
      <c r="I97" s="61" t="s">
        <v>1</v>
      </c>
      <c r="J97" s="62" t="s">
        <v>1</v>
      </c>
      <c r="K97" s="62" t="s">
        <v>1</v>
      </c>
      <c r="L97" s="62" t="s">
        <v>1</v>
      </c>
      <c r="M97" s="62" t="s">
        <v>339</v>
      </c>
      <c r="N97" s="62" t="s">
        <v>1</v>
      </c>
      <c r="O97" s="176" t="s">
        <v>1</v>
      </c>
      <c r="P97" s="62" t="s">
        <v>1</v>
      </c>
      <c r="Q97" s="177" t="s">
        <v>1</v>
      </c>
      <c r="R97" s="58" t="s">
        <v>1</v>
      </c>
      <c r="S97" s="56" t="s">
        <v>1</v>
      </c>
      <c r="T97" s="178" t="n">
        <f aca="false">SUM(T40:T96)</f>
        <v>1097342.5352</v>
      </c>
      <c r="U97" s="67" t="n">
        <f aca="false">SUM(U40:U96)</f>
        <v>0</v>
      </c>
      <c r="V97" s="24"/>
      <c r="W97" s="24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false" customHeight="false" outlineLevel="0" collapsed="false">
      <c r="A98" s="137" t="s">
        <v>108</v>
      </c>
      <c r="B98" s="138" t="s">
        <v>109</v>
      </c>
      <c r="C98" s="138" t="s">
        <v>110</v>
      </c>
      <c r="D98" s="139" t="s">
        <v>111</v>
      </c>
      <c r="E98" s="139"/>
      <c r="F98" s="137" t="s">
        <v>112</v>
      </c>
      <c r="G98" s="137" t="s">
        <v>113</v>
      </c>
      <c r="H98" s="138" t="s">
        <v>114</v>
      </c>
      <c r="I98" s="140" t="s">
        <v>115</v>
      </c>
      <c r="J98" s="138" t="s">
        <v>116</v>
      </c>
      <c r="K98" s="138" t="s">
        <v>117</v>
      </c>
      <c r="L98" s="138" t="s">
        <v>118</v>
      </c>
      <c r="M98" s="138" t="s">
        <v>119</v>
      </c>
      <c r="N98" s="138" t="s">
        <v>253</v>
      </c>
      <c r="O98" s="141" t="s">
        <v>120</v>
      </c>
      <c r="P98" s="138" t="s">
        <v>121</v>
      </c>
      <c r="Q98" s="142" t="s">
        <v>122</v>
      </c>
      <c r="R98" s="138" t="s">
        <v>123</v>
      </c>
      <c r="S98" s="137" t="s">
        <v>124</v>
      </c>
      <c r="T98" s="143" t="s">
        <v>254</v>
      </c>
      <c r="U98" s="144" t="s">
        <v>255</v>
      </c>
      <c r="V98" s="24"/>
      <c r="W98" s="24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2.75" hidden="false" customHeight="false" outlineLevel="0" collapsed="false">
      <c r="A99" s="179" t="s">
        <v>144</v>
      </c>
      <c r="B99" s="180" t="s">
        <v>239</v>
      </c>
      <c r="C99" s="180" t="s">
        <v>151</v>
      </c>
      <c r="D99" s="181" t="n">
        <v>36647</v>
      </c>
      <c r="E99" s="181" t="n">
        <v>36830</v>
      </c>
      <c r="F99" s="179" t="s">
        <v>340</v>
      </c>
      <c r="G99" s="179" t="s">
        <v>241</v>
      </c>
      <c r="H99" s="180" t="s">
        <v>181</v>
      </c>
      <c r="I99" s="182" t="n">
        <f aca="false">0.9125*0.0328767</f>
        <v>0.02999998875</v>
      </c>
      <c r="J99" s="183" t="n">
        <v>0.075</v>
      </c>
      <c r="K99" s="183" t="n">
        <v>0.0022</v>
      </c>
      <c r="L99" s="183" t="n">
        <v>0</v>
      </c>
      <c r="M99" s="183" t="n">
        <v>0</v>
      </c>
      <c r="N99" s="183" t="n">
        <f aca="false">+O99*2.28</f>
        <v>0</v>
      </c>
      <c r="O99" s="184" t="n">
        <v>0</v>
      </c>
      <c r="P99" s="183" t="n">
        <f aca="false">SUM(I99:N99)</f>
        <v>0.10719998875</v>
      </c>
      <c r="Q99" s="185" t="n">
        <v>893145</v>
      </c>
      <c r="R99" s="180" t="n">
        <v>5000</v>
      </c>
      <c r="S99" s="179" t="s">
        <v>341</v>
      </c>
      <c r="T99" s="186" t="n">
        <f aca="false">+I99*I$1*R99</f>
        <v>4649.99825625</v>
      </c>
      <c r="U99" s="187"/>
      <c r="V99" s="188" t="s">
        <v>342</v>
      </c>
      <c r="W99" s="188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  <c r="IN99" s="189"/>
      <c r="IO99" s="189"/>
      <c r="IP99" s="189"/>
      <c r="IQ99" s="189"/>
      <c r="IR99" s="189"/>
      <c r="IS99" s="189"/>
      <c r="IT99" s="189"/>
      <c r="IU99" s="189"/>
      <c r="IV99" s="189"/>
      <c r="IW99" s="189"/>
    </row>
    <row r="100" customFormat="false" ht="12.75" hidden="false" customHeight="false" outlineLevel="0" collapsed="false">
      <c r="A100" s="190" t="s">
        <v>144</v>
      </c>
      <c r="B100" s="69" t="s">
        <v>239</v>
      </c>
      <c r="C100" s="69" t="s">
        <v>343</v>
      </c>
      <c r="D100" s="191" t="n">
        <v>36617</v>
      </c>
      <c r="E100" s="191" t="n">
        <v>36830</v>
      </c>
      <c r="F100" s="190" t="s">
        <v>340</v>
      </c>
      <c r="G100" s="190" t="s">
        <v>241</v>
      </c>
      <c r="H100" s="69" t="s">
        <v>167</v>
      </c>
      <c r="I100" s="192" t="n">
        <f aca="false">0.7604*0.0328767</f>
        <v>0.02499944268</v>
      </c>
      <c r="J100" s="68" t="n">
        <v>0.075</v>
      </c>
      <c r="K100" s="68" t="n">
        <v>0.0022</v>
      </c>
      <c r="L100" s="68" t="n">
        <v>0</v>
      </c>
      <c r="M100" s="68" t="n">
        <v>0</v>
      </c>
      <c r="N100" s="68" t="n">
        <f aca="false">+O100*2.28</f>
        <v>0</v>
      </c>
      <c r="O100" s="159" t="n">
        <v>0</v>
      </c>
      <c r="P100" s="68" t="n">
        <f aca="false">SUM(I100:N100)</f>
        <v>0.10219944268</v>
      </c>
      <c r="Q100" s="130" t="n">
        <v>892875</v>
      </c>
      <c r="R100" s="69" t="n">
        <v>10000</v>
      </c>
      <c r="S100" s="190" t="s">
        <v>344</v>
      </c>
      <c r="T100" s="136" t="n">
        <f aca="false">+I100*I$1*R100</f>
        <v>7749.8272308</v>
      </c>
      <c r="U100" s="35"/>
      <c r="V100" s="37" t="s">
        <v>345</v>
      </c>
      <c r="W100" s="37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  <c r="BI100" s="193"/>
      <c r="BJ100" s="193"/>
      <c r="BK100" s="193"/>
      <c r="BL100" s="193"/>
      <c r="BM100" s="193"/>
      <c r="BN100" s="193"/>
      <c r="BO100" s="193"/>
      <c r="BP100" s="193"/>
      <c r="BQ100" s="193"/>
      <c r="BR100" s="193"/>
      <c r="BS100" s="193"/>
      <c r="BT100" s="193"/>
      <c r="BU100" s="193"/>
      <c r="BV100" s="193"/>
      <c r="BW100" s="193"/>
      <c r="BX100" s="193"/>
      <c r="BY100" s="193"/>
      <c r="BZ100" s="193"/>
      <c r="CA100" s="193"/>
      <c r="CB100" s="193"/>
      <c r="CC100" s="193"/>
      <c r="CD100" s="193"/>
      <c r="CE100" s="193"/>
      <c r="CF100" s="193"/>
      <c r="CG100" s="193"/>
      <c r="CH100" s="193"/>
      <c r="CI100" s="193"/>
      <c r="CJ100" s="193"/>
      <c r="CK100" s="193"/>
      <c r="CL100" s="193"/>
      <c r="CM100" s="193"/>
      <c r="CN100" s="193"/>
      <c r="CO100" s="193"/>
      <c r="CP100" s="193"/>
      <c r="CQ100" s="193"/>
      <c r="CR100" s="193"/>
      <c r="CS100" s="193"/>
      <c r="CT100" s="193"/>
      <c r="CU100" s="193"/>
      <c r="CV100" s="193"/>
      <c r="CW100" s="193"/>
      <c r="CX100" s="193"/>
      <c r="CY100" s="193"/>
      <c r="CZ100" s="193"/>
      <c r="DA100" s="193"/>
      <c r="DB100" s="193"/>
      <c r="DC100" s="193"/>
      <c r="DD100" s="193"/>
      <c r="DE100" s="193"/>
      <c r="DF100" s="193"/>
      <c r="DG100" s="193"/>
      <c r="DH100" s="193"/>
      <c r="DI100" s="193"/>
      <c r="DJ100" s="193"/>
      <c r="DK100" s="193"/>
      <c r="DL100" s="193"/>
      <c r="DM100" s="193"/>
      <c r="DN100" s="193"/>
      <c r="DO100" s="193"/>
      <c r="DP100" s="193"/>
      <c r="DQ100" s="193"/>
      <c r="DR100" s="193"/>
      <c r="DS100" s="193"/>
      <c r="DT100" s="193"/>
      <c r="DU100" s="193"/>
      <c r="DV100" s="193"/>
      <c r="DW100" s="193"/>
      <c r="DX100" s="193"/>
      <c r="DY100" s="193"/>
      <c r="DZ100" s="193"/>
      <c r="EA100" s="193"/>
      <c r="EB100" s="193"/>
      <c r="EC100" s="193"/>
      <c r="ED100" s="193"/>
      <c r="EE100" s="193"/>
      <c r="EF100" s="193"/>
      <c r="EG100" s="193"/>
      <c r="EH100" s="193"/>
      <c r="EI100" s="193"/>
      <c r="EJ100" s="193"/>
      <c r="EK100" s="193"/>
      <c r="EL100" s="193"/>
      <c r="EM100" s="193"/>
      <c r="EN100" s="193"/>
      <c r="EO100" s="193"/>
      <c r="EP100" s="193"/>
      <c r="EQ100" s="193"/>
      <c r="ER100" s="193"/>
      <c r="ES100" s="193"/>
      <c r="ET100" s="193"/>
      <c r="EU100" s="193"/>
      <c r="EV100" s="193"/>
      <c r="EW100" s="193"/>
      <c r="EX100" s="193"/>
      <c r="EY100" s="193"/>
      <c r="EZ100" s="193"/>
      <c r="FA100" s="193"/>
      <c r="FB100" s="193"/>
      <c r="FC100" s="193"/>
      <c r="FD100" s="193"/>
      <c r="FE100" s="193"/>
      <c r="FF100" s="193"/>
      <c r="FG100" s="193"/>
      <c r="FH100" s="193"/>
      <c r="FI100" s="193"/>
      <c r="FJ100" s="193"/>
      <c r="FK100" s="193"/>
      <c r="FL100" s="193"/>
      <c r="FM100" s="193"/>
      <c r="FN100" s="193"/>
      <c r="FO100" s="193"/>
      <c r="FP100" s="193"/>
      <c r="FQ100" s="193"/>
      <c r="FR100" s="193"/>
      <c r="FS100" s="193"/>
      <c r="FT100" s="193"/>
      <c r="FU100" s="193"/>
      <c r="FV100" s="193"/>
      <c r="FW100" s="193"/>
      <c r="FX100" s="193"/>
      <c r="FY100" s="193"/>
      <c r="FZ100" s="193"/>
      <c r="GA100" s="193"/>
      <c r="GB100" s="193"/>
      <c r="GC100" s="193"/>
      <c r="GD100" s="193"/>
      <c r="GE100" s="193"/>
      <c r="GF100" s="193"/>
      <c r="GG100" s="193"/>
      <c r="GH100" s="193"/>
      <c r="GI100" s="193"/>
      <c r="GJ100" s="193"/>
      <c r="GK100" s="193"/>
      <c r="GL100" s="193"/>
      <c r="GM100" s="193"/>
      <c r="GN100" s="193"/>
      <c r="GO100" s="193"/>
      <c r="GP100" s="193"/>
      <c r="GQ100" s="193"/>
      <c r="GR100" s="193"/>
      <c r="GS100" s="193"/>
      <c r="GT100" s="193"/>
      <c r="GU100" s="193"/>
      <c r="GV100" s="193"/>
      <c r="GW100" s="193"/>
      <c r="GX100" s="193"/>
      <c r="GY100" s="193"/>
      <c r="GZ100" s="193"/>
      <c r="HA100" s="193"/>
      <c r="HB100" s="193"/>
      <c r="HC100" s="193"/>
      <c r="HD100" s="193"/>
      <c r="HE100" s="193"/>
      <c r="HF100" s="193"/>
      <c r="HG100" s="193"/>
      <c r="HH100" s="193"/>
      <c r="HI100" s="193"/>
      <c r="HJ100" s="193"/>
      <c r="HK100" s="193"/>
      <c r="HL100" s="193"/>
      <c r="HM100" s="193"/>
      <c r="HN100" s="193"/>
      <c r="HO100" s="193"/>
      <c r="HP100" s="193"/>
      <c r="HQ100" s="193"/>
      <c r="HR100" s="193"/>
      <c r="HS100" s="193"/>
      <c r="HT100" s="193"/>
      <c r="HU100" s="193"/>
      <c r="HV100" s="193"/>
      <c r="HW100" s="193"/>
      <c r="HX100" s="193"/>
      <c r="HY100" s="193"/>
      <c r="HZ100" s="193"/>
      <c r="IA100" s="193"/>
      <c r="IB100" s="193"/>
      <c r="IC100" s="193"/>
      <c r="ID100" s="193"/>
      <c r="IE100" s="193"/>
      <c r="IF100" s="193"/>
      <c r="IG100" s="193"/>
      <c r="IH100" s="193"/>
      <c r="II100" s="193"/>
      <c r="IJ100" s="193"/>
      <c r="IK100" s="193"/>
      <c r="IL100" s="193"/>
      <c r="IM100" s="193"/>
      <c r="IN100" s="193"/>
      <c r="IO100" s="193"/>
      <c r="IP100" s="193"/>
      <c r="IQ100" s="193"/>
      <c r="IR100" s="193"/>
      <c r="IS100" s="193"/>
      <c r="IT100" s="193"/>
      <c r="IU100" s="193"/>
      <c r="IV100" s="193"/>
      <c r="IW100" s="193"/>
    </row>
    <row r="101" customFormat="false" ht="12.75" hidden="false" customHeight="false" outlineLevel="0" collapsed="false">
      <c r="A101" s="179" t="s">
        <v>145</v>
      </c>
      <c r="B101" s="180" t="s">
        <v>239</v>
      </c>
      <c r="C101" s="180" t="s">
        <v>346</v>
      </c>
      <c r="D101" s="181" t="n">
        <v>36647</v>
      </c>
      <c r="E101" s="181" t="n">
        <v>36677</v>
      </c>
      <c r="F101" s="179" t="s">
        <v>347</v>
      </c>
      <c r="G101" s="179" t="s">
        <v>241</v>
      </c>
      <c r="H101" s="180" t="s">
        <v>181</v>
      </c>
      <c r="I101" s="182" t="n">
        <f aca="false">1.3688*0.0328767</f>
        <v>0.04500162696</v>
      </c>
      <c r="J101" s="183" t="n">
        <v>0.075</v>
      </c>
      <c r="K101" s="183" t="n">
        <v>0.0022</v>
      </c>
      <c r="L101" s="183" t="n">
        <v>0</v>
      </c>
      <c r="M101" s="183" t="n">
        <v>0</v>
      </c>
      <c r="N101" s="183" t="n">
        <f aca="false">+O101*2.28</f>
        <v>0</v>
      </c>
      <c r="O101" s="184" t="n">
        <v>0</v>
      </c>
      <c r="P101" s="183" t="n">
        <f aca="false">SUM(I101:N101)</f>
        <v>0.12220162696</v>
      </c>
      <c r="Q101" s="185" t="n">
        <v>892875</v>
      </c>
      <c r="R101" s="180" t="n">
        <v>-504</v>
      </c>
      <c r="S101" s="179" t="s">
        <v>348</v>
      </c>
      <c r="T101" s="186" t="n">
        <f aca="false">+I101*I$1*R101</f>
        <v>-703.10541962304</v>
      </c>
      <c r="U101" s="187"/>
      <c r="V101" s="188" t="n">
        <v>251607</v>
      </c>
      <c r="W101" s="188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89"/>
      <c r="AT101" s="189"/>
      <c r="AU101" s="189"/>
      <c r="AV101" s="189"/>
      <c r="AW101" s="189"/>
      <c r="AX101" s="189"/>
      <c r="AY101" s="189"/>
      <c r="AZ101" s="189"/>
      <c r="BA101" s="189"/>
      <c r="BB101" s="189"/>
      <c r="BC101" s="189"/>
      <c r="BD101" s="189"/>
      <c r="BE101" s="189"/>
      <c r="BF101" s="189"/>
      <c r="BG101" s="189"/>
      <c r="BH101" s="189"/>
      <c r="BI101" s="189"/>
      <c r="BJ101" s="189"/>
      <c r="BK101" s="189"/>
      <c r="BL101" s="189"/>
      <c r="BM101" s="189"/>
      <c r="BN101" s="189"/>
      <c r="BO101" s="189"/>
      <c r="BP101" s="189"/>
      <c r="BQ101" s="189"/>
      <c r="BR101" s="189"/>
      <c r="BS101" s="189"/>
      <c r="BT101" s="189"/>
      <c r="BU101" s="189"/>
      <c r="BV101" s="189"/>
      <c r="BW101" s="189"/>
      <c r="BX101" s="189"/>
      <c r="BY101" s="189"/>
      <c r="BZ101" s="189"/>
      <c r="CA101" s="189"/>
      <c r="CB101" s="189"/>
      <c r="CC101" s="189"/>
      <c r="CD101" s="189"/>
      <c r="CE101" s="189"/>
      <c r="CF101" s="189"/>
      <c r="CG101" s="189"/>
      <c r="CH101" s="189"/>
      <c r="CI101" s="189"/>
      <c r="CJ101" s="189"/>
      <c r="CK101" s="189"/>
      <c r="CL101" s="189"/>
      <c r="CM101" s="189"/>
      <c r="CN101" s="189"/>
      <c r="CO101" s="189"/>
      <c r="CP101" s="189"/>
      <c r="CQ101" s="189"/>
      <c r="CR101" s="189"/>
      <c r="CS101" s="189"/>
      <c r="CT101" s="189"/>
      <c r="CU101" s="189"/>
      <c r="CV101" s="189"/>
      <c r="CW101" s="189"/>
      <c r="CX101" s="189"/>
      <c r="CY101" s="189"/>
      <c r="CZ101" s="189"/>
      <c r="DA101" s="189"/>
      <c r="DB101" s="189"/>
      <c r="DC101" s="189"/>
      <c r="DD101" s="189"/>
      <c r="DE101" s="189"/>
      <c r="DF101" s="189"/>
      <c r="DG101" s="189"/>
      <c r="DH101" s="189"/>
      <c r="DI101" s="189"/>
      <c r="DJ101" s="189"/>
      <c r="DK101" s="189"/>
      <c r="DL101" s="189"/>
      <c r="DM101" s="189"/>
      <c r="DN101" s="189"/>
      <c r="DO101" s="189"/>
      <c r="DP101" s="189"/>
      <c r="DQ101" s="189"/>
      <c r="DR101" s="189"/>
      <c r="DS101" s="189"/>
      <c r="DT101" s="189"/>
      <c r="DU101" s="189"/>
      <c r="DV101" s="189"/>
      <c r="DW101" s="189"/>
      <c r="DX101" s="189"/>
      <c r="DY101" s="189"/>
      <c r="DZ101" s="189"/>
      <c r="EA101" s="189"/>
      <c r="EB101" s="189"/>
      <c r="EC101" s="189"/>
      <c r="ED101" s="189"/>
      <c r="EE101" s="189"/>
      <c r="EF101" s="189"/>
      <c r="EG101" s="189"/>
      <c r="EH101" s="189"/>
      <c r="EI101" s="189"/>
      <c r="EJ101" s="189"/>
      <c r="EK101" s="189"/>
      <c r="EL101" s="189"/>
      <c r="EM101" s="189"/>
      <c r="EN101" s="189"/>
      <c r="EO101" s="189"/>
      <c r="EP101" s="189"/>
      <c r="EQ101" s="189"/>
      <c r="ER101" s="189"/>
      <c r="ES101" s="189"/>
      <c r="ET101" s="189"/>
      <c r="EU101" s="189"/>
      <c r="EV101" s="189"/>
      <c r="EW101" s="189"/>
      <c r="EX101" s="189"/>
      <c r="EY101" s="189"/>
      <c r="EZ101" s="189"/>
      <c r="FA101" s="189"/>
      <c r="FB101" s="189"/>
      <c r="FC101" s="189"/>
      <c r="FD101" s="189"/>
      <c r="FE101" s="189"/>
      <c r="FF101" s="189"/>
      <c r="FG101" s="189"/>
      <c r="FH101" s="189"/>
      <c r="FI101" s="189"/>
      <c r="FJ101" s="189"/>
      <c r="FK101" s="189"/>
      <c r="FL101" s="189"/>
      <c r="FM101" s="189"/>
      <c r="FN101" s="189"/>
      <c r="FO101" s="189"/>
      <c r="FP101" s="189"/>
      <c r="FQ101" s="189"/>
      <c r="FR101" s="189"/>
      <c r="FS101" s="189"/>
      <c r="FT101" s="189"/>
      <c r="FU101" s="189"/>
      <c r="FV101" s="189"/>
      <c r="FW101" s="189"/>
      <c r="FX101" s="189"/>
      <c r="FY101" s="189"/>
      <c r="FZ101" s="189"/>
      <c r="GA101" s="189"/>
      <c r="GB101" s="189"/>
      <c r="GC101" s="189"/>
      <c r="GD101" s="189"/>
      <c r="GE101" s="189"/>
      <c r="GF101" s="189"/>
      <c r="GG101" s="189"/>
      <c r="GH101" s="189"/>
      <c r="GI101" s="189"/>
      <c r="GJ101" s="189"/>
      <c r="GK101" s="189"/>
      <c r="GL101" s="189"/>
      <c r="GM101" s="189"/>
      <c r="GN101" s="189"/>
      <c r="GO101" s="189"/>
      <c r="GP101" s="189"/>
      <c r="GQ101" s="189"/>
      <c r="GR101" s="189"/>
      <c r="GS101" s="189"/>
      <c r="GT101" s="189"/>
      <c r="GU101" s="189"/>
      <c r="GV101" s="189"/>
      <c r="GW101" s="189"/>
      <c r="GX101" s="189"/>
      <c r="GY101" s="189"/>
      <c r="GZ101" s="189"/>
      <c r="HA101" s="189"/>
      <c r="HB101" s="189"/>
      <c r="HC101" s="189"/>
      <c r="HD101" s="189"/>
      <c r="HE101" s="189"/>
      <c r="HF101" s="189"/>
      <c r="HG101" s="189"/>
      <c r="HH101" s="189"/>
      <c r="HI101" s="189"/>
      <c r="HJ101" s="189"/>
      <c r="HK101" s="189"/>
      <c r="HL101" s="189"/>
      <c r="HM101" s="189"/>
      <c r="HN101" s="189"/>
      <c r="HO101" s="189"/>
      <c r="HP101" s="189"/>
      <c r="HQ101" s="189"/>
      <c r="HR101" s="189"/>
      <c r="HS101" s="189"/>
      <c r="HT101" s="189"/>
      <c r="HU101" s="189"/>
      <c r="HV101" s="189"/>
      <c r="HW101" s="189"/>
      <c r="HX101" s="189"/>
      <c r="HY101" s="189"/>
      <c r="HZ101" s="189"/>
      <c r="IA101" s="189"/>
      <c r="IB101" s="189"/>
      <c r="IC101" s="189"/>
      <c r="ID101" s="189"/>
      <c r="IE101" s="189"/>
      <c r="IF101" s="189"/>
      <c r="IG101" s="189"/>
      <c r="IH101" s="189"/>
      <c r="II101" s="189"/>
      <c r="IJ101" s="189"/>
      <c r="IK101" s="189"/>
      <c r="IL101" s="189"/>
      <c r="IM101" s="189"/>
      <c r="IN101" s="189"/>
      <c r="IO101" s="189"/>
      <c r="IP101" s="189"/>
      <c r="IQ101" s="189"/>
      <c r="IR101" s="189"/>
      <c r="IS101" s="189"/>
      <c r="IT101" s="189"/>
      <c r="IU101" s="189"/>
      <c r="IV101" s="189"/>
      <c r="IW101" s="189"/>
    </row>
    <row r="102" customFormat="false" ht="12.75" hidden="false" customHeight="false" outlineLevel="0" collapsed="false">
      <c r="A102" s="194" t="s">
        <v>145</v>
      </c>
      <c r="B102" s="195" t="s">
        <v>239</v>
      </c>
      <c r="C102" s="195" t="s">
        <v>346</v>
      </c>
      <c r="D102" s="196" t="n">
        <v>36678</v>
      </c>
      <c r="E102" s="196" t="n">
        <v>36830</v>
      </c>
      <c r="F102" s="194" t="s">
        <v>347</v>
      </c>
      <c r="G102" s="194" t="s">
        <v>241</v>
      </c>
      <c r="H102" s="195" t="s">
        <v>181</v>
      </c>
      <c r="I102" s="197" t="n">
        <f aca="false">1.3688*0.0328767</f>
        <v>0.04500162696</v>
      </c>
      <c r="J102" s="198" t="n">
        <v>0.075</v>
      </c>
      <c r="K102" s="198" t="n">
        <v>0.0022</v>
      </c>
      <c r="L102" s="198" t="n">
        <v>0</v>
      </c>
      <c r="M102" s="198" t="n">
        <v>0</v>
      </c>
      <c r="N102" s="198" t="n">
        <f aca="false">+O102*2.28</f>
        <v>0</v>
      </c>
      <c r="O102" s="199" t="n">
        <v>0</v>
      </c>
      <c r="P102" s="198" t="n">
        <f aca="false">SUM(I102:N102)</f>
        <v>0.12220162696</v>
      </c>
      <c r="Q102" s="200" t="n">
        <v>892875</v>
      </c>
      <c r="R102" s="195" t="n">
        <v>-504</v>
      </c>
      <c r="S102" s="194" t="s">
        <v>349</v>
      </c>
      <c r="T102" s="201" t="n">
        <v>0</v>
      </c>
      <c r="U102" s="202"/>
      <c r="V102" s="203" t="n">
        <v>251607</v>
      </c>
      <c r="W102" s="203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4"/>
      <c r="AS102" s="204"/>
      <c r="AT102" s="204"/>
      <c r="AU102" s="204"/>
      <c r="AV102" s="204"/>
      <c r="AW102" s="204"/>
      <c r="AX102" s="204"/>
      <c r="AY102" s="204"/>
      <c r="AZ102" s="204"/>
      <c r="BA102" s="204"/>
      <c r="BB102" s="204"/>
      <c r="BC102" s="204"/>
      <c r="BD102" s="204"/>
      <c r="BE102" s="204"/>
      <c r="BF102" s="204"/>
      <c r="BG102" s="204"/>
      <c r="BH102" s="204"/>
      <c r="BI102" s="204"/>
      <c r="BJ102" s="204"/>
      <c r="BK102" s="204"/>
      <c r="BL102" s="204"/>
      <c r="BM102" s="204"/>
      <c r="BN102" s="204"/>
      <c r="BO102" s="204"/>
      <c r="BP102" s="204"/>
      <c r="BQ102" s="204"/>
      <c r="BR102" s="204"/>
      <c r="BS102" s="204"/>
      <c r="BT102" s="204"/>
      <c r="BU102" s="204"/>
      <c r="BV102" s="204"/>
      <c r="BW102" s="204"/>
      <c r="BX102" s="204"/>
      <c r="BY102" s="204"/>
      <c r="BZ102" s="204"/>
      <c r="CA102" s="204"/>
      <c r="CB102" s="204"/>
      <c r="CC102" s="204"/>
      <c r="CD102" s="204"/>
      <c r="CE102" s="204"/>
      <c r="CF102" s="204"/>
      <c r="CG102" s="204"/>
      <c r="CH102" s="204"/>
      <c r="CI102" s="204"/>
      <c r="CJ102" s="204"/>
      <c r="CK102" s="204"/>
      <c r="CL102" s="204"/>
      <c r="CM102" s="204"/>
      <c r="CN102" s="204"/>
      <c r="CO102" s="204"/>
      <c r="CP102" s="204"/>
      <c r="CQ102" s="204"/>
      <c r="CR102" s="204"/>
      <c r="CS102" s="204"/>
      <c r="CT102" s="204"/>
      <c r="CU102" s="204"/>
      <c r="CV102" s="204"/>
      <c r="CW102" s="204"/>
      <c r="CX102" s="204"/>
      <c r="CY102" s="204"/>
      <c r="CZ102" s="204"/>
      <c r="DA102" s="204"/>
      <c r="DB102" s="204"/>
      <c r="DC102" s="204"/>
      <c r="DD102" s="204"/>
      <c r="DE102" s="204"/>
      <c r="DF102" s="204"/>
      <c r="DG102" s="204"/>
      <c r="DH102" s="204"/>
      <c r="DI102" s="204"/>
      <c r="DJ102" s="204"/>
      <c r="DK102" s="204"/>
      <c r="DL102" s="204"/>
      <c r="DM102" s="204"/>
      <c r="DN102" s="204"/>
      <c r="DO102" s="204"/>
      <c r="DP102" s="204"/>
      <c r="DQ102" s="204"/>
      <c r="DR102" s="204"/>
      <c r="DS102" s="204"/>
      <c r="DT102" s="204"/>
      <c r="DU102" s="204"/>
      <c r="DV102" s="204"/>
      <c r="DW102" s="204"/>
      <c r="DX102" s="204"/>
      <c r="DY102" s="204"/>
      <c r="DZ102" s="204"/>
      <c r="EA102" s="204"/>
      <c r="EB102" s="204"/>
      <c r="EC102" s="204"/>
      <c r="ED102" s="204"/>
      <c r="EE102" s="204"/>
      <c r="EF102" s="204"/>
      <c r="EG102" s="204"/>
      <c r="EH102" s="204"/>
      <c r="EI102" s="204"/>
      <c r="EJ102" s="204"/>
      <c r="EK102" s="204"/>
      <c r="EL102" s="204"/>
      <c r="EM102" s="204"/>
      <c r="EN102" s="204"/>
      <c r="EO102" s="204"/>
      <c r="EP102" s="204"/>
      <c r="EQ102" s="204"/>
      <c r="ER102" s="204"/>
      <c r="ES102" s="204"/>
      <c r="ET102" s="204"/>
      <c r="EU102" s="204"/>
      <c r="EV102" s="204"/>
      <c r="EW102" s="204"/>
      <c r="EX102" s="204"/>
      <c r="EY102" s="204"/>
      <c r="EZ102" s="204"/>
      <c r="FA102" s="204"/>
      <c r="FB102" s="204"/>
      <c r="FC102" s="204"/>
      <c r="FD102" s="204"/>
      <c r="FE102" s="204"/>
      <c r="FF102" s="204"/>
      <c r="FG102" s="204"/>
      <c r="FH102" s="204"/>
      <c r="FI102" s="204"/>
      <c r="FJ102" s="204"/>
      <c r="FK102" s="204"/>
      <c r="FL102" s="204"/>
      <c r="FM102" s="204"/>
      <c r="FN102" s="204"/>
      <c r="FO102" s="204"/>
      <c r="FP102" s="204"/>
      <c r="FQ102" s="204"/>
      <c r="FR102" s="204"/>
      <c r="FS102" s="204"/>
      <c r="FT102" s="204"/>
      <c r="FU102" s="204"/>
      <c r="FV102" s="204"/>
      <c r="FW102" s="204"/>
      <c r="FX102" s="204"/>
      <c r="FY102" s="204"/>
      <c r="FZ102" s="204"/>
      <c r="GA102" s="204"/>
      <c r="GB102" s="204"/>
      <c r="GC102" s="204"/>
      <c r="GD102" s="204"/>
      <c r="GE102" s="204"/>
      <c r="GF102" s="204"/>
      <c r="GG102" s="204"/>
      <c r="GH102" s="204"/>
      <c r="GI102" s="204"/>
      <c r="GJ102" s="204"/>
      <c r="GK102" s="204"/>
      <c r="GL102" s="204"/>
      <c r="GM102" s="204"/>
      <c r="GN102" s="204"/>
      <c r="GO102" s="204"/>
      <c r="GP102" s="204"/>
      <c r="GQ102" s="204"/>
      <c r="GR102" s="204"/>
      <c r="GS102" s="204"/>
      <c r="GT102" s="204"/>
      <c r="GU102" s="204"/>
      <c r="GV102" s="204"/>
      <c r="GW102" s="204"/>
      <c r="GX102" s="204"/>
      <c r="GY102" s="204"/>
      <c r="GZ102" s="204"/>
      <c r="HA102" s="204"/>
      <c r="HB102" s="204"/>
      <c r="HC102" s="204"/>
      <c r="HD102" s="204"/>
      <c r="HE102" s="204"/>
      <c r="HF102" s="204"/>
      <c r="HG102" s="204"/>
      <c r="HH102" s="204"/>
      <c r="HI102" s="204"/>
      <c r="HJ102" s="204"/>
      <c r="HK102" s="204"/>
      <c r="HL102" s="204"/>
      <c r="HM102" s="204"/>
      <c r="HN102" s="204"/>
      <c r="HO102" s="204"/>
      <c r="HP102" s="204"/>
      <c r="HQ102" s="204"/>
      <c r="HR102" s="204"/>
      <c r="HS102" s="204"/>
      <c r="HT102" s="204"/>
      <c r="HU102" s="204"/>
      <c r="HV102" s="204"/>
      <c r="HW102" s="204"/>
      <c r="HX102" s="204"/>
      <c r="HY102" s="204"/>
      <c r="HZ102" s="204"/>
      <c r="IA102" s="204"/>
      <c r="IB102" s="204"/>
      <c r="IC102" s="204"/>
      <c r="ID102" s="204"/>
      <c r="IE102" s="204"/>
      <c r="IF102" s="204"/>
      <c r="IG102" s="204"/>
      <c r="IH102" s="204"/>
      <c r="II102" s="204"/>
      <c r="IJ102" s="204"/>
      <c r="IK102" s="204"/>
      <c r="IL102" s="204"/>
      <c r="IM102" s="204"/>
      <c r="IN102" s="204"/>
      <c r="IO102" s="204"/>
      <c r="IP102" s="204"/>
      <c r="IQ102" s="204"/>
      <c r="IR102" s="204"/>
      <c r="IS102" s="204"/>
      <c r="IT102" s="204"/>
      <c r="IU102" s="204"/>
      <c r="IV102" s="204"/>
      <c r="IW102" s="204"/>
    </row>
    <row r="103" customFormat="false" ht="12.75" hidden="false" customHeight="false" outlineLevel="0" collapsed="false">
      <c r="A103" s="190" t="s">
        <v>144</v>
      </c>
      <c r="B103" s="69" t="s">
        <v>239</v>
      </c>
      <c r="C103" s="69" t="s">
        <v>350</v>
      </c>
      <c r="D103" s="191" t="n">
        <v>36617</v>
      </c>
      <c r="E103" s="191" t="n">
        <v>36830</v>
      </c>
      <c r="F103" s="190" t="s">
        <v>340</v>
      </c>
      <c r="G103" s="190" t="s">
        <v>351</v>
      </c>
      <c r="H103" s="69" t="s">
        <v>167</v>
      </c>
      <c r="I103" s="192" t="n">
        <f aca="false">0.341*0.0328767</f>
        <v>0.0112109547</v>
      </c>
      <c r="J103" s="68" t="n">
        <v>0.075</v>
      </c>
      <c r="K103" s="68" t="n">
        <v>0.0022</v>
      </c>
      <c r="L103" s="68" t="n">
        <v>0</v>
      </c>
      <c r="M103" s="68" t="n">
        <v>0</v>
      </c>
      <c r="N103" s="68" t="n">
        <f aca="false">+O103*2.28</f>
        <v>0</v>
      </c>
      <c r="O103" s="159" t="n">
        <v>0</v>
      </c>
      <c r="P103" s="68" t="n">
        <f aca="false">SUM(I103:N103)</f>
        <v>0.0884109547</v>
      </c>
      <c r="Q103" s="130" t="n">
        <v>892872</v>
      </c>
      <c r="R103" s="69" t="n">
        <v>19355</v>
      </c>
      <c r="S103" s="190" t="s">
        <v>352</v>
      </c>
      <c r="T103" s="136" t="n">
        <f aca="false">+I103*I$1*R103</f>
        <v>6726.6288747735</v>
      </c>
      <c r="U103" s="35"/>
      <c r="V103" s="37" t="s">
        <v>353</v>
      </c>
      <c r="W103" s="37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  <c r="BI103" s="193"/>
      <c r="BJ103" s="193"/>
      <c r="BK103" s="193"/>
      <c r="BL103" s="193"/>
      <c r="BM103" s="193"/>
      <c r="BN103" s="193"/>
      <c r="BO103" s="193"/>
      <c r="BP103" s="193"/>
      <c r="BQ103" s="193"/>
      <c r="BR103" s="193"/>
      <c r="BS103" s="193"/>
      <c r="BT103" s="193"/>
      <c r="BU103" s="193"/>
      <c r="BV103" s="193"/>
      <c r="BW103" s="193"/>
      <c r="BX103" s="193"/>
      <c r="BY103" s="193"/>
      <c r="BZ103" s="193"/>
      <c r="CA103" s="193"/>
      <c r="CB103" s="193"/>
      <c r="CC103" s="193"/>
      <c r="CD103" s="193"/>
      <c r="CE103" s="193"/>
      <c r="CF103" s="193"/>
      <c r="CG103" s="193"/>
      <c r="CH103" s="193"/>
      <c r="CI103" s="193"/>
      <c r="CJ103" s="193"/>
      <c r="CK103" s="193"/>
      <c r="CL103" s="193"/>
      <c r="CM103" s="193"/>
      <c r="CN103" s="193"/>
      <c r="CO103" s="193"/>
      <c r="CP103" s="193"/>
      <c r="CQ103" s="193"/>
      <c r="CR103" s="193"/>
      <c r="CS103" s="193"/>
      <c r="CT103" s="193"/>
      <c r="CU103" s="193"/>
      <c r="CV103" s="193"/>
      <c r="CW103" s="193"/>
      <c r="CX103" s="193"/>
      <c r="CY103" s="193"/>
      <c r="CZ103" s="193"/>
      <c r="DA103" s="193"/>
      <c r="DB103" s="193"/>
      <c r="DC103" s="193"/>
      <c r="DD103" s="193"/>
      <c r="DE103" s="193"/>
      <c r="DF103" s="193"/>
      <c r="DG103" s="193"/>
      <c r="DH103" s="193"/>
      <c r="DI103" s="193"/>
      <c r="DJ103" s="193"/>
      <c r="DK103" s="193"/>
      <c r="DL103" s="193"/>
      <c r="DM103" s="193"/>
      <c r="DN103" s="193"/>
      <c r="DO103" s="193"/>
      <c r="DP103" s="193"/>
      <c r="DQ103" s="193"/>
      <c r="DR103" s="193"/>
      <c r="DS103" s="193"/>
      <c r="DT103" s="193"/>
      <c r="DU103" s="193"/>
      <c r="DV103" s="193"/>
      <c r="DW103" s="193"/>
      <c r="DX103" s="193"/>
      <c r="DY103" s="193"/>
      <c r="DZ103" s="193"/>
      <c r="EA103" s="193"/>
      <c r="EB103" s="193"/>
      <c r="EC103" s="193"/>
      <c r="ED103" s="193"/>
      <c r="EE103" s="193"/>
      <c r="EF103" s="193"/>
      <c r="EG103" s="193"/>
      <c r="EH103" s="193"/>
      <c r="EI103" s="193"/>
      <c r="EJ103" s="193"/>
      <c r="EK103" s="193"/>
      <c r="EL103" s="193"/>
      <c r="EM103" s="193"/>
      <c r="EN103" s="193"/>
      <c r="EO103" s="193"/>
      <c r="EP103" s="193"/>
      <c r="EQ103" s="193"/>
      <c r="ER103" s="193"/>
      <c r="ES103" s="193"/>
      <c r="ET103" s="193"/>
      <c r="EU103" s="193"/>
      <c r="EV103" s="193"/>
      <c r="EW103" s="193"/>
      <c r="EX103" s="193"/>
      <c r="EY103" s="193"/>
      <c r="EZ103" s="193"/>
      <c r="FA103" s="193"/>
      <c r="FB103" s="193"/>
      <c r="FC103" s="193"/>
      <c r="FD103" s="193"/>
      <c r="FE103" s="193"/>
      <c r="FF103" s="193"/>
      <c r="FG103" s="193"/>
      <c r="FH103" s="193"/>
      <c r="FI103" s="193"/>
      <c r="FJ103" s="193"/>
      <c r="FK103" s="193"/>
      <c r="FL103" s="193"/>
      <c r="FM103" s="193"/>
      <c r="FN103" s="193"/>
      <c r="FO103" s="193"/>
      <c r="FP103" s="193"/>
      <c r="FQ103" s="193"/>
      <c r="FR103" s="193"/>
      <c r="FS103" s="193"/>
      <c r="FT103" s="193"/>
      <c r="FU103" s="193"/>
      <c r="FV103" s="193"/>
      <c r="FW103" s="193"/>
      <c r="FX103" s="193"/>
      <c r="FY103" s="193"/>
      <c r="FZ103" s="193"/>
      <c r="GA103" s="193"/>
      <c r="GB103" s="193"/>
      <c r="GC103" s="193"/>
      <c r="GD103" s="193"/>
      <c r="GE103" s="193"/>
      <c r="GF103" s="193"/>
      <c r="GG103" s="193"/>
      <c r="GH103" s="193"/>
      <c r="GI103" s="193"/>
      <c r="GJ103" s="193"/>
      <c r="GK103" s="193"/>
      <c r="GL103" s="193"/>
      <c r="GM103" s="193"/>
      <c r="GN103" s="193"/>
      <c r="GO103" s="193"/>
      <c r="GP103" s="193"/>
      <c r="GQ103" s="193"/>
      <c r="GR103" s="193"/>
      <c r="GS103" s="193"/>
      <c r="GT103" s="193"/>
      <c r="GU103" s="193"/>
      <c r="GV103" s="193"/>
      <c r="GW103" s="193"/>
      <c r="GX103" s="193"/>
      <c r="GY103" s="193"/>
      <c r="GZ103" s="193"/>
      <c r="HA103" s="193"/>
      <c r="HB103" s="193"/>
      <c r="HC103" s="193"/>
      <c r="HD103" s="193"/>
      <c r="HE103" s="193"/>
      <c r="HF103" s="193"/>
      <c r="HG103" s="193"/>
      <c r="HH103" s="193"/>
      <c r="HI103" s="193"/>
      <c r="HJ103" s="193"/>
      <c r="HK103" s="193"/>
      <c r="HL103" s="193"/>
      <c r="HM103" s="193"/>
      <c r="HN103" s="193"/>
      <c r="HO103" s="193"/>
      <c r="HP103" s="193"/>
      <c r="HQ103" s="193"/>
      <c r="HR103" s="193"/>
      <c r="HS103" s="193"/>
      <c r="HT103" s="193"/>
      <c r="HU103" s="193"/>
      <c r="HV103" s="193"/>
      <c r="HW103" s="193"/>
      <c r="HX103" s="193"/>
      <c r="HY103" s="193"/>
      <c r="HZ103" s="193"/>
      <c r="IA103" s="193"/>
      <c r="IB103" s="193"/>
      <c r="IC103" s="193"/>
      <c r="ID103" s="193"/>
      <c r="IE103" s="193"/>
      <c r="IF103" s="193"/>
      <c r="IG103" s="193"/>
      <c r="IH103" s="193"/>
      <c r="II103" s="193"/>
      <c r="IJ103" s="193"/>
      <c r="IK103" s="193"/>
      <c r="IL103" s="193"/>
      <c r="IM103" s="193"/>
      <c r="IN103" s="193"/>
      <c r="IO103" s="193"/>
      <c r="IP103" s="193"/>
      <c r="IQ103" s="193"/>
      <c r="IR103" s="193"/>
      <c r="IS103" s="193"/>
      <c r="IT103" s="193"/>
      <c r="IU103" s="193"/>
      <c r="IV103" s="193"/>
      <c r="IW103" s="193"/>
    </row>
    <row r="104" customFormat="false" ht="12.75" hidden="false" customHeight="false" outlineLevel="0" collapsed="false">
      <c r="A104" s="190"/>
      <c r="B104" s="69"/>
      <c r="C104" s="69"/>
      <c r="D104" s="191"/>
      <c r="E104" s="191"/>
      <c r="F104" s="190"/>
      <c r="G104" s="190"/>
      <c r="H104" s="69"/>
      <c r="I104" s="192"/>
      <c r="J104" s="68"/>
      <c r="K104" s="68"/>
      <c r="L104" s="68"/>
      <c r="M104" s="68"/>
      <c r="N104" s="68"/>
      <c r="O104" s="159"/>
      <c r="P104" s="68"/>
      <c r="Q104" s="130"/>
      <c r="R104" s="69"/>
      <c r="S104" s="190"/>
      <c r="T104" s="136"/>
      <c r="U104" s="35"/>
      <c r="V104" s="37"/>
      <c r="W104" s="37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  <c r="BI104" s="193"/>
      <c r="BJ104" s="193"/>
      <c r="BK104" s="193"/>
      <c r="BL104" s="193"/>
      <c r="BM104" s="193"/>
      <c r="BN104" s="193"/>
      <c r="BO104" s="193"/>
      <c r="BP104" s="193"/>
      <c r="BQ104" s="193"/>
      <c r="BR104" s="193"/>
      <c r="BS104" s="193"/>
      <c r="BT104" s="193"/>
      <c r="BU104" s="193"/>
      <c r="BV104" s="193"/>
      <c r="BW104" s="193"/>
      <c r="BX104" s="193"/>
      <c r="BY104" s="193"/>
      <c r="BZ104" s="193"/>
      <c r="CA104" s="193"/>
      <c r="CB104" s="193"/>
      <c r="CC104" s="193"/>
      <c r="CD104" s="193"/>
      <c r="CE104" s="193"/>
      <c r="CF104" s="193"/>
      <c r="CG104" s="193"/>
      <c r="CH104" s="193"/>
      <c r="CI104" s="193"/>
      <c r="CJ104" s="193"/>
      <c r="CK104" s="193"/>
      <c r="CL104" s="193"/>
      <c r="CM104" s="193"/>
      <c r="CN104" s="193"/>
      <c r="CO104" s="193"/>
      <c r="CP104" s="193"/>
      <c r="CQ104" s="193"/>
      <c r="CR104" s="193"/>
      <c r="CS104" s="193"/>
      <c r="CT104" s="193"/>
      <c r="CU104" s="193"/>
      <c r="CV104" s="193"/>
      <c r="CW104" s="193"/>
      <c r="CX104" s="193"/>
      <c r="CY104" s="193"/>
      <c r="CZ104" s="193"/>
      <c r="DA104" s="193"/>
      <c r="DB104" s="193"/>
      <c r="DC104" s="193"/>
      <c r="DD104" s="193"/>
      <c r="DE104" s="193"/>
      <c r="DF104" s="193"/>
      <c r="DG104" s="193"/>
      <c r="DH104" s="193"/>
      <c r="DI104" s="193"/>
      <c r="DJ104" s="193"/>
      <c r="DK104" s="193"/>
      <c r="DL104" s="193"/>
      <c r="DM104" s="193"/>
      <c r="DN104" s="193"/>
      <c r="DO104" s="193"/>
      <c r="DP104" s="193"/>
      <c r="DQ104" s="193"/>
      <c r="DR104" s="193"/>
      <c r="DS104" s="193"/>
      <c r="DT104" s="193"/>
      <c r="DU104" s="193"/>
      <c r="DV104" s="193"/>
      <c r="DW104" s="193"/>
      <c r="DX104" s="193"/>
      <c r="DY104" s="193"/>
      <c r="DZ104" s="193"/>
      <c r="EA104" s="193"/>
      <c r="EB104" s="193"/>
      <c r="EC104" s="193"/>
      <c r="ED104" s="193"/>
      <c r="EE104" s="193"/>
      <c r="EF104" s="193"/>
      <c r="EG104" s="193"/>
      <c r="EH104" s="193"/>
      <c r="EI104" s="193"/>
      <c r="EJ104" s="193"/>
      <c r="EK104" s="193"/>
      <c r="EL104" s="193"/>
      <c r="EM104" s="193"/>
      <c r="EN104" s="193"/>
      <c r="EO104" s="193"/>
      <c r="EP104" s="193"/>
      <c r="EQ104" s="193"/>
      <c r="ER104" s="193"/>
      <c r="ES104" s="193"/>
      <c r="ET104" s="193"/>
      <c r="EU104" s="193"/>
      <c r="EV104" s="193"/>
      <c r="EW104" s="193"/>
      <c r="EX104" s="193"/>
      <c r="EY104" s="193"/>
      <c r="EZ104" s="193"/>
      <c r="FA104" s="193"/>
      <c r="FB104" s="193"/>
      <c r="FC104" s="193"/>
      <c r="FD104" s="193"/>
      <c r="FE104" s="193"/>
      <c r="FF104" s="193"/>
      <c r="FG104" s="193"/>
      <c r="FH104" s="193"/>
      <c r="FI104" s="193"/>
      <c r="FJ104" s="193"/>
      <c r="FK104" s="193"/>
      <c r="FL104" s="193"/>
      <c r="FM104" s="193"/>
      <c r="FN104" s="193"/>
      <c r="FO104" s="193"/>
      <c r="FP104" s="193"/>
      <c r="FQ104" s="193"/>
      <c r="FR104" s="193"/>
      <c r="FS104" s="193"/>
      <c r="FT104" s="193"/>
      <c r="FU104" s="193"/>
      <c r="FV104" s="193"/>
      <c r="FW104" s="193"/>
      <c r="FX104" s="193"/>
      <c r="FY104" s="193"/>
      <c r="FZ104" s="193"/>
      <c r="GA104" s="193"/>
      <c r="GB104" s="193"/>
      <c r="GC104" s="193"/>
      <c r="GD104" s="193"/>
      <c r="GE104" s="193"/>
      <c r="GF104" s="193"/>
      <c r="GG104" s="193"/>
      <c r="GH104" s="193"/>
      <c r="GI104" s="193"/>
      <c r="GJ104" s="193"/>
      <c r="GK104" s="193"/>
      <c r="GL104" s="193"/>
      <c r="GM104" s="193"/>
      <c r="GN104" s="193"/>
      <c r="GO104" s="193"/>
      <c r="GP104" s="193"/>
      <c r="GQ104" s="193"/>
      <c r="GR104" s="193"/>
      <c r="GS104" s="193"/>
      <c r="GT104" s="193"/>
      <c r="GU104" s="193"/>
      <c r="GV104" s="193"/>
      <c r="GW104" s="193"/>
      <c r="GX104" s="193"/>
      <c r="GY104" s="193"/>
      <c r="GZ104" s="193"/>
      <c r="HA104" s="193"/>
      <c r="HB104" s="193"/>
      <c r="HC104" s="193"/>
      <c r="HD104" s="193"/>
      <c r="HE104" s="193"/>
      <c r="HF104" s="193"/>
      <c r="HG104" s="193"/>
      <c r="HH104" s="193"/>
      <c r="HI104" s="193"/>
      <c r="HJ104" s="193"/>
      <c r="HK104" s="193"/>
      <c r="HL104" s="193"/>
      <c r="HM104" s="193"/>
      <c r="HN104" s="193"/>
      <c r="HO104" s="193"/>
      <c r="HP104" s="193"/>
      <c r="HQ104" s="193"/>
      <c r="HR104" s="193"/>
      <c r="HS104" s="193"/>
      <c r="HT104" s="193"/>
      <c r="HU104" s="193"/>
      <c r="HV104" s="193"/>
      <c r="HW104" s="193"/>
      <c r="HX104" s="193"/>
      <c r="HY104" s="193"/>
      <c r="HZ104" s="193"/>
      <c r="IA104" s="193"/>
      <c r="IB104" s="193"/>
      <c r="IC104" s="193"/>
      <c r="ID104" s="193"/>
      <c r="IE104" s="193"/>
      <c r="IF104" s="193"/>
      <c r="IG104" s="193"/>
      <c r="IH104" s="193"/>
      <c r="II104" s="193"/>
      <c r="IJ104" s="193"/>
      <c r="IK104" s="193"/>
      <c r="IL104" s="193"/>
      <c r="IM104" s="193"/>
      <c r="IN104" s="193"/>
      <c r="IO104" s="193"/>
      <c r="IP104" s="193"/>
      <c r="IQ104" s="193"/>
      <c r="IR104" s="193"/>
      <c r="IS104" s="193"/>
      <c r="IT104" s="193"/>
      <c r="IU104" s="193"/>
      <c r="IV104" s="193"/>
      <c r="IW104" s="193"/>
    </row>
    <row r="105" customFormat="false" ht="12.75" hidden="false" customHeight="false" outlineLevel="0" collapsed="false">
      <c r="A105" s="137" t="s">
        <v>108</v>
      </c>
      <c r="B105" s="138" t="s">
        <v>109</v>
      </c>
      <c r="C105" s="138" t="s">
        <v>110</v>
      </c>
      <c r="D105" s="139" t="s">
        <v>111</v>
      </c>
      <c r="E105" s="139"/>
      <c r="F105" s="137" t="s">
        <v>112</v>
      </c>
      <c r="G105" s="137" t="s">
        <v>113</v>
      </c>
      <c r="H105" s="138" t="s">
        <v>114</v>
      </c>
      <c r="I105" s="140" t="s">
        <v>115</v>
      </c>
      <c r="J105" s="138" t="s">
        <v>116</v>
      </c>
      <c r="K105" s="138" t="s">
        <v>117</v>
      </c>
      <c r="L105" s="138" t="s">
        <v>118</v>
      </c>
      <c r="M105" s="138" t="s">
        <v>119</v>
      </c>
      <c r="N105" s="138" t="s">
        <v>253</v>
      </c>
      <c r="O105" s="141" t="s">
        <v>120</v>
      </c>
      <c r="P105" s="138" t="s">
        <v>121</v>
      </c>
      <c r="Q105" s="142" t="s">
        <v>122</v>
      </c>
      <c r="R105" s="138" t="s">
        <v>123</v>
      </c>
      <c r="S105" s="137" t="s">
        <v>124</v>
      </c>
      <c r="T105" s="143" t="s">
        <v>254</v>
      </c>
      <c r="U105" s="144" t="s">
        <v>255</v>
      </c>
      <c r="V105" s="24"/>
      <c r="W105" s="24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false" customHeight="false" outlineLevel="0" collapsed="false">
      <c r="A106" s="179" t="s">
        <v>108</v>
      </c>
      <c r="B106" s="180" t="s">
        <v>354</v>
      </c>
      <c r="C106" s="180" t="s">
        <v>355</v>
      </c>
      <c r="D106" s="181" t="n">
        <v>36647</v>
      </c>
      <c r="E106" s="181" t="n">
        <v>36770</v>
      </c>
      <c r="F106" s="179" t="s">
        <v>356</v>
      </c>
      <c r="G106" s="179" t="s">
        <v>357</v>
      </c>
      <c r="H106" s="180" t="s">
        <v>167</v>
      </c>
      <c r="I106" s="182" t="n">
        <v>0</v>
      </c>
      <c r="J106" s="183"/>
      <c r="K106" s="183"/>
      <c r="L106" s="183"/>
      <c r="M106" s="183"/>
      <c r="N106" s="183"/>
      <c r="O106" s="184"/>
      <c r="P106" s="183"/>
      <c r="Q106" s="185" t="s">
        <v>358</v>
      </c>
      <c r="R106" s="180" t="n">
        <v>5200</v>
      </c>
      <c r="S106" s="205" t="n">
        <v>200004000073</v>
      </c>
      <c r="T106" s="186" t="n">
        <f aca="false">+R106*I106</f>
        <v>0</v>
      </c>
      <c r="U106" s="187"/>
      <c r="V106" s="188" t="n">
        <v>253159</v>
      </c>
      <c r="W106" s="188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  <c r="IN106" s="189"/>
      <c r="IO106" s="189"/>
      <c r="IP106" s="189"/>
      <c r="IQ106" s="189"/>
      <c r="IR106" s="189"/>
      <c r="IS106" s="189"/>
      <c r="IT106" s="189"/>
      <c r="IU106" s="189"/>
      <c r="IV106" s="189"/>
      <c r="IW106" s="189"/>
    </row>
    <row r="107" customFormat="false" ht="12.75" hidden="false" customHeight="false" outlineLevel="0" collapsed="false">
      <c r="A107" s="179" t="s">
        <v>144</v>
      </c>
      <c r="B107" s="180" t="s">
        <v>354</v>
      </c>
      <c r="C107" s="180" t="s">
        <v>359</v>
      </c>
      <c r="D107" s="181" t="n">
        <v>36647</v>
      </c>
      <c r="E107" s="181" t="n">
        <v>36677</v>
      </c>
      <c r="F107" s="179" t="s">
        <v>356</v>
      </c>
      <c r="G107" s="179" t="s">
        <v>360</v>
      </c>
      <c r="H107" s="180" t="s">
        <v>160</v>
      </c>
      <c r="I107" s="182" t="n">
        <v>0.005</v>
      </c>
      <c r="J107" s="183"/>
      <c r="K107" s="183"/>
      <c r="L107" s="183"/>
      <c r="M107" s="183"/>
      <c r="N107" s="183"/>
      <c r="O107" s="184"/>
      <c r="P107" s="183"/>
      <c r="Q107" s="185" t="s">
        <v>361</v>
      </c>
      <c r="R107" s="180" t="n">
        <v>7000</v>
      </c>
      <c r="S107" s="179" t="s">
        <v>362</v>
      </c>
      <c r="T107" s="186" t="n">
        <f aca="false">+I107*R107*I1</f>
        <v>1085</v>
      </c>
      <c r="U107" s="187"/>
      <c r="V107" s="188" t="n">
        <v>254539</v>
      </c>
      <c r="W107" s="188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89"/>
      <c r="AT107" s="189"/>
      <c r="AU107" s="189"/>
      <c r="AV107" s="189"/>
      <c r="AW107" s="189"/>
      <c r="AX107" s="189"/>
      <c r="AY107" s="189"/>
      <c r="AZ107" s="189"/>
      <c r="BA107" s="189"/>
      <c r="BB107" s="189"/>
      <c r="BC107" s="189"/>
      <c r="BD107" s="189"/>
      <c r="BE107" s="189"/>
      <c r="BF107" s="189"/>
      <c r="BG107" s="189"/>
      <c r="BH107" s="189"/>
      <c r="BI107" s="189"/>
      <c r="BJ107" s="189"/>
      <c r="BK107" s="189"/>
      <c r="BL107" s="189"/>
      <c r="BM107" s="189"/>
      <c r="BN107" s="189"/>
      <c r="BO107" s="189"/>
      <c r="BP107" s="189"/>
      <c r="BQ107" s="189"/>
      <c r="BR107" s="189"/>
      <c r="BS107" s="189"/>
      <c r="BT107" s="189"/>
      <c r="BU107" s="189"/>
      <c r="BV107" s="189"/>
      <c r="BW107" s="189"/>
      <c r="BX107" s="189"/>
      <c r="BY107" s="189"/>
      <c r="BZ107" s="189"/>
      <c r="CA107" s="189"/>
      <c r="CB107" s="189"/>
      <c r="CC107" s="189"/>
      <c r="CD107" s="189"/>
      <c r="CE107" s="189"/>
      <c r="CF107" s="189"/>
      <c r="CG107" s="189"/>
      <c r="CH107" s="189"/>
      <c r="CI107" s="189"/>
      <c r="CJ107" s="189"/>
      <c r="CK107" s="189"/>
      <c r="CL107" s="189"/>
      <c r="CM107" s="189"/>
      <c r="CN107" s="189"/>
      <c r="CO107" s="189"/>
      <c r="CP107" s="189"/>
      <c r="CQ107" s="189"/>
      <c r="CR107" s="189"/>
      <c r="CS107" s="189"/>
      <c r="CT107" s="189"/>
      <c r="CU107" s="189"/>
      <c r="CV107" s="189"/>
      <c r="CW107" s="189"/>
      <c r="CX107" s="189"/>
      <c r="CY107" s="189"/>
      <c r="CZ107" s="189"/>
      <c r="DA107" s="189"/>
      <c r="DB107" s="189"/>
      <c r="DC107" s="189"/>
      <c r="DD107" s="189"/>
      <c r="DE107" s="189"/>
      <c r="DF107" s="189"/>
      <c r="DG107" s="189"/>
      <c r="DH107" s="189"/>
      <c r="DI107" s="189"/>
      <c r="DJ107" s="189"/>
      <c r="DK107" s="189"/>
      <c r="DL107" s="189"/>
      <c r="DM107" s="189"/>
      <c r="DN107" s="189"/>
      <c r="DO107" s="189"/>
      <c r="DP107" s="189"/>
      <c r="DQ107" s="189"/>
      <c r="DR107" s="189"/>
      <c r="DS107" s="189"/>
      <c r="DT107" s="189"/>
      <c r="DU107" s="189"/>
      <c r="DV107" s="189"/>
      <c r="DW107" s="189"/>
      <c r="DX107" s="189"/>
      <c r="DY107" s="189"/>
      <c r="DZ107" s="189"/>
      <c r="EA107" s="189"/>
      <c r="EB107" s="189"/>
      <c r="EC107" s="189"/>
      <c r="ED107" s="189"/>
      <c r="EE107" s="189"/>
      <c r="EF107" s="189"/>
      <c r="EG107" s="189"/>
      <c r="EH107" s="189"/>
      <c r="EI107" s="189"/>
      <c r="EJ107" s="189"/>
      <c r="EK107" s="189"/>
      <c r="EL107" s="189"/>
      <c r="EM107" s="189"/>
      <c r="EN107" s="189"/>
      <c r="EO107" s="189"/>
      <c r="EP107" s="189"/>
      <c r="EQ107" s="189"/>
      <c r="ER107" s="189"/>
      <c r="ES107" s="189"/>
      <c r="ET107" s="189"/>
      <c r="EU107" s="189"/>
      <c r="EV107" s="189"/>
      <c r="EW107" s="189"/>
      <c r="EX107" s="189"/>
      <c r="EY107" s="189"/>
      <c r="EZ107" s="189"/>
      <c r="FA107" s="189"/>
      <c r="FB107" s="189"/>
      <c r="FC107" s="189"/>
      <c r="FD107" s="189"/>
      <c r="FE107" s="189"/>
      <c r="FF107" s="189"/>
      <c r="FG107" s="189"/>
      <c r="FH107" s="189"/>
      <c r="FI107" s="189"/>
      <c r="FJ107" s="189"/>
      <c r="FK107" s="189"/>
      <c r="FL107" s="189"/>
      <c r="FM107" s="189"/>
      <c r="FN107" s="189"/>
      <c r="FO107" s="189"/>
      <c r="FP107" s="189"/>
      <c r="FQ107" s="189"/>
      <c r="FR107" s="189"/>
      <c r="FS107" s="189"/>
      <c r="FT107" s="189"/>
      <c r="FU107" s="189"/>
      <c r="FV107" s="189"/>
      <c r="FW107" s="189"/>
      <c r="FX107" s="189"/>
      <c r="FY107" s="189"/>
      <c r="FZ107" s="189"/>
      <c r="GA107" s="189"/>
      <c r="GB107" s="189"/>
      <c r="GC107" s="189"/>
      <c r="GD107" s="189"/>
      <c r="GE107" s="189"/>
      <c r="GF107" s="189"/>
      <c r="GG107" s="189"/>
      <c r="GH107" s="189"/>
      <c r="GI107" s="189"/>
      <c r="GJ107" s="189"/>
      <c r="GK107" s="189"/>
      <c r="GL107" s="189"/>
      <c r="GM107" s="189"/>
      <c r="GN107" s="189"/>
      <c r="GO107" s="189"/>
      <c r="GP107" s="189"/>
      <c r="GQ107" s="189"/>
      <c r="GR107" s="189"/>
      <c r="GS107" s="189"/>
      <c r="GT107" s="189"/>
      <c r="GU107" s="189"/>
      <c r="GV107" s="189"/>
      <c r="GW107" s="189"/>
      <c r="GX107" s="189"/>
      <c r="GY107" s="189"/>
      <c r="GZ107" s="189"/>
      <c r="HA107" s="189"/>
      <c r="HB107" s="189"/>
      <c r="HC107" s="189"/>
      <c r="HD107" s="189"/>
      <c r="HE107" s="189"/>
      <c r="HF107" s="189"/>
      <c r="HG107" s="189"/>
      <c r="HH107" s="189"/>
      <c r="HI107" s="189"/>
      <c r="HJ107" s="189"/>
      <c r="HK107" s="189"/>
      <c r="HL107" s="189"/>
      <c r="HM107" s="189"/>
      <c r="HN107" s="189"/>
      <c r="HO107" s="189"/>
      <c r="HP107" s="189"/>
      <c r="HQ107" s="189"/>
      <c r="HR107" s="189"/>
      <c r="HS107" s="189"/>
      <c r="HT107" s="189"/>
      <c r="HU107" s="189"/>
      <c r="HV107" s="189"/>
      <c r="HW107" s="189"/>
      <c r="HX107" s="189"/>
      <c r="HY107" s="189"/>
      <c r="HZ107" s="189"/>
      <c r="IA107" s="189"/>
      <c r="IB107" s="189"/>
      <c r="IC107" s="189"/>
      <c r="ID107" s="189"/>
      <c r="IE107" s="189"/>
      <c r="IF107" s="189"/>
      <c r="IG107" s="189"/>
      <c r="IH107" s="189"/>
      <c r="II107" s="189"/>
      <c r="IJ107" s="189"/>
      <c r="IK107" s="189"/>
      <c r="IL107" s="189"/>
      <c r="IM107" s="189"/>
      <c r="IN107" s="189"/>
      <c r="IO107" s="189"/>
      <c r="IP107" s="189"/>
      <c r="IQ107" s="189"/>
      <c r="IR107" s="189"/>
      <c r="IS107" s="189"/>
      <c r="IT107" s="189"/>
      <c r="IU107" s="189"/>
      <c r="IV107" s="189"/>
      <c r="IW107" s="189"/>
    </row>
    <row r="108" customFormat="false" ht="12.75" hidden="false" customHeight="false" outlineLevel="0" collapsed="false">
      <c r="A108" s="179" t="s">
        <v>144</v>
      </c>
      <c r="B108" s="180" t="s">
        <v>354</v>
      </c>
      <c r="C108" s="180" t="s">
        <v>359</v>
      </c>
      <c r="D108" s="181" t="n">
        <v>36647</v>
      </c>
      <c r="E108" s="181" t="n">
        <v>36769</v>
      </c>
      <c r="F108" s="179" t="s">
        <v>363</v>
      </c>
      <c r="G108" s="179" t="s">
        <v>364</v>
      </c>
      <c r="H108" s="180" t="s">
        <v>160</v>
      </c>
      <c r="I108" s="182" t="n">
        <v>0.005</v>
      </c>
      <c r="J108" s="183"/>
      <c r="K108" s="183"/>
      <c r="L108" s="183"/>
      <c r="M108" s="183"/>
      <c r="N108" s="183"/>
      <c r="O108" s="184"/>
      <c r="P108" s="183"/>
      <c r="Q108" s="185" t="s">
        <v>365</v>
      </c>
      <c r="R108" s="180" t="n">
        <v>2300</v>
      </c>
      <c r="S108" s="179" t="s">
        <v>366</v>
      </c>
      <c r="T108" s="186" t="n">
        <f aca="false">+I108*R108*I2</f>
        <v>0</v>
      </c>
      <c r="U108" s="187"/>
      <c r="V108" s="188" t="n">
        <v>257412</v>
      </c>
      <c r="W108" s="188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  <c r="AV108" s="189"/>
      <c r="AW108" s="189"/>
      <c r="AX108" s="189"/>
      <c r="AY108" s="189"/>
      <c r="AZ108" s="189"/>
      <c r="BA108" s="189"/>
      <c r="BB108" s="189"/>
      <c r="BC108" s="189"/>
      <c r="BD108" s="189"/>
      <c r="BE108" s="189"/>
      <c r="BF108" s="189"/>
      <c r="BG108" s="189"/>
      <c r="BH108" s="189"/>
      <c r="BI108" s="189"/>
      <c r="BJ108" s="189"/>
      <c r="BK108" s="189"/>
      <c r="BL108" s="189"/>
      <c r="BM108" s="189"/>
      <c r="BN108" s="189"/>
      <c r="BO108" s="189"/>
      <c r="BP108" s="189"/>
      <c r="BQ108" s="189"/>
      <c r="BR108" s="189"/>
      <c r="BS108" s="189"/>
      <c r="BT108" s="189"/>
      <c r="BU108" s="189"/>
      <c r="BV108" s="189"/>
      <c r="BW108" s="189"/>
      <c r="BX108" s="189"/>
      <c r="BY108" s="189"/>
      <c r="BZ108" s="189"/>
      <c r="CA108" s="189"/>
      <c r="CB108" s="189"/>
      <c r="CC108" s="189"/>
      <c r="CD108" s="189"/>
      <c r="CE108" s="189"/>
      <c r="CF108" s="189"/>
      <c r="CG108" s="189"/>
      <c r="CH108" s="189"/>
      <c r="CI108" s="189"/>
      <c r="CJ108" s="189"/>
      <c r="CK108" s="189"/>
      <c r="CL108" s="189"/>
      <c r="CM108" s="189"/>
      <c r="CN108" s="189"/>
      <c r="CO108" s="189"/>
      <c r="CP108" s="189"/>
      <c r="CQ108" s="189"/>
      <c r="CR108" s="189"/>
      <c r="CS108" s="189"/>
      <c r="CT108" s="189"/>
      <c r="CU108" s="189"/>
      <c r="CV108" s="189"/>
      <c r="CW108" s="189"/>
      <c r="CX108" s="189"/>
      <c r="CY108" s="189"/>
      <c r="CZ108" s="189"/>
      <c r="DA108" s="189"/>
      <c r="DB108" s="189"/>
      <c r="DC108" s="189"/>
      <c r="DD108" s="189"/>
      <c r="DE108" s="189"/>
      <c r="DF108" s="189"/>
      <c r="DG108" s="189"/>
      <c r="DH108" s="189"/>
      <c r="DI108" s="189"/>
      <c r="DJ108" s="189"/>
      <c r="DK108" s="189"/>
      <c r="DL108" s="189"/>
      <c r="DM108" s="189"/>
      <c r="DN108" s="189"/>
      <c r="DO108" s="189"/>
      <c r="DP108" s="189"/>
      <c r="DQ108" s="189"/>
      <c r="DR108" s="189"/>
      <c r="DS108" s="189"/>
      <c r="DT108" s="189"/>
      <c r="DU108" s="189"/>
      <c r="DV108" s="189"/>
      <c r="DW108" s="189"/>
      <c r="DX108" s="189"/>
      <c r="DY108" s="189"/>
      <c r="DZ108" s="189"/>
      <c r="EA108" s="189"/>
      <c r="EB108" s="189"/>
      <c r="EC108" s="189"/>
      <c r="ED108" s="189"/>
      <c r="EE108" s="189"/>
      <c r="EF108" s="189"/>
      <c r="EG108" s="189"/>
      <c r="EH108" s="189"/>
      <c r="EI108" s="189"/>
      <c r="EJ108" s="189"/>
      <c r="EK108" s="189"/>
      <c r="EL108" s="189"/>
      <c r="EM108" s="189"/>
      <c r="EN108" s="189"/>
      <c r="EO108" s="189"/>
      <c r="EP108" s="189"/>
      <c r="EQ108" s="189"/>
      <c r="ER108" s="189"/>
      <c r="ES108" s="189"/>
      <c r="ET108" s="189"/>
      <c r="EU108" s="189"/>
      <c r="EV108" s="189"/>
      <c r="EW108" s="189"/>
      <c r="EX108" s="189"/>
      <c r="EY108" s="189"/>
      <c r="EZ108" s="189"/>
      <c r="FA108" s="189"/>
      <c r="FB108" s="189"/>
      <c r="FC108" s="189"/>
      <c r="FD108" s="189"/>
      <c r="FE108" s="189"/>
      <c r="FF108" s="189"/>
      <c r="FG108" s="189"/>
      <c r="FH108" s="189"/>
      <c r="FI108" s="189"/>
      <c r="FJ108" s="189"/>
      <c r="FK108" s="189"/>
      <c r="FL108" s="189"/>
      <c r="FM108" s="189"/>
      <c r="FN108" s="189"/>
      <c r="FO108" s="189"/>
      <c r="FP108" s="189"/>
      <c r="FQ108" s="189"/>
      <c r="FR108" s="189"/>
      <c r="FS108" s="189"/>
      <c r="FT108" s="189"/>
      <c r="FU108" s="189"/>
      <c r="FV108" s="189"/>
      <c r="FW108" s="189"/>
      <c r="FX108" s="189"/>
      <c r="FY108" s="189"/>
      <c r="FZ108" s="189"/>
      <c r="GA108" s="189"/>
      <c r="GB108" s="189"/>
      <c r="GC108" s="189"/>
      <c r="GD108" s="189"/>
      <c r="GE108" s="189"/>
      <c r="GF108" s="189"/>
      <c r="GG108" s="189"/>
      <c r="GH108" s="189"/>
      <c r="GI108" s="189"/>
      <c r="GJ108" s="189"/>
      <c r="GK108" s="189"/>
      <c r="GL108" s="189"/>
      <c r="GM108" s="189"/>
      <c r="GN108" s="189"/>
      <c r="GO108" s="189"/>
      <c r="GP108" s="189"/>
      <c r="GQ108" s="189"/>
      <c r="GR108" s="189"/>
      <c r="GS108" s="189"/>
      <c r="GT108" s="189"/>
      <c r="GU108" s="189"/>
      <c r="GV108" s="189"/>
      <c r="GW108" s="189"/>
      <c r="GX108" s="189"/>
      <c r="GY108" s="189"/>
      <c r="GZ108" s="189"/>
      <c r="HA108" s="189"/>
      <c r="HB108" s="189"/>
      <c r="HC108" s="189"/>
      <c r="HD108" s="189"/>
      <c r="HE108" s="189"/>
      <c r="HF108" s="189"/>
      <c r="HG108" s="189"/>
      <c r="HH108" s="189"/>
      <c r="HI108" s="189"/>
      <c r="HJ108" s="189"/>
      <c r="HK108" s="189"/>
      <c r="HL108" s="189"/>
      <c r="HM108" s="189"/>
      <c r="HN108" s="189"/>
      <c r="HO108" s="189"/>
      <c r="HP108" s="189"/>
      <c r="HQ108" s="189"/>
      <c r="HR108" s="189"/>
      <c r="HS108" s="189"/>
      <c r="HT108" s="189"/>
      <c r="HU108" s="189"/>
      <c r="HV108" s="189"/>
      <c r="HW108" s="189"/>
      <c r="HX108" s="189"/>
      <c r="HY108" s="189"/>
      <c r="HZ108" s="189"/>
      <c r="IA108" s="189"/>
      <c r="IB108" s="189"/>
      <c r="IC108" s="189"/>
      <c r="ID108" s="189"/>
      <c r="IE108" s="189"/>
      <c r="IF108" s="189"/>
      <c r="IG108" s="189"/>
      <c r="IH108" s="189"/>
      <c r="II108" s="189"/>
      <c r="IJ108" s="189"/>
      <c r="IK108" s="189"/>
      <c r="IL108" s="189"/>
      <c r="IM108" s="189"/>
      <c r="IN108" s="189"/>
      <c r="IO108" s="189"/>
      <c r="IP108" s="189"/>
      <c r="IQ108" s="189"/>
      <c r="IR108" s="189"/>
      <c r="IS108" s="189"/>
      <c r="IT108" s="189"/>
      <c r="IU108" s="189"/>
      <c r="IV108" s="189"/>
      <c r="IW108" s="189"/>
    </row>
    <row r="109" customFormat="false" ht="12.75" hidden="false" customHeight="false" outlineLevel="0" collapsed="false">
      <c r="A109" s="190"/>
      <c r="B109" s="69"/>
      <c r="C109" s="69"/>
      <c r="D109" s="191"/>
      <c r="E109" s="191"/>
      <c r="F109" s="190"/>
      <c r="G109" s="190"/>
      <c r="H109" s="69"/>
      <c r="I109" s="192"/>
      <c r="J109" s="68"/>
      <c r="K109" s="68"/>
      <c r="L109" s="68"/>
      <c r="M109" s="68"/>
      <c r="N109" s="68"/>
      <c r="O109" s="159"/>
      <c r="P109" s="68"/>
      <c r="Q109" s="130"/>
      <c r="R109" s="69"/>
      <c r="S109" s="190"/>
      <c r="T109" s="136"/>
      <c r="U109" s="35"/>
      <c r="V109" s="37"/>
      <c r="W109" s="37"/>
      <c r="X109" s="193"/>
      <c r="Y109" s="193"/>
      <c r="Z109" s="193"/>
      <c r="AA109" s="193"/>
      <c r="AB109" s="193"/>
      <c r="AC109" s="193"/>
      <c r="AD109" s="193"/>
      <c r="AE109" s="193"/>
      <c r="AF109" s="193"/>
      <c r="AG109" s="193"/>
      <c r="AH109" s="193"/>
      <c r="AI109" s="193"/>
      <c r="AJ109" s="193"/>
      <c r="AK109" s="193"/>
      <c r="AL109" s="193"/>
      <c r="AM109" s="193"/>
      <c r="AN109" s="193"/>
      <c r="AO109" s="193"/>
      <c r="AP109" s="193"/>
      <c r="AQ109" s="193"/>
      <c r="AR109" s="193"/>
      <c r="AS109" s="193"/>
      <c r="AT109" s="193"/>
      <c r="AU109" s="193"/>
      <c r="AV109" s="193"/>
      <c r="AW109" s="193"/>
      <c r="AX109" s="193"/>
      <c r="AY109" s="193"/>
      <c r="AZ109" s="193"/>
      <c r="BA109" s="193"/>
      <c r="BB109" s="193"/>
      <c r="BC109" s="193"/>
      <c r="BD109" s="193"/>
      <c r="BE109" s="193"/>
      <c r="BF109" s="193"/>
      <c r="BG109" s="193"/>
      <c r="BH109" s="193"/>
      <c r="BI109" s="193"/>
      <c r="BJ109" s="193"/>
      <c r="BK109" s="193"/>
      <c r="BL109" s="193"/>
      <c r="BM109" s="193"/>
      <c r="BN109" s="193"/>
      <c r="BO109" s="193"/>
      <c r="BP109" s="193"/>
      <c r="BQ109" s="193"/>
      <c r="BR109" s="193"/>
      <c r="BS109" s="193"/>
      <c r="BT109" s="193"/>
      <c r="BU109" s="193"/>
      <c r="BV109" s="193"/>
      <c r="BW109" s="193"/>
      <c r="BX109" s="193"/>
      <c r="BY109" s="193"/>
      <c r="BZ109" s="193"/>
      <c r="CA109" s="193"/>
      <c r="CB109" s="193"/>
      <c r="CC109" s="193"/>
      <c r="CD109" s="193"/>
      <c r="CE109" s="193"/>
      <c r="CF109" s="193"/>
      <c r="CG109" s="193"/>
      <c r="CH109" s="193"/>
      <c r="CI109" s="193"/>
      <c r="CJ109" s="193"/>
      <c r="CK109" s="193"/>
      <c r="CL109" s="193"/>
      <c r="CM109" s="193"/>
      <c r="CN109" s="193"/>
      <c r="CO109" s="193"/>
      <c r="CP109" s="193"/>
      <c r="CQ109" s="193"/>
      <c r="CR109" s="193"/>
      <c r="CS109" s="193"/>
      <c r="CT109" s="193"/>
      <c r="CU109" s="193"/>
      <c r="CV109" s="193"/>
      <c r="CW109" s="193"/>
      <c r="CX109" s="193"/>
      <c r="CY109" s="193"/>
      <c r="CZ109" s="193"/>
      <c r="DA109" s="193"/>
      <c r="DB109" s="193"/>
      <c r="DC109" s="193"/>
      <c r="DD109" s="193"/>
      <c r="DE109" s="193"/>
      <c r="DF109" s="193"/>
      <c r="DG109" s="193"/>
      <c r="DH109" s="193"/>
      <c r="DI109" s="193"/>
      <c r="DJ109" s="193"/>
      <c r="DK109" s="193"/>
      <c r="DL109" s="193"/>
      <c r="DM109" s="193"/>
      <c r="DN109" s="193"/>
      <c r="DO109" s="193"/>
      <c r="DP109" s="193"/>
      <c r="DQ109" s="193"/>
      <c r="DR109" s="193"/>
      <c r="DS109" s="193"/>
      <c r="DT109" s="193"/>
      <c r="DU109" s="193"/>
      <c r="DV109" s="193"/>
      <c r="DW109" s="193"/>
      <c r="DX109" s="193"/>
      <c r="DY109" s="193"/>
      <c r="DZ109" s="193"/>
      <c r="EA109" s="193"/>
      <c r="EB109" s="193"/>
      <c r="EC109" s="193"/>
      <c r="ED109" s="193"/>
      <c r="EE109" s="193"/>
      <c r="EF109" s="193"/>
      <c r="EG109" s="193"/>
      <c r="EH109" s="193"/>
      <c r="EI109" s="193"/>
      <c r="EJ109" s="193"/>
      <c r="EK109" s="193"/>
      <c r="EL109" s="193"/>
      <c r="EM109" s="193"/>
      <c r="EN109" s="193"/>
      <c r="EO109" s="193"/>
      <c r="EP109" s="193"/>
      <c r="EQ109" s="193"/>
      <c r="ER109" s="193"/>
      <c r="ES109" s="193"/>
      <c r="ET109" s="193"/>
      <c r="EU109" s="193"/>
      <c r="EV109" s="193"/>
      <c r="EW109" s="193"/>
      <c r="EX109" s="193"/>
      <c r="EY109" s="193"/>
      <c r="EZ109" s="193"/>
      <c r="FA109" s="193"/>
      <c r="FB109" s="193"/>
      <c r="FC109" s="193"/>
      <c r="FD109" s="193"/>
      <c r="FE109" s="193"/>
      <c r="FF109" s="193"/>
      <c r="FG109" s="193"/>
      <c r="FH109" s="193"/>
      <c r="FI109" s="193"/>
      <c r="FJ109" s="193"/>
      <c r="FK109" s="193"/>
      <c r="FL109" s="193"/>
      <c r="FM109" s="193"/>
      <c r="FN109" s="193"/>
      <c r="FO109" s="193"/>
      <c r="FP109" s="193"/>
      <c r="FQ109" s="193"/>
      <c r="FR109" s="193"/>
      <c r="FS109" s="193"/>
      <c r="FT109" s="193"/>
      <c r="FU109" s="193"/>
      <c r="FV109" s="193"/>
      <c r="FW109" s="193"/>
      <c r="FX109" s="193"/>
      <c r="FY109" s="193"/>
      <c r="FZ109" s="193"/>
      <c r="GA109" s="193"/>
      <c r="GB109" s="193"/>
      <c r="GC109" s="193"/>
      <c r="GD109" s="193"/>
      <c r="GE109" s="193"/>
      <c r="GF109" s="193"/>
      <c r="GG109" s="193"/>
      <c r="GH109" s="193"/>
      <c r="GI109" s="193"/>
      <c r="GJ109" s="193"/>
      <c r="GK109" s="193"/>
      <c r="GL109" s="193"/>
      <c r="GM109" s="193"/>
      <c r="GN109" s="193"/>
      <c r="GO109" s="193"/>
      <c r="GP109" s="193"/>
      <c r="GQ109" s="193"/>
      <c r="GR109" s="193"/>
      <c r="GS109" s="193"/>
      <c r="GT109" s="193"/>
      <c r="GU109" s="193"/>
      <c r="GV109" s="193"/>
      <c r="GW109" s="193"/>
      <c r="GX109" s="193"/>
      <c r="GY109" s="193"/>
      <c r="GZ109" s="193"/>
      <c r="HA109" s="193"/>
      <c r="HB109" s="193"/>
      <c r="HC109" s="193"/>
      <c r="HD109" s="193"/>
      <c r="HE109" s="193"/>
      <c r="HF109" s="193"/>
      <c r="HG109" s="193"/>
      <c r="HH109" s="193"/>
      <c r="HI109" s="193"/>
      <c r="HJ109" s="193"/>
      <c r="HK109" s="193"/>
      <c r="HL109" s="193"/>
      <c r="HM109" s="193"/>
      <c r="HN109" s="193"/>
      <c r="HO109" s="193"/>
      <c r="HP109" s="193"/>
      <c r="HQ109" s="193"/>
      <c r="HR109" s="193"/>
      <c r="HS109" s="193"/>
      <c r="HT109" s="193"/>
      <c r="HU109" s="193"/>
      <c r="HV109" s="193"/>
      <c r="HW109" s="193"/>
      <c r="HX109" s="193"/>
      <c r="HY109" s="193"/>
      <c r="HZ109" s="193"/>
      <c r="IA109" s="193"/>
      <c r="IB109" s="193"/>
      <c r="IC109" s="193"/>
      <c r="ID109" s="193"/>
      <c r="IE109" s="193"/>
      <c r="IF109" s="193"/>
      <c r="IG109" s="193"/>
      <c r="IH109" s="193"/>
      <c r="II109" s="193"/>
      <c r="IJ109" s="193"/>
      <c r="IK109" s="193"/>
      <c r="IL109" s="193"/>
      <c r="IM109" s="193"/>
      <c r="IN109" s="193"/>
      <c r="IO109" s="193"/>
      <c r="IP109" s="193"/>
      <c r="IQ109" s="193"/>
      <c r="IR109" s="193"/>
      <c r="IS109" s="193"/>
      <c r="IT109" s="193"/>
      <c r="IU109" s="193"/>
      <c r="IV109" s="193"/>
      <c r="IW109" s="193"/>
    </row>
    <row r="110" customFormat="false" ht="12.75" hidden="false" customHeight="false" outlineLevel="0" collapsed="false">
      <c r="A110" s="56"/>
      <c r="B110" s="58"/>
      <c r="C110" s="58"/>
      <c r="D110" s="59"/>
      <c r="E110" s="59"/>
      <c r="F110" s="56"/>
      <c r="G110" s="56"/>
      <c r="H110" s="58"/>
      <c r="I110" s="61"/>
      <c r="J110" s="62"/>
      <c r="K110" s="62"/>
      <c r="L110" s="62"/>
      <c r="M110" s="62"/>
      <c r="N110" s="62"/>
      <c r="O110" s="176" t="s">
        <v>1</v>
      </c>
      <c r="P110" s="62"/>
      <c r="Q110" s="177"/>
      <c r="R110" s="58"/>
      <c r="S110" s="56" t="s">
        <v>1</v>
      </c>
      <c r="T110" s="178" t="n">
        <f aca="false">SUM(T99:T103)</f>
        <v>18423.3489422005</v>
      </c>
      <c r="U110" s="67" t="e">
        <f aca="false">SUM(#REF!)</f>
        <v>#REF!</v>
      </c>
      <c r="V110" s="24"/>
      <c r="W110" s="24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A111" s="137" t="s">
        <v>108</v>
      </c>
      <c r="B111" s="138" t="s">
        <v>109</v>
      </c>
      <c r="C111" s="138" t="s">
        <v>110</v>
      </c>
      <c r="D111" s="139" t="s">
        <v>111</v>
      </c>
      <c r="E111" s="139"/>
      <c r="F111" s="137" t="s">
        <v>112</v>
      </c>
      <c r="G111" s="137" t="s">
        <v>113</v>
      </c>
      <c r="H111" s="138" t="s">
        <v>114</v>
      </c>
      <c r="I111" s="140" t="s">
        <v>115</v>
      </c>
      <c r="J111" s="138" t="s">
        <v>116</v>
      </c>
      <c r="K111" s="138" t="s">
        <v>117</v>
      </c>
      <c r="L111" s="138" t="s">
        <v>118</v>
      </c>
      <c r="M111" s="138" t="s">
        <v>119</v>
      </c>
      <c r="N111" s="138" t="s">
        <v>253</v>
      </c>
      <c r="O111" s="141" t="s">
        <v>120</v>
      </c>
      <c r="P111" s="138" t="s">
        <v>121</v>
      </c>
      <c r="Q111" s="142" t="s">
        <v>122</v>
      </c>
      <c r="R111" s="138" t="s">
        <v>123</v>
      </c>
      <c r="S111" s="137" t="s">
        <v>124</v>
      </c>
      <c r="T111" s="143" t="s">
        <v>254</v>
      </c>
      <c r="U111" s="144" t="s">
        <v>255</v>
      </c>
      <c r="V111" s="24"/>
      <c r="W111" s="24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12.75" hidden="false" customHeight="false" outlineLevel="0" collapsed="false">
      <c r="A112" s="38" t="s">
        <v>144</v>
      </c>
      <c r="B112" s="206" t="s">
        <v>367</v>
      </c>
      <c r="C112" s="75" t="s">
        <v>367</v>
      </c>
      <c r="D112" s="76" t="n">
        <v>36647</v>
      </c>
      <c r="E112" s="76" t="n">
        <v>36677</v>
      </c>
      <c r="F112" s="38" t="s">
        <v>368</v>
      </c>
      <c r="G112" s="38" t="s">
        <v>369</v>
      </c>
      <c r="H112" s="206" t="s">
        <v>167</v>
      </c>
      <c r="I112" s="77" t="n">
        <f aca="false">1.55/$I$1</f>
        <v>0.05</v>
      </c>
      <c r="J112" s="78" t="n">
        <v>0</v>
      </c>
      <c r="K112" s="78" t="n">
        <v>0</v>
      </c>
      <c r="L112" s="78" t="n">
        <v>0</v>
      </c>
      <c r="M112" s="78" t="n">
        <v>0</v>
      </c>
      <c r="N112" s="78" t="n">
        <v>0</v>
      </c>
      <c r="O112" s="162" t="n">
        <v>0.0369</v>
      </c>
      <c r="P112" s="78" t="n">
        <v>0</v>
      </c>
      <c r="Q112" s="207" t="n">
        <v>3.4801</v>
      </c>
      <c r="R112" s="206" t="n">
        <v>20000</v>
      </c>
      <c r="S112" s="38" t="s">
        <v>370</v>
      </c>
      <c r="T112" s="164" t="n">
        <f aca="false">I112*$I$1*R112</f>
        <v>31000</v>
      </c>
      <c r="U112" s="81" t="n">
        <v>0</v>
      </c>
      <c r="V112" s="83" t="s">
        <v>371</v>
      </c>
      <c r="W112" s="83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  <c r="AO112" s="208"/>
      <c r="AP112" s="208"/>
      <c r="AQ112" s="208"/>
      <c r="AR112" s="208"/>
      <c r="AS112" s="208"/>
      <c r="AT112" s="208"/>
      <c r="AU112" s="208"/>
      <c r="AV112" s="208"/>
      <c r="AW112" s="208"/>
      <c r="AX112" s="208"/>
      <c r="AY112" s="208"/>
      <c r="AZ112" s="208"/>
      <c r="BA112" s="208"/>
      <c r="BB112" s="208"/>
      <c r="BC112" s="208"/>
      <c r="BD112" s="208"/>
      <c r="BE112" s="208"/>
      <c r="BF112" s="208"/>
      <c r="BG112" s="208"/>
      <c r="BH112" s="208"/>
      <c r="BI112" s="208"/>
      <c r="BJ112" s="208"/>
      <c r="BK112" s="208"/>
      <c r="BL112" s="208"/>
      <c r="BM112" s="208"/>
      <c r="BN112" s="208"/>
      <c r="BO112" s="208"/>
      <c r="BP112" s="208"/>
      <c r="BQ112" s="208"/>
      <c r="BR112" s="208"/>
      <c r="BS112" s="208"/>
      <c r="BT112" s="208"/>
      <c r="BU112" s="208"/>
      <c r="BV112" s="208"/>
      <c r="BW112" s="208"/>
      <c r="BX112" s="208"/>
      <c r="BY112" s="208"/>
      <c r="BZ112" s="208"/>
      <c r="CA112" s="208"/>
      <c r="CB112" s="208"/>
      <c r="CC112" s="208"/>
      <c r="CD112" s="208"/>
      <c r="CE112" s="208"/>
      <c r="CF112" s="208"/>
      <c r="CG112" s="208"/>
      <c r="CH112" s="208"/>
      <c r="CI112" s="208"/>
      <c r="CJ112" s="208"/>
      <c r="CK112" s="208"/>
      <c r="CL112" s="208"/>
      <c r="CM112" s="208"/>
      <c r="CN112" s="208"/>
      <c r="CO112" s="208"/>
      <c r="CP112" s="208"/>
      <c r="CQ112" s="208"/>
      <c r="CR112" s="208"/>
      <c r="CS112" s="208"/>
      <c r="CT112" s="208"/>
      <c r="CU112" s="208"/>
      <c r="CV112" s="208"/>
      <c r="CW112" s="208"/>
      <c r="CX112" s="208"/>
      <c r="CY112" s="208"/>
      <c r="CZ112" s="208"/>
      <c r="DA112" s="208"/>
      <c r="DB112" s="208"/>
      <c r="DC112" s="208"/>
      <c r="DD112" s="208"/>
      <c r="DE112" s="208"/>
      <c r="DF112" s="208"/>
      <c r="DG112" s="208"/>
      <c r="DH112" s="208"/>
      <c r="DI112" s="208"/>
      <c r="DJ112" s="208"/>
      <c r="DK112" s="208"/>
      <c r="DL112" s="208"/>
      <c r="DM112" s="208"/>
      <c r="DN112" s="208"/>
      <c r="DO112" s="208"/>
      <c r="DP112" s="208"/>
      <c r="DQ112" s="208"/>
      <c r="DR112" s="208"/>
      <c r="DS112" s="208"/>
      <c r="DT112" s="208"/>
      <c r="DU112" s="208"/>
      <c r="DV112" s="208"/>
      <c r="DW112" s="208"/>
      <c r="DX112" s="208"/>
      <c r="DY112" s="208"/>
      <c r="DZ112" s="208"/>
      <c r="EA112" s="208"/>
      <c r="EB112" s="208"/>
      <c r="EC112" s="208"/>
      <c r="ED112" s="208"/>
      <c r="EE112" s="208"/>
      <c r="EF112" s="208"/>
      <c r="EG112" s="208"/>
      <c r="EH112" s="208"/>
      <c r="EI112" s="208"/>
      <c r="EJ112" s="208"/>
      <c r="EK112" s="208"/>
      <c r="EL112" s="208"/>
      <c r="EM112" s="208"/>
      <c r="EN112" s="208"/>
      <c r="EO112" s="208"/>
      <c r="EP112" s="208"/>
      <c r="EQ112" s="208"/>
      <c r="ER112" s="208"/>
      <c r="ES112" s="208"/>
      <c r="ET112" s="208"/>
      <c r="EU112" s="208"/>
      <c r="EV112" s="208"/>
      <c r="EW112" s="208"/>
      <c r="EX112" s="208"/>
      <c r="EY112" s="208"/>
      <c r="EZ112" s="208"/>
      <c r="FA112" s="208"/>
      <c r="FB112" s="208"/>
      <c r="FC112" s="208"/>
      <c r="FD112" s="208"/>
      <c r="FE112" s="208"/>
      <c r="FF112" s="208"/>
      <c r="FG112" s="208"/>
      <c r="FH112" s="208"/>
      <c r="FI112" s="208"/>
      <c r="FJ112" s="208"/>
      <c r="FK112" s="208"/>
      <c r="FL112" s="208"/>
      <c r="FM112" s="208"/>
      <c r="FN112" s="208"/>
      <c r="FO112" s="208"/>
      <c r="FP112" s="208"/>
      <c r="FQ112" s="208"/>
      <c r="FR112" s="208"/>
      <c r="FS112" s="208"/>
      <c r="FT112" s="208"/>
      <c r="FU112" s="208"/>
      <c r="FV112" s="208"/>
      <c r="FW112" s="208"/>
      <c r="FX112" s="208"/>
      <c r="FY112" s="208"/>
      <c r="FZ112" s="208"/>
      <c r="GA112" s="208"/>
      <c r="GB112" s="208"/>
      <c r="GC112" s="208"/>
      <c r="GD112" s="208"/>
      <c r="GE112" s="208"/>
      <c r="GF112" s="208"/>
      <c r="GG112" s="208"/>
      <c r="GH112" s="208"/>
      <c r="GI112" s="208"/>
      <c r="GJ112" s="208"/>
      <c r="GK112" s="208"/>
      <c r="GL112" s="208"/>
      <c r="GM112" s="208"/>
      <c r="GN112" s="208"/>
      <c r="GO112" s="208"/>
      <c r="GP112" s="208"/>
      <c r="GQ112" s="208"/>
      <c r="GR112" s="208"/>
      <c r="GS112" s="208"/>
      <c r="GT112" s="208"/>
      <c r="GU112" s="208"/>
      <c r="GV112" s="208"/>
      <c r="GW112" s="208"/>
      <c r="GX112" s="208"/>
      <c r="GY112" s="208"/>
      <c r="GZ112" s="208"/>
      <c r="HA112" s="208"/>
      <c r="HB112" s="208"/>
      <c r="HC112" s="208"/>
      <c r="HD112" s="208"/>
      <c r="HE112" s="208"/>
      <c r="HF112" s="208"/>
      <c r="HG112" s="208"/>
      <c r="HH112" s="208"/>
      <c r="HI112" s="208"/>
      <c r="HJ112" s="208"/>
      <c r="HK112" s="208"/>
      <c r="HL112" s="208"/>
      <c r="HM112" s="208"/>
      <c r="HN112" s="208"/>
      <c r="HO112" s="208"/>
      <c r="HP112" s="208"/>
      <c r="HQ112" s="208"/>
      <c r="HR112" s="208"/>
      <c r="HS112" s="208"/>
      <c r="HT112" s="208"/>
      <c r="HU112" s="208"/>
      <c r="HV112" s="208"/>
      <c r="HW112" s="208"/>
      <c r="HX112" s="208"/>
      <c r="HY112" s="208"/>
      <c r="HZ112" s="208"/>
      <c r="IA112" s="208"/>
      <c r="IB112" s="208"/>
      <c r="IC112" s="208"/>
      <c r="ID112" s="208"/>
      <c r="IE112" s="208"/>
      <c r="IF112" s="208"/>
      <c r="IG112" s="208"/>
      <c r="IH112" s="208"/>
      <c r="II112" s="208"/>
      <c r="IJ112" s="208"/>
      <c r="IK112" s="208"/>
      <c r="IL112" s="208"/>
      <c r="IM112" s="208"/>
      <c r="IN112" s="208"/>
      <c r="IO112" s="208"/>
      <c r="IP112" s="208"/>
      <c r="IQ112" s="208"/>
      <c r="IR112" s="208"/>
      <c r="IS112" s="208"/>
      <c r="IT112" s="208"/>
      <c r="IU112" s="208"/>
      <c r="IV112" s="208"/>
      <c r="IW112" s="208"/>
    </row>
    <row r="113" customFormat="false" ht="12.75" hidden="false" customHeight="false" outlineLevel="0" collapsed="false">
      <c r="A113" s="15" t="s">
        <v>144</v>
      </c>
      <c r="B113" s="34" t="s">
        <v>367</v>
      </c>
      <c r="C113" s="16" t="s">
        <v>372</v>
      </c>
      <c r="D113" s="17" t="n">
        <v>36647</v>
      </c>
      <c r="E113" s="17" t="n">
        <v>36677</v>
      </c>
      <c r="F113" s="15" t="s">
        <v>373</v>
      </c>
      <c r="G113" s="15" t="s">
        <v>374</v>
      </c>
      <c r="H113" s="34" t="s">
        <v>160</v>
      </c>
      <c r="I113" s="19" t="n">
        <f aca="false">4.2583/I$1</f>
        <v>0.137364516129032</v>
      </c>
      <c r="J113" s="20"/>
      <c r="K113" s="20"/>
      <c r="L113" s="20"/>
      <c r="M113" s="20"/>
      <c r="N113" s="20"/>
      <c r="O113" s="21"/>
      <c r="P113" s="20"/>
      <c r="Q113" s="209" t="s">
        <v>375</v>
      </c>
      <c r="R113" s="34" t="n">
        <v>5000</v>
      </c>
      <c r="S113" s="15" t="s">
        <v>376</v>
      </c>
      <c r="T113" s="125" t="n">
        <f aca="false">I113*$I$1*R113</f>
        <v>21291.5</v>
      </c>
      <c r="U113" s="23"/>
      <c r="V113" s="24" t="n">
        <v>226172</v>
      </c>
      <c r="W113" s="24"/>
    </row>
    <row r="114" customFormat="false" ht="12.75" hidden="false" customHeight="false" outlineLevel="0" collapsed="false">
      <c r="A114" s="96" t="s">
        <v>144</v>
      </c>
      <c r="B114" s="210" t="s">
        <v>367</v>
      </c>
      <c r="C114" s="97" t="s">
        <v>372</v>
      </c>
      <c r="D114" s="98" t="n">
        <v>36678</v>
      </c>
      <c r="E114" s="98" t="n">
        <v>36830</v>
      </c>
      <c r="F114" s="96" t="s">
        <v>373</v>
      </c>
      <c r="G114" s="96" t="s">
        <v>374</v>
      </c>
      <c r="H114" s="210" t="s">
        <v>160</v>
      </c>
      <c r="I114" s="99" t="n">
        <v>0</v>
      </c>
      <c r="J114" s="100"/>
      <c r="K114" s="100"/>
      <c r="L114" s="100"/>
      <c r="M114" s="100"/>
      <c r="N114" s="100"/>
      <c r="O114" s="211"/>
      <c r="P114" s="100"/>
      <c r="Q114" s="212"/>
      <c r="R114" s="210" t="n">
        <v>5000</v>
      </c>
      <c r="S114" s="96"/>
      <c r="T114" s="213" t="s">
        <v>377</v>
      </c>
      <c r="U114" s="103"/>
      <c r="V114" s="105"/>
      <c r="W114" s="105"/>
      <c r="X114" s="214"/>
      <c r="Y114" s="214"/>
      <c r="Z114" s="214"/>
      <c r="AA114" s="214"/>
      <c r="AB114" s="214"/>
      <c r="AC114" s="214"/>
      <c r="AD114" s="214"/>
      <c r="AE114" s="214"/>
      <c r="AF114" s="214"/>
      <c r="AG114" s="214"/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  <c r="BI114" s="214"/>
      <c r="BJ114" s="214"/>
      <c r="BK114" s="214"/>
      <c r="BL114" s="214"/>
      <c r="BM114" s="214"/>
      <c r="BN114" s="214"/>
      <c r="BO114" s="214"/>
      <c r="BP114" s="214"/>
      <c r="BQ114" s="214"/>
      <c r="BR114" s="214"/>
      <c r="BS114" s="214"/>
      <c r="BT114" s="214"/>
      <c r="BU114" s="214"/>
      <c r="BV114" s="214"/>
      <c r="BW114" s="214"/>
      <c r="BX114" s="214"/>
      <c r="BY114" s="214"/>
      <c r="BZ114" s="214"/>
      <c r="CA114" s="214"/>
      <c r="CB114" s="214"/>
      <c r="CC114" s="214"/>
      <c r="CD114" s="214"/>
      <c r="CE114" s="214"/>
      <c r="CF114" s="214"/>
      <c r="CG114" s="214"/>
      <c r="CH114" s="214"/>
      <c r="CI114" s="214"/>
      <c r="CJ114" s="214"/>
      <c r="CK114" s="214"/>
      <c r="CL114" s="214"/>
      <c r="CM114" s="214"/>
      <c r="CN114" s="214"/>
      <c r="CO114" s="214"/>
      <c r="CP114" s="214"/>
      <c r="CQ114" s="214"/>
      <c r="CR114" s="214"/>
      <c r="CS114" s="214"/>
      <c r="CT114" s="214"/>
      <c r="CU114" s="214"/>
      <c r="CV114" s="214"/>
      <c r="CW114" s="214"/>
      <c r="CX114" s="214"/>
      <c r="CY114" s="214"/>
      <c r="CZ114" s="214"/>
      <c r="DA114" s="214"/>
      <c r="DB114" s="214"/>
      <c r="DC114" s="214"/>
      <c r="DD114" s="214"/>
      <c r="DE114" s="214"/>
      <c r="DF114" s="214"/>
      <c r="DG114" s="214"/>
      <c r="DH114" s="214"/>
      <c r="DI114" s="214"/>
      <c r="DJ114" s="214"/>
      <c r="DK114" s="214"/>
      <c r="DL114" s="214"/>
      <c r="DM114" s="214"/>
      <c r="DN114" s="214"/>
      <c r="DO114" s="214"/>
      <c r="DP114" s="214"/>
      <c r="DQ114" s="214"/>
      <c r="DR114" s="214"/>
      <c r="DS114" s="214"/>
      <c r="DT114" s="214"/>
      <c r="DU114" s="214"/>
      <c r="DV114" s="214"/>
      <c r="DW114" s="214"/>
      <c r="DX114" s="214"/>
      <c r="DY114" s="214"/>
      <c r="DZ114" s="214"/>
      <c r="EA114" s="214"/>
      <c r="EB114" s="214"/>
      <c r="EC114" s="214"/>
      <c r="ED114" s="214"/>
      <c r="EE114" s="214"/>
      <c r="EF114" s="214"/>
      <c r="EG114" s="214"/>
      <c r="EH114" s="214"/>
      <c r="EI114" s="214"/>
      <c r="EJ114" s="214"/>
      <c r="EK114" s="214"/>
      <c r="EL114" s="214"/>
      <c r="EM114" s="214"/>
      <c r="EN114" s="214"/>
      <c r="EO114" s="214"/>
      <c r="EP114" s="214"/>
      <c r="EQ114" s="214"/>
      <c r="ER114" s="214"/>
      <c r="ES114" s="214"/>
      <c r="ET114" s="214"/>
      <c r="EU114" s="214"/>
      <c r="EV114" s="214"/>
      <c r="EW114" s="214"/>
      <c r="EX114" s="214"/>
      <c r="EY114" s="214"/>
      <c r="EZ114" s="214"/>
      <c r="FA114" s="214"/>
      <c r="FB114" s="214"/>
      <c r="FC114" s="214"/>
      <c r="FD114" s="214"/>
      <c r="FE114" s="214"/>
      <c r="FF114" s="214"/>
      <c r="FG114" s="214"/>
      <c r="FH114" s="214"/>
      <c r="FI114" s="214"/>
      <c r="FJ114" s="214"/>
      <c r="FK114" s="214"/>
      <c r="FL114" s="214"/>
      <c r="FM114" s="214"/>
      <c r="FN114" s="214"/>
      <c r="FO114" s="214"/>
      <c r="FP114" s="214"/>
      <c r="FQ114" s="214"/>
      <c r="FR114" s="214"/>
      <c r="FS114" s="214"/>
      <c r="FT114" s="214"/>
      <c r="FU114" s="214"/>
      <c r="FV114" s="214"/>
      <c r="FW114" s="214"/>
      <c r="FX114" s="214"/>
      <c r="FY114" s="214"/>
      <c r="FZ114" s="214"/>
      <c r="GA114" s="214"/>
      <c r="GB114" s="214"/>
      <c r="GC114" s="214"/>
      <c r="GD114" s="214"/>
      <c r="GE114" s="214"/>
      <c r="GF114" s="214"/>
      <c r="GG114" s="214"/>
      <c r="GH114" s="214"/>
      <c r="GI114" s="214"/>
      <c r="GJ114" s="214"/>
      <c r="GK114" s="214"/>
      <c r="GL114" s="214"/>
      <c r="GM114" s="214"/>
      <c r="GN114" s="214"/>
      <c r="GO114" s="214"/>
      <c r="GP114" s="214"/>
      <c r="GQ114" s="214"/>
      <c r="GR114" s="214"/>
      <c r="GS114" s="214"/>
      <c r="GT114" s="214"/>
      <c r="GU114" s="214"/>
      <c r="GV114" s="214"/>
      <c r="GW114" s="214"/>
      <c r="GX114" s="214"/>
      <c r="GY114" s="214"/>
      <c r="GZ114" s="214"/>
      <c r="HA114" s="214"/>
      <c r="HB114" s="214"/>
      <c r="HC114" s="214"/>
      <c r="HD114" s="214"/>
      <c r="HE114" s="214"/>
      <c r="HF114" s="214"/>
      <c r="HG114" s="214"/>
      <c r="HH114" s="214"/>
      <c r="HI114" s="214"/>
      <c r="HJ114" s="214"/>
      <c r="HK114" s="214"/>
      <c r="HL114" s="214"/>
      <c r="HM114" s="214"/>
      <c r="HN114" s="214"/>
      <c r="HO114" s="214"/>
      <c r="HP114" s="214"/>
      <c r="HQ114" s="214"/>
      <c r="HR114" s="214"/>
      <c r="HS114" s="214"/>
      <c r="HT114" s="214"/>
      <c r="HU114" s="214"/>
      <c r="HV114" s="214"/>
      <c r="HW114" s="214"/>
      <c r="HX114" s="214"/>
      <c r="HY114" s="214"/>
      <c r="HZ114" s="214"/>
      <c r="IA114" s="214"/>
      <c r="IB114" s="214"/>
      <c r="IC114" s="214"/>
      <c r="ID114" s="214"/>
      <c r="IE114" s="214"/>
      <c r="IF114" s="214"/>
      <c r="IG114" s="214"/>
      <c r="IH114" s="214"/>
      <c r="II114" s="214"/>
      <c r="IJ114" s="214"/>
      <c r="IK114" s="214"/>
      <c r="IL114" s="214"/>
      <c r="IM114" s="214"/>
      <c r="IN114" s="214"/>
      <c r="IO114" s="214"/>
      <c r="IP114" s="214"/>
      <c r="IQ114" s="214"/>
      <c r="IR114" s="214"/>
      <c r="IS114" s="214"/>
      <c r="IT114" s="214"/>
      <c r="IU114" s="214"/>
      <c r="IV114" s="214"/>
      <c r="IW114" s="214"/>
    </row>
    <row r="115" customFormat="false" ht="12.75" hidden="false" customHeight="false" outlineLevel="0" collapsed="false">
      <c r="A115" s="15" t="s">
        <v>144</v>
      </c>
      <c r="B115" s="34" t="s">
        <v>367</v>
      </c>
      <c r="C115" s="16" t="s">
        <v>372</v>
      </c>
      <c r="D115" s="17" t="n">
        <v>36617</v>
      </c>
      <c r="E115" s="17" t="n">
        <v>36830</v>
      </c>
      <c r="F115" s="15" t="s">
        <v>378</v>
      </c>
      <c r="G115" s="15" t="s">
        <v>374</v>
      </c>
      <c r="H115" s="34" t="s">
        <v>160</v>
      </c>
      <c r="I115" s="19" t="n">
        <f aca="false">4.2583/I$1</f>
        <v>0.137364516129032</v>
      </c>
      <c r="J115" s="20"/>
      <c r="K115" s="20"/>
      <c r="L115" s="20"/>
      <c r="M115" s="20"/>
      <c r="N115" s="20"/>
      <c r="O115" s="21"/>
      <c r="P115" s="20"/>
      <c r="Q115" s="209" t="s">
        <v>379</v>
      </c>
      <c r="R115" s="34" t="n">
        <v>15000</v>
      </c>
      <c r="S115" s="15" t="s">
        <v>380</v>
      </c>
      <c r="T115" s="125" t="n">
        <f aca="false">I115*$I$1*R115</f>
        <v>63874.5</v>
      </c>
      <c r="U115" s="23"/>
      <c r="V115" s="24" t="n">
        <v>231538</v>
      </c>
      <c r="W115" s="24"/>
    </row>
    <row r="116" customFormat="false" ht="12.75" hidden="false" customHeight="false" outlineLevel="0" collapsed="false">
      <c r="A116" s="38" t="s">
        <v>144</v>
      </c>
      <c r="B116" s="206" t="s">
        <v>367</v>
      </c>
      <c r="C116" s="75" t="s">
        <v>372</v>
      </c>
      <c r="D116" s="76" t="n">
        <v>36649</v>
      </c>
      <c r="E116" s="76" t="n">
        <v>36799</v>
      </c>
      <c r="F116" s="38" t="s">
        <v>378</v>
      </c>
      <c r="G116" s="38" t="s">
        <v>374</v>
      </c>
      <c r="H116" s="206" t="s">
        <v>160</v>
      </c>
      <c r="I116" s="77" t="n">
        <f aca="false">4.5625/I$1</f>
        <v>0.147177419354839</v>
      </c>
      <c r="J116" s="78"/>
      <c r="K116" s="78"/>
      <c r="L116" s="78"/>
      <c r="M116" s="78"/>
      <c r="N116" s="78"/>
      <c r="O116" s="162"/>
      <c r="P116" s="78"/>
      <c r="Q116" s="207" t="s">
        <v>381</v>
      </c>
      <c r="R116" s="206" t="n">
        <v>10000</v>
      </c>
      <c r="S116" s="38" t="s">
        <v>382</v>
      </c>
      <c r="T116" s="164" t="n">
        <f aca="false">I116*29*R116</f>
        <v>42681.4516129032</v>
      </c>
      <c r="U116" s="81"/>
      <c r="V116" s="83" t="n">
        <v>257467</v>
      </c>
      <c r="W116" s="83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8"/>
      <c r="AT116" s="208"/>
      <c r="AU116" s="208"/>
      <c r="AV116" s="208"/>
      <c r="AW116" s="208"/>
      <c r="AX116" s="208"/>
      <c r="AY116" s="208"/>
      <c r="AZ116" s="208"/>
      <c r="BA116" s="208"/>
      <c r="BB116" s="208"/>
      <c r="BC116" s="208"/>
      <c r="BD116" s="208"/>
      <c r="BE116" s="208"/>
      <c r="BF116" s="208"/>
      <c r="BG116" s="208"/>
      <c r="BH116" s="208"/>
      <c r="BI116" s="208"/>
      <c r="BJ116" s="208"/>
      <c r="BK116" s="208"/>
      <c r="BL116" s="208"/>
      <c r="BM116" s="208"/>
      <c r="BN116" s="208"/>
      <c r="BO116" s="208"/>
      <c r="BP116" s="208"/>
      <c r="BQ116" s="208"/>
      <c r="BR116" s="208"/>
      <c r="BS116" s="208"/>
      <c r="BT116" s="208"/>
      <c r="BU116" s="208"/>
      <c r="BV116" s="208"/>
      <c r="BW116" s="208"/>
      <c r="BX116" s="208"/>
      <c r="BY116" s="208"/>
      <c r="BZ116" s="208"/>
      <c r="CA116" s="208"/>
      <c r="CB116" s="208"/>
      <c r="CC116" s="208"/>
      <c r="CD116" s="208"/>
      <c r="CE116" s="208"/>
      <c r="CF116" s="208"/>
      <c r="CG116" s="208"/>
      <c r="CH116" s="208"/>
      <c r="CI116" s="208"/>
      <c r="CJ116" s="208"/>
      <c r="CK116" s="208"/>
      <c r="CL116" s="208"/>
      <c r="CM116" s="208"/>
      <c r="CN116" s="208"/>
      <c r="CO116" s="208"/>
      <c r="CP116" s="208"/>
      <c r="CQ116" s="208"/>
      <c r="CR116" s="208"/>
      <c r="CS116" s="208"/>
      <c r="CT116" s="208"/>
      <c r="CU116" s="208"/>
      <c r="CV116" s="208"/>
      <c r="CW116" s="208"/>
      <c r="CX116" s="208"/>
      <c r="CY116" s="208"/>
      <c r="CZ116" s="208"/>
      <c r="DA116" s="208"/>
      <c r="DB116" s="208"/>
      <c r="DC116" s="208"/>
      <c r="DD116" s="208"/>
      <c r="DE116" s="208"/>
      <c r="DF116" s="208"/>
      <c r="DG116" s="208"/>
      <c r="DH116" s="208"/>
      <c r="DI116" s="208"/>
      <c r="DJ116" s="208"/>
      <c r="DK116" s="208"/>
      <c r="DL116" s="208"/>
      <c r="DM116" s="208"/>
      <c r="DN116" s="208"/>
      <c r="DO116" s="208"/>
      <c r="DP116" s="208"/>
      <c r="DQ116" s="208"/>
      <c r="DR116" s="208"/>
      <c r="DS116" s="208"/>
      <c r="DT116" s="208"/>
      <c r="DU116" s="208"/>
      <c r="DV116" s="208"/>
      <c r="DW116" s="208"/>
      <c r="DX116" s="208"/>
      <c r="DY116" s="208"/>
      <c r="DZ116" s="208"/>
      <c r="EA116" s="208"/>
      <c r="EB116" s="208"/>
      <c r="EC116" s="208"/>
      <c r="ED116" s="208"/>
      <c r="EE116" s="208"/>
      <c r="EF116" s="208"/>
      <c r="EG116" s="208"/>
      <c r="EH116" s="208"/>
      <c r="EI116" s="208"/>
      <c r="EJ116" s="208"/>
      <c r="EK116" s="208"/>
      <c r="EL116" s="208"/>
      <c r="EM116" s="208"/>
      <c r="EN116" s="208"/>
      <c r="EO116" s="208"/>
      <c r="EP116" s="208"/>
      <c r="EQ116" s="208"/>
      <c r="ER116" s="208"/>
      <c r="ES116" s="208"/>
      <c r="ET116" s="208"/>
      <c r="EU116" s="208"/>
      <c r="EV116" s="208"/>
      <c r="EW116" s="208"/>
      <c r="EX116" s="208"/>
      <c r="EY116" s="208"/>
      <c r="EZ116" s="208"/>
      <c r="FA116" s="208"/>
      <c r="FB116" s="208"/>
      <c r="FC116" s="208"/>
      <c r="FD116" s="208"/>
      <c r="FE116" s="208"/>
      <c r="FF116" s="208"/>
      <c r="FG116" s="208"/>
      <c r="FH116" s="208"/>
      <c r="FI116" s="208"/>
      <c r="FJ116" s="208"/>
      <c r="FK116" s="208"/>
      <c r="FL116" s="208"/>
      <c r="FM116" s="208"/>
      <c r="FN116" s="208"/>
      <c r="FO116" s="208"/>
      <c r="FP116" s="208"/>
      <c r="FQ116" s="208"/>
      <c r="FR116" s="208"/>
      <c r="FS116" s="208"/>
      <c r="FT116" s="208"/>
      <c r="FU116" s="208"/>
      <c r="FV116" s="208"/>
      <c r="FW116" s="208"/>
      <c r="FX116" s="208"/>
      <c r="FY116" s="208"/>
      <c r="FZ116" s="208"/>
      <c r="GA116" s="208"/>
      <c r="GB116" s="208"/>
      <c r="GC116" s="208"/>
      <c r="GD116" s="208"/>
      <c r="GE116" s="208"/>
      <c r="GF116" s="208"/>
      <c r="GG116" s="208"/>
      <c r="GH116" s="208"/>
      <c r="GI116" s="208"/>
      <c r="GJ116" s="208"/>
      <c r="GK116" s="208"/>
      <c r="GL116" s="208"/>
      <c r="GM116" s="208"/>
      <c r="GN116" s="208"/>
      <c r="GO116" s="208"/>
      <c r="GP116" s="208"/>
      <c r="GQ116" s="208"/>
      <c r="GR116" s="208"/>
      <c r="GS116" s="208"/>
      <c r="GT116" s="208"/>
      <c r="GU116" s="208"/>
      <c r="GV116" s="208"/>
      <c r="GW116" s="208"/>
      <c r="GX116" s="208"/>
      <c r="GY116" s="208"/>
      <c r="GZ116" s="208"/>
      <c r="HA116" s="208"/>
      <c r="HB116" s="208"/>
      <c r="HC116" s="208"/>
      <c r="HD116" s="208"/>
      <c r="HE116" s="208"/>
      <c r="HF116" s="208"/>
      <c r="HG116" s="208"/>
      <c r="HH116" s="208"/>
      <c r="HI116" s="208"/>
      <c r="HJ116" s="208"/>
      <c r="HK116" s="208"/>
      <c r="HL116" s="208"/>
      <c r="HM116" s="208"/>
      <c r="HN116" s="208"/>
      <c r="HO116" s="208"/>
      <c r="HP116" s="208"/>
      <c r="HQ116" s="208"/>
      <c r="HR116" s="208"/>
      <c r="HS116" s="208"/>
      <c r="HT116" s="208"/>
      <c r="HU116" s="208"/>
      <c r="HV116" s="208"/>
      <c r="HW116" s="208"/>
      <c r="HX116" s="208"/>
      <c r="HY116" s="208"/>
      <c r="HZ116" s="208"/>
      <c r="IA116" s="208"/>
      <c r="IB116" s="208"/>
      <c r="IC116" s="208"/>
      <c r="ID116" s="208"/>
      <c r="IE116" s="208"/>
      <c r="IF116" s="208"/>
      <c r="IG116" s="208"/>
      <c r="IH116" s="208"/>
      <c r="II116" s="208"/>
      <c r="IJ116" s="208"/>
      <c r="IK116" s="208"/>
      <c r="IL116" s="208"/>
      <c r="IM116" s="208"/>
      <c r="IN116" s="208"/>
      <c r="IO116" s="208"/>
      <c r="IP116" s="208"/>
      <c r="IQ116" s="208"/>
      <c r="IR116" s="208"/>
      <c r="IS116" s="208"/>
      <c r="IT116" s="208"/>
      <c r="IU116" s="208"/>
      <c r="IV116" s="208"/>
      <c r="IW116" s="208"/>
    </row>
    <row r="117" customFormat="false" ht="12.75" hidden="false" customHeight="false" outlineLevel="0" collapsed="false">
      <c r="A117" s="38" t="s">
        <v>144</v>
      </c>
      <c r="B117" s="206" t="s">
        <v>367</v>
      </c>
      <c r="C117" s="75" t="s">
        <v>383</v>
      </c>
      <c r="D117" s="76" t="n">
        <v>36647</v>
      </c>
      <c r="E117" s="76" t="n">
        <v>36830</v>
      </c>
      <c r="F117" s="38" t="s">
        <v>384</v>
      </c>
      <c r="G117" s="38" t="s">
        <v>385</v>
      </c>
      <c r="H117" s="206" t="s">
        <v>160</v>
      </c>
      <c r="I117" s="77" t="n">
        <f aca="false">5.5055/I$1</f>
        <v>0.177596774193548</v>
      </c>
      <c r="J117" s="78"/>
      <c r="K117" s="78"/>
      <c r="L117" s="78"/>
      <c r="M117" s="78"/>
      <c r="N117" s="78"/>
      <c r="O117" s="162"/>
      <c r="P117" s="78"/>
      <c r="Q117" s="207" t="s">
        <v>386</v>
      </c>
      <c r="R117" s="206" t="n">
        <v>20000</v>
      </c>
      <c r="S117" s="38" t="s">
        <v>387</v>
      </c>
      <c r="T117" s="164" t="n">
        <f aca="false">I117*$I$1*R117</f>
        <v>110110</v>
      </c>
      <c r="U117" s="81"/>
      <c r="V117" s="83" t="n">
        <v>252358</v>
      </c>
      <c r="W117" s="83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  <c r="AO117" s="208"/>
      <c r="AP117" s="208"/>
      <c r="AQ117" s="208"/>
      <c r="AR117" s="208"/>
      <c r="AS117" s="208"/>
      <c r="AT117" s="208"/>
      <c r="AU117" s="208"/>
      <c r="AV117" s="208"/>
      <c r="AW117" s="208"/>
      <c r="AX117" s="208"/>
      <c r="AY117" s="208"/>
      <c r="AZ117" s="208"/>
      <c r="BA117" s="208"/>
      <c r="BB117" s="208"/>
      <c r="BC117" s="208"/>
      <c r="BD117" s="208"/>
      <c r="BE117" s="208"/>
      <c r="BF117" s="208"/>
      <c r="BG117" s="208"/>
      <c r="BH117" s="208"/>
      <c r="BI117" s="208"/>
      <c r="BJ117" s="208"/>
      <c r="BK117" s="208"/>
      <c r="BL117" s="208"/>
      <c r="BM117" s="208"/>
      <c r="BN117" s="208"/>
      <c r="BO117" s="208"/>
      <c r="BP117" s="208"/>
      <c r="BQ117" s="208"/>
      <c r="BR117" s="208"/>
      <c r="BS117" s="208"/>
      <c r="BT117" s="208"/>
      <c r="BU117" s="208"/>
      <c r="BV117" s="208"/>
      <c r="BW117" s="208"/>
      <c r="BX117" s="208"/>
      <c r="BY117" s="208"/>
      <c r="BZ117" s="208"/>
      <c r="CA117" s="208"/>
      <c r="CB117" s="208"/>
      <c r="CC117" s="208"/>
      <c r="CD117" s="208"/>
      <c r="CE117" s="208"/>
      <c r="CF117" s="208"/>
      <c r="CG117" s="208"/>
      <c r="CH117" s="208"/>
      <c r="CI117" s="208"/>
      <c r="CJ117" s="208"/>
      <c r="CK117" s="208"/>
      <c r="CL117" s="208"/>
      <c r="CM117" s="208"/>
      <c r="CN117" s="208"/>
      <c r="CO117" s="208"/>
      <c r="CP117" s="208"/>
      <c r="CQ117" s="208"/>
      <c r="CR117" s="208"/>
      <c r="CS117" s="208"/>
      <c r="CT117" s="208"/>
      <c r="CU117" s="208"/>
      <c r="CV117" s="208"/>
      <c r="CW117" s="208"/>
      <c r="CX117" s="208"/>
      <c r="CY117" s="208"/>
      <c r="CZ117" s="208"/>
      <c r="DA117" s="208"/>
      <c r="DB117" s="208"/>
      <c r="DC117" s="208"/>
      <c r="DD117" s="208"/>
      <c r="DE117" s="208"/>
      <c r="DF117" s="208"/>
      <c r="DG117" s="208"/>
      <c r="DH117" s="208"/>
      <c r="DI117" s="208"/>
      <c r="DJ117" s="208"/>
      <c r="DK117" s="208"/>
      <c r="DL117" s="208"/>
      <c r="DM117" s="208"/>
      <c r="DN117" s="208"/>
      <c r="DO117" s="208"/>
      <c r="DP117" s="208"/>
      <c r="DQ117" s="208"/>
      <c r="DR117" s="208"/>
      <c r="DS117" s="208"/>
      <c r="DT117" s="208"/>
      <c r="DU117" s="208"/>
      <c r="DV117" s="208"/>
      <c r="DW117" s="208"/>
      <c r="DX117" s="208"/>
      <c r="DY117" s="208"/>
      <c r="DZ117" s="208"/>
      <c r="EA117" s="208"/>
      <c r="EB117" s="208"/>
      <c r="EC117" s="208"/>
      <c r="ED117" s="208"/>
      <c r="EE117" s="208"/>
      <c r="EF117" s="208"/>
      <c r="EG117" s="208"/>
      <c r="EH117" s="208"/>
      <c r="EI117" s="208"/>
      <c r="EJ117" s="208"/>
      <c r="EK117" s="208"/>
      <c r="EL117" s="208"/>
      <c r="EM117" s="208"/>
      <c r="EN117" s="208"/>
      <c r="EO117" s="208"/>
      <c r="EP117" s="208"/>
      <c r="EQ117" s="208"/>
      <c r="ER117" s="208"/>
      <c r="ES117" s="208"/>
      <c r="ET117" s="208"/>
      <c r="EU117" s="208"/>
      <c r="EV117" s="208"/>
      <c r="EW117" s="208"/>
      <c r="EX117" s="208"/>
      <c r="EY117" s="208"/>
      <c r="EZ117" s="208"/>
      <c r="FA117" s="208"/>
      <c r="FB117" s="208"/>
      <c r="FC117" s="208"/>
      <c r="FD117" s="208"/>
      <c r="FE117" s="208"/>
      <c r="FF117" s="208"/>
      <c r="FG117" s="208"/>
      <c r="FH117" s="208"/>
      <c r="FI117" s="208"/>
      <c r="FJ117" s="208"/>
      <c r="FK117" s="208"/>
      <c r="FL117" s="208"/>
      <c r="FM117" s="208"/>
      <c r="FN117" s="208"/>
      <c r="FO117" s="208"/>
      <c r="FP117" s="208"/>
      <c r="FQ117" s="208"/>
      <c r="FR117" s="208"/>
      <c r="FS117" s="208"/>
      <c r="FT117" s="208"/>
      <c r="FU117" s="208"/>
      <c r="FV117" s="208"/>
      <c r="FW117" s="208"/>
      <c r="FX117" s="208"/>
      <c r="FY117" s="208"/>
      <c r="FZ117" s="208"/>
      <c r="GA117" s="208"/>
      <c r="GB117" s="208"/>
      <c r="GC117" s="208"/>
      <c r="GD117" s="208"/>
      <c r="GE117" s="208"/>
      <c r="GF117" s="208"/>
      <c r="GG117" s="208"/>
      <c r="GH117" s="208"/>
      <c r="GI117" s="208"/>
      <c r="GJ117" s="208"/>
      <c r="GK117" s="208"/>
      <c r="GL117" s="208"/>
      <c r="GM117" s="208"/>
      <c r="GN117" s="208"/>
      <c r="GO117" s="208"/>
      <c r="GP117" s="208"/>
      <c r="GQ117" s="208"/>
      <c r="GR117" s="208"/>
      <c r="GS117" s="208"/>
      <c r="GT117" s="208"/>
      <c r="GU117" s="208"/>
      <c r="GV117" s="208"/>
      <c r="GW117" s="208"/>
      <c r="GX117" s="208"/>
      <c r="GY117" s="208"/>
      <c r="GZ117" s="208"/>
      <c r="HA117" s="208"/>
      <c r="HB117" s="208"/>
      <c r="HC117" s="208"/>
      <c r="HD117" s="208"/>
      <c r="HE117" s="208"/>
      <c r="HF117" s="208"/>
      <c r="HG117" s="208"/>
      <c r="HH117" s="208"/>
      <c r="HI117" s="208"/>
      <c r="HJ117" s="208"/>
      <c r="HK117" s="208"/>
      <c r="HL117" s="208"/>
      <c r="HM117" s="208"/>
      <c r="HN117" s="208"/>
      <c r="HO117" s="208"/>
      <c r="HP117" s="208"/>
      <c r="HQ117" s="208"/>
      <c r="HR117" s="208"/>
      <c r="HS117" s="208"/>
      <c r="HT117" s="208"/>
      <c r="HU117" s="208"/>
      <c r="HV117" s="208"/>
      <c r="HW117" s="208"/>
      <c r="HX117" s="208"/>
      <c r="HY117" s="208"/>
      <c r="HZ117" s="208"/>
      <c r="IA117" s="208"/>
      <c r="IB117" s="208"/>
      <c r="IC117" s="208"/>
      <c r="ID117" s="208"/>
      <c r="IE117" s="208"/>
      <c r="IF117" s="208"/>
      <c r="IG117" s="208"/>
      <c r="IH117" s="208"/>
      <c r="II117" s="208"/>
      <c r="IJ117" s="208"/>
      <c r="IK117" s="208"/>
      <c r="IL117" s="208"/>
      <c r="IM117" s="208"/>
      <c r="IN117" s="208"/>
      <c r="IO117" s="208"/>
      <c r="IP117" s="208"/>
      <c r="IQ117" s="208"/>
      <c r="IR117" s="208"/>
      <c r="IS117" s="208"/>
      <c r="IT117" s="208"/>
      <c r="IU117" s="208"/>
      <c r="IV117" s="208"/>
      <c r="IW117" s="208"/>
    </row>
    <row r="118" customFormat="false" ht="12.75" hidden="false" customHeight="false" outlineLevel="0" collapsed="false">
      <c r="A118" s="38" t="s">
        <v>144</v>
      </c>
      <c r="B118" s="206" t="s">
        <v>367</v>
      </c>
      <c r="C118" s="75" t="s">
        <v>383</v>
      </c>
      <c r="D118" s="76" t="n">
        <v>36647</v>
      </c>
      <c r="E118" s="76" t="n">
        <v>36677</v>
      </c>
      <c r="F118" s="38" t="s">
        <v>384</v>
      </c>
      <c r="G118" s="38" t="s">
        <v>385</v>
      </c>
      <c r="H118" s="206" t="s">
        <v>160</v>
      </c>
      <c r="I118" s="77" t="n">
        <f aca="false">4.65/I$1</f>
        <v>0.15</v>
      </c>
      <c r="J118" s="78"/>
      <c r="K118" s="78"/>
      <c r="L118" s="78"/>
      <c r="M118" s="78"/>
      <c r="N118" s="78"/>
      <c r="O118" s="162"/>
      <c r="P118" s="78"/>
      <c r="Q118" s="207" t="s">
        <v>388</v>
      </c>
      <c r="R118" s="206" t="n">
        <v>20000</v>
      </c>
      <c r="S118" s="38" t="s">
        <v>389</v>
      </c>
      <c r="T118" s="164" t="n">
        <f aca="false">I118*$I$1*R118</f>
        <v>93000</v>
      </c>
      <c r="U118" s="81"/>
      <c r="V118" s="83" t="n">
        <v>247886</v>
      </c>
      <c r="W118" s="83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8"/>
      <c r="AT118" s="208"/>
      <c r="AU118" s="208"/>
      <c r="AV118" s="208"/>
      <c r="AW118" s="208"/>
      <c r="AX118" s="208"/>
      <c r="AY118" s="208"/>
      <c r="AZ118" s="208"/>
      <c r="BA118" s="208"/>
      <c r="BB118" s="208"/>
      <c r="BC118" s="208"/>
      <c r="BD118" s="208"/>
      <c r="BE118" s="208"/>
      <c r="BF118" s="208"/>
      <c r="BG118" s="208"/>
      <c r="BH118" s="208"/>
      <c r="BI118" s="208"/>
      <c r="BJ118" s="208"/>
      <c r="BK118" s="208"/>
      <c r="BL118" s="208"/>
      <c r="BM118" s="208"/>
      <c r="BN118" s="208"/>
      <c r="BO118" s="208"/>
      <c r="BP118" s="208"/>
      <c r="BQ118" s="208"/>
      <c r="BR118" s="208"/>
      <c r="BS118" s="208"/>
      <c r="BT118" s="208"/>
      <c r="BU118" s="208"/>
      <c r="BV118" s="208"/>
      <c r="BW118" s="208"/>
      <c r="BX118" s="208"/>
      <c r="BY118" s="208"/>
      <c r="BZ118" s="208"/>
      <c r="CA118" s="208"/>
      <c r="CB118" s="208"/>
      <c r="CC118" s="208"/>
      <c r="CD118" s="208"/>
      <c r="CE118" s="208"/>
      <c r="CF118" s="208"/>
      <c r="CG118" s="208"/>
      <c r="CH118" s="208"/>
      <c r="CI118" s="208"/>
      <c r="CJ118" s="208"/>
      <c r="CK118" s="208"/>
      <c r="CL118" s="208"/>
      <c r="CM118" s="208"/>
      <c r="CN118" s="208"/>
      <c r="CO118" s="208"/>
      <c r="CP118" s="208"/>
      <c r="CQ118" s="208"/>
      <c r="CR118" s="208"/>
      <c r="CS118" s="208"/>
      <c r="CT118" s="208"/>
      <c r="CU118" s="208"/>
      <c r="CV118" s="208"/>
      <c r="CW118" s="208"/>
      <c r="CX118" s="208"/>
      <c r="CY118" s="208"/>
      <c r="CZ118" s="208"/>
      <c r="DA118" s="208"/>
      <c r="DB118" s="208"/>
      <c r="DC118" s="208"/>
      <c r="DD118" s="208"/>
      <c r="DE118" s="208"/>
      <c r="DF118" s="208"/>
      <c r="DG118" s="208"/>
      <c r="DH118" s="208"/>
      <c r="DI118" s="208"/>
      <c r="DJ118" s="208"/>
      <c r="DK118" s="208"/>
      <c r="DL118" s="208"/>
      <c r="DM118" s="208"/>
      <c r="DN118" s="208"/>
      <c r="DO118" s="208"/>
      <c r="DP118" s="208"/>
      <c r="DQ118" s="208"/>
      <c r="DR118" s="208"/>
      <c r="DS118" s="208"/>
      <c r="DT118" s="208"/>
      <c r="DU118" s="208"/>
      <c r="DV118" s="208"/>
      <c r="DW118" s="208"/>
      <c r="DX118" s="208"/>
      <c r="DY118" s="208"/>
      <c r="DZ118" s="208"/>
      <c r="EA118" s="208"/>
      <c r="EB118" s="208"/>
      <c r="EC118" s="208"/>
      <c r="ED118" s="208"/>
      <c r="EE118" s="208"/>
      <c r="EF118" s="208"/>
      <c r="EG118" s="208"/>
      <c r="EH118" s="208"/>
      <c r="EI118" s="208"/>
      <c r="EJ118" s="208"/>
      <c r="EK118" s="208"/>
      <c r="EL118" s="208"/>
      <c r="EM118" s="208"/>
      <c r="EN118" s="208"/>
      <c r="EO118" s="208"/>
      <c r="EP118" s="208"/>
      <c r="EQ118" s="208"/>
      <c r="ER118" s="208"/>
      <c r="ES118" s="208"/>
      <c r="ET118" s="208"/>
      <c r="EU118" s="208"/>
      <c r="EV118" s="208"/>
      <c r="EW118" s="208"/>
      <c r="EX118" s="208"/>
      <c r="EY118" s="208"/>
      <c r="EZ118" s="208"/>
      <c r="FA118" s="208"/>
      <c r="FB118" s="208"/>
      <c r="FC118" s="208"/>
      <c r="FD118" s="208"/>
      <c r="FE118" s="208"/>
      <c r="FF118" s="208"/>
      <c r="FG118" s="208"/>
      <c r="FH118" s="208"/>
      <c r="FI118" s="208"/>
      <c r="FJ118" s="208"/>
      <c r="FK118" s="208"/>
      <c r="FL118" s="208"/>
      <c r="FM118" s="208"/>
      <c r="FN118" s="208"/>
      <c r="FO118" s="208"/>
      <c r="FP118" s="208"/>
      <c r="FQ118" s="208"/>
      <c r="FR118" s="208"/>
      <c r="FS118" s="208"/>
      <c r="FT118" s="208"/>
      <c r="FU118" s="208"/>
      <c r="FV118" s="208"/>
      <c r="FW118" s="208"/>
      <c r="FX118" s="208"/>
      <c r="FY118" s="208"/>
      <c r="FZ118" s="208"/>
      <c r="GA118" s="208"/>
      <c r="GB118" s="208"/>
      <c r="GC118" s="208"/>
      <c r="GD118" s="208"/>
      <c r="GE118" s="208"/>
      <c r="GF118" s="208"/>
      <c r="GG118" s="208"/>
      <c r="GH118" s="208"/>
      <c r="GI118" s="208"/>
      <c r="GJ118" s="208"/>
      <c r="GK118" s="208"/>
      <c r="GL118" s="208"/>
      <c r="GM118" s="208"/>
      <c r="GN118" s="208"/>
      <c r="GO118" s="208"/>
      <c r="GP118" s="208"/>
      <c r="GQ118" s="208"/>
      <c r="GR118" s="208"/>
      <c r="GS118" s="208"/>
      <c r="GT118" s="208"/>
      <c r="GU118" s="208"/>
      <c r="GV118" s="208"/>
      <c r="GW118" s="208"/>
      <c r="GX118" s="208"/>
      <c r="GY118" s="208"/>
      <c r="GZ118" s="208"/>
      <c r="HA118" s="208"/>
      <c r="HB118" s="208"/>
      <c r="HC118" s="208"/>
      <c r="HD118" s="208"/>
      <c r="HE118" s="208"/>
      <c r="HF118" s="208"/>
      <c r="HG118" s="208"/>
      <c r="HH118" s="208"/>
      <c r="HI118" s="208"/>
      <c r="HJ118" s="208"/>
      <c r="HK118" s="208"/>
      <c r="HL118" s="208"/>
      <c r="HM118" s="208"/>
      <c r="HN118" s="208"/>
      <c r="HO118" s="208"/>
      <c r="HP118" s="208"/>
      <c r="HQ118" s="208"/>
      <c r="HR118" s="208"/>
      <c r="HS118" s="208"/>
      <c r="HT118" s="208"/>
      <c r="HU118" s="208"/>
      <c r="HV118" s="208"/>
      <c r="HW118" s="208"/>
      <c r="HX118" s="208"/>
      <c r="HY118" s="208"/>
      <c r="HZ118" s="208"/>
      <c r="IA118" s="208"/>
      <c r="IB118" s="208"/>
      <c r="IC118" s="208"/>
      <c r="ID118" s="208"/>
      <c r="IE118" s="208"/>
      <c r="IF118" s="208"/>
      <c r="IG118" s="208"/>
      <c r="IH118" s="208"/>
      <c r="II118" s="208"/>
      <c r="IJ118" s="208"/>
      <c r="IK118" s="208"/>
      <c r="IL118" s="208"/>
      <c r="IM118" s="208"/>
      <c r="IN118" s="208"/>
      <c r="IO118" s="208"/>
      <c r="IP118" s="208"/>
      <c r="IQ118" s="208"/>
      <c r="IR118" s="208"/>
      <c r="IS118" s="208"/>
      <c r="IT118" s="208"/>
      <c r="IU118" s="208"/>
      <c r="IV118" s="208"/>
      <c r="IW118" s="208"/>
    </row>
    <row r="119" customFormat="false" ht="12.75" hidden="false" customHeight="false" outlineLevel="0" collapsed="false">
      <c r="A119" s="15" t="s">
        <v>144</v>
      </c>
      <c r="B119" s="34" t="s">
        <v>367</v>
      </c>
      <c r="C119" s="16" t="s">
        <v>165</v>
      </c>
      <c r="D119" s="17" t="n">
        <v>36617</v>
      </c>
      <c r="E119" s="17" t="n">
        <v>36830</v>
      </c>
      <c r="F119" s="15" t="s">
        <v>390</v>
      </c>
      <c r="G119" s="15" t="s">
        <v>391</v>
      </c>
      <c r="H119" s="34" t="s">
        <v>160</v>
      </c>
      <c r="I119" s="19" t="n">
        <f aca="false">0.684/I$1</f>
        <v>0.0220645161290323</v>
      </c>
      <c r="J119" s="20"/>
      <c r="K119" s="20"/>
      <c r="L119" s="20"/>
      <c r="M119" s="20"/>
      <c r="N119" s="20"/>
      <c r="O119" s="21"/>
      <c r="P119" s="20"/>
      <c r="Q119" s="209" t="s">
        <v>392</v>
      </c>
      <c r="R119" s="34" t="n">
        <v>2174</v>
      </c>
      <c r="S119" s="15" t="s">
        <v>393</v>
      </c>
      <c r="T119" s="125" t="n">
        <f aca="false">I119*$I$1*R119</f>
        <v>1487.016</v>
      </c>
      <c r="U119" s="23"/>
      <c r="V119" s="24" t="n">
        <v>229958</v>
      </c>
      <c r="W119" s="24"/>
    </row>
    <row r="120" customFormat="false" ht="12.75" hidden="false" customHeight="false" outlineLevel="0" collapsed="false">
      <c r="A120" s="38" t="s">
        <v>144</v>
      </c>
      <c r="B120" s="206" t="s">
        <v>367</v>
      </c>
      <c r="C120" s="75" t="s">
        <v>394</v>
      </c>
      <c r="D120" s="76" t="n">
        <v>36647</v>
      </c>
      <c r="E120" s="76" t="n">
        <v>36830</v>
      </c>
      <c r="F120" s="38" t="s">
        <v>395</v>
      </c>
      <c r="G120" s="38" t="s">
        <v>396</v>
      </c>
      <c r="H120" s="206" t="s">
        <v>154</v>
      </c>
      <c r="I120" s="77" t="n">
        <f aca="false">1.38/I$1</f>
        <v>0.0445161290322581</v>
      </c>
      <c r="J120" s="78"/>
      <c r="K120" s="78"/>
      <c r="L120" s="78"/>
      <c r="M120" s="78"/>
      <c r="N120" s="78"/>
      <c r="O120" s="162"/>
      <c r="P120" s="78"/>
      <c r="Q120" s="207" t="s">
        <v>397</v>
      </c>
      <c r="R120" s="206" t="n">
        <v>10000</v>
      </c>
      <c r="S120" s="38" t="s">
        <v>398</v>
      </c>
      <c r="T120" s="164" t="n">
        <f aca="false">I120*$I$1*R120</f>
        <v>13800</v>
      </c>
      <c r="U120" s="81"/>
      <c r="V120" s="83" t="n">
        <v>253067</v>
      </c>
      <c r="W120" s="83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08"/>
      <c r="AT120" s="208"/>
      <c r="AU120" s="208"/>
      <c r="AV120" s="208"/>
      <c r="AW120" s="208"/>
      <c r="AX120" s="208"/>
      <c r="AY120" s="208"/>
      <c r="AZ120" s="208"/>
      <c r="BA120" s="208"/>
      <c r="BB120" s="208"/>
      <c r="BC120" s="208"/>
      <c r="BD120" s="208"/>
      <c r="BE120" s="208"/>
      <c r="BF120" s="208"/>
      <c r="BG120" s="208"/>
      <c r="BH120" s="208"/>
      <c r="BI120" s="208"/>
      <c r="BJ120" s="208"/>
      <c r="BK120" s="208"/>
      <c r="BL120" s="208"/>
      <c r="BM120" s="208"/>
      <c r="BN120" s="208"/>
      <c r="BO120" s="208"/>
      <c r="BP120" s="208"/>
      <c r="BQ120" s="208"/>
      <c r="BR120" s="208"/>
      <c r="BS120" s="208"/>
      <c r="BT120" s="208"/>
      <c r="BU120" s="208"/>
      <c r="BV120" s="208"/>
      <c r="BW120" s="208"/>
      <c r="BX120" s="208"/>
      <c r="BY120" s="208"/>
      <c r="BZ120" s="208"/>
      <c r="CA120" s="208"/>
      <c r="CB120" s="208"/>
      <c r="CC120" s="208"/>
      <c r="CD120" s="208"/>
      <c r="CE120" s="208"/>
      <c r="CF120" s="208"/>
      <c r="CG120" s="208"/>
      <c r="CH120" s="208"/>
      <c r="CI120" s="208"/>
      <c r="CJ120" s="208"/>
      <c r="CK120" s="208"/>
      <c r="CL120" s="208"/>
      <c r="CM120" s="208"/>
      <c r="CN120" s="208"/>
      <c r="CO120" s="208"/>
      <c r="CP120" s="208"/>
      <c r="CQ120" s="208"/>
      <c r="CR120" s="208"/>
      <c r="CS120" s="208"/>
      <c r="CT120" s="208"/>
      <c r="CU120" s="208"/>
      <c r="CV120" s="208"/>
      <c r="CW120" s="208"/>
      <c r="CX120" s="208"/>
      <c r="CY120" s="208"/>
      <c r="CZ120" s="208"/>
      <c r="DA120" s="208"/>
      <c r="DB120" s="208"/>
      <c r="DC120" s="208"/>
      <c r="DD120" s="208"/>
      <c r="DE120" s="208"/>
      <c r="DF120" s="208"/>
      <c r="DG120" s="208"/>
      <c r="DH120" s="208"/>
      <c r="DI120" s="208"/>
      <c r="DJ120" s="208"/>
      <c r="DK120" s="208"/>
      <c r="DL120" s="208"/>
      <c r="DM120" s="208"/>
      <c r="DN120" s="208"/>
      <c r="DO120" s="208"/>
      <c r="DP120" s="208"/>
      <c r="DQ120" s="208"/>
      <c r="DR120" s="208"/>
      <c r="DS120" s="208"/>
      <c r="DT120" s="208"/>
      <c r="DU120" s="208"/>
      <c r="DV120" s="208"/>
      <c r="DW120" s="208"/>
      <c r="DX120" s="208"/>
      <c r="DY120" s="208"/>
      <c r="DZ120" s="208"/>
      <c r="EA120" s="208"/>
      <c r="EB120" s="208"/>
      <c r="EC120" s="208"/>
      <c r="ED120" s="208"/>
      <c r="EE120" s="208"/>
      <c r="EF120" s="208"/>
      <c r="EG120" s="208"/>
      <c r="EH120" s="208"/>
      <c r="EI120" s="208"/>
      <c r="EJ120" s="208"/>
      <c r="EK120" s="208"/>
      <c r="EL120" s="208"/>
      <c r="EM120" s="208"/>
      <c r="EN120" s="208"/>
      <c r="EO120" s="208"/>
      <c r="EP120" s="208"/>
      <c r="EQ120" s="208"/>
      <c r="ER120" s="208"/>
      <c r="ES120" s="208"/>
      <c r="ET120" s="208"/>
      <c r="EU120" s="208"/>
      <c r="EV120" s="208"/>
      <c r="EW120" s="208"/>
      <c r="EX120" s="208"/>
      <c r="EY120" s="208"/>
      <c r="EZ120" s="208"/>
      <c r="FA120" s="208"/>
      <c r="FB120" s="208"/>
      <c r="FC120" s="208"/>
      <c r="FD120" s="208"/>
      <c r="FE120" s="208"/>
      <c r="FF120" s="208"/>
      <c r="FG120" s="208"/>
      <c r="FH120" s="208"/>
      <c r="FI120" s="208"/>
      <c r="FJ120" s="208"/>
      <c r="FK120" s="208"/>
      <c r="FL120" s="208"/>
      <c r="FM120" s="208"/>
      <c r="FN120" s="208"/>
      <c r="FO120" s="208"/>
      <c r="FP120" s="208"/>
      <c r="FQ120" s="208"/>
      <c r="FR120" s="208"/>
      <c r="FS120" s="208"/>
      <c r="FT120" s="208"/>
      <c r="FU120" s="208"/>
      <c r="FV120" s="208"/>
      <c r="FW120" s="208"/>
      <c r="FX120" s="208"/>
      <c r="FY120" s="208"/>
      <c r="FZ120" s="208"/>
      <c r="GA120" s="208"/>
      <c r="GB120" s="208"/>
      <c r="GC120" s="208"/>
      <c r="GD120" s="208"/>
      <c r="GE120" s="208"/>
      <c r="GF120" s="208"/>
      <c r="GG120" s="208"/>
      <c r="GH120" s="208"/>
      <c r="GI120" s="208"/>
      <c r="GJ120" s="208"/>
      <c r="GK120" s="208"/>
      <c r="GL120" s="208"/>
      <c r="GM120" s="208"/>
      <c r="GN120" s="208"/>
      <c r="GO120" s="208"/>
      <c r="GP120" s="208"/>
      <c r="GQ120" s="208"/>
      <c r="GR120" s="208"/>
      <c r="GS120" s="208"/>
      <c r="GT120" s="208"/>
      <c r="GU120" s="208"/>
      <c r="GV120" s="208"/>
      <c r="GW120" s="208"/>
      <c r="GX120" s="208"/>
      <c r="GY120" s="208"/>
      <c r="GZ120" s="208"/>
      <c r="HA120" s="208"/>
      <c r="HB120" s="208"/>
      <c r="HC120" s="208"/>
      <c r="HD120" s="208"/>
      <c r="HE120" s="208"/>
      <c r="HF120" s="208"/>
      <c r="HG120" s="208"/>
      <c r="HH120" s="208"/>
      <c r="HI120" s="208"/>
      <c r="HJ120" s="208"/>
      <c r="HK120" s="208"/>
      <c r="HL120" s="208"/>
      <c r="HM120" s="208"/>
      <c r="HN120" s="208"/>
      <c r="HO120" s="208"/>
      <c r="HP120" s="208"/>
      <c r="HQ120" s="208"/>
      <c r="HR120" s="208"/>
      <c r="HS120" s="208"/>
      <c r="HT120" s="208"/>
      <c r="HU120" s="208"/>
      <c r="HV120" s="208"/>
      <c r="HW120" s="208"/>
      <c r="HX120" s="208"/>
      <c r="HY120" s="208"/>
      <c r="HZ120" s="208"/>
      <c r="IA120" s="208"/>
      <c r="IB120" s="208"/>
      <c r="IC120" s="208"/>
      <c r="ID120" s="208"/>
      <c r="IE120" s="208"/>
      <c r="IF120" s="208"/>
      <c r="IG120" s="208"/>
      <c r="IH120" s="208"/>
      <c r="II120" s="208"/>
      <c r="IJ120" s="208"/>
      <c r="IK120" s="208"/>
      <c r="IL120" s="208"/>
      <c r="IM120" s="208"/>
      <c r="IN120" s="208"/>
      <c r="IO120" s="208"/>
      <c r="IP120" s="208"/>
      <c r="IQ120" s="208"/>
      <c r="IR120" s="208"/>
      <c r="IS120" s="208"/>
      <c r="IT120" s="208"/>
      <c r="IU120" s="208"/>
      <c r="IV120" s="208"/>
      <c r="IW120" s="208"/>
    </row>
    <row r="121" customFormat="false" ht="12.75" hidden="false" customHeight="false" outlineLevel="0" collapsed="false">
      <c r="A121" s="38" t="s">
        <v>144</v>
      </c>
      <c r="B121" s="206" t="s">
        <v>367</v>
      </c>
      <c r="C121" s="75" t="s">
        <v>399</v>
      </c>
      <c r="D121" s="76" t="n">
        <v>36647</v>
      </c>
      <c r="E121" s="76" t="n">
        <v>36677</v>
      </c>
      <c r="F121" s="38" t="s">
        <v>400</v>
      </c>
      <c r="G121" s="38" t="s">
        <v>401</v>
      </c>
      <c r="H121" s="206" t="s">
        <v>154</v>
      </c>
      <c r="I121" s="77" t="n">
        <f aca="false">0.465/I$1</f>
        <v>0.015</v>
      </c>
      <c r="J121" s="78"/>
      <c r="K121" s="78"/>
      <c r="L121" s="78"/>
      <c r="M121" s="78"/>
      <c r="N121" s="78"/>
      <c r="O121" s="162"/>
      <c r="P121" s="78"/>
      <c r="Q121" s="207" t="s">
        <v>402</v>
      </c>
      <c r="R121" s="206" t="n">
        <v>1800</v>
      </c>
      <c r="S121" s="38" t="s">
        <v>403</v>
      </c>
      <c r="T121" s="164" t="n">
        <f aca="false">I121*$I$1*R121</f>
        <v>837</v>
      </c>
      <c r="U121" s="81"/>
      <c r="V121" s="83" t="n">
        <v>261012</v>
      </c>
      <c r="W121" s="83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8"/>
      <c r="AY121" s="208"/>
      <c r="AZ121" s="208"/>
      <c r="BA121" s="208"/>
      <c r="BB121" s="208"/>
      <c r="BC121" s="208"/>
      <c r="BD121" s="208"/>
      <c r="BE121" s="208"/>
      <c r="BF121" s="208"/>
      <c r="BG121" s="208"/>
      <c r="BH121" s="208"/>
      <c r="BI121" s="208"/>
      <c r="BJ121" s="208"/>
      <c r="BK121" s="208"/>
      <c r="BL121" s="208"/>
      <c r="BM121" s="208"/>
      <c r="BN121" s="208"/>
      <c r="BO121" s="208"/>
      <c r="BP121" s="208"/>
      <c r="BQ121" s="208"/>
      <c r="BR121" s="208"/>
      <c r="BS121" s="208"/>
      <c r="BT121" s="208"/>
      <c r="BU121" s="208"/>
      <c r="BV121" s="208"/>
      <c r="BW121" s="208"/>
      <c r="BX121" s="208"/>
      <c r="BY121" s="208"/>
      <c r="BZ121" s="208"/>
      <c r="CA121" s="208"/>
      <c r="CB121" s="208"/>
      <c r="CC121" s="208"/>
      <c r="CD121" s="208"/>
      <c r="CE121" s="208"/>
      <c r="CF121" s="208"/>
      <c r="CG121" s="208"/>
      <c r="CH121" s="208"/>
      <c r="CI121" s="208"/>
      <c r="CJ121" s="208"/>
      <c r="CK121" s="208"/>
      <c r="CL121" s="208"/>
      <c r="CM121" s="208"/>
      <c r="CN121" s="208"/>
      <c r="CO121" s="208"/>
      <c r="CP121" s="208"/>
      <c r="CQ121" s="208"/>
      <c r="CR121" s="208"/>
      <c r="CS121" s="208"/>
      <c r="CT121" s="208"/>
      <c r="CU121" s="208"/>
      <c r="CV121" s="208"/>
      <c r="CW121" s="208"/>
      <c r="CX121" s="208"/>
      <c r="CY121" s="208"/>
      <c r="CZ121" s="208"/>
      <c r="DA121" s="208"/>
      <c r="DB121" s="208"/>
      <c r="DC121" s="208"/>
      <c r="DD121" s="208"/>
      <c r="DE121" s="208"/>
      <c r="DF121" s="208"/>
      <c r="DG121" s="208"/>
      <c r="DH121" s="208"/>
      <c r="DI121" s="208"/>
      <c r="DJ121" s="208"/>
      <c r="DK121" s="208"/>
      <c r="DL121" s="208"/>
      <c r="DM121" s="208"/>
      <c r="DN121" s="208"/>
      <c r="DO121" s="208"/>
      <c r="DP121" s="208"/>
      <c r="DQ121" s="208"/>
      <c r="DR121" s="208"/>
      <c r="DS121" s="208"/>
      <c r="DT121" s="208"/>
      <c r="DU121" s="208"/>
      <c r="DV121" s="208"/>
      <c r="DW121" s="208"/>
      <c r="DX121" s="208"/>
      <c r="DY121" s="208"/>
      <c r="DZ121" s="208"/>
      <c r="EA121" s="208"/>
      <c r="EB121" s="208"/>
      <c r="EC121" s="208"/>
      <c r="ED121" s="208"/>
      <c r="EE121" s="208"/>
      <c r="EF121" s="208"/>
      <c r="EG121" s="208"/>
      <c r="EH121" s="208"/>
      <c r="EI121" s="208"/>
      <c r="EJ121" s="208"/>
      <c r="EK121" s="208"/>
      <c r="EL121" s="208"/>
      <c r="EM121" s="208"/>
      <c r="EN121" s="208"/>
      <c r="EO121" s="208"/>
      <c r="EP121" s="208"/>
      <c r="EQ121" s="208"/>
      <c r="ER121" s="208"/>
      <c r="ES121" s="208"/>
      <c r="ET121" s="208"/>
      <c r="EU121" s="208"/>
      <c r="EV121" s="208"/>
      <c r="EW121" s="208"/>
      <c r="EX121" s="208"/>
      <c r="EY121" s="208"/>
      <c r="EZ121" s="208"/>
      <c r="FA121" s="208"/>
      <c r="FB121" s="208"/>
      <c r="FC121" s="208"/>
      <c r="FD121" s="208"/>
      <c r="FE121" s="208"/>
      <c r="FF121" s="208"/>
      <c r="FG121" s="208"/>
      <c r="FH121" s="208"/>
      <c r="FI121" s="208"/>
      <c r="FJ121" s="208"/>
      <c r="FK121" s="208"/>
      <c r="FL121" s="208"/>
      <c r="FM121" s="208"/>
      <c r="FN121" s="208"/>
      <c r="FO121" s="208"/>
      <c r="FP121" s="208"/>
      <c r="FQ121" s="208"/>
      <c r="FR121" s="208"/>
      <c r="FS121" s="208"/>
      <c r="FT121" s="208"/>
      <c r="FU121" s="208"/>
      <c r="FV121" s="208"/>
      <c r="FW121" s="208"/>
      <c r="FX121" s="208"/>
      <c r="FY121" s="208"/>
      <c r="FZ121" s="208"/>
      <c r="GA121" s="208"/>
      <c r="GB121" s="208"/>
      <c r="GC121" s="208"/>
      <c r="GD121" s="208"/>
      <c r="GE121" s="208"/>
      <c r="GF121" s="208"/>
      <c r="GG121" s="208"/>
      <c r="GH121" s="208"/>
      <c r="GI121" s="208"/>
      <c r="GJ121" s="208"/>
      <c r="GK121" s="208"/>
      <c r="GL121" s="208"/>
      <c r="GM121" s="208"/>
      <c r="GN121" s="208"/>
      <c r="GO121" s="208"/>
      <c r="GP121" s="208"/>
      <c r="GQ121" s="208"/>
      <c r="GR121" s="208"/>
      <c r="GS121" s="208"/>
      <c r="GT121" s="208"/>
      <c r="GU121" s="208"/>
      <c r="GV121" s="208"/>
      <c r="GW121" s="208"/>
      <c r="GX121" s="208"/>
      <c r="GY121" s="208"/>
      <c r="GZ121" s="208"/>
      <c r="HA121" s="208"/>
      <c r="HB121" s="208"/>
      <c r="HC121" s="208"/>
      <c r="HD121" s="208"/>
      <c r="HE121" s="208"/>
      <c r="HF121" s="208"/>
      <c r="HG121" s="208"/>
      <c r="HH121" s="208"/>
      <c r="HI121" s="208"/>
      <c r="HJ121" s="208"/>
      <c r="HK121" s="208"/>
      <c r="HL121" s="208"/>
      <c r="HM121" s="208"/>
      <c r="HN121" s="208"/>
      <c r="HO121" s="208"/>
      <c r="HP121" s="208"/>
      <c r="HQ121" s="208"/>
      <c r="HR121" s="208"/>
      <c r="HS121" s="208"/>
      <c r="HT121" s="208"/>
      <c r="HU121" s="208"/>
      <c r="HV121" s="208"/>
      <c r="HW121" s="208"/>
      <c r="HX121" s="208"/>
      <c r="HY121" s="208"/>
      <c r="HZ121" s="208"/>
      <c r="IA121" s="208"/>
      <c r="IB121" s="208"/>
      <c r="IC121" s="208"/>
      <c r="ID121" s="208"/>
      <c r="IE121" s="208"/>
      <c r="IF121" s="208"/>
      <c r="IG121" s="208"/>
      <c r="IH121" s="208"/>
      <c r="II121" s="208"/>
      <c r="IJ121" s="208"/>
      <c r="IK121" s="208"/>
      <c r="IL121" s="208"/>
      <c r="IM121" s="208"/>
      <c r="IN121" s="208"/>
      <c r="IO121" s="208"/>
      <c r="IP121" s="208"/>
      <c r="IQ121" s="208"/>
      <c r="IR121" s="208"/>
      <c r="IS121" s="208"/>
      <c r="IT121" s="208"/>
      <c r="IU121" s="208"/>
      <c r="IV121" s="208"/>
      <c r="IW121" s="208"/>
    </row>
    <row r="122" customFormat="false" ht="12.75" hidden="false" customHeight="false" outlineLevel="0" collapsed="false">
      <c r="A122" s="38" t="s">
        <v>144</v>
      </c>
      <c r="B122" s="206" t="s">
        <v>367</v>
      </c>
      <c r="C122" s="75" t="s">
        <v>399</v>
      </c>
      <c r="D122" s="76" t="n">
        <v>36647</v>
      </c>
      <c r="E122" s="76" t="n">
        <v>36677</v>
      </c>
      <c r="F122" s="38" t="s">
        <v>400</v>
      </c>
      <c r="G122" s="38" t="s">
        <v>401</v>
      </c>
      <c r="H122" s="206" t="s">
        <v>154</v>
      </c>
      <c r="I122" s="77" t="n">
        <f aca="false">0.465/I$1</f>
        <v>0.015</v>
      </c>
      <c r="J122" s="78"/>
      <c r="K122" s="78"/>
      <c r="L122" s="78"/>
      <c r="M122" s="78"/>
      <c r="N122" s="78"/>
      <c r="O122" s="162"/>
      <c r="P122" s="78"/>
      <c r="Q122" s="207" t="s">
        <v>404</v>
      </c>
      <c r="R122" s="206" t="n">
        <v>450</v>
      </c>
      <c r="S122" s="38" t="s">
        <v>405</v>
      </c>
      <c r="T122" s="164" t="n">
        <f aca="false">I122*$I$1*R122</f>
        <v>209.25</v>
      </c>
      <c r="U122" s="81"/>
      <c r="V122" s="83" t="n">
        <v>261013</v>
      </c>
      <c r="W122" s="83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8"/>
      <c r="AT122" s="208"/>
      <c r="AU122" s="208"/>
      <c r="AV122" s="208"/>
      <c r="AW122" s="208"/>
      <c r="AX122" s="208"/>
      <c r="AY122" s="208"/>
      <c r="AZ122" s="208"/>
      <c r="BA122" s="208"/>
      <c r="BB122" s="208"/>
      <c r="BC122" s="208"/>
      <c r="BD122" s="208"/>
      <c r="BE122" s="208"/>
      <c r="BF122" s="208"/>
      <c r="BG122" s="208"/>
      <c r="BH122" s="208"/>
      <c r="BI122" s="208"/>
      <c r="BJ122" s="208"/>
      <c r="BK122" s="208"/>
      <c r="BL122" s="208"/>
      <c r="BM122" s="208"/>
      <c r="BN122" s="208"/>
      <c r="BO122" s="208"/>
      <c r="BP122" s="208"/>
      <c r="BQ122" s="208"/>
      <c r="BR122" s="208"/>
      <c r="BS122" s="208"/>
      <c r="BT122" s="208"/>
      <c r="BU122" s="208"/>
      <c r="BV122" s="208"/>
      <c r="BW122" s="208"/>
      <c r="BX122" s="208"/>
      <c r="BY122" s="208"/>
      <c r="BZ122" s="208"/>
      <c r="CA122" s="208"/>
      <c r="CB122" s="208"/>
      <c r="CC122" s="208"/>
      <c r="CD122" s="208"/>
      <c r="CE122" s="208"/>
      <c r="CF122" s="208"/>
      <c r="CG122" s="208"/>
      <c r="CH122" s="208"/>
      <c r="CI122" s="208"/>
      <c r="CJ122" s="208"/>
      <c r="CK122" s="208"/>
      <c r="CL122" s="208"/>
      <c r="CM122" s="208"/>
      <c r="CN122" s="208"/>
      <c r="CO122" s="208"/>
      <c r="CP122" s="208"/>
      <c r="CQ122" s="208"/>
      <c r="CR122" s="208"/>
      <c r="CS122" s="208"/>
      <c r="CT122" s="208"/>
      <c r="CU122" s="208"/>
      <c r="CV122" s="208"/>
      <c r="CW122" s="208"/>
      <c r="CX122" s="208"/>
      <c r="CY122" s="208"/>
      <c r="CZ122" s="208"/>
      <c r="DA122" s="208"/>
      <c r="DB122" s="208"/>
      <c r="DC122" s="208"/>
      <c r="DD122" s="208"/>
      <c r="DE122" s="208"/>
      <c r="DF122" s="208"/>
      <c r="DG122" s="208"/>
      <c r="DH122" s="208"/>
      <c r="DI122" s="208"/>
      <c r="DJ122" s="208"/>
      <c r="DK122" s="208"/>
      <c r="DL122" s="208"/>
      <c r="DM122" s="208"/>
      <c r="DN122" s="208"/>
      <c r="DO122" s="208"/>
      <c r="DP122" s="208"/>
      <c r="DQ122" s="208"/>
      <c r="DR122" s="208"/>
      <c r="DS122" s="208"/>
      <c r="DT122" s="208"/>
      <c r="DU122" s="208"/>
      <c r="DV122" s="208"/>
      <c r="DW122" s="208"/>
      <c r="DX122" s="208"/>
      <c r="DY122" s="208"/>
      <c r="DZ122" s="208"/>
      <c r="EA122" s="208"/>
      <c r="EB122" s="208"/>
      <c r="EC122" s="208"/>
      <c r="ED122" s="208"/>
      <c r="EE122" s="208"/>
      <c r="EF122" s="208"/>
      <c r="EG122" s="208"/>
      <c r="EH122" s="208"/>
      <c r="EI122" s="208"/>
      <c r="EJ122" s="208"/>
      <c r="EK122" s="208"/>
      <c r="EL122" s="208"/>
      <c r="EM122" s="208"/>
      <c r="EN122" s="208"/>
      <c r="EO122" s="208"/>
      <c r="EP122" s="208"/>
      <c r="EQ122" s="208"/>
      <c r="ER122" s="208"/>
      <c r="ES122" s="208"/>
      <c r="ET122" s="208"/>
      <c r="EU122" s="208"/>
      <c r="EV122" s="208"/>
      <c r="EW122" s="208"/>
      <c r="EX122" s="208"/>
      <c r="EY122" s="208"/>
      <c r="EZ122" s="208"/>
      <c r="FA122" s="208"/>
      <c r="FB122" s="208"/>
      <c r="FC122" s="208"/>
      <c r="FD122" s="208"/>
      <c r="FE122" s="208"/>
      <c r="FF122" s="208"/>
      <c r="FG122" s="208"/>
      <c r="FH122" s="208"/>
      <c r="FI122" s="208"/>
      <c r="FJ122" s="208"/>
      <c r="FK122" s="208"/>
      <c r="FL122" s="208"/>
      <c r="FM122" s="208"/>
      <c r="FN122" s="208"/>
      <c r="FO122" s="208"/>
      <c r="FP122" s="208"/>
      <c r="FQ122" s="208"/>
      <c r="FR122" s="208"/>
      <c r="FS122" s="208"/>
      <c r="FT122" s="208"/>
      <c r="FU122" s="208"/>
      <c r="FV122" s="208"/>
      <c r="FW122" s="208"/>
      <c r="FX122" s="208"/>
      <c r="FY122" s="208"/>
      <c r="FZ122" s="208"/>
      <c r="GA122" s="208"/>
      <c r="GB122" s="208"/>
      <c r="GC122" s="208"/>
      <c r="GD122" s="208"/>
      <c r="GE122" s="208"/>
      <c r="GF122" s="208"/>
      <c r="GG122" s="208"/>
      <c r="GH122" s="208"/>
      <c r="GI122" s="208"/>
      <c r="GJ122" s="208"/>
      <c r="GK122" s="208"/>
      <c r="GL122" s="208"/>
      <c r="GM122" s="208"/>
      <c r="GN122" s="208"/>
      <c r="GO122" s="208"/>
      <c r="GP122" s="208"/>
      <c r="GQ122" s="208"/>
      <c r="GR122" s="208"/>
      <c r="GS122" s="208"/>
      <c r="GT122" s="208"/>
      <c r="GU122" s="208"/>
      <c r="GV122" s="208"/>
      <c r="GW122" s="208"/>
      <c r="GX122" s="208"/>
      <c r="GY122" s="208"/>
      <c r="GZ122" s="208"/>
      <c r="HA122" s="208"/>
      <c r="HB122" s="208"/>
      <c r="HC122" s="208"/>
      <c r="HD122" s="208"/>
      <c r="HE122" s="208"/>
      <c r="HF122" s="208"/>
      <c r="HG122" s="208"/>
      <c r="HH122" s="208"/>
      <c r="HI122" s="208"/>
      <c r="HJ122" s="208"/>
      <c r="HK122" s="208"/>
      <c r="HL122" s="208"/>
      <c r="HM122" s="208"/>
      <c r="HN122" s="208"/>
      <c r="HO122" s="208"/>
      <c r="HP122" s="208"/>
      <c r="HQ122" s="208"/>
      <c r="HR122" s="208"/>
      <c r="HS122" s="208"/>
      <c r="HT122" s="208"/>
      <c r="HU122" s="208"/>
      <c r="HV122" s="208"/>
      <c r="HW122" s="208"/>
      <c r="HX122" s="208"/>
      <c r="HY122" s="208"/>
      <c r="HZ122" s="208"/>
      <c r="IA122" s="208"/>
      <c r="IB122" s="208"/>
      <c r="IC122" s="208"/>
      <c r="ID122" s="208"/>
      <c r="IE122" s="208"/>
      <c r="IF122" s="208"/>
      <c r="IG122" s="208"/>
      <c r="IH122" s="208"/>
      <c r="II122" s="208"/>
      <c r="IJ122" s="208"/>
      <c r="IK122" s="208"/>
      <c r="IL122" s="208"/>
      <c r="IM122" s="208"/>
      <c r="IN122" s="208"/>
      <c r="IO122" s="208"/>
      <c r="IP122" s="208"/>
      <c r="IQ122" s="208"/>
      <c r="IR122" s="208"/>
      <c r="IS122" s="208"/>
      <c r="IT122" s="208"/>
      <c r="IU122" s="208"/>
      <c r="IV122" s="208"/>
      <c r="IW122" s="208"/>
    </row>
    <row r="123" customFormat="false" ht="12.75" hidden="false" customHeight="false" outlineLevel="0" collapsed="false">
      <c r="A123" s="38" t="s">
        <v>144</v>
      </c>
      <c r="B123" s="206" t="s">
        <v>367</v>
      </c>
      <c r="C123" s="75" t="s">
        <v>399</v>
      </c>
      <c r="D123" s="76" t="n">
        <v>36647</v>
      </c>
      <c r="E123" s="76" t="n">
        <v>36677</v>
      </c>
      <c r="F123" s="38" t="s">
        <v>400</v>
      </c>
      <c r="G123" s="38" t="s">
        <v>401</v>
      </c>
      <c r="H123" s="206" t="s">
        <v>154</v>
      </c>
      <c r="I123" s="77" t="n">
        <f aca="false">0.465/I$1</f>
        <v>0.015</v>
      </c>
      <c r="J123" s="78"/>
      <c r="K123" s="78"/>
      <c r="L123" s="78"/>
      <c r="M123" s="78"/>
      <c r="N123" s="78"/>
      <c r="O123" s="162"/>
      <c r="P123" s="78"/>
      <c r="Q123" s="207" t="s">
        <v>406</v>
      </c>
      <c r="R123" s="206" t="n">
        <v>400</v>
      </c>
      <c r="S123" s="38" t="s">
        <v>407</v>
      </c>
      <c r="T123" s="164" t="n">
        <f aca="false">I123*$I$1*R123</f>
        <v>186</v>
      </c>
      <c r="U123" s="81"/>
      <c r="V123" s="83" t="n">
        <v>261014</v>
      </c>
      <c r="W123" s="83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  <c r="AL123" s="208"/>
      <c r="AM123" s="208"/>
      <c r="AN123" s="208"/>
      <c r="AO123" s="208"/>
      <c r="AP123" s="208"/>
      <c r="AQ123" s="208"/>
      <c r="AR123" s="208"/>
      <c r="AS123" s="208"/>
      <c r="AT123" s="208"/>
      <c r="AU123" s="208"/>
      <c r="AV123" s="208"/>
      <c r="AW123" s="208"/>
      <c r="AX123" s="208"/>
      <c r="AY123" s="208"/>
      <c r="AZ123" s="208"/>
      <c r="BA123" s="208"/>
      <c r="BB123" s="208"/>
      <c r="BC123" s="208"/>
      <c r="BD123" s="208"/>
      <c r="BE123" s="208"/>
      <c r="BF123" s="208"/>
      <c r="BG123" s="208"/>
      <c r="BH123" s="208"/>
      <c r="BI123" s="208"/>
      <c r="BJ123" s="208"/>
      <c r="BK123" s="208"/>
      <c r="BL123" s="208"/>
      <c r="BM123" s="208"/>
      <c r="BN123" s="208"/>
      <c r="BO123" s="208"/>
      <c r="BP123" s="208"/>
      <c r="BQ123" s="208"/>
      <c r="BR123" s="208"/>
      <c r="BS123" s="208"/>
      <c r="BT123" s="208"/>
      <c r="BU123" s="208"/>
      <c r="BV123" s="208"/>
      <c r="BW123" s="208"/>
      <c r="BX123" s="208"/>
      <c r="BY123" s="208"/>
      <c r="BZ123" s="208"/>
      <c r="CA123" s="208"/>
      <c r="CB123" s="208"/>
      <c r="CC123" s="208"/>
      <c r="CD123" s="208"/>
      <c r="CE123" s="208"/>
      <c r="CF123" s="208"/>
      <c r="CG123" s="208"/>
      <c r="CH123" s="208"/>
      <c r="CI123" s="208"/>
      <c r="CJ123" s="208"/>
      <c r="CK123" s="208"/>
      <c r="CL123" s="208"/>
      <c r="CM123" s="208"/>
      <c r="CN123" s="208"/>
      <c r="CO123" s="208"/>
      <c r="CP123" s="208"/>
      <c r="CQ123" s="208"/>
      <c r="CR123" s="208"/>
      <c r="CS123" s="208"/>
      <c r="CT123" s="208"/>
      <c r="CU123" s="208"/>
      <c r="CV123" s="208"/>
      <c r="CW123" s="208"/>
      <c r="CX123" s="208"/>
      <c r="CY123" s="208"/>
      <c r="CZ123" s="208"/>
      <c r="DA123" s="208"/>
      <c r="DB123" s="208"/>
      <c r="DC123" s="208"/>
      <c r="DD123" s="208"/>
      <c r="DE123" s="208"/>
      <c r="DF123" s="208"/>
      <c r="DG123" s="208"/>
      <c r="DH123" s="208"/>
      <c r="DI123" s="208"/>
      <c r="DJ123" s="208"/>
      <c r="DK123" s="208"/>
      <c r="DL123" s="208"/>
      <c r="DM123" s="208"/>
      <c r="DN123" s="208"/>
      <c r="DO123" s="208"/>
      <c r="DP123" s="208"/>
      <c r="DQ123" s="208"/>
      <c r="DR123" s="208"/>
      <c r="DS123" s="208"/>
      <c r="DT123" s="208"/>
      <c r="DU123" s="208"/>
      <c r="DV123" s="208"/>
      <c r="DW123" s="208"/>
      <c r="DX123" s="208"/>
      <c r="DY123" s="208"/>
      <c r="DZ123" s="208"/>
      <c r="EA123" s="208"/>
      <c r="EB123" s="208"/>
      <c r="EC123" s="208"/>
      <c r="ED123" s="208"/>
      <c r="EE123" s="208"/>
      <c r="EF123" s="208"/>
      <c r="EG123" s="208"/>
      <c r="EH123" s="208"/>
      <c r="EI123" s="208"/>
      <c r="EJ123" s="208"/>
      <c r="EK123" s="208"/>
      <c r="EL123" s="208"/>
      <c r="EM123" s="208"/>
      <c r="EN123" s="208"/>
      <c r="EO123" s="208"/>
      <c r="EP123" s="208"/>
      <c r="EQ123" s="208"/>
      <c r="ER123" s="208"/>
      <c r="ES123" s="208"/>
      <c r="ET123" s="208"/>
      <c r="EU123" s="208"/>
      <c r="EV123" s="208"/>
      <c r="EW123" s="208"/>
      <c r="EX123" s="208"/>
      <c r="EY123" s="208"/>
      <c r="EZ123" s="208"/>
      <c r="FA123" s="208"/>
      <c r="FB123" s="208"/>
      <c r="FC123" s="208"/>
      <c r="FD123" s="208"/>
      <c r="FE123" s="208"/>
      <c r="FF123" s="208"/>
      <c r="FG123" s="208"/>
      <c r="FH123" s="208"/>
      <c r="FI123" s="208"/>
      <c r="FJ123" s="208"/>
      <c r="FK123" s="208"/>
      <c r="FL123" s="208"/>
      <c r="FM123" s="208"/>
      <c r="FN123" s="208"/>
      <c r="FO123" s="208"/>
      <c r="FP123" s="208"/>
      <c r="FQ123" s="208"/>
      <c r="FR123" s="208"/>
      <c r="FS123" s="208"/>
      <c r="FT123" s="208"/>
      <c r="FU123" s="208"/>
      <c r="FV123" s="208"/>
      <c r="FW123" s="208"/>
      <c r="FX123" s="208"/>
      <c r="FY123" s="208"/>
      <c r="FZ123" s="208"/>
      <c r="GA123" s="208"/>
      <c r="GB123" s="208"/>
      <c r="GC123" s="208"/>
      <c r="GD123" s="208"/>
      <c r="GE123" s="208"/>
      <c r="GF123" s="208"/>
      <c r="GG123" s="208"/>
      <c r="GH123" s="208"/>
      <c r="GI123" s="208"/>
      <c r="GJ123" s="208"/>
      <c r="GK123" s="208"/>
      <c r="GL123" s="208"/>
      <c r="GM123" s="208"/>
      <c r="GN123" s="208"/>
      <c r="GO123" s="208"/>
      <c r="GP123" s="208"/>
      <c r="GQ123" s="208"/>
      <c r="GR123" s="208"/>
      <c r="GS123" s="208"/>
      <c r="GT123" s="208"/>
      <c r="GU123" s="208"/>
      <c r="GV123" s="208"/>
      <c r="GW123" s="208"/>
      <c r="GX123" s="208"/>
      <c r="GY123" s="208"/>
      <c r="GZ123" s="208"/>
      <c r="HA123" s="208"/>
      <c r="HB123" s="208"/>
      <c r="HC123" s="208"/>
      <c r="HD123" s="208"/>
      <c r="HE123" s="208"/>
      <c r="HF123" s="208"/>
      <c r="HG123" s="208"/>
      <c r="HH123" s="208"/>
      <c r="HI123" s="208"/>
      <c r="HJ123" s="208"/>
      <c r="HK123" s="208"/>
      <c r="HL123" s="208"/>
      <c r="HM123" s="208"/>
      <c r="HN123" s="208"/>
      <c r="HO123" s="208"/>
      <c r="HP123" s="208"/>
      <c r="HQ123" s="208"/>
      <c r="HR123" s="208"/>
      <c r="HS123" s="208"/>
      <c r="HT123" s="208"/>
      <c r="HU123" s="208"/>
      <c r="HV123" s="208"/>
      <c r="HW123" s="208"/>
      <c r="HX123" s="208"/>
      <c r="HY123" s="208"/>
      <c r="HZ123" s="208"/>
      <c r="IA123" s="208"/>
      <c r="IB123" s="208"/>
      <c r="IC123" s="208"/>
      <c r="ID123" s="208"/>
      <c r="IE123" s="208"/>
      <c r="IF123" s="208"/>
      <c r="IG123" s="208"/>
      <c r="IH123" s="208"/>
      <c r="II123" s="208"/>
      <c r="IJ123" s="208"/>
      <c r="IK123" s="208"/>
      <c r="IL123" s="208"/>
      <c r="IM123" s="208"/>
      <c r="IN123" s="208"/>
      <c r="IO123" s="208"/>
      <c r="IP123" s="208"/>
      <c r="IQ123" s="208"/>
      <c r="IR123" s="208"/>
      <c r="IS123" s="208"/>
      <c r="IT123" s="208"/>
      <c r="IU123" s="208"/>
      <c r="IV123" s="208"/>
      <c r="IW123" s="208"/>
    </row>
    <row r="124" customFormat="false" ht="12.75" hidden="false" customHeight="false" outlineLevel="0" collapsed="false">
      <c r="A124" s="38" t="s">
        <v>144</v>
      </c>
      <c r="B124" s="206" t="s">
        <v>367</v>
      </c>
      <c r="C124" s="75" t="s">
        <v>399</v>
      </c>
      <c r="D124" s="76" t="n">
        <v>36647</v>
      </c>
      <c r="E124" s="76" t="n">
        <v>36677</v>
      </c>
      <c r="F124" s="38" t="s">
        <v>400</v>
      </c>
      <c r="G124" s="38" t="s">
        <v>401</v>
      </c>
      <c r="H124" s="206" t="s">
        <v>154</v>
      </c>
      <c r="I124" s="77" t="n">
        <f aca="false">0.465/I$1</f>
        <v>0.015</v>
      </c>
      <c r="J124" s="78"/>
      <c r="K124" s="78"/>
      <c r="L124" s="78"/>
      <c r="M124" s="78"/>
      <c r="N124" s="78"/>
      <c r="O124" s="162"/>
      <c r="P124" s="78"/>
      <c r="Q124" s="207" t="s">
        <v>408</v>
      </c>
      <c r="R124" s="206" t="n">
        <v>950</v>
      </c>
      <c r="S124" s="38" t="s">
        <v>409</v>
      </c>
      <c r="T124" s="164" t="n">
        <f aca="false">I124*$I$1*R124</f>
        <v>441.75</v>
      </c>
      <c r="U124" s="81"/>
      <c r="V124" s="83" t="n">
        <v>261015</v>
      </c>
      <c r="W124" s="83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8"/>
      <c r="AT124" s="208"/>
      <c r="AU124" s="208"/>
      <c r="AV124" s="208"/>
      <c r="AW124" s="208"/>
      <c r="AX124" s="208"/>
      <c r="AY124" s="208"/>
      <c r="AZ124" s="208"/>
      <c r="BA124" s="208"/>
      <c r="BB124" s="208"/>
      <c r="BC124" s="208"/>
      <c r="BD124" s="208"/>
      <c r="BE124" s="208"/>
      <c r="BF124" s="208"/>
      <c r="BG124" s="208"/>
      <c r="BH124" s="208"/>
      <c r="BI124" s="208"/>
      <c r="BJ124" s="208"/>
      <c r="BK124" s="208"/>
      <c r="BL124" s="208"/>
      <c r="BM124" s="208"/>
      <c r="BN124" s="208"/>
      <c r="BO124" s="208"/>
      <c r="BP124" s="208"/>
      <c r="BQ124" s="208"/>
      <c r="BR124" s="208"/>
      <c r="BS124" s="208"/>
      <c r="BT124" s="208"/>
      <c r="BU124" s="208"/>
      <c r="BV124" s="208"/>
      <c r="BW124" s="208"/>
      <c r="BX124" s="208"/>
      <c r="BY124" s="208"/>
      <c r="BZ124" s="208"/>
      <c r="CA124" s="208"/>
      <c r="CB124" s="208"/>
      <c r="CC124" s="208"/>
      <c r="CD124" s="208"/>
      <c r="CE124" s="208"/>
      <c r="CF124" s="208"/>
      <c r="CG124" s="208"/>
      <c r="CH124" s="208"/>
      <c r="CI124" s="208"/>
      <c r="CJ124" s="208"/>
      <c r="CK124" s="208"/>
      <c r="CL124" s="208"/>
      <c r="CM124" s="208"/>
      <c r="CN124" s="208"/>
      <c r="CO124" s="208"/>
      <c r="CP124" s="208"/>
      <c r="CQ124" s="208"/>
      <c r="CR124" s="208"/>
      <c r="CS124" s="208"/>
      <c r="CT124" s="208"/>
      <c r="CU124" s="208"/>
      <c r="CV124" s="208"/>
      <c r="CW124" s="208"/>
      <c r="CX124" s="208"/>
      <c r="CY124" s="208"/>
      <c r="CZ124" s="208"/>
      <c r="DA124" s="208"/>
      <c r="DB124" s="208"/>
      <c r="DC124" s="208"/>
      <c r="DD124" s="208"/>
      <c r="DE124" s="208"/>
      <c r="DF124" s="208"/>
      <c r="DG124" s="208"/>
      <c r="DH124" s="208"/>
      <c r="DI124" s="208"/>
      <c r="DJ124" s="208"/>
      <c r="DK124" s="208"/>
      <c r="DL124" s="208"/>
      <c r="DM124" s="208"/>
      <c r="DN124" s="208"/>
      <c r="DO124" s="208"/>
      <c r="DP124" s="208"/>
      <c r="DQ124" s="208"/>
      <c r="DR124" s="208"/>
      <c r="DS124" s="208"/>
      <c r="DT124" s="208"/>
      <c r="DU124" s="208"/>
      <c r="DV124" s="208"/>
      <c r="DW124" s="208"/>
      <c r="DX124" s="208"/>
      <c r="DY124" s="208"/>
      <c r="DZ124" s="208"/>
      <c r="EA124" s="208"/>
      <c r="EB124" s="208"/>
      <c r="EC124" s="208"/>
      <c r="ED124" s="208"/>
      <c r="EE124" s="208"/>
      <c r="EF124" s="208"/>
      <c r="EG124" s="208"/>
      <c r="EH124" s="208"/>
      <c r="EI124" s="208"/>
      <c r="EJ124" s="208"/>
      <c r="EK124" s="208"/>
      <c r="EL124" s="208"/>
      <c r="EM124" s="208"/>
      <c r="EN124" s="208"/>
      <c r="EO124" s="208"/>
      <c r="EP124" s="208"/>
      <c r="EQ124" s="208"/>
      <c r="ER124" s="208"/>
      <c r="ES124" s="208"/>
      <c r="ET124" s="208"/>
      <c r="EU124" s="208"/>
      <c r="EV124" s="208"/>
      <c r="EW124" s="208"/>
      <c r="EX124" s="208"/>
      <c r="EY124" s="208"/>
      <c r="EZ124" s="208"/>
      <c r="FA124" s="208"/>
      <c r="FB124" s="208"/>
      <c r="FC124" s="208"/>
      <c r="FD124" s="208"/>
      <c r="FE124" s="208"/>
      <c r="FF124" s="208"/>
      <c r="FG124" s="208"/>
      <c r="FH124" s="208"/>
      <c r="FI124" s="208"/>
      <c r="FJ124" s="208"/>
      <c r="FK124" s="208"/>
      <c r="FL124" s="208"/>
      <c r="FM124" s="208"/>
      <c r="FN124" s="208"/>
      <c r="FO124" s="208"/>
      <c r="FP124" s="208"/>
      <c r="FQ124" s="208"/>
      <c r="FR124" s="208"/>
      <c r="FS124" s="208"/>
      <c r="FT124" s="208"/>
      <c r="FU124" s="208"/>
      <c r="FV124" s="208"/>
      <c r="FW124" s="208"/>
      <c r="FX124" s="208"/>
      <c r="FY124" s="208"/>
      <c r="FZ124" s="208"/>
      <c r="GA124" s="208"/>
      <c r="GB124" s="208"/>
      <c r="GC124" s="208"/>
      <c r="GD124" s="208"/>
      <c r="GE124" s="208"/>
      <c r="GF124" s="208"/>
      <c r="GG124" s="208"/>
      <c r="GH124" s="208"/>
      <c r="GI124" s="208"/>
      <c r="GJ124" s="208"/>
      <c r="GK124" s="208"/>
      <c r="GL124" s="208"/>
      <c r="GM124" s="208"/>
      <c r="GN124" s="208"/>
      <c r="GO124" s="208"/>
      <c r="GP124" s="208"/>
      <c r="GQ124" s="208"/>
      <c r="GR124" s="208"/>
      <c r="GS124" s="208"/>
      <c r="GT124" s="208"/>
      <c r="GU124" s="208"/>
      <c r="GV124" s="208"/>
      <c r="GW124" s="208"/>
      <c r="GX124" s="208"/>
      <c r="GY124" s="208"/>
      <c r="GZ124" s="208"/>
      <c r="HA124" s="208"/>
      <c r="HB124" s="208"/>
      <c r="HC124" s="208"/>
      <c r="HD124" s="208"/>
      <c r="HE124" s="208"/>
      <c r="HF124" s="208"/>
      <c r="HG124" s="208"/>
      <c r="HH124" s="208"/>
      <c r="HI124" s="208"/>
      <c r="HJ124" s="208"/>
      <c r="HK124" s="208"/>
      <c r="HL124" s="208"/>
      <c r="HM124" s="208"/>
      <c r="HN124" s="208"/>
      <c r="HO124" s="208"/>
      <c r="HP124" s="208"/>
      <c r="HQ124" s="208"/>
      <c r="HR124" s="208"/>
      <c r="HS124" s="208"/>
      <c r="HT124" s="208"/>
      <c r="HU124" s="208"/>
      <c r="HV124" s="208"/>
      <c r="HW124" s="208"/>
      <c r="HX124" s="208"/>
      <c r="HY124" s="208"/>
      <c r="HZ124" s="208"/>
      <c r="IA124" s="208"/>
      <c r="IB124" s="208"/>
      <c r="IC124" s="208"/>
      <c r="ID124" s="208"/>
      <c r="IE124" s="208"/>
      <c r="IF124" s="208"/>
      <c r="IG124" s="208"/>
      <c r="IH124" s="208"/>
      <c r="II124" s="208"/>
      <c r="IJ124" s="208"/>
      <c r="IK124" s="208"/>
      <c r="IL124" s="208"/>
      <c r="IM124" s="208"/>
      <c r="IN124" s="208"/>
      <c r="IO124" s="208"/>
      <c r="IP124" s="208"/>
      <c r="IQ124" s="208"/>
      <c r="IR124" s="208"/>
      <c r="IS124" s="208"/>
      <c r="IT124" s="208"/>
      <c r="IU124" s="208"/>
      <c r="IV124" s="208"/>
      <c r="IW124" s="208"/>
    </row>
    <row r="125" customFormat="false" ht="12.75" hidden="false" customHeight="false" outlineLevel="0" collapsed="false">
      <c r="A125" s="38" t="s">
        <v>144</v>
      </c>
      <c r="B125" s="206" t="s">
        <v>367</v>
      </c>
      <c r="C125" s="75" t="s">
        <v>399</v>
      </c>
      <c r="D125" s="76" t="n">
        <v>36647</v>
      </c>
      <c r="E125" s="76" t="n">
        <v>36677</v>
      </c>
      <c r="F125" s="38" t="s">
        <v>400</v>
      </c>
      <c r="G125" s="38" t="s">
        <v>401</v>
      </c>
      <c r="H125" s="206" t="s">
        <v>154</v>
      </c>
      <c r="I125" s="77" t="n">
        <f aca="false">0.465/I$1</f>
        <v>0.015</v>
      </c>
      <c r="J125" s="78"/>
      <c r="K125" s="78"/>
      <c r="L125" s="78"/>
      <c r="M125" s="78"/>
      <c r="N125" s="78"/>
      <c r="O125" s="162"/>
      <c r="P125" s="78"/>
      <c r="Q125" s="207" t="s">
        <v>410</v>
      </c>
      <c r="R125" s="206" t="n">
        <v>400</v>
      </c>
      <c r="S125" s="38" t="s">
        <v>411</v>
      </c>
      <c r="T125" s="164" t="n">
        <f aca="false">I125*$I$1*R125</f>
        <v>186</v>
      </c>
      <c r="U125" s="81"/>
      <c r="V125" s="83" t="n">
        <v>261016</v>
      </c>
      <c r="W125" s="83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  <c r="AL125" s="208"/>
      <c r="AM125" s="208"/>
      <c r="AN125" s="208"/>
      <c r="AO125" s="208"/>
      <c r="AP125" s="208"/>
      <c r="AQ125" s="208"/>
      <c r="AR125" s="208"/>
      <c r="AS125" s="208"/>
      <c r="AT125" s="208"/>
      <c r="AU125" s="208"/>
      <c r="AV125" s="208"/>
      <c r="AW125" s="208"/>
      <c r="AX125" s="208"/>
      <c r="AY125" s="208"/>
      <c r="AZ125" s="208"/>
      <c r="BA125" s="208"/>
      <c r="BB125" s="208"/>
      <c r="BC125" s="208"/>
      <c r="BD125" s="208"/>
      <c r="BE125" s="208"/>
      <c r="BF125" s="208"/>
      <c r="BG125" s="208"/>
      <c r="BH125" s="208"/>
      <c r="BI125" s="208"/>
      <c r="BJ125" s="208"/>
      <c r="BK125" s="208"/>
      <c r="BL125" s="208"/>
      <c r="BM125" s="208"/>
      <c r="BN125" s="208"/>
      <c r="BO125" s="208"/>
      <c r="BP125" s="208"/>
      <c r="BQ125" s="208"/>
      <c r="BR125" s="208"/>
      <c r="BS125" s="208"/>
      <c r="BT125" s="208"/>
      <c r="BU125" s="208"/>
      <c r="BV125" s="208"/>
      <c r="BW125" s="208"/>
      <c r="BX125" s="208"/>
      <c r="BY125" s="208"/>
      <c r="BZ125" s="208"/>
      <c r="CA125" s="208"/>
      <c r="CB125" s="208"/>
      <c r="CC125" s="208"/>
      <c r="CD125" s="208"/>
      <c r="CE125" s="208"/>
      <c r="CF125" s="208"/>
      <c r="CG125" s="208"/>
      <c r="CH125" s="208"/>
      <c r="CI125" s="208"/>
      <c r="CJ125" s="208"/>
      <c r="CK125" s="208"/>
      <c r="CL125" s="208"/>
      <c r="CM125" s="208"/>
      <c r="CN125" s="208"/>
      <c r="CO125" s="208"/>
      <c r="CP125" s="208"/>
      <c r="CQ125" s="208"/>
      <c r="CR125" s="208"/>
      <c r="CS125" s="208"/>
      <c r="CT125" s="208"/>
      <c r="CU125" s="208"/>
      <c r="CV125" s="208"/>
      <c r="CW125" s="208"/>
      <c r="CX125" s="208"/>
      <c r="CY125" s="208"/>
      <c r="CZ125" s="208"/>
      <c r="DA125" s="208"/>
      <c r="DB125" s="208"/>
      <c r="DC125" s="208"/>
      <c r="DD125" s="208"/>
      <c r="DE125" s="208"/>
      <c r="DF125" s="208"/>
      <c r="DG125" s="208"/>
      <c r="DH125" s="208"/>
      <c r="DI125" s="208"/>
      <c r="DJ125" s="208"/>
      <c r="DK125" s="208"/>
      <c r="DL125" s="208"/>
      <c r="DM125" s="208"/>
      <c r="DN125" s="208"/>
      <c r="DO125" s="208"/>
      <c r="DP125" s="208"/>
      <c r="DQ125" s="208"/>
      <c r="DR125" s="208"/>
      <c r="DS125" s="208"/>
      <c r="DT125" s="208"/>
      <c r="DU125" s="208"/>
      <c r="DV125" s="208"/>
      <c r="DW125" s="208"/>
      <c r="DX125" s="208"/>
      <c r="DY125" s="208"/>
      <c r="DZ125" s="208"/>
      <c r="EA125" s="208"/>
      <c r="EB125" s="208"/>
      <c r="EC125" s="208"/>
      <c r="ED125" s="208"/>
      <c r="EE125" s="208"/>
      <c r="EF125" s="208"/>
      <c r="EG125" s="208"/>
      <c r="EH125" s="208"/>
      <c r="EI125" s="208"/>
      <c r="EJ125" s="208"/>
      <c r="EK125" s="208"/>
      <c r="EL125" s="208"/>
      <c r="EM125" s="208"/>
      <c r="EN125" s="208"/>
      <c r="EO125" s="208"/>
      <c r="EP125" s="208"/>
      <c r="EQ125" s="208"/>
      <c r="ER125" s="208"/>
      <c r="ES125" s="208"/>
      <c r="ET125" s="208"/>
      <c r="EU125" s="208"/>
      <c r="EV125" s="208"/>
      <c r="EW125" s="208"/>
      <c r="EX125" s="208"/>
      <c r="EY125" s="208"/>
      <c r="EZ125" s="208"/>
      <c r="FA125" s="208"/>
      <c r="FB125" s="208"/>
      <c r="FC125" s="208"/>
      <c r="FD125" s="208"/>
      <c r="FE125" s="208"/>
      <c r="FF125" s="208"/>
      <c r="FG125" s="208"/>
      <c r="FH125" s="208"/>
      <c r="FI125" s="208"/>
      <c r="FJ125" s="208"/>
      <c r="FK125" s="208"/>
      <c r="FL125" s="208"/>
      <c r="FM125" s="208"/>
      <c r="FN125" s="208"/>
      <c r="FO125" s="208"/>
      <c r="FP125" s="208"/>
      <c r="FQ125" s="208"/>
      <c r="FR125" s="208"/>
      <c r="FS125" s="208"/>
      <c r="FT125" s="208"/>
      <c r="FU125" s="208"/>
      <c r="FV125" s="208"/>
      <c r="FW125" s="208"/>
      <c r="FX125" s="208"/>
      <c r="FY125" s="208"/>
      <c r="FZ125" s="208"/>
      <c r="GA125" s="208"/>
      <c r="GB125" s="208"/>
      <c r="GC125" s="208"/>
      <c r="GD125" s="208"/>
      <c r="GE125" s="208"/>
      <c r="GF125" s="208"/>
      <c r="GG125" s="208"/>
      <c r="GH125" s="208"/>
      <c r="GI125" s="208"/>
      <c r="GJ125" s="208"/>
      <c r="GK125" s="208"/>
      <c r="GL125" s="208"/>
      <c r="GM125" s="208"/>
      <c r="GN125" s="208"/>
      <c r="GO125" s="208"/>
      <c r="GP125" s="208"/>
      <c r="GQ125" s="208"/>
      <c r="GR125" s="208"/>
      <c r="GS125" s="208"/>
      <c r="GT125" s="208"/>
      <c r="GU125" s="208"/>
      <c r="GV125" s="208"/>
      <c r="GW125" s="208"/>
      <c r="GX125" s="208"/>
      <c r="GY125" s="208"/>
      <c r="GZ125" s="208"/>
      <c r="HA125" s="208"/>
      <c r="HB125" s="208"/>
      <c r="HC125" s="208"/>
      <c r="HD125" s="208"/>
      <c r="HE125" s="208"/>
      <c r="HF125" s="208"/>
      <c r="HG125" s="208"/>
      <c r="HH125" s="208"/>
      <c r="HI125" s="208"/>
      <c r="HJ125" s="208"/>
      <c r="HK125" s="208"/>
      <c r="HL125" s="208"/>
      <c r="HM125" s="208"/>
      <c r="HN125" s="208"/>
      <c r="HO125" s="208"/>
      <c r="HP125" s="208"/>
      <c r="HQ125" s="208"/>
      <c r="HR125" s="208"/>
      <c r="HS125" s="208"/>
      <c r="HT125" s="208"/>
      <c r="HU125" s="208"/>
      <c r="HV125" s="208"/>
      <c r="HW125" s="208"/>
      <c r="HX125" s="208"/>
      <c r="HY125" s="208"/>
      <c r="HZ125" s="208"/>
      <c r="IA125" s="208"/>
      <c r="IB125" s="208"/>
      <c r="IC125" s="208"/>
      <c r="ID125" s="208"/>
      <c r="IE125" s="208"/>
      <c r="IF125" s="208"/>
      <c r="IG125" s="208"/>
      <c r="IH125" s="208"/>
      <c r="II125" s="208"/>
      <c r="IJ125" s="208"/>
      <c r="IK125" s="208"/>
      <c r="IL125" s="208"/>
      <c r="IM125" s="208"/>
      <c r="IN125" s="208"/>
      <c r="IO125" s="208"/>
      <c r="IP125" s="208"/>
      <c r="IQ125" s="208"/>
      <c r="IR125" s="208"/>
      <c r="IS125" s="208"/>
      <c r="IT125" s="208"/>
      <c r="IU125" s="208"/>
      <c r="IV125" s="208"/>
      <c r="IW125" s="208"/>
    </row>
    <row r="126" customFormat="false" ht="12.75" hidden="false" customHeight="false" outlineLevel="0" collapsed="false">
      <c r="A126" s="38" t="s">
        <v>144</v>
      </c>
      <c r="B126" s="206" t="s">
        <v>367</v>
      </c>
      <c r="C126" s="75" t="s">
        <v>399</v>
      </c>
      <c r="D126" s="76" t="n">
        <v>36647</v>
      </c>
      <c r="E126" s="76" t="n">
        <v>36677</v>
      </c>
      <c r="F126" s="38" t="s">
        <v>400</v>
      </c>
      <c r="G126" s="38" t="s">
        <v>401</v>
      </c>
      <c r="H126" s="206" t="s">
        <v>154</v>
      </c>
      <c r="I126" s="77" t="n">
        <f aca="false">0.465/I$1</f>
        <v>0.015</v>
      </c>
      <c r="J126" s="78"/>
      <c r="K126" s="78"/>
      <c r="L126" s="78"/>
      <c r="M126" s="78"/>
      <c r="N126" s="78"/>
      <c r="O126" s="162"/>
      <c r="P126" s="78"/>
      <c r="Q126" s="207" t="s">
        <v>412</v>
      </c>
      <c r="R126" s="206" t="n">
        <v>2200</v>
      </c>
      <c r="S126" s="38" t="s">
        <v>413</v>
      </c>
      <c r="T126" s="164" t="n">
        <f aca="false">I126*$I$1*R126</f>
        <v>1023</v>
      </c>
      <c r="U126" s="81"/>
      <c r="V126" s="83" t="n">
        <v>261017</v>
      </c>
      <c r="W126" s="83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  <c r="AL126" s="208"/>
      <c r="AM126" s="208"/>
      <c r="AN126" s="208"/>
      <c r="AO126" s="208"/>
      <c r="AP126" s="208"/>
      <c r="AQ126" s="208"/>
      <c r="AR126" s="208"/>
      <c r="AS126" s="208"/>
      <c r="AT126" s="208"/>
      <c r="AU126" s="208"/>
      <c r="AV126" s="208"/>
      <c r="AW126" s="208"/>
      <c r="AX126" s="208"/>
      <c r="AY126" s="208"/>
      <c r="AZ126" s="208"/>
      <c r="BA126" s="208"/>
      <c r="BB126" s="208"/>
      <c r="BC126" s="208"/>
      <c r="BD126" s="208"/>
      <c r="BE126" s="208"/>
      <c r="BF126" s="208"/>
      <c r="BG126" s="208"/>
      <c r="BH126" s="208"/>
      <c r="BI126" s="208"/>
      <c r="BJ126" s="208"/>
      <c r="BK126" s="208"/>
      <c r="BL126" s="208"/>
      <c r="BM126" s="208"/>
      <c r="BN126" s="208"/>
      <c r="BO126" s="208"/>
      <c r="BP126" s="208"/>
      <c r="BQ126" s="208"/>
      <c r="BR126" s="208"/>
      <c r="BS126" s="208"/>
      <c r="BT126" s="208"/>
      <c r="BU126" s="208"/>
      <c r="BV126" s="208"/>
      <c r="BW126" s="208"/>
      <c r="BX126" s="208"/>
      <c r="BY126" s="208"/>
      <c r="BZ126" s="208"/>
      <c r="CA126" s="208"/>
      <c r="CB126" s="208"/>
      <c r="CC126" s="208"/>
      <c r="CD126" s="208"/>
      <c r="CE126" s="208"/>
      <c r="CF126" s="208"/>
      <c r="CG126" s="208"/>
      <c r="CH126" s="208"/>
      <c r="CI126" s="208"/>
      <c r="CJ126" s="208"/>
      <c r="CK126" s="208"/>
      <c r="CL126" s="208"/>
      <c r="CM126" s="208"/>
      <c r="CN126" s="208"/>
      <c r="CO126" s="208"/>
      <c r="CP126" s="208"/>
      <c r="CQ126" s="208"/>
      <c r="CR126" s="208"/>
      <c r="CS126" s="208"/>
      <c r="CT126" s="208"/>
      <c r="CU126" s="208"/>
      <c r="CV126" s="208"/>
      <c r="CW126" s="208"/>
      <c r="CX126" s="208"/>
      <c r="CY126" s="208"/>
      <c r="CZ126" s="208"/>
      <c r="DA126" s="208"/>
      <c r="DB126" s="208"/>
      <c r="DC126" s="208"/>
      <c r="DD126" s="208"/>
      <c r="DE126" s="208"/>
      <c r="DF126" s="208"/>
      <c r="DG126" s="208"/>
      <c r="DH126" s="208"/>
      <c r="DI126" s="208"/>
      <c r="DJ126" s="208"/>
      <c r="DK126" s="208"/>
      <c r="DL126" s="208"/>
      <c r="DM126" s="208"/>
      <c r="DN126" s="208"/>
      <c r="DO126" s="208"/>
      <c r="DP126" s="208"/>
      <c r="DQ126" s="208"/>
      <c r="DR126" s="208"/>
      <c r="DS126" s="208"/>
      <c r="DT126" s="208"/>
      <c r="DU126" s="208"/>
      <c r="DV126" s="208"/>
      <c r="DW126" s="208"/>
      <c r="DX126" s="208"/>
      <c r="DY126" s="208"/>
      <c r="DZ126" s="208"/>
      <c r="EA126" s="208"/>
      <c r="EB126" s="208"/>
      <c r="EC126" s="208"/>
      <c r="ED126" s="208"/>
      <c r="EE126" s="208"/>
      <c r="EF126" s="208"/>
      <c r="EG126" s="208"/>
      <c r="EH126" s="208"/>
      <c r="EI126" s="208"/>
      <c r="EJ126" s="208"/>
      <c r="EK126" s="208"/>
      <c r="EL126" s="208"/>
      <c r="EM126" s="208"/>
      <c r="EN126" s="208"/>
      <c r="EO126" s="208"/>
      <c r="EP126" s="208"/>
      <c r="EQ126" s="208"/>
      <c r="ER126" s="208"/>
      <c r="ES126" s="208"/>
      <c r="ET126" s="208"/>
      <c r="EU126" s="208"/>
      <c r="EV126" s="208"/>
      <c r="EW126" s="208"/>
      <c r="EX126" s="208"/>
      <c r="EY126" s="208"/>
      <c r="EZ126" s="208"/>
      <c r="FA126" s="208"/>
      <c r="FB126" s="208"/>
      <c r="FC126" s="208"/>
      <c r="FD126" s="208"/>
      <c r="FE126" s="208"/>
      <c r="FF126" s="208"/>
      <c r="FG126" s="208"/>
      <c r="FH126" s="208"/>
      <c r="FI126" s="208"/>
      <c r="FJ126" s="208"/>
      <c r="FK126" s="208"/>
      <c r="FL126" s="208"/>
      <c r="FM126" s="208"/>
      <c r="FN126" s="208"/>
      <c r="FO126" s="208"/>
      <c r="FP126" s="208"/>
      <c r="FQ126" s="208"/>
      <c r="FR126" s="208"/>
      <c r="FS126" s="208"/>
      <c r="FT126" s="208"/>
      <c r="FU126" s="208"/>
      <c r="FV126" s="208"/>
      <c r="FW126" s="208"/>
      <c r="FX126" s="208"/>
      <c r="FY126" s="208"/>
      <c r="FZ126" s="208"/>
      <c r="GA126" s="208"/>
      <c r="GB126" s="208"/>
      <c r="GC126" s="208"/>
      <c r="GD126" s="208"/>
      <c r="GE126" s="208"/>
      <c r="GF126" s="208"/>
      <c r="GG126" s="208"/>
      <c r="GH126" s="208"/>
      <c r="GI126" s="208"/>
      <c r="GJ126" s="208"/>
      <c r="GK126" s="208"/>
      <c r="GL126" s="208"/>
      <c r="GM126" s="208"/>
      <c r="GN126" s="208"/>
      <c r="GO126" s="208"/>
      <c r="GP126" s="208"/>
      <c r="GQ126" s="208"/>
      <c r="GR126" s="208"/>
      <c r="GS126" s="208"/>
      <c r="GT126" s="208"/>
      <c r="GU126" s="208"/>
      <c r="GV126" s="208"/>
      <c r="GW126" s="208"/>
      <c r="GX126" s="208"/>
      <c r="GY126" s="208"/>
      <c r="GZ126" s="208"/>
      <c r="HA126" s="208"/>
      <c r="HB126" s="208"/>
      <c r="HC126" s="208"/>
      <c r="HD126" s="208"/>
      <c r="HE126" s="208"/>
      <c r="HF126" s="208"/>
      <c r="HG126" s="208"/>
      <c r="HH126" s="208"/>
      <c r="HI126" s="208"/>
      <c r="HJ126" s="208"/>
      <c r="HK126" s="208"/>
      <c r="HL126" s="208"/>
      <c r="HM126" s="208"/>
      <c r="HN126" s="208"/>
      <c r="HO126" s="208"/>
      <c r="HP126" s="208"/>
      <c r="HQ126" s="208"/>
      <c r="HR126" s="208"/>
      <c r="HS126" s="208"/>
      <c r="HT126" s="208"/>
      <c r="HU126" s="208"/>
      <c r="HV126" s="208"/>
      <c r="HW126" s="208"/>
      <c r="HX126" s="208"/>
      <c r="HY126" s="208"/>
      <c r="HZ126" s="208"/>
      <c r="IA126" s="208"/>
      <c r="IB126" s="208"/>
      <c r="IC126" s="208"/>
      <c r="ID126" s="208"/>
      <c r="IE126" s="208"/>
      <c r="IF126" s="208"/>
      <c r="IG126" s="208"/>
      <c r="IH126" s="208"/>
      <c r="II126" s="208"/>
      <c r="IJ126" s="208"/>
      <c r="IK126" s="208"/>
      <c r="IL126" s="208"/>
      <c r="IM126" s="208"/>
      <c r="IN126" s="208"/>
      <c r="IO126" s="208"/>
      <c r="IP126" s="208"/>
      <c r="IQ126" s="208"/>
      <c r="IR126" s="208"/>
      <c r="IS126" s="208"/>
      <c r="IT126" s="208"/>
      <c r="IU126" s="208"/>
      <c r="IV126" s="208"/>
      <c r="IW126" s="208"/>
    </row>
    <row r="127" customFormat="false" ht="12.75" hidden="false" customHeight="false" outlineLevel="0" collapsed="false">
      <c r="A127" s="38" t="s">
        <v>144</v>
      </c>
      <c r="B127" s="206" t="s">
        <v>367</v>
      </c>
      <c r="C127" s="75" t="s">
        <v>399</v>
      </c>
      <c r="D127" s="76" t="n">
        <v>36647</v>
      </c>
      <c r="E127" s="76" t="n">
        <v>36677</v>
      </c>
      <c r="F127" s="38" t="s">
        <v>400</v>
      </c>
      <c r="G127" s="38" t="s">
        <v>401</v>
      </c>
      <c r="H127" s="206" t="s">
        <v>154</v>
      </c>
      <c r="I127" s="77" t="n">
        <f aca="false">0.465/I$1</f>
        <v>0.015</v>
      </c>
      <c r="J127" s="78"/>
      <c r="K127" s="78"/>
      <c r="L127" s="78"/>
      <c r="M127" s="78"/>
      <c r="N127" s="78"/>
      <c r="O127" s="162"/>
      <c r="P127" s="78"/>
      <c r="Q127" s="207" t="s">
        <v>414</v>
      </c>
      <c r="R127" s="206" t="n">
        <v>2000</v>
      </c>
      <c r="S127" s="38" t="s">
        <v>415</v>
      </c>
      <c r="T127" s="164" t="n">
        <f aca="false">I127*$I$1*R127</f>
        <v>930</v>
      </c>
      <c r="U127" s="81"/>
      <c r="V127" s="83" t="n">
        <v>261018</v>
      </c>
      <c r="W127" s="83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  <c r="AL127" s="208"/>
      <c r="AM127" s="208"/>
      <c r="AN127" s="208"/>
      <c r="AO127" s="208"/>
      <c r="AP127" s="208"/>
      <c r="AQ127" s="208"/>
      <c r="AR127" s="208"/>
      <c r="AS127" s="208"/>
      <c r="AT127" s="208"/>
      <c r="AU127" s="208"/>
      <c r="AV127" s="208"/>
      <c r="AW127" s="208"/>
      <c r="AX127" s="208"/>
      <c r="AY127" s="208"/>
      <c r="AZ127" s="208"/>
      <c r="BA127" s="208"/>
      <c r="BB127" s="208"/>
      <c r="BC127" s="208"/>
      <c r="BD127" s="208"/>
      <c r="BE127" s="208"/>
      <c r="BF127" s="208"/>
      <c r="BG127" s="208"/>
      <c r="BH127" s="208"/>
      <c r="BI127" s="208"/>
      <c r="BJ127" s="208"/>
      <c r="BK127" s="208"/>
      <c r="BL127" s="208"/>
      <c r="BM127" s="208"/>
      <c r="BN127" s="208"/>
      <c r="BO127" s="208"/>
      <c r="BP127" s="208"/>
      <c r="BQ127" s="208"/>
      <c r="BR127" s="208"/>
      <c r="BS127" s="208"/>
      <c r="BT127" s="208"/>
      <c r="BU127" s="208"/>
      <c r="BV127" s="208"/>
      <c r="BW127" s="208"/>
      <c r="BX127" s="208"/>
      <c r="BY127" s="208"/>
      <c r="BZ127" s="208"/>
      <c r="CA127" s="208"/>
      <c r="CB127" s="208"/>
      <c r="CC127" s="208"/>
      <c r="CD127" s="208"/>
      <c r="CE127" s="208"/>
      <c r="CF127" s="208"/>
      <c r="CG127" s="208"/>
      <c r="CH127" s="208"/>
      <c r="CI127" s="208"/>
      <c r="CJ127" s="208"/>
      <c r="CK127" s="208"/>
      <c r="CL127" s="208"/>
      <c r="CM127" s="208"/>
      <c r="CN127" s="208"/>
      <c r="CO127" s="208"/>
      <c r="CP127" s="208"/>
      <c r="CQ127" s="208"/>
      <c r="CR127" s="208"/>
      <c r="CS127" s="208"/>
      <c r="CT127" s="208"/>
      <c r="CU127" s="208"/>
      <c r="CV127" s="208"/>
      <c r="CW127" s="208"/>
      <c r="CX127" s="208"/>
      <c r="CY127" s="208"/>
      <c r="CZ127" s="208"/>
      <c r="DA127" s="208"/>
      <c r="DB127" s="208"/>
      <c r="DC127" s="208"/>
      <c r="DD127" s="208"/>
      <c r="DE127" s="208"/>
      <c r="DF127" s="208"/>
      <c r="DG127" s="208"/>
      <c r="DH127" s="208"/>
      <c r="DI127" s="208"/>
      <c r="DJ127" s="208"/>
      <c r="DK127" s="208"/>
      <c r="DL127" s="208"/>
      <c r="DM127" s="208"/>
      <c r="DN127" s="208"/>
      <c r="DO127" s="208"/>
      <c r="DP127" s="208"/>
      <c r="DQ127" s="208"/>
      <c r="DR127" s="208"/>
      <c r="DS127" s="208"/>
      <c r="DT127" s="208"/>
      <c r="DU127" s="208"/>
      <c r="DV127" s="208"/>
      <c r="DW127" s="208"/>
      <c r="DX127" s="208"/>
      <c r="DY127" s="208"/>
      <c r="DZ127" s="208"/>
      <c r="EA127" s="208"/>
      <c r="EB127" s="208"/>
      <c r="EC127" s="208"/>
      <c r="ED127" s="208"/>
      <c r="EE127" s="208"/>
      <c r="EF127" s="208"/>
      <c r="EG127" s="208"/>
      <c r="EH127" s="208"/>
      <c r="EI127" s="208"/>
      <c r="EJ127" s="208"/>
      <c r="EK127" s="208"/>
      <c r="EL127" s="208"/>
      <c r="EM127" s="208"/>
      <c r="EN127" s="208"/>
      <c r="EO127" s="208"/>
      <c r="EP127" s="208"/>
      <c r="EQ127" s="208"/>
      <c r="ER127" s="208"/>
      <c r="ES127" s="208"/>
      <c r="ET127" s="208"/>
      <c r="EU127" s="208"/>
      <c r="EV127" s="208"/>
      <c r="EW127" s="208"/>
      <c r="EX127" s="208"/>
      <c r="EY127" s="208"/>
      <c r="EZ127" s="208"/>
      <c r="FA127" s="208"/>
      <c r="FB127" s="208"/>
      <c r="FC127" s="208"/>
      <c r="FD127" s="208"/>
      <c r="FE127" s="208"/>
      <c r="FF127" s="208"/>
      <c r="FG127" s="208"/>
      <c r="FH127" s="208"/>
      <c r="FI127" s="208"/>
      <c r="FJ127" s="208"/>
      <c r="FK127" s="208"/>
      <c r="FL127" s="208"/>
      <c r="FM127" s="208"/>
      <c r="FN127" s="208"/>
      <c r="FO127" s="208"/>
      <c r="FP127" s="208"/>
      <c r="FQ127" s="208"/>
      <c r="FR127" s="208"/>
      <c r="FS127" s="208"/>
      <c r="FT127" s="208"/>
      <c r="FU127" s="208"/>
      <c r="FV127" s="208"/>
      <c r="FW127" s="208"/>
      <c r="FX127" s="208"/>
      <c r="FY127" s="208"/>
      <c r="FZ127" s="208"/>
      <c r="GA127" s="208"/>
      <c r="GB127" s="208"/>
      <c r="GC127" s="208"/>
      <c r="GD127" s="208"/>
      <c r="GE127" s="208"/>
      <c r="GF127" s="208"/>
      <c r="GG127" s="208"/>
      <c r="GH127" s="208"/>
      <c r="GI127" s="208"/>
      <c r="GJ127" s="208"/>
      <c r="GK127" s="208"/>
      <c r="GL127" s="208"/>
      <c r="GM127" s="208"/>
      <c r="GN127" s="208"/>
      <c r="GO127" s="208"/>
      <c r="GP127" s="208"/>
      <c r="GQ127" s="208"/>
      <c r="GR127" s="208"/>
      <c r="GS127" s="208"/>
      <c r="GT127" s="208"/>
      <c r="GU127" s="208"/>
      <c r="GV127" s="208"/>
      <c r="GW127" s="208"/>
      <c r="GX127" s="208"/>
      <c r="GY127" s="208"/>
      <c r="GZ127" s="208"/>
      <c r="HA127" s="208"/>
      <c r="HB127" s="208"/>
      <c r="HC127" s="208"/>
      <c r="HD127" s="208"/>
      <c r="HE127" s="208"/>
      <c r="HF127" s="208"/>
      <c r="HG127" s="208"/>
      <c r="HH127" s="208"/>
      <c r="HI127" s="208"/>
      <c r="HJ127" s="208"/>
      <c r="HK127" s="208"/>
      <c r="HL127" s="208"/>
      <c r="HM127" s="208"/>
      <c r="HN127" s="208"/>
      <c r="HO127" s="208"/>
      <c r="HP127" s="208"/>
      <c r="HQ127" s="208"/>
      <c r="HR127" s="208"/>
      <c r="HS127" s="208"/>
      <c r="HT127" s="208"/>
      <c r="HU127" s="208"/>
      <c r="HV127" s="208"/>
      <c r="HW127" s="208"/>
      <c r="HX127" s="208"/>
      <c r="HY127" s="208"/>
      <c r="HZ127" s="208"/>
      <c r="IA127" s="208"/>
      <c r="IB127" s="208"/>
      <c r="IC127" s="208"/>
      <c r="ID127" s="208"/>
      <c r="IE127" s="208"/>
      <c r="IF127" s="208"/>
      <c r="IG127" s="208"/>
      <c r="IH127" s="208"/>
      <c r="II127" s="208"/>
      <c r="IJ127" s="208"/>
      <c r="IK127" s="208"/>
      <c r="IL127" s="208"/>
      <c r="IM127" s="208"/>
      <c r="IN127" s="208"/>
      <c r="IO127" s="208"/>
      <c r="IP127" s="208"/>
      <c r="IQ127" s="208"/>
      <c r="IR127" s="208"/>
      <c r="IS127" s="208"/>
      <c r="IT127" s="208"/>
      <c r="IU127" s="208"/>
      <c r="IV127" s="208"/>
      <c r="IW127" s="208"/>
    </row>
    <row r="128" customFormat="false" ht="12.75" hidden="false" customHeight="false" outlineLevel="0" collapsed="false">
      <c r="A128" s="38" t="s">
        <v>144</v>
      </c>
      <c r="B128" s="206" t="s">
        <v>367</v>
      </c>
      <c r="C128" s="75" t="s">
        <v>399</v>
      </c>
      <c r="D128" s="76" t="n">
        <v>36647</v>
      </c>
      <c r="E128" s="76" t="n">
        <v>36677</v>
      </c>
      <c r="F128" s="38" t="s">
        <v>400</v>
      </c>
      <c r="G128" s="38" t="s">
        <v>401</v>
      </c>
      <c r="H128" s="206" t="s">
        <v>154</v>
      </c>
      <c r="I128" s="77" t="n">
        <f aca="false">0.465/I$1</f>
        <v>0.015</v>
      </c>
      <c r="J128" s="78"/>
      <c r="K128" s="78"/>
      <c r="L128" s="78"/>
      <c r="M128" s="78"/>
      <c r="N128" s="78"/>
      <c r="O128" s="162"/>
      <c r="P128" s="78"/>
      <c r="Q128" s="207" t="s">
        <v>416</v>
      </c>
      <c r="R128" s="206" t="n">
        <v>3000</v>
      </c>
      <c r="S128" s="38" t="s">
        <v>417</v>
      </c>
      <c r="T128" s="164" t="n">
        <f aca="false">I128*$I$1*R128</f>
        <v>1395</v>
      </c>
      <c r="U128" s="81"/>
      <c r="V128" s="83" t="n">
        <v>261019</v>
      </c>
      <c r="W128" s="83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08"/>
      <c r="AT128" s="208"/>
      <c r="AU128" s="208"/>
      <c r="AV128" s="208"/>
      <c r="AW128" s="208"/>
      <c r="AX128" s="208"/>
      <c r="AY128" s="208"/>
      <c r="AZ128" s="208"/>
      <c r="BA128" s="208"/>
      <c r="BB128" s="208"/>
      <c r="BC128" s="208"/>
      <c r="BD128" s="208"/>
      <c r="BE128" s="208"/>
      <c r="BF128" s="208"/>
      <c r="BG128" s="208"/>
      <c r="BH128" s="208"/>
      <c r="BI128" s="208"/>
      <c r="BJ128" s="208"/>
      <c r="BK128" s="208"/>
      <c r="BL128" s="208"/>
      <c r="BM128" s="208"/>
      <c r="BN128" s="208"/>
      <c r="BO128" s="208"/>
      <c r="BP128" s="208"/>
      <c r="BQ128" s="208"/>
      <c r="BR128" s="208"/>
      <c r="BS128" s="208"/>
      <c r="BT128" s="208"/>
      <c r="BU128" s="208"/>
      <c r="BV128" s="208"/>
      <c r="BW128" s="208"/>
      <c r="BX128" s="208"/>
      <c r="BY128" s="208"/>
      <c r="BZ128" s="208"/>
      <c r="CA128" s="208"/>
      <c r="CB128" s="208"/>
      <c r="CC128" s="208"/>
      <c r="CD128" s="208"/>
      <c r="CE128" s="208"/>
      <c r="CF128" s="208"/>
      <c r="CG128" s="208"/>
      <c r="CH128" s="208"/>
      <c r="CI128" s="208"/>
      <c r="CJ128" s="208"/>
      <c r="CK128" s="208"/>
      <c r="CL128" s="208"/>
      <c r="CM128" s="208"/>
      <c r="CN128" s="208"/>
      <c r="CO128" s="208"/>
      <c r="CP128" s="208"/>
      <c r="CQ128" s="208"/>
      <c r="CR128" s="208"/>
      <c r="CS128" s="208"/>
      <c r="CT128" s="208"/>
      <c r="CU128" s="208"/>
      <c r="CV128" s="208"/>
      <c r="CW128" s="208"/>
      <c r="CX128" s="208"/>
      <c r="CY128" s="208"/>
      <c r="CZ128" s="208"/>
      <c r="DA128" s="208"/>
      <c r="DB128" s="208"/>
      <c r="DC128" s="208"/>
      <c r="DD128" s="208"/>
      <c r="DE128" s="208"/>
      <c r="DF128" s="208"/>
      <c r="DG128" s="208"/>
      <c r="DH128" s="208"/>
      <c r="DI128" s="208"/>
      <c r="DJ128" s="208"/>
      <c r="DK128" s="208"/>
      <c r="DL128" s="208"/>
      <c r="DM128" s="208"/>
      <c r="DN128" s="208"/>
      <c r="DO128" s="208"/>
      <c r="DP128" s="208"/>
      <c r="DQ128" s="208"/>
      <c r="DR128" s="208"/>
      <c r="DS128" s="208"/>
      <c r="DT128" s="208"/>
      <c r="DU128" s="208"/>
      <c r="DV128" s="208"/>
      <c r="DW128" s="208"/>
      <c r="DX128" s="208"/>
      <c r="DY128" s="208"/>
      <c r="DZ128" s="208"/>
      <c r="EA128" s="208"/>
      <c r="EB128" s="208"/>
      <c r="EC128" s="208"/>
      <c r="ED128" s="208"/>
      <c r="EE128" s="208"/>
      <c r="EF128" s="208"/>
      <c r="EG128" s="208"/>
      <c r="EH128" s="208"/>
      <c r="EI128" s="208"/>
      <c r="EJ128" s="208"/>
      <c r="EK128" s="208"/>
      <c r="EL128" s="208"/>
      <c r="EM128" s="208"/>
      <c r="EN128" s="208"/>
      <c r="EO128" s="208"/>
      <c r="EP128" s="208"/>
      <c r="EQ128" s="208"/>
      <c r="ER128" s="208"/>
      <c r="ES128" s="208"/>
      <c r="ET128" s="208"/>
      <c r="EU128" s="208"/>
      <c r="EV128" s="208"/>
      <c r="EW128" s="208"/>
      <c r="EX128" s="208"/>
      <c r="EY128" s="208"/>
      <c r="EZ128" s="208"/>
      <c r="FA128" s="208"/>
      <c r="FB128" s="208"/>
      <c r="FC128" s="208"/>
      <c r="FD128" s="208"/>
      <c r="FE128" s="208"/>
      <c r="FF128" s="208"/>
      <c r="FG128" s="208"/>
      <c r="FH128" s="208"/>
      <c r="FI128" s="208"/>
      <c r="FJ128" s="208"/>
      <c r="FK128" s="208"/>
      <c r="FL128" s="208"/>
      <c r="FM128" s="208"/>
      <c r="FN128" s="208"/>
      <c r="FO128" s="208"/>
      <c r="FP128" s="208"/>
      <c r="FQ128" s="208"/>
      <c r="FR128" s="208"/>
      <c r="FS128" s="208"/>
      <c r="FT128" s="208"/>
      <c r="FU128" s="208"/>
      <c r="FV128" s="208"/>
      <c r="FW128" s="208"/>
      <c r="FX128" s="208"/>
      <c r="FY128" s="208"/>
      <c r="FZ128" s="208"/>
      <c r="GA128" s="208"/>
      <c r="GB128" s="208"/>
      <c r="GC128" s="208"/>
      <c r="GD128" s="208"/>
      <c r="GE128" s="208"/>
      <c r="GF128" s="208"/>
      <c r="GG128" s="208"/>
      <c r="GH128" s="208"/>
      <c r="GI128" s="208"/>
      <c r="GJ128" s="208"/>
      <c r="GK128" s="208"/>
      <c r="GL128" s="208"/>
      <c r="GM128" s="208"/>
      <c r="GN128" s="208"/>
      <c r="GO128" s="208"/>
      <c r="GP128" s="208"/>
      <c r="GQ128" s="208"/>
      <c r="GR128" s="208"/>
      <c r="GS128" s="208"/>
      <c r="GT128" s="208"/>
      <c r="GU128" s="208"/>
      <c r="GV128" s="208"/>
      <c r="GW128" s="208"/>
      <c r="GX128" s="208"/>
      <c r="GY128" s="208"/>
      <c r="GZ128" s="208"/>
      <c r="HA128" s="208"/>
      <c r="HB128" s="208"/>
      <c r="HC128" s="208"/>
      <c r="HD128" s="208"/>
      <c r="HE128" s="208"/>
      <c r="HF128" s="208"/>
      <c r="HG128" s="208"/>
      <c r="HH128" s="208"/>
      <c r="HI128" s="208"/>
      <c r="HJ128" s="208"/>
      <c r="HK128" s="208"/>
      <c r="HL128" s="208"/>
      <c r="HM128" s="208"/>
      <c r="HN128" s="208"/>
      <c r="HO128" s="208"/>
      <c r="HP128" s="208"/>
      <c r="HQ128" s="208"/>
      <c r="HR128" s="208"/>
      <c r="HS128" s="208"/>
      <c r="HT128" s="208"/>
      <c r="HU128" s="208"/>
      <c r="HV128" s="208"/>
      <c r="HW128" s="208"/>
      <c r="HX128" s="208"/>
      <c r="HY128" s="208"/>
      <c r="HZ128" s="208"/>
      <c r="IA128" s="208"/>
      <c r="IB128" s="208"/>
      <c r="IC128" s="208"/>
      <c r="ID128" s="208"/>
      <c r="IE128" s="208"/>
      <c r="IF128" s="208"/>
      <c r="IG128" s="208"/>
      <c r="IH128" s="208"/>
      <c r="II128" s="208"/>
      <c r="IJ128" s="208"/>
      <c r="IK128" s="208"/>
      <c r="IL128" s="208"/>
      <c r="IM128" s="208"/>
      <c r="IN128" s="208"/>
      <c r="IO128" s="208"/>
      <c r="IP128" s="208"/>
      <c r="IQ128" s="208"/>
      <c r="IR128" s="208"/>
      <c r="IS128" s="208"/>
      <c r="IT128" s="208"/>
      <c r="IU128" s="208"/>
      <c r="IV128" s="208"/>
      <c r="IW128" s="208"/>
    </row>
    <row r="129" customFormat="false" ht="12.75" hidden="false" customHeight="false" outlineLevel="0" collapsed="false">
      <c r="A129" s="38" t="s">
        <v>144</v>
      </c>
      <c r="B129" s="206" t="s">
        <v>367</v>
      </c>
      <c r="C129" s="75" t="s">
        <v>399</v>
      </c>
      <c r="D129" s="76" t="n">
        <v>36647</v>
      </c>
      <c r="E129" s="76" t="n">
        <v>36677</v>
      </c>
      <c r="F129" s="38" t="s">
        <v>400</v>
      </c>
      <c r="G129" s="38" t="s">
        <v>401</v>
      </c>
      <c r="H129" s="206" t="s">
        <v>154</v>
      </c>
      <c r="I129" s="77" t="n">
        <f aca="false">0.465/I$1</f>
        <v>0.015</v>
      </c>
      <c r="J129" s="78"/>
      <c r="K129" s="78"/>
      <c r="L129" s="78"/>
      <c r="M129" s="78"/>
      <c r="N129" s="78"/>
      <c r="O129" s="162"/>
      <c r="P129" s="78"/>
      <c r="Q129" s="207" t="s">
        <v>418</v>
      </c>
      <c r="R129" s="206" t="n">
        <v>600</v>
      </c>
      <c r="S129" s="38" t="s">
        <v>419</v>
      </c>
      <c r="T129" s="164" t="n">
        <f aca="false">I129*$I$1*R129</f>
        <v>279</v>
      </c>
      <c r="U129" s="81"/>
      <c r="V129" s="83" t="n">
        <v>261021</v>
      </c>
      <c r="W129" s="83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  <c r="AL129" s="208"/>
      <c r="AM129" s="208"/>
      <c r="AN129" s="208"/>
      <c r="AO129" s="208"/>
      <c r="AP129" s="208"/>
      <c r="AQ129" s="208"/>
      <c r="AR129" s="208"/>
      <c r="AS129" s="208"/>
      <c r="AT129" s="208"/>
      <c r="AU129" s="208"/>
      <c r="AV129" s="208"/>
      <c r="AW129" s="208"/>
      <c r="AX129" s="208"/>
      <c r="AY129" s="208"/>
      <c r="AZ129" s="208"/>
      <c r="BA129" s="208"/>
      <c r="BB129" s="208"/>
      <c r="BC129" s="208"/>
      <c r="BD129" s="208"/>
      <c r="BE129" s="208"/>
      <c r="BF129" s="208"/>
      <c r="BG129" s="208"/>
      <c r="BH129" s="208"/>
      <c r="BI129" s="208"/>
      <c r="BJ129" s="208"/>
      <c r="BK129" s="208"/>
      <c r="BL129" s="208"/>
      <c r="BM129" s="208"/>
      <c r="BN129" s="208"/>
      <c r="BO129" s="208"/>
      <c r="BP129" s="208"/>
      <c r="BQ129" s="208"/>
      <c r="BR129" s="208"/>
      <c r="BS129" s="208"/>
      <c r="BT129" s="208"/>
      <c r="BU129" s="208"/>
      <c r="BV129" s="208"/>
      <c r="BW129" s="208"/>
      <c r="BX129" s="208"/>
      <c r="BY129" s="208"/>
      <c r="BZ129" s="208"/>
      <c r="CA129" s="208"/>
      <c r="CB129" s="208"/>
      <c r="CC129" s="208"/>
      <c r="CD129" s="208"/>
      <c r="CE129" s="208"/>
      <c r="CF129" s="208"/>
      <c r="CG129" s="208"/>
      <c r="CH129" s="208"/>
      <c r="CI129" s="208"/>
      <c r="CJ129" s="208"/>
      <c r="CK129" s="208"/>
      <c r="CL129" s="208"/>
      <c r="CM129" s="208"/>
      <c r="CN129" s="208"/>
      <c r="CO129" s="208"/>
      <c r="CP129" s="208"/>
      <c r="CQ129" s="208"/>
      <c r="CR129" s="208"/>
      <c r="CS129" s="208"/>
      <c r="CT129" s="208"/>
      <c r="CU129" s="208"/>
      <c r="CV129" s="208"/>
      <c r="CW129" s="208"/>
      <c r="CX129" s="208"/>
      <c r="CY129" s="208"/>
      <c r="CZ129" s="208"/>
      <c r="DA129" s="208"/>
      <c r="DB129" s="208"/>
      <c r="DC129" s="208"/>
      <c r="DD129" s="208"/>
      <c r="DE129" s="208"/>
      <c r="DF129" s="208"/>
      <c r="DG129" s="208"/>
      <c r="DH129" s="208"/>
      <c r="DI129" s="208"/>
      <c r="DJ129" s="208"/>
      <c r="DK129" s="208"/>
      <c r="DL129" s="208"/>
      <c r="DM129" s="208"/>
      <c r="DN129" s="208"/>
      <c r="DO129" s="208"/>
      <c r="DP129" s="208"/>
      <c r="DQ129" s="208"/>
      <c r="DR129" s="208"/>
      <c r="DS129" s="208"/>
      <c r="DT129" s="208"/>
      <c r="DU129" s="208"/>
      <c r="DV129" s="208"/>
      <c r="DW129" s="208"/>
      <c r="DX129" s="208"/>
      <c r="DY129" s="208"/>
      <c r="DZ129" s="208"/>
      <c r="EA129" s="208"/>
      <c r="EB129" s="208"/>
      <c r="EC129" s="208"/>
      <c r="ED129" s="208"/>
      <c r="EE129" s="208"/>
      <c r="EF129" s="208"/>
      <c r="EG129" s="208"/>
      <c r="EH129" s="208"/>
      <c r="EI129" s="208"/>
      <c r="EJ129" s="208"/>
      <c r="EK129" s="208"/>
      <c r="EL129" s="208"/>
      <c r="EM129" s="208"/>
      <c r="EN129" s="208"/>
      <c r="EO129" s="208"/>
      <c r="EP129" s="208"/>
      <c r="EQ129" s="208"/>
      <c r="ER129" s="208"/>
      <c r="ES129" s="208"/>
      <c r="ET129" s="208"/>
      <c r="EU129" s="208"/>
      <c r="EV129" s="208"/>
      <c r="EW129" s="208"/>
      <c r="EX129" s="208"/>
      <c r="EY129" s="208"/>
      <c r="EZ129" s="208"/>
      <c r="FA129" s="208"/>
      <c r="FB129" s="208"/>
      <c r="FC129" s="208"/>
      <c r="FD129" s="208"/>
      <c r="FE129" s="208"/>
      <c r="FF129" s="208"/>
      <c r="FG129" s="208"/>
      <c r="FH129" s="208"/>
      <c r="FI129" s="208"/>
      <c r="FJ129" s="208"/>
      <c r="FK129" s="208"/>
      <c r="FL129" s="208"/>
      <c r="FM129" s="208"/>
      <c r="FN129" s="208"/>
      <c r="FO129" s="208"/>
      <c r="FP129" s="208"/>
      <c r="FQ129" s="208"/>
      <c r="FR129" s="208"/>
      <c r="FS129" s="208"/>
      <c r="FT129" s="208"/>
      <c r="FU129" s="208"/>
      <c r="FV129" s="208"/>
      <c r="FW129" s="208"/>
      <c r="FX129" s="208"/>
      <c r="FY129" s="208"/>
      <c r="FZ129" s="208"/>
      <c r="GA129" s="208"/>
      <c r="GB129" s="208"/>
      <c r="GC129" s="208"/>
      <c r="GD129" s="208"/>
      <c r="GE129" s="208"/>
      <c r="GF129" s="208"/>
      <c r="GG129" s="208"/>
      <c r="GH129" s="208"/>
      <c r="GI129" s="208"/>
      <c r="GJ129" s="208"/>
      <c r="GK129" s="208"/>
      <c r="GL129" s="208"/>
      <c r="GM129" s="208"/>
      <c r="GN129" s="208"/>
      <c r="GO129" s="208"/>
      <c r="GP129" s="208"/>
      <c r="GQ129" s="208"/>
      <c r="GR129" s="208"/>
      <c r="GS129" s="208"/>
      <c r="GT129" s="208"/>
      <c r="GU129" s="208"/>
      <c r="GV129" s="208"/>
      <c r="GW129" s="208"/>
      <c r="GX129" s="208"/>
      <c r="GY129" s="208"/>
      <c r="GZ129" s="208"/>
      <c r="HA129" s="208"/>
      <c r="HB129" s="208"/>
      <c r="HC129" s="208"/>
      <c r="HD129" s="208"/>
      <c r="HE129" s="208"/>
      <c r="HF129" s="208"/>
      <c r="HG129" s="208"/>
      <c r="HH129" s="208"/>
      <c r="HI129" s="208"/>
      <c r="HJ129" s="208"/>
      <c r="HK129" s="208"/>
      <c r="HL129" s="208"/>
      <c r="HM129" s="208"/>
      <c r="HN129" s="208"/>
      <c r="HO129" s="208"/>
      <c r="HP129" s="208"/>
      <c r="HQ129" s="208"/>
      <c r="HR129" s="208"/>
      <c r="HS129" s="208"/>
      <c r="HT129" s="208"/>
      <c r="HU129" s="208"/>
      <c r="HV129" s="208"/>
      <c r="HW129" s="208"/>
      <c r="HX129" s="208"/>
      <c r="HY129" s="208"/>
      <c r="HZ129" s="208"/>
      <c r="IA129" s="208"/>
      <c r="IB129" s="208"/>
      <c r="IC129" s="208"/>
      <c r="ID129" s="208"/>
      <c r="IE129" s="208"/>
      <c r="IF129" s="208"/>
      <c r="IG129" s="208"/>
      <c r="IH129" s="208"/>
      <c r="II129" s="208"/>
      <c r="IJ129" s="208"/>
      <c r="IK129" s="208"/>
      <c r="IL129" s="208"/>
      <c r="IM129" s="208"/>
      <c r="IN129" s="208"/>
      <c r="IO129" s="208"/>
      <c r="IP129" s="208"/>
      <c r="IQ129" s="208"/>
      <c r="IR129" s="208"/>
      <c r="IS129" s="208"/>
      <c r="IT129" s="208"/>
      <c r="IU129" s="208"/>
      <c r="IV129" s="208"/>
      <c r="IW129" s="208"/>
    </row>
    <row r="130" customFormat="false" ht="12.75" hidden="false" customHeight="false" outlineLevel="0" collapsed="false">
      <c r="A130" s="38" t="s">
        <v>144</v>
      </c>
      <c r="B130" s="206" t="s">
        <v>367</v>
      </c>
      <c r="C130" s="75" t="s">
        <v>399</v>
      </c>
      <c r="D130" s="76" t="n">
        <v>36647</v>
      </c>
      <c r="E130" s="76" t="n">
        <v>36677</v>
      </c>
      <c r="F130" s="38" t="s">
        <v>400</v>
      </c>
      <c r="G130" s="38" t="s">
        <v>401</v>
      </c>
      <c r="H130" s="206" t="s">
        <v>154</v>
      </c>
      <c r="I130" s="77" t="n">
        <f aca="false">0.465/I$1</f>
        <v>0.015</v>
      </c>
      <c r="J130" s="78"/>
      <c r="K130" s="78"/>
      <c r="L130" s="78"/>
      <c r="M130" s="78"/>
      <c r="N130" s="78"/>
      <c r="O130" s="162"/>
      <c r="P130" s="78"/>
      <c r="Q130" s="207" t="s">
        <v>420</v>
      </c>
      <c r="R130" s="206" t="n">
        <v>500</v>
      </c>
      <c r="S130" s="38" t="s">
        <v>421</v>
      </c>
      <c r="T130" s="164" t="n">
        <f aca="false">I130*$I$1*R130</f>
        <v>232.5</v>
      </c>
      <c r="U130" s="81"/>
      <c r="V130" s="83" t="n">
        <v>261022</v>
      </c>
      <c r="W130" s="83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  <c r="AL130" s="208"/>
      <c r="AM130" s="208"/>
      <c r="AN130" s="208"/>
      <c r="AO130" s="208"/>
      <c r="AP130" s="208"/>
      <c r="AQ130" s="208"/>
      <c r="AR130" s="208"/>
      <c r="AS130" s="208"/>
      <c r="AT130" s="208"/>
      <c r="AU130" s="208"/>
      <c r="AV130" s="208"/>
      <c r="AW130" s="208"/>
      <c r="AX130" s="208"/>
      <c r="AY130" s="208"/>
      <c r="AZ130" s="208"/>
      <c r="BA130" s="208"/>
      <c r="BB130" s="208"/>
      <c r="BC130" s="208"/>
      <c r="BD130" s="208"/>
      <c r="BE130" s="208"/>
      <c r="BF130" s="208"/>
      <c r="BG130" s="208"/>
      <c r="BH130" s="208"/>
      <c r="BI130" s="208"/>
      <c r="BJ130" s="208"/>
      <c r="BK130" s="208"/>
      <c r="BL130" s="208"/>
      <c r="BM130" s="208"/>
      <c r="BN130" s="208"/>
      <c r="BO130" s="208"/>
      <c r="BP130" s="208"/>
      <c r="BQ130" s="208"/>
      <c r="BR130" s="208"/>
      <c r="BS130" s="208"/>
      <c r="BT130" s="208"/>
      <c r="BU130" s="208"/>
      <c r="BV130" s="208"/>
      <c r="BW130" s="208"/>
      <c r="BX130" s="208"/>
      <c r="BY130" s="208"/>
      <c r="BZ130" s="208"/>
      <c r="CA130" s="208"/>
      <c r="CB130" s="208"/>
      <c r="CC130" s="208"/>
      <c r="CD130" s="208"/>
      <c r="CE130" s="208"/>
      <c r="CF130" s="208"/>
      <c r="CG130" s="208"/>
      <c r="CH130" s="208"/>
      <c r="CI130" s="208"/>
      <c r="CJ130" s="208"/>
      <c r="CK130" s="208"/>
      <c r="CL130" s="208"/>
      <c r="CM130" s="208"/>
      <c r="CN130" s="208"/>
      <c r="CO130" s="208"/>
      <c r="CP130" s="208"/>
      <c r="CQ130" s="208"/>
      <c r="CR130" s="208"/>
      <c r="CS130" s="208"/>
      <c r="CT130" s="208"/>
      <c r="CU130" s="208"/>
      <c r="CV130" s="208"/>
      <c r="CW130" s="208"/>
      <c r="CX130" s="208"/>
      <c r="CY130" s="208"/>
      <c r="CZ130" s="208"/>
      <c r="DA130" s="208"/>
      <c r="DB130" s="208"/>
      <c r="DC130" s="208"/>
      <c r="DD130" s="208"/>
      <c r="DE130" s="208"/>
      <c r="DF130" s="208"/>
      <c r="DG130" s="208"/>
      <c r="DH130" s="208"/>
      <c r="DI130" s="208"/>
      <c r="DJ130" s="208"/>
      <c r="DK130" s="208"/>
      <c r="DL130" s="208"/>
      <c r="DM130" s="208"/>
      <c r="DN130" s="208"/>
      <c r="DO130" s="208"/>
      <c r="DP130" s="208"/>
      <c r="DQ130" s="208"/>
      <c r="DR130" s="208"/>
      <c r="DS130" s="208"/>
      <c r="DT130" s="208"/>
      <c r="DU130" s="208"/>
      <c r="DV130" s="208"/>
      <c r="DW130" s="208"/>
      <c r="DX130" s="208"/>
      <c r="DY130" s="208"/>
      <c r="DZ130" s="208"/>
      <c r="EA130" s="208"/>
      <c r="EB130" s="208"/>
      <c r="EC130" s="208"/>
      <c r="ED130" s="208"/>
      <c r="EE130" s="208"/>
      <c r="EF130" s="208"/>
      <c r="EG130" s="208"/>
      <c r="EH130" s="208"/>
      <c r="EI130" s="208"/>
      <c r="EJ130" s="208"/>
      <c r="EK130" s="208"/>
      <c r="EL130" s="208"/>
      <c r="EM130" s="208"/>
      <c r="EN130" s="208"/>
      <c r="EO130" s="208"/>
      <c r="EP130" s="208"/>
      <c r="EQ130" s="208"/>
      <c r="ER130" s="208"/>
      <c r="ES130" s="208"/>
      <c r="ET130" s="208"/>
      <c r="EU130" s="208"/>
      <c r="EV130" s="208"/>
      <c r="EW130" s="208"/>
      <c r="EX130" s="208"/>
      <c r="EY130" s="208"/>
      <c r="EZ130" s="208"/>
      <c r="FA130" s="208"/>
      <c r="FB130" s="208"/>
      <c r="FC130" s="208"/>
      <c r="FD130" s="208"/>
      <c r="FE130" s="208"/>
      <c r="FF130" s="208"/>
      <c r="FG130" s="208"/>
      <c r="FH130" s="208"/>
      <c r="FI130" s="208"/>
      <c r="FJ130" s="208"/>
      <c r="FK130" s="208"/>
      <c r="FL130" s="208"/>
      <c r="FM130" s="208"/>
      <c r="FN130" s="208"/>
      <c r="FO130" s="208"/>
      <c r="FP130" s="208"/>
      <c r="FQ130" s="208"/>
      <c r="FR130" s="208"/>
      <c r="FS130" s="208"/>
      <c r="FT130" s="208"/>
      <c r="FU130" s="208"/>
      <c r="FV130" s="208"/>
      <c r="FW130" s="208"/>
      <c r="FX130" s="208"/>
      <c r="FY130" s="208"/>
      <c r="FZ130" s="208"/>
      <c r="GA130" s="208"/>
      <c r="GB130" s="208"/>
      <c r="GC130" s="208"/>
      <c r="GD130" s="208"/>
      <c r="GE130" s="208"/>
      <c r="GF130" s="208"/>
      <c r="GG130" s="208"/>
      <c r="GH130" s="208"/>
      <c r="GI130" s="208"/>
      <c r="GJ130" s="208"/>
      <c r="GK130" s="208"/>
      <c r="GL130" s="208"/>
      <c r="GM130" s="208"/>
      <c r="GN130" s="208"/>
      <c r="GO130" s="208"/>
      <c r="GP130" s="208"/>
      <c r="GQ130" s="208"/>
      <c r="GR130" s="208"/>
      <c r="GS130" s="208"/>
      <c r="GT130" s="208"/>
      <c r="GU130" s="208"/>
      <c r="GV130" s="208"/>
      <c r="GW130" s="208"/>
      <c r="GX130" s="208"/>
      <c r="GY130" s="208"/>
      <c r="GZ130" s="208"/>
      <c r="HA130" s="208"/>
      <c r="HB130" s="208"/>
      <c r="HC130" s="208"/>
      <c r="HD130" s="208"/>
      <c r="HE130" s="208"/>
      <c r="HF130" s="208"/>
      <c r="HG130" s="208"/>
      <c r="HH130" s="208"/>
      <c r="HI130" s="208"/>
      <c r="HJ130" s="208"/>
      <c r="HK130" s="208"/>
      <c r="HL130" s="208"/>
      <c r="HM130" s="208"/>
      <c r="HN130" s="208"/>
      <c r="HO130" s="208"/>
      <c r="HP130" s="208"/>
      <c r="HQ130" s="208"/>
      <c r="HR130" s="208"/>
      <c r="HS130" s="208"/>
      <c r="HT130" s="208"/>
      <c r="HU130" s="208"/>
      <c r="HV130" s="208"/>
      <c r="HW130" s="208"/>
      <c r="HX130" s="208"/>
      <c r="HY130" s="208"/>
      <c r="HZ130" s="208"/>
      <c r="IA130" s="208"/>
      <c r="IB130" s="208"/>
      <c r="IC130" s="208"/>
      <c r="ID130" s="208"/>
      <c r="IE130" s="208"/>
      <c r="IF130" s="208"/>
      <c r="IG130" s="208"/>
      <c r="IH130" s="208"/>
      <c r="II130" s="208"/>
      <c r="IJ130" s="208"/>
      <c r="IK130" s="208"/>
      <c r="IL130" s="208"/>
      <c r="IM130" s="208"/>
      <c r="IN130" s="208"/>
      <c r="IO130" s="208"/>
      <c r="IP130" s="208"/>
      <c r="IQ130" s="208"/>
      <c r="IR130" s="208"/>
      <c r="IS130" s="208"/>
      <c r="IT130" s="208"/>
      <c r="IU130" s="208"/>
      <c r="IV130" s="208"/>
      <c r="IW130" s="208"/>
    </row>
    <row r="131" customFormat="false" ht="12.75" hidden="false" customHeight="false" outlineLevel="0" collapsed="false">
      <c r="A131" s="38" t="s">
        <v>144</v>
      </c>
      <c r="B131" s="206" t="s">
        <v>367</v>
      </c>
      <c r="C131" s="75" t="s">
        <v>399</v>
      </c>
      <c r="D131" s="76" t="n">
        <v>36647</v>
      </c>
      <c r="E131" s="76" t="n">
        <v>36677</v>
      </c>
      <c r="F131" s="38" t="s">
        <v>400</v>
      </c>
      <c r="G131" s="38" t="s">
        <v>401</v>
      </c>
      <c r="H131" s="206" t="s">
        <v>154</v>
      </c>
      <c r="I131" s="77" t="n">
        <f aca="false">0.465/I$1</f>
        <v>0.015</v>
      </c>
      <c r="J131" s="78"/>
      <c r="K131" s="78"/>
      <c r="L131" s="78"/>
      <c r="M131" s="78"/>
      <c r="N131" s="78"/>
      <c r="O131" s="162"/>
      <c r="P131" s="78"/>
      <c r="Q131" s="207" t="s">
        <v>422</v>
      </c>
      <c r="R131" s="206" t="n">
        <v>700</v>
      </c>
      <c r="S131" s="38" t="s">
        <v>423</v>
      </c>
      <c r="T131" s="164" t="n">
        <f aca="false">I131*$I$1*R131</f>
        <v>325.5</v>
      </c>
      <c r="U131" s="81"/>
      <c r="V131" s="83" t="n">
        <v>261024</v>
      </c>
      <c r="W131" s="83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208"/>
      <c r="AV131" s="208"/>
      <c r="AW131" s="208"/>
      <c r="AX131" s="208"/>
      <c r="AY131" s="208"/>
      <c r="AZ131" s="208"/>
      <c r="BA131" s="208"/>
      <c r="BB131" s="208"/>
      <c r="BC131" s="208"/>
      <c r="BD131" s="208"/>
      <c r="BE131" s="208"/>
      <c r="BF131" s="208"/>
      <c r="BG131" s="208"/>
      <c r="BH131" s="208"/>
      <c r="BI131" s="208"/>
      <c r="BJ131" s="208"/>
      <c r="BK131" s="208"/>
      <c r="BL131" s="208"/>
      <c r="BM131" s="208"/>
      <c r="BN131" s="208"/>
      <c r="BO131" s="208"/>
      <c r="BP131" s="208"/>
      <c r="BQ131" s="208"/>
      <c r="BR131" s="208"/>
      <c r="BS131" s="208"/>
      <c r="BT131" s="208"/>
      <c r="BU131" s="208"/>
      <c r="BV131" s="208"/>
      <c r="BW131" s="208"/>
      <c r="BX131" s="208"/>
      <c r="BY131" s="208"/>
      <c r="BZ131" s="208"/>
      <c r="CA131" s="208"/>
      <c r="CB131" s="208"/>
      <c r="CC131" s="208"/>
      <c r="CD131" s="208"/>
      <c r="CE131" s="208"/>
      <c r="CF131" s="208"/>
      <c r="CG131" s="208"/>
      <c r="CH131" s="208"/>
      <c r="CI131" s="208"/>
      <c r="CJ131" s="208"/>
      <c r="CK131" s="208"/>
      <c r="CL131" s="208"/>
      <c r="CM131" s="208"/>
      <c r="CN131" s="208"/>
      <c r="CO131" s="208"/>
      <c r="CP131" s="208"/>
      <c r="CQ131" s="208"/>
      <c r="CR131" s="208"/>
      <c r="CS131" s="208"/>
      <c r="CT131" s="208"/>
      <c r="CU131" s="208"/>
      <c r="CV131" s="208"/>
      <c r="CW131" s="208"/>
      <c r="CX131" s="208"/>
      <c r="CY131" s="208"/>
      <c r="CZ131" s="208"/>
      <c r="DA131" s="208"/>
      <c r="DB131" s="208"/>
      <c r="DC131" s="208"/>
      <c r="DD131" s="208"/>
      <c r="DE131" s="208"/>
      <c r="DF131" s="208"/>
      <c r="DG131" s="208"/>
      <c r="DH131" s="208"/>
      <c r="DI131" s="208"/>
      <c r="DJ131" s="208"/>
      <c r="DK131" s="208"/>
      <c r="DL131" s="208"/>
      <c r="DM131" s="208"/>
      <c r="DN131" s="208"/>
      <c r="DO131" s="208"/>
      <c r="DP131" s="208"/>
      <c r="DQ131" s="208"/>
      <c r="DR131" s="208"/>
      <c r="DS131" s="208"/>
      <c r="DT131" s="208"/>
      <c r="DU131" s="208"/>
      <c r="DV131" s="208"/>
      <c r="DW131" s="208"/>
      <c r="DX131" s="208"/>
      <c r="DY131" s="208"/>
      <c r="DZ131" s="208"/>
      <c r="EA131" s="208"/>
      <c r="EB131" s="208"/>
      <c r="EC131" s="208"/>
      <c r="ED131" s="208"/>
      <c r="EE131" s="208"/>
      <c r="EF131" s="208"/>
      <c r="EG131" s="208"/>
      <c r="EH131" s="208"/>
      <c r="EI131" s="208"/>
      <c r="EJ131" s="208"/>
      <c r="EK131" s="208"/>
      <c r="EL131" s="208"/>
      <c r="EM131" s="208"/>
      <c r="EN131" s="208"/>
      <c r="EO131" s="208"/>
      <c r="EP131" s="208"/>
      <c r="EQ131" s="208"/>
      <c r="ER131" s="208"/>
      <c r="ES131" s="208"/>
      <c r="ET131" s="208"/>
      <c r="EU131" s="208"/>
      <c r="EV131" s="208"/>
      <c r="EW131" s="208"/>
      <c r="EX131" s="208"/>
      <c r="EY131" s="208"/>
      <c r="EZ131" s="208"/>
      <c r="FA131" s="208"/>
      <c r="FB131" s="208"/>
      <c r="FC131" s="208"/>
      <c r="FD131" s="208"/>
      <c r="FE131" s="208"/>
      <c r="FF131" s="208"/>
      <c r="FG131" s="208"/>
      <c r="FH131" s="208"/>
      <c r="FI131" s="208"/>
      <c r="FJ131" s="208"/>
      <c r="FK131" s="208"/>
      <c r="FL131" s="208"/>
      <c r="FM131" s="208"/>
      <c r="FN131" s="208"/>
      <c r="FO131" s="208"/>
      <c r="FP131" s="208"/>
      <c r="FQ131" s="208"/>
      <c r="FR131" s="208"/>
      <c r="FS131" s="208"/>
      <c r="FT131" s="208"/>
      <c r="FU131" s="208"/>
      <c r="FV131" s="208"/>
      <c r="FW131" s="208"/>
      <c r="FX131" s="208"/>
      <c r="FY131" s="208"/>
      <c r="FZ131" s="208"/>
      <c r="GA131" s="208"/>
      <c r="GB131" s="208"/>
      <c r="GC131" s="208"/>
      <c r="GD131" s="208"/>
      <c r="GE131" s="208"/>
      <c r="GF131" s="208"/>
      <c r="GG131" s="208"/>
      <c r="GH131" s="208"/>
      <c r="GI131" s="208"/>
      <c r="GJ131" s="208"/>
      <c r="GK131" s="208"/>
      <c r="GL131" s="208"/>
      <c r="GM131" s="208"/>
      <c r="GN131" s="208"/>
      <c r="GO131" s="208"/>
      <c r="GP131" s="208"/>
      <c r="GQ131" s="208"/>
      <c r="GR131" s="208"/>
      <c r="GS131" s="208"/>
      <c r="GT131" s="208"/>
      <c r="GU131" s="208"/>
      <c r="GV131" s="208"/>
      <c r="GW131" s="208"/>
      <c r="GX131" s="208"/>
      <c r="GY131" s="208"/>
      <c r="GZ131" s="208"/>
      <c r="HA131" s="208"/>
      <c r="HB131" s="208"/>
      <c r="HC131" s="208"/>
      <c r="HD131" s="208"/>
      <c r="HE131" s="208"/>
      <c r="HF131" s="208"/>
      <c r="HG131" s="208"/>
      <c r="HH131" s="208"/>
      <c r="HI131" s="208"/>
      <c r="HJ131" s="208"/>
      <c r="HK131" s="208"/>
      <c r="HL131" s="208"/>
      <c r="HM131" s="208"/>
      <c r="HN131" s="208"/>
      <c r="HO131" s="208"/>
      <c r="HP131" s="208"/>
      <c r="HQ131" s="208"/>
      <c r="HR131" s="208"/>
      <c r="HS131" s="208"/>
      <c r="HT131" s="208"/>
      <c r="HU131" s="208"/>
      <c r="HV131" s="208"/>
      <c r="HW131" s="208"/>
      <c r="HX131" s="208"/>
      <c r="HY131" s="208"/>
      <c r="HZ131" s="208"/>
      <c r="IA131" s="208"/>
      <c r="IB131" s="208"/>
      <c r="IC131" s="208"/>
      <c r="ID131" s="208"/>
      <c r="IE131" s="208"/>
      <c r="IF131" s="208"/>
      <c r="IG131" s="208"/>
      <c r="IH131" s="208"/>
      <c r="II131" s="208"/>
      <c r="IJ131" s="208"/>
      <c r="IK131" s="208"/>
      <c r="IL131" s="208"/>
      <c r="IM131" s="208"/>
      <c r="IN131" s="208"/>
      <c r="IO131" s="208"/>
      <c r="IP131" s="208"/>
      <c r="IQ131" s="208"/>
      <c r="IR131" s="208"/>
      <c r="IS131" s="208"/>
      <c r="IT131" s="208"/>
      <c r="IU131" s="208"/>
      <c r="IV131" s="208"/>
      <c r="IW131" s="208"/>
    </row>
    <row r="132" customFormat="false" ht="12.75" hidden="false" customHeight="false" outlineLevel="0" collapsed="false">
      <c r="A132" s="15" t="s">
        <v>309</v>
      </c>
      <c r="B132" s="34" t="s">
        <v>367</v>
      </c>
      <c r="C132" s="16" t="s">
        <v>149</v>
      </c>
      <c r="D132" s="17" t="n">
        <v>36617</v>
      </c>
      <c r="E132" s="17" t="n">
        <v>36646</v>
      </c>
      <c r="F132" s="15" t="s">
        <v>424</v>
      </c>
      <c r="G132" s="15" t="s">
        <v>425</v>
      </c>
      <c r="H132" s="34" t="s">
        <v>154</v>
      </c>
      <c r="I132" s="19" t="n">
        <v>0</v>
      </c>
      <c r="J132" s="20"/>
      <c r="K132" s="20"/>
      <c r="L132" s="20"/>
      <c r="M132" s="20"/>
      <c r="N132" s="20"/>
      <c r="O132" s="21"/>
      <c r="P132" s="20"/>
      <c r="Q132" s="209" t="s">
        <v>426</v>
      </c>
      <c r="R132" s="34" t="n">
        <v>5000</v>
      </c>
      <c r="S132" s="15" t="s">
        <v>427</v>
      </c>
      <c r="T132" s="125"/>
      <c r="U132" s="23"/>
      <c r="V132" s="24" t="s">
        <v>428</v>
      </c>
      <c r="W132" s="24"/>
    </row>
    <row r="133" customFormat="false" ht="12.75" hidden="false" customHeight="false" outlineLevel="0" collapsed="false">
      <c r="A133" s="15" t="s">
        <v>309</v>
      </c>
      <c r="B133" s="34" t="s">
        <v>367</v>
      </c>
      <c r="C133" s="16" t="s">
        <v>149</v>
      </c>
      <c r="D133" s="17" t="n">
        <v>36617</v>
      </c>
      <c r="E133" s="17" t="n">
        <v>36646</v>
      </c>
      <c r="F133" s="15" t="s">
        <v>425</v>
      </c>
      <c r="G133" s="15" t="s">
        <v>429</v>
      </c>
      <c r="H133" s="34" t="s">
        <v>154</v>
      </c>
      <c r="I133" s="19" t="n">
        <v>0</v>
      </c>
      <c r="J133" s="20"/>
      <c r="K133" s="20"/>
      <c r="L133" s="20"/>
      <c r="M133" s="20"/>
      <c r="N133" s="20"/>
      <c r="O133" s="21"/>
      <c r="P133" s="20"/>
      <c r="Q133" s="209" t="s">
        <v>430</v>
      </c>
      <c r="R133" s="34" t="n">
        <v>5000</v>
      </c>
      <c r="S133" s="15" t="s">
        <v>431</v>
      </c>
      <c r="T133" s="125"/>
      <c r="U133" s="23"/>
      <c r="V133" s="24" t="s">
        <v>428</v>
      </c>
      <c r="W133" s="24"/>
    </row>
    <row r="134" customFormat="false" ht="12.75" hidden="false" customHeight="false" outlineLevel="0" collapsed="false">
      <c r="A134" s="15" t="s">
        <v>309</v>
      </c>
      <c r="B134" s="34" t="s">
        <v>367</v>
      </c>
      <c r="C134" s="16" t="s">
        <v>149</v>
      </c>
      <c r="D134" s="17" t="n">
        <v>36617</v>
      </c>
      <c r="E134" s="17" t="n">
        <v>36646</v>
      </c>
      <c r="F134" s="15" t="s">
        <v>432</v>
      </c>
      <c r="G134" s="15" t="s">
        <v>433</v>
      </c>
      <c r="H134" s="34" t="s">
        <v>154</v>
      </c>
      <c r="I134" s="19" t="n">
        <v>0</v>
      </c>
      <c r="J134" s="20"/>
      <c r="K134" s="20"/>
      <c r="L134" s="20"/>
      <c r="M134" s="20"/>
      <c r="N134" s="20"/>
      <c r="O134" s="21"/>
      <c r="P134" s="20"/>
      <c r="Q134" s="209" t="s">
        <v>434</v>
      </c>
      <c r="R134" s="34" t="n">
        <v>5000</v>
      </c>
      <c r="S134" s="15" t="s">
        <v>435</v>
      </c>
      <c r="T134" s="125"/>
      <c r="U134" s="23"/>
      <c r="V134" s="24" t="s">
        <v>428</v>
      </c>
      <c r="W134" s="24"/>
    </row>
    <row r="135" customFormat="false" ht="12.75" hidden="false" customHeight="false" outlineLevel="0" collapsed="false">
      <c r="T135" s="215" t="n">
        <f aca="false">SUM(T112:T134)</f>
        <v>383289.467612903</v>
      </c>
    </row>
    <row r="136" customFormat="false" ht="12.75" hidden="false" customHeight="false" outlineLevel="0" collapsed="false">
      <c r="A136" s="15"/>
      <c r="B136" s="16"/>
      <c r="C136" s="16"/>
      <c r="D136" s="17"/>
      <c r="E136" s="17"/>
      <c r="F136" s="15"/>
      <c r="G136" s="15"/>
      <c r="H136" s="16"/>
      <c r="I136" s="19"/>
      <c r="J136" s="20"/>
      <c r="K136" s="68"/>
      <c r="L136" s="20"/>
      <c r="M136" s="20"/>
      <c r="N136" s="20"/>
      <c r="O136" s="21"/>
      <c r="P136" s="20"/>
      <c r="Q136" s="22"/>
      <c r="R136" s="16"/>
      <c r="S136" s="16"/>
      <c r="T136" s="125"/>
      <c r="U136" s="23"/>
      <c r="V136" s="24"/>
      <c r="W136" s="24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12.75" hidden="false" customHeight="false" outlineLevel="0" collapsed="false">
      <c r="A137" s="15"/>
      <c r="B137" s="16"/>
      <c r="C137" s="16"/>
      <c r="D137" s="17"/>
      <c r="E137" s="17"/>
      <c r="F137" s="15"/>
      <c r="G137" s="15"/>
      <c r="H137" s="16"/>
      <c r="I137" s="19"/>
      <c r="J137" s="20"/>
      <c r="K137" s="68"/>
      <c r="L137" s="20"/>
      <c r="M137" s="20"/>
      <c r="N137" s="20"/>
      <c r="O137" s="21"/>
      <c r="P137" s="20"/>
      <c r="Q137" s="22"/>
      <c r="R137" s="16"/>
      <c r="S137" s="16"/>
      <c r="T137" s="125"/>
      <c r="U137" s="23"/>
      <c r="V137" s="24"/>
      <c r="W137" s="24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.75" hidden="false" customHeight="false" outlineLevel="0" collapsed="false">
      <c r="A138" s="15"/>
      <c r="B138" s="16"/>
      <c r="C138" s="16"/>
      <c r="D138" s="17"/>
      <c r="E138" s="17"/>
      <c r="F138" s="15"/>
      <c r="G138" s="15"/>
      <c r="H138" s="16"/>
      <c r="I138" s="19"/>
      <c r="J138" s="20"/>
      <c r="K138" s="68"/>
      <c r="L138" s="20"/>
      <c r="M138" s="20"/>
      <c r="N138" s="20"/>
      <c r="O138" s="21"/>
      <c r="P138" s="20"/>
      <c r="Q138" s="22"/>
      <c r="R138" s="16"/>
      <c r="S138" s="23"/>
      <c r="T138" s="125"/>
      <c r="U138" s="23"/>
      <c r="V138" s="16"/>
      <c r="W138" s="24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.75" hidden="false" customHeight="false" outlineLevel="0" collapsed="false">
      <c r="A139" s="15"/>
      <c r="B139" s="16"/>
      <c r="C139" s="16"/>
      <c r="D139" s="17"/>
      <c r="E139" s="17"/>
      <c r="F139" s="15"/>
      <c r="G139" s="15"/>
      <c r="H139" s="16"/>
      <c r="I139" s="19"/>
      <c r="J139" s="20"/>
      <c r="K139" s="68"/>
      <c r="L139" s="20"/>
      <c r="M139" s="20"/>
      <c r="N139" s="20"/>
      <c r="O139" s="21"/>
      <c r="P139" s="20"/>
      <c r="Q139" s="22"/>
      <c r="R139" s="16"/>
      <c r="S139" s="23"/>
      <c r="T139" s="125"/>
      <c r="U139" s="23"/>
      <c r="V139" s="16"/>
      <c r="W139" s="24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2.75" hidden="false" customHeight="false" outlineLevel="0" collapsed="false">
      <c r="A140" s="15"/>
      <c r="B140" s="16"/>
      <c r="C140" s="16"/>
      <c r="D140" s="17"/>
      <c r="E140" s="17"/>
      <c r="F140" s="15"/>
      <c r="G140" s="15"/>
      <c r="H140" s="16"/>
      <c r="I140" s="19"/>
      <c r="J140" s="20"/>
      <c r="K140" s="68"/>
      <c r="L140" s="20"/>
      <c r="M140" s="20"/>
      <c r="N140" s="20"/>
      <c r="O140" s="21"/>
      <c r="P140" s="20"/>
      <c r="Q140" s="22"/>
      <c r="R140" s="16"/>
      <c r="S140" s="23"/>
      <c r="T140" s="125"/>
      <c r="U140" s="23"/>
      <c r="V140" s="16"/>
      <c r="W140" s="24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3.5" hidden="false" customHeight="false" outlineLevel="0" collapsed="false">
      <c r="A141" s="15"/>
      <c r="B141" s="16"/>
      <c r="C141" s="16"/>
      <c r="D141" s="17"/>
      <c r="E141" s="17"/>
      <c r="F141" s="15"/>
      <c r="G141" s="15"/>
      <c r="H141" s="16"/>
      <c r="I141" s="19"/>
      <c r="J141" s="20"/>
      <c r="K141" s="68"/>
      <c r="L141" s="20"/>
      <c r="M141" s="20"/>
      <c r="N141" s="20"/>
      <c r="O141" s="21"/>
      <c r="P141" s="20"/>
      <c r="Q141" s="22"/>
      <c r="R141" s="1"/>
      <c r="S141" s="23" t="s">
        <v>436</v>
      </c>
      <c r="T141" s="216" t="n">
        <f aca="false">SUM(T5:T140)/2</f>
        <v>2215104.9314551</v>
      </c>
      <c r="U141" s="23"/>
      <c r="V141" s="16"/>
      <c r="W141" s="24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13.5" hidden="false" customHeight="false" outlineLevel="0" collapsed="false">
      <c r="A142" s="15"/>
      <c r="B142" s="16"/>
      <c r="C142" s="16"/>
      <c r="D142" s="17"/>
      <c r="E142" s="17"/>
      <c r="F142" s="15"/>
      <c r="G142" s="15"/>
      <c r="H142" s="16"/>
      <c r="I142" s="19"/>
      <c r="J142" s="20"/>
      <c r="K142" s="68"/>
      <c r="L142" s="20"/>
      <c r="M142" s="20"/>
      <c r="N142" s="20"/>
      <c r="O142" s="21"/>
      <c r="P142" s="20"/>
      <c r="Q142" s="22"/>
      <c r="R142" s="16"/>
      <c r="S142" s="23"/>
      <c r="T142" s="125"/>
      <c r="U142" s="23"/>
      <c r="V142" s="16"/>
      <c r="W142" s="24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2.75" hidden="false" customHeight="false" outlineLevel="0" collapsed="false">
      <c r="A143" s="15"/>
      <c r="B143" s="16"/>
      <c r="C143" s="16"/>
      <c r="D143" s="17"/>
      <c r="E143" s="17"/>
      <c r="F143" s="15"/>
      <c r="G143" s="15"/>
      <c r="H143" s="16"/>
      <c r="I143" s="19"/>
      <c r="J143" s="20"/>
      <c r="K143" s="68"/>
      <c r="L143" s="20"/>
      <c r="M143" s="20"/>
      <c r="N143" s="20"/>
      <c r="O143" s="15"/>
      <c r="P143" s="20"/>
      <c r="Q143" s="22"/>
      <c r="R143" s="16"/>
      <c r="S143" s="16"/>
      <c r="U143" s="1"/>
      <c r="V143" s="37"/>
      <c r="W143" s="37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2.75" hidden="false" customHeight="false" outlineLevel="0" collapsed="false">
      <c r="A144" s="15"/>
      <c r="B144" s="16"/>
      <c r="C144" s="16"/>
      <c r="D144" s="17" t="s">
        <v>1</v>
      </c>
      <c r="E144" s="17"/>
      <c r="F144" s="15"/>
      <c r="G144" s="15"/>
      <c r="H144" s="16"/>
      <c r="I144" s="19"/>
      <c r="J144" s="20"/>
      <c r="K144" s="68"/>
      <c r="L144" s="20"/>
      <c r="M144" s="20"/>
      <c r="N144" s="20"/>
      <c r="O144" s="21"/>
      <c r="P144" s="20"/>
      <c r="Q144" s="22"/>
      <c r="R144" s="15" t="s">
        <v>240</v>
      </c>
      <c r="S144" s="1"/>
      <c r="T144" s="125" t="n">
        <v>0</v>
      </c>
      <c r="U144" s="35"/>
      <c r="V144" s="37"/>
      <c r="W144" s="37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.75" hidden="false" customHeight="false" outlineLevel="0" collapsed="false">
      <c r="A145" s="4"/>
      <c r="B145" s="16"/>
      <c r="C145" s="16"/>
      <c r="D145" s="17"/>
      <c r="E145" s="17"/>
      <c r="F145" s="15"/>
      <c r="G145" s="15"/>
      <c r="H145" s="16"/>
      <c r="I145" s="19"/>
      <c r="J145" s="20"/>
      <c r="K145" s="20"/>
      <c r="L145" s="20"/>
      <c r="M145" s="20"/>
      <c r="N145" s="20"/>
      <c r="O145" s="21"/>
      <c r="P145" s="20"/>
      <c r="Q145" s="22"/>
      <c r="R145" s="1"/>
      <c r="S145" s="23" t="s">
        <v>437</v>
      </c>
      <c r="T145" s="125" t="n">
        <f aca="false">+SUM(T14:T30)+SUM(T71:T89)</f>
        <v>821077.0352</v>
      </c>
      <c r="U145" s="35"/>
      <c r="V145" s="37"/>
      <c r="W145" s="37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.75" hidden="false" customHeight="false" outlineLevel="0" collapsed="false">
      <c r="A146" s="4"/>
      <c r="B146" s="16"/>
      <c r="C146" s="16"/>
      <c r="D146" s="17"/>
      <c r="E146" s="17"/>
      <c r="F146" s="15"/>
      <c r="G146" s="15"/>
      <c r="H146" s="16"/>
      <c r="I146" s="20"/>
      <c r="J146" s="20"/>
      <c r="K146" s="20"/>
      <c r="L146" s="20"/>
      <c r="M146" s="20"/>
      <c r="N146" s="20"/>
      <c r="O146" s="21"/>
      <c r="P146" s="20"/>
      <c r="Q146" s="22"/>
      <c r="R146" s="1"/>
      <c r="S146" s="23" t="s">
        <v>438</v>
      </c>
      <c r="T146" s="125" t="n">
        <f aca="false">SUM('IT &amp; Pooling'!V39)</f>
        <v>0</v>
      </c>
      <c r="U146" s="35"/>
      <c r="V146" s="37"/>
      <c r="W146" s="37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2.75" hidden="false" customHeight="false" outlineLevel="0" collapsed="false">
      <c r="A147" s="4"/>
      <c r="B147" s="16"/>
      <c r="C147" s="16"/>
      <c r="D147" s="17"/>
      <c r="E147" s="17"/>
      <c r="F147" s="15"/>
      <c r="G147" s="15"/>
      <c r="H147" s="16"/>
      <c r="I147" s="19"/>
      <c r="J147" s="20"/>
      <c r="K147" s="20"/>
      <c r="L147" s="20"/>
      <c r="M147" s="20"/>
      <c r="N147" s="20"/>
      <c r="O147" s="21"/>
      <c r="P147" s="20"/>
      <c r="Q147" s="22"/>
      <c r="R147" s="1"/>
      <c r="S147" s="23" t="s">
        <v>439</v>
      </c>
      <c r="T147" s="125" t="n">
        <f aca="false">SUM('IT &amp; Pooling'!U39)</f>
        <v>0</v>
      </c>
      <c r="U147" s="35"/>
      <c r="V147" s="37"/>
      <c r="W147" s="37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A148" s="4"/>
      <c r="B148" s="16"/>
      <c r="C148" s="16"/>
      <c r="D148" s="17"/>
      <c r="E148" s="17"/>
      <c r="F148" s="15"/>
      <c r="G148" s="15"/>
      <c r="H148" s="16"/>
      <c r="I148" s="19"/>
      <c r="J148" s="20"/>
      <c r="K148" s="20"/>
      <c r="L148" s="20"/>
      <c r="M148" s="20"/>
      <c r="N148" s="20"/>
      <c r="O148" s="21"/>
      <c r="P148" s="20"/>
      <c r="Q148" s="22"/>
      <c r="R148" s="1"/>
      <c r="S148" s="23" t="s">
        <v>440</v>
      </c>
      <c r="T148" s="125" t="n">
        <f aca="false">SUM(T41:T42)</f>
        <v>145189.91</v>
      </c>
      <c r="U148" s="35"/>
      <c r="V148" s="37"/>
      <c r="W148" s="37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.75" hidden="false" customHeight="false" outlineLevel="0" collapsed="false">
      <c r="A149" s="4"/>
      <c r="B149" s="16"/>
      <c r="C149" s="16"/>
      <c r="D149" s="17"/>
      <c r="E149" s="17"/>
      <c r="F149" s="15"/>
      <c r="G149" s="15"/>
      <c r="H149" s="16"/>
      <c r="I149" s="19"/>
      <c r="J149" s="20"/>
      <c r="K149" s="20"/>
      <c r="L149" s="20"/>
      <c r="M149" s="20"/>
      <c r="N149" s="20"/>
      <c r="O149" s="21"/>
      <c r="P149" s="20"/>
      <c r="Q149" s="22"/>
      <c r="R149" s="1"/>
      <c r="S149" s="23" t="s">
        <v>441</v>
      </c>
      <c r="T149" s="125" t="n">
        <f aca="false">SUM(T43:T44)</f>
        <v>2489.73</v>
      </c>
      <c r="U149" s="35"/>
      <c r="V149" s="37"/>
      <c r="W149" s="37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.75" hidden="false" customHeight="false" outlineLevel="0" collapsed="false">
      <c r="A150" s="4"/>
      <c r="B150" s="16"/>
      <c r="C150" s="16"/>
      <c r="D150" s="17"/>
      <c r="E150" s="17"/>
      <c r="F150" s="15"/>
      <c r="G150" s="15"/>
      <c r="H150" s="16"/>
      <c r="I150" s="20"/>
      <c r="J150" s="20"/>
      <c r="K150" s="20"/>
      <c r="L150" s="20"/>
      <c r="M150" s="20"/>
      <c r="N150" s="20"/>
      <c r="O150" s="21"/>
      <c r="P150" s="20"/>
      <c r="Q150" s="22"/>
      <c r="R150" s="1"/>
      <c r="S150" s="23" t="s">
        <v>442</v>
      </c>
      <c r="T150" s="125" t="n">
        <f aca="false">(T10)*0.103</f>
        <v>31070.794291</v>
      </c>
      <c r="U150" s="35"/>
      <c r="V150" s="37"/>
      <c r="W150" s="37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false" outlineLevel="0" collapsed="false">
      <c r="A151" s="4"/>
      <c r="B151" s="16"/>
      <c r="C151" s="16"/>
      <c r="D151" s="17"/>
      <c r="E151" s="17"/>
      <c r="F151" s="15"/>
      <c r="G151" s="15"/>
      <c r="H151" s="16"/>
      <c r="I151" s="20"/>
      <c r="J151" s="20"/>
      <c r="K151" s="20"/>
      <c r="L151" s="20"/>
      <c r="M151" s="20"/>
      <c r="N151" s="20"/>
      <c r="O151" s="21"/>
      <c r="P151" s="20"/>
      <c r="Q151" s="22"/>
      <c r="R151" s="1"/>
      <c r="S151" s="23" t="s">
        <v>443</v>
      </c>
      <c r="T151" s="125" t="n">
        <f aca="false">(T10)*0.897</f>
        <v>270587.402709</v>
      </c>
      <c r="U151" s="35"/>
      <c r="V151" s="69"/>
      <c r="W151" s="37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false" outlineLevel="0" collapsed="false">
      <c r="A152" s="4"/>
      <c r="B152" s="16"/>
      <c r="C152" s="16"/>
      <c r="D152" s="17"/>
      <c r="E152" s="17"/>
      <c r="F152" s="15"/>
      <c r="G152" s="15"/>
      <c r="H152" s="16"/>
      <c r="I152" s="20"/>
      <c r="J152" s="20"/>
      <c r="K152" s="20"/>
      <c r="L152" s="20"/>
      <c r="M152" s="20"/>
      <c r="N152" s="20"/>
      <c r="O152" s="21"/>
      <c r="P152" s="20"/>
      <c r="Q152" s="22"/>
      <c r="R152" s="1"/>
      <c r="S152" s="23" t="s">
        <v>444</v>
      </c>
      <c r="T152" s="125" t="n">
        <f aca="false">(+T48)*0.103</f>
        <v>40808.6</v>
      </c>
      <c r="U152" s="35"/>
      <c r="V152" s="37"/>
      <c r="W152" s="37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4"/>
      <c r="B153" s="16"/>
      <c r="C153" s="16"/>
      <c r="D153" s="17"/>
      <c r="E153" s="17"/>
      <c r="F153" s="15"/>
      <c r="G153" s="15"/>
      <c r="H153" s="16"/>
      <c r="I153" s="20"/>
      <c r="J153" s="20"/>
      <c r="K153" s="20"/>
      <c r="L153" s="20"/>
      <c r="M153" s="20"/>
      <c r="N153" s="20"/>
      <c r="O153" s="21"/>
      <c r="P153" s="20"/>
      <c r="Q153" s="22"/>
      <c r="R153" s="1"/>
      <c r="S153" s="23" t="s">
        <v>445</v>
      </c>
      <c r="T153" s="125" t="n">
        <f aca="false">(+T48)*0.897</f>
        <v>355391.4</v>
      </c>
      <c r="U153" s="35"/>
      <c r="V153" s="37"/>
      <c r="W153" s="37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false" outlineLevel="0" collapsed="false">
      <c r="A154" s="4"/>
      <c r="B154" s="16"/>
      <c r="C154" s="16"/>
      <c r="D154" s="17"/>
      <c r="E154" s="17"/>
      <c r="F154" s="15"/>
      <c r="G154" s="15"/>
      <c r="H154" s="16"/>
      <c r="I154" s="19"/>
      <c r="J154" s="20"/>
      <c r="K154" s="20"/>
      <c r="L154" s="20"/>
      <c r="M154" s="20"/>
      <c r="N154" s="20"/>
      <c r="O154" s="21"/>
      <c r="P154" s="20"/>
      <c r="Q154" s="22"/>
      <c r="R154" s="15"/>
      <c r="S154" s="217" t="s">
        <v>446</v>
      </c>
      <c r="T154" s="218" t="n">
        <f aca="false">SUM(T145:T153)</f>
        <v>1666614.8722</v>
      </c>
      <c r="U154" s="35"/>
      <c r="V154" s="37"/>
      <c r="W154" s="37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false" outlineLevel="0" collapsed="false">
      <c r="A155" s="4"/>
      <c r="B155" s="16"/>
      <c r="C155" s="16"/>
      <c r="D155" s="17"/>
      <c r="E155" s="17"/>
      <c r="F155" s="15"/>
      <c r="G155" s="15"/>
      <c r="H155" s="16"/>
      <c r="I155" s="19"/>
      <c r="J155" s="20"/>
      <c r="K155" s="20"/>
      <c r="L155" s="20"/>
      <c r="M155" s="20"/>
      <c r="N155" s="20"/>
      <c r="O155" s="21"/>
      <c r="P155" s="20"/>
      <c r="Q155" s="22"/>
      <c r="R155" s="15"/>
      <c r="S155" s="219"/>
      <c r="T155" s="125"/>
      <c r="U155" s="35"/>
      <c r="V155" s="37"/>
      <c r="W155" s="37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3.5" hidden="false" customHeight="false" outlineLevel="0" collapsed="false">
      <c r="A156" s="4" t="s">
        <v>1</v>
      </c>
      <c r="B156" s="16"/>
      <c r="C156" s="16"/>
      <c r="D156" s="17"/>
      <c r="E156" s="17"/>
      <c r="F156" s="15"/>
      <c r="G156" s="15"/>
      <c r="H156" s="16"/>
      <c r="I156" s="19"/>
      <c r="J156" s="20"/>
      <c r="K156" s="20"/>
      <c r="L156" s="20"/>
      <c r="M156" s="20"/>
      <c r="N156" s="20"/>
      <c r="O156" s="21"/>
      <c r="P156" s="20"/>
      <c r="Q156" s="22"/>
      <c r="R156" s="16"/>
      <c r="S156" s="16" t="s">
        <v>447</v>
      </c>
      <c r="T156" s="220" t="n">
        <f aca="false">+T141-T154</f>
        <v>548490.059255104</v>
      </c>
      <c r="U156" s="35"/>
      <c r="V156" s="37"/>
      <c r="W156" s="37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3.5" hidden="false" customHeight="false" outlineLevel="0" collapsed="false">
      <c r="A157" s="1"/>
      <c r="B157" s="1"/>
      <c r="C157" s="1"/>
      <c r="D157" s="1"/>
      <c r="E157" s="1"/>
      <c r="F157" s="4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U157" s="1"/>
      <c r="V157" s="3"/>
      <c r="W157" s="3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</sheetData>
  <printOptions headings="false" gridLines="false" gridLinesSet="true" horizontalCentered="false" verticalCentered="false"/>
  <pageMargins left="0.279861111111111" right="0.240277777777778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&amp;L&amp;D&amp;C&amp;A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false" hidden="false" outlineLevel="0" max="3" min="2" style="1" width="9.14"/>
    <col collapsed="false" customWidth="true" hidden="false" outlineLevel="0" max="5" min="4" style="1" width="9.85"/>
    <col collapsed="false" customWidth="true" hidden="false" outlineLevel="0" max="6" min="6" style="1" width="12.42"/>
    <col collapsed="false" customWidth="false" hidden="false" outlineLevel="0" max="7" min="7" style="1" width="9.14"/>
    <col collapsed="false" customWidth="true" hidden="false" outlineLevel="0" max="8" min="8" style="1" width="10.28"/>
    <col collapsed="false" customWidth="true" hidden="false" outlineLevel="0" max="9" min="9" style="1" width="7.7"/>
    <col collapsed="false" customWidth="true" hidden="false" outlineLevel="0" max="10" min="10" style="1" width="13.99"/>
    <col collapsed="false" customWidth="true" hidden="false" outlineLevel="0" max="11" min="11" style="1" width="8.14"/>
    <col collapsed="false" customWidth="true" hidden="false" outlineLevel="0" max="12" min="12" style="1" width="9.99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135" t="s">
        <v>1</v>
      </c>
      <c r="B1" s="135"/>
    </row>
    <row r="2" customFormat="false" ht="12.75" hidden="false" customHeight="false" outlineLevel="0" collapsed="false">
      <c r="B2" s="135"/>
    </row>
    <row r="3" customFormat="false" ht="12.75" hidden="false" customHeight="false" outlineLevel="0" collapsed="false">
      <c r="A3" s="221" t="s">
        <v>448</v>
      </c>
      <c r="B3" s="222"/>
      <c r="C3" s="222"/>
      <c r="D3" s="222"/>
      <c r="E3" s="222"/>
      <c r="F3" s="222"/>
      <c r="G3" s="222"/>
      <c r="H3" s="223"/>
      <c r="J3" s="224" t="s">
        <v>449</v>
      </c>
      <c r="K3" s="225" t="n">
        <f aca="false">+Rates!W17</f>
        <v>0.101070000817862</v>
      </c>
      <c r="Z3" s="1" t="n">
        <v>2.8</v>
      </c>
      <c r="AC3" s="1" t="n">
        <v>3.03</v>
      </c>
    </row>
    <row r="4" customFormat="false" ht="12.75" hidden="false" customHeight="false" outlineLevel="0" collapsed="false">
      <c r="A4" s="226"/>
      <c r="B4" s="227" t="n">
        <v>1</v>
      </c>
      <c r="C4" s="227" t="n">
        <v>2</v>
      </c>
      <c r="D4" s="227" t="n">
        <v>3</v>
      </c>
      <c r="E4" s="227" t="n">
        <v>4</v>
      </c>
      <c r="F4" s="227" t="s">
        <v>450</v>
      </c>
      <c r="G4" s="227" t="n">
        <v>5</v>
      </c>
      <c r="H4" s="228" t="n">
        <v>6</v>
      </c>
      <c r="J4" s="229" t="s">
        <v>451</v>
      </c>
      <c r="K4" s="230" t="n">
        <f aca="false">(E62/(1-0.02184))-Rates!W3</f>
        <v>0.0783700008178618</v>
      </c>
    </row>
    <row r="5" customFormat="false" ht="12.75" hidden="false" customHeight="false" outlineLevel="0" collapsed="false">
      <c r="A5" s="231" t="n">
        <v>1</v>
      </c>
      <c r="B5" s="232" t="n">
        <f aca="false">+Rates!B17</f>
        <v>0.0372281485198192</v>
      </c>
      <c r="C5" s="232" t="n">
        <f aca="false">+Rates!B22</f>
        <v>0.0561631716906944</v>
      </c>
      <c r="D5" s="232" t="n">
        <f aca="false">+Rates!B27</f>
        <v>0.0747903585173179</v>
      </c>
      <c r="E5" s="232"/>
      <c r="F5" s="232"/>
      <c r="G5" s="232" t="n">
        <f aca="false">+Rates!B37</f>
        <v>0.22261954674221</v>
      </c>
      <c r="H5" s="233" t="n">
        <f aca="false">+Rates!B42</f>
        <v>0.259965227056208</v>
      </c>
      <c r="J5" s="227"/>
    </row>
    <row r="6" customFormat="false" ht="12.75" hidden="false" customHeight="false" outlineLevel="0" collapsed="false">
      <c r="A6" s="231" t="n">
        <v>2</v>
      </c>
      <c r="B6" s="232"/>
      <c r="C6" s="232"/>
      <c r="D6" s="232" t="n">
        <f aca="false">+Rates!B52</f>
        <v>0.0403016752447269</v>
      </c>
      <c r="E6" s="232"/>
      <c r="F6" s="232"/>
      <c r="G6" s="232" t="n">
        <f aca="false">+Rates!B62</f>
        <v>0.208960004181476</v>
      </c>
      <c r="H6" s="233" t="n">
        <f aca="false">+Rates!B67</f>
        <v>0.246435878506644</v>
      </c>
      <c r="J6" s="224" t="s">
        <v>452</v>
      </c>
      <c r="K6" s="234" t="n">
        <f aca="false">+Rates!Z17</f>
        <v>0.125111788784282</v>
      </c>
    </row>
    <row r="7" customFormat="false" ht="12.75" hidden="false" customHeight="false" outlineLevel="0" collapsed="false">
      <c r="A7" s="231" t="n">
        <v>3</v>
      </c>
      <c r="B7" s="232"/>
      <c r="C7" s="232"/>
      <c r="D7" s="232" t="n">
        <f aca="false">+Rates!B72</f>
        <v>0.0414924158714213</v>
      </c>
      <c r="E7" s="232" t="n">
        <f aca="false">+Rates!B77</f>
        <v>0.122173323092678</v>
      </c>
      <c r="F7" s="232"/>
      <c r="G7" s="232" t="n">
        <f aca="false">+Rates!B82</f>
        <v>0.189003703703704</v>
      </c>
      <c r="H7" s="233" t="n">
        <f aca="false">+Rates!B87</f>
        <v>0.226256003358523</v>
      </c>
      <c r="J7" s="229" t="s">
        <v>453</v>
      </c>
      <c r="K7" s="230" t="n">
        <f aca="false">(E61/(1-0.0228))-Rates!Z3</f>
        <v>0.0834117887842818</v>
      </c>
    </row>
    <row r="8" customFormat="false" ht="12.75" hidden="false" customHeight="false" outlineLevel="0" collapsed="false">
      <c r="A8" s="231" t="n">
        <v>4</v>
      </c>
      <c r="B8" s="232"/>
      <c r="C8" s="232"/>
      <c r="D8" s="232"/>
      <c r="E8" s="232" t="n">
        <f aca="false">+Rates!B92</f>
        <v>0.1029500509684</v>
      </c>
      <c r="F8" s="232"/>
      <c r="G8" s="232"/>
      <c r="H8" s="233" t="n">
        <f aca="false">+Rates!B102</f>
        <v>0.206192437062572</v>
      </c>
      <c r="J8" s="135"/>
      <c r="K8" s="235"/>
    </row>
    <row r="9" customFormat="false" ht="12.75" hidden="false" customHeight="false" outlineLevel="0" collapsed="false">
      <c r="A9" s="236" t="s">
        <v>450</v>
      </c>
      <c r="B9" s="232"/>
      <c r="C9" s="232"/>
      <c r="D9" s="232"/>
      <c r="E9" s="232"/>
      <c r="F9" s="232" t="n">
        <f aca="false">+Rates!B107</f>
        <v>0.0239945075948093</v>
      </c>
      <c r="G9" s="232"/>
      <c r="H9" s="233"/>
      <c r="K9" s="237"/>
    </row>
    <row r="10" customFormat="false" ht="12.75" hidden="false" customHeight="false" outlineLevel="0" collapsed="false">
      <c r="A10" s="231" t="n">
        <v>5</v>
      </c>
      <c r="B10" s="232"/>
      <c r="C10" s="232"/>
      <c r="D10" s="232"/>
      <c r="E10" s="232"/>
      <c r="F10" s="232"/>
      <c r="G10" s="232" t="n">
        <f aca="false">+Rates!B112</f>
        <v>0.0674367726211027</v>
      </c>
      <c r="H10" s="233"/>
      <c r="K10" s="235"/>
    </row>
    <row r="11" customFormat="false" ht="12.75" hidden="false" customHeight="false" outlineLevel="0" collapsed="false">
      <c r="A11" s="231" t="n">
        <v>6</v>
      </c>
      <c r="B11" s="193"/>
      <c r="C11" s="193"/>
      <c r="D11" s="193"/>
      <c r="E11" s="193"/>
      <c r="F11" s="193"/>
      <c r="G11" s="193"/>
      <c r="H11" s="233" t="n">
        <f aca="false">+Rates!B122</f>
        <v>0.0571490520371115</v>
      </c>
      <c r="J11" s="221" t="s">
        <v>454</v>
      </c>
      <c r="K11" s="238"/>
    </row>
    <row r="12" customFormat="false" ht="12.75" hidden="false" customHeight="false" outlineLevel="0" collapsed="false">
      <c r="A12" s="239"/>
      <c r="B12" s="240" t="s">
        <v>455</v>
      </c>
      <c r="C12" s="240"/>
      <c r="D12" s="240"/>
      <c r="E12" s="240"/>
      <c r="F12" s="240"/>
      <c r="G12" s="240"/>
      <c r="H12" s="241"/>
      <c r="J12" s="242" t="s">
        <v>456</v>
      </c>
      <c r="K12" s="243" t="n">
        <f aca="false">SUM(Rates!AI17)-0.0072</f>
        <v>0.0059</v>
      </c>
    </row>
    <row r="13" customFormat="false" ht="12.75" hidden="false" customHeight="false" outlineLevel="0" collapsed="false">
      <c r="A13" s="244" t="s">
        <v>457</v>
      </c>
      <c r="B13" s="245" t="s">
        <v>458</v>
      </c>
      <c r="C13" s="246" t="s">
        <v>459</v>
      </c>
      <c r="D13" s="246" t="s">
        <v>460</v>
      </c>
      <c r="E13" s="246" t="s">
        <v>461</v>
      </c>
      <c r="F13" s="247"/>
      <c r="G13" s="247"/>
      <c r="H13" s="248"/>
      <c r="J13" s="242" t="s">
        <v>462</v>
      </c>
      <c r="K13" s="249" t="n">
        <f aca="false">SUM(Rates!H122)</f>
        <v>0.0585643428918838</v>
      </c>
    </row>
    <row r="14" customFormat="false" ht="13.5" hidden="false" customHeight="false" outlineLevel="0" collapsed="false">
      <c r="A14" s="250" t="s">
        <v>463</v>
      </c>
      <c r="B14" s="251" t="n">
        <f aca="false">SUM(Rates!B69+Rates!B71)</f>
        <v>0.0189924158714213</v>
      </c>
      <c r="C14" s="251" t="n">
        <f aca="false">SUM(Rates!K22+Rates!B69+Rates!B71)</f>
        <v>0.126016299685442</v>
      </c>
      <c r="D14" s="251" t="n">
        <f aca="false">SUM(Rates!B69+Rates!B71+Rates!K47)</f>
        <v>0.100149730582401</v>
      </c>
      <c r="E14" s="251" t="n">
        <f aca="false">0.0522+B14</f>
        <v>0.0711924158714213</v>
      </c>
      <c r="F14" s="252" t="s">
        <v>464</v>
      </c>
      <c r="G14" s="252"/>
      <c r="H14" s="253"/>
      <c r="J14" s="226" t="s">
        <v>465</v>
      </c>
      <c r="K14" s="254" t="n">
        <f aca="false">SUM(K12:K13)</f>
        <v>0.0644643428918838</v>
      </c>
    </row>
    <row r="15" customFormat="false" ht="13.5" hidden="false" customHeight="false" outlineLevel="0" collapsed="false">
      <c r="A15" s="255"/>
      <c r="J15" s="226"/>
      <c r="K15" s="243"/>
    </row>
    <row r="16" customFormat="false" ht="12.75" hidden="false" customHeight="false" outlineLevel="0" collapsed="false">
      <c r="A16" s="256" t="s">
        <v>466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57"/>
    </row>
    <row r="17" customFormat="false" ht="12.75" hidden="false" customHeight="false" outlineLevel="0" collapsed="false">
      <c r="A17" s="258"/>
      <c r="B17" s="193"/>
      <c r="C17" s="227" t="s">
        <v>467</v>
      </c>
      <c r="D17" s="193"/>
      <c r="E17" s="193"/>
      <c r="F17" s="193"/>
      <c r="G17" s="193"/>
      <c r="H17" s="193"/>
      <c r="I17" s="193"/>
      <c r="J17" s="193"/>
      <c r="K17" s="259"/>
    </row>
    <row r="18" customFormat="false" ht="12.75" hidden="false" customHeight="false" outlineLevel="0" collapsed="false">
      <c r="A18" s="258"/>
      <c r="B18" s="193"/>
      <c r="C18" s="227" t="s">
        <v>468</v>
      </c>
      <c r="D18" s="193" t="s">
        <v>469</v>
      </c>
      <c r="E18" s="193"/>
      <c r="F18" s="193"/>
      <c r="G18" s="193"/>
      <c r="H18" s="193"/>
      <c r="I18" s="193"/>
      <c r="J18" s="193"/>
      <c r="K18" s="259"/>
    </row>
    <row r="19" customFormat="false" ht="12.75" hidden="false" customHeight="false" outlineLevel="0" collapsed="false">
      <c r="A19" s="231"/>
      <c r="B19" s="227" t="s">
        <v>470</v>
      </c>
      <c r="C19" s="227" t="s">
        <v>471</v>
      </c>
      <c r="D19" s="227" t="s">
        <v>472</v>
      </c>
      <c r="E19" s="227" t="s">
        <v>473</v>
      </c>
      <c r="F19" s="227" t="s">
        <v>474</v>
      </c>
      <c r="G19" s="193" t="s">
        <v>475</v>
      </c>
      <c r="H19" s="227" t="s">
        <v>476</v>
      </c>
      <c r="I19" s="227" t="s">
        <v>326</v>
      </c>
      <c r="J19" s="235" t="s">
        <v>319</v>
      </c>
      <c r="K19" s="260" t="s">
        <v>318</v>
      </c>
    </row>
    <row r="20" customFormat="false" ht="12.75" hidden="false" customHeight="false" outlineLevel="0" collapsed="false">
      <c r="A20" s="236" t="s">
        <v>477</v>
      </c>
      <c r="B20" s="232" t="n">
        <f aca="false">+Rates!H22-0.0225+B28+B29</f>
        <v>0.202836059688931</v>
      </c>
      <c r="C20" s="232" t="n">
        <f aca="false">+Rates!H22-0.0072</f>
        <v>0.173008364083641</v>
      </c>
      <c r="D20" s="232" t="n">
        <f aca="false">+C20-0.0072</f>
        <v>0.165808364083641</v>
      </c>
      <c r="E20" s="232" t="n">
        <f aca="false">+D20-0.0225</f>
        <v>0.143308364083641</v>
      </c>
      <c r="F20" s="232" t="n">
        <f aca="false">+D20+0.0072</f>
        <v>0.173008364083641</v>
      </c>
      <c r="G20" s="232" t="n">
        <f aca="false">+Rates!H27</f>
        <v>0.248280506435074</v>
      </c>
      <c r="H20" s="232" t="n">
        <f aca="false">+Rates!H32</f>
        <v>0.272759056444819</v>
      </c>
      <c r="I20" s="232" t="n">
        <f aca="false">+Rates!H37</f>
        <v>0.321614012738854</v>
      </c>
      <c r="J20" s="237" t="n">
        <f aca="false">+Rates!H42</f>
        <v>0.366993996569468</v>
      </c>
      <c r="K20" s="233" t="n">
        <f aca="false">+Rates!H47</f>
        <v>0.431078159429683</v>
      </c>
    </row>
    <row r="21" customFormat="false" ht="12.75" hidden="false" customHeight="false" outlineLevel="0" collapsed="false">
      <c r="A21" s="236" t="s">
        <v>478</v>
      </c>
      <c r="B21" s="232"/>
      <c r="C21" s="232" t="n">
        <f aca="false">+Rates!H52-0.0072</f>
        <v>0.0849027258960121</v>
      </c>
      <c r="D21" s="232"/>
      <c r="E21" s="232"/>
      <c r="F21" s="232" t="n">
        <f aca="false">+C21+0.0072</f>
        <v>0.0921027258960121</v>
      </c>
      <c r="G21" s="232"/>
      <c r="H21" s="232"/>
      <c r="I21" s="232"/>
      <c r="J21" s="261"/>
      <c r="K21" s="260"/>
    </row>
    <row r="22" customFormat="false" ht="12.75" hidden="false" customHeight="false" outlineLevel="0" collapsed="false">
      <c r="A22" s="231" t="n">
        <v>1</v>
      </c>
      <c r="B22" s="232" t="n">
        <f aca="false">+Rates!H57-0.0225+B28+B29</f>
        <v>0.168711418901323</v>
      </c>
      <c r="C22" s="232"/>
      <c r="D22" s="232" t="n">
        <f aca="false">+Rates!H57-0.0072</f>
        <v>0.138883723296033</v>
      </c>
      <c r="E22" s="232" t="n">
        <f aca="false">+D22-0.0225</f>
        <v>0.116383723296033</v>
      </c>
      <c r="F22" s="232"/>
      <c r="G22" s="232" t="n">
        <f aca="false">+Rates!H62</f>
        <v>0.213243899906552</v>
      </c>
      <c r="H22" s="232" t="n">
        <f aca="false">+Rates!H67</f>
        <v>0.237291463796887</v>
      </c>
      <c r="I22" s="232" t="n">
        <f aca="false">+Rates!H72</f>
        <v>0.286413018748683</v>
      </c>
      <c r="J22" s="232" t="n">
        <f aca="false">+Rates!H77</f>
        <v>0.331200786982878</v>
      </c>
      <c r="K22" s="233" t="n">
        <f aca="false">+Rates!H82</f>
        <v>0.395183231543983</v>
      </c>
    </row>
    <row r="23" customFormat="false" ht="12.75" hidden="false" customHeight="false" outlineLevel="0" collapsed="false">
      <c r="A23" s="231" t="n">
        <v>2</v>
      </c>
      <c r="B23" s="232"/>
      <c r="C23" s="232"/>
      <c r="D23" s="232"/>
      <c r="E23" s="232"/>
      <c r="F23" s="232"/>
      <c r="G23" s="232"/>
      <c r="H23" s="232"/>
      <c r="I23" s="232"/>
      <c r="J23" s="232" t="n">
        <f aca="false">SUM(Rates!H87)</f>
        <v>0.210040800663763</v>
      </c>
      <c r="K23" s="233"/>
    </row>
    <row r="24" customFormat="false" ht="12.75" hidden="false" customHeight="false" outlineLevel="0" collapsed="false">
      <c r="A24" s="231" t="n">
        <v>4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 t="n">
        <f aca="false">+Rates!H97</f>
        <v>0.161513376835236</v>
      </c>
    </row>
    <row r="25" customFormat="false" ht="12.75" hidden="false" customHeight="false" outlineLevel="0" collapsed="false">
      <c r="A25" s="231" t="n">
        <v>5</v>
      </c>
      <c r="B25" s="232"/>
      <c r="C25" s="232"/>
      <c r="D25" s="232"/>
      <c r="E25" s="232"/>
      <c r="F25" s="232"/>
      <c r="G25" s="232"/>
      <c r="H25" s="232"/>
      <c r="I25" s="232" t="n">
        <f aca="false">+Rates!H127</f>
        <v>0.0932091276660266</v>
      </c>
      <c r="J25" s="232" t="n">
        <f aca="false">+Rates!H102</f>
        <v>0.0935939795608622</v>
      </c>
      <c r="K25" s="233" t="n">
        <f aca="false">+Rates!H112</f>
        <v>0.152328571428571</v>
      </c>
    </row>
    <row r="26" customFormat="false" ht="12.75" hidden="false" customHeight="false" outlineLevel="0" collapsed="false">
      <c r="A26" s="262" t="n">
        <v>6</v>
      </c>
      <c r="B26" s="263"/>
      <c r="C26" s="263"/>
      <c r="D26" s="263"/>
      <c r="E26" s="263"/>
      <c r="F26" s="232"/>
      <c r="G26" s="232"/>
      <c r="H26" s="232"/>
      <c r="I26" s="232"/>
      <c r="J26" s="232"/>
      <c r="K26" s="233" t="n">
        <f aca="false">+Rates!H117</f>
        <v>0.136048542897901</v>
      </c>
    </row>
    <row r="27" customFormat="false" ht="12.75" hidden="false" customHeight="false" outlineLevel="0" collapsed="false">
      <c r="A27" s="235"/>
      <c r="B27" s="232"/>
      <c r="C27" s="232"/>
      <c r="D27" s="232"/>
      <c r="E27" s="232"/>
      <c r="F27" s="264"/>
      <c r="G27" s="232"/>
      <c r="H27" s="232"/>
      <c r="I27" s="232"/>
      <c r="J27" s="232"/>
      <c r="K27" s="233"/>
    </row>
    <row r="28" customFormat="false" ht="12.75" hidden="false" customHeight="false" outlineLevel="0" collapsed="false">
      <c r="A28" s="265" t="s">
        <v>479</v>
      </c>
      <c r="B28" s="225" t="n">
        <f aca="false">0.0009+0.0022+0.0075</f>
        <v>0.0106</v>
      </c>
      <c r="F28" s="266" t="s">
        <v>480</v>
      </c>
      <c r="G28" s="193"/>
      <c r="H28" s="193"/>
      <c r="I28" s="193"/>
      <c r="J28" s="193"/>
      <c r="K28" s="260"/>
    </row>
    <row r="29" customFormat="false" ht="12.75" hidden="false" customHeight="false" outlineLevel="0" collapsed="false">
      <c r="A29" s="250" t="s">
        <v>481</v>
      </c>
      <c r="B29" s="267" t="n">
        <f aca="false">0.0101*(+Rates!H4+Rates!H57-0.0225)</f>
        <v>0.0345276956052899</v>
      </c>
      <c r="F29" s="266" t="s">
        <v>482</v>
      </c>
      <c r="G29" s="193"/>
      <c r="H29" s="193"/>
      <c r="I29" s="268" t="n">
        <f aca="false">+I20-I25</f>
        <v>0.228404885072827</v>
      </c>
      <c r="J29" s="268" t="n">
        <f aca="false">+J20-J25</f>
        <v>0.273400017008606</v>
      </c>
      <c r="K29" s="269" t="n">
        <f aca="false">+K20-K25</f>
        <v>0.278749588001112</v>
      </c>
    </row>
    <row r="30" customFormat="false" ht="12.75" hidden="false" customHeight="false" outlineLevel="0" collapsed="false">
      <c r="A30" s="193"/>
      <c r="B30" s="232"/>
      <c r="F30" s="270" t="s">
        <v>483</v>
      </c>
      <c r="G30" s="252"/>
      <c r="H30" s="252"/>
      <c r="I30" s="271" t="n">
        <f aca="false">+I22-I25</f>
        <v>0.193203891082657</v>
      </c>
      <c r="J30" s="271" t="n">
        <f aca="false">+J22-J25</f>
        <v>0.237606807422015</v>
      </c>
      <c r="K30" s="272" t="n">
        <f aca="false">+K22-K25</f>
        <v>0.242854660115412</v>
      </c>
    </row>
    <row r="31" customFormat="false" ht="12.75" hidden="false" customHeight="false" outlineLevel="0" collapsed="false">
      <c r="A31" s="193"/>
      <c r="B31" s="232"/>
    </row>
    <row r="32" customFormat="false" ht="12.75" hidden="false" customHeight="false" outlineLevel="0" collapsed="false">
      <c r="A32" s="256" t="s">
        <v>484</v>
      </c>
      <c r="B32" s="222"/>
      <c r="C32" s="222"/>
      <c r="D32" s="222"/>
      <c r="E32" s="222"/>
      <c r="F32" s="222"/>
      <c r="G32" s="222"/>
      <c r="H32" s="222"/>
      <c r="I32" s="222"/>
      <c r="J32" s="273"/>
      <c r="K32" s="274"/>
      <c r="L32" s="193"/>
    </row>
    <row r="33" customFormat="false" ht="12.75" hidden="false" customHeight="false" outlineLevel="0" collapsed="false">
      <c r="A33" s="231"/>
      <c r="B33" s="227" t="s">
        <v>459</v>
      </c>
      <c r="C33" s="227" t="s">
        <v>485</v>
      </c>
      <c r="D33" s="227" t="s">
        <v>486</v>
      </c>
      <c r="E33" s="227" t="s">
        <v>487</v>
      </c>
      <c r="F33" s="227" t="s">
        <v>488</v>
      </c>
      <c r="G33" s="227" t="s">
        <v>489</v>
      </c>
      <c r="H33" s="275" t="s">
        <v>490</v>
      </c>
      <c r="I33" s="193"/>
      <c r="J33" s="275" t="s">
        <v>491</v>
      </c>
      <c r="K33" s="276" t="s">
        <v>492</v>
      </c>
      <c r="L33" s="193"/>
    </row>
    <row r="34" customFormat="false" ht="12.75" hidden="false" customHeight="false" outlineLevel="0" collapsed="false">
      <c r="A34" s="236" t="s">
        <v>459</v>
      </c>
      <c r="B34" s="232" t="n">
        <f aca="false">+Rates!K17</f>
        <v>0.108172535355606</v>
      </c>
      <c r="C34" s="232" t="n">
        <f aca="false">+Rates!K27</f>
        <v>0.145120397186595</v>
      </c>
      <c r="D34" s="232" t="n">
        <f aca="false">+Rates!K22</f>
        <v>0.10702388381402</v>
      </c>
      <c r="E34" s="232" t="n">
        <f aca="false">+Rates!K32</f>
        <v>0.27535260703688</v>
      </c>
      <c r="F34" s="232" t="n">
        <f aca="false">+Rates!K37</f>
        <v>0.348863339070568</v>
      </c>
      <c r="G34" s="232" t="n">
        <f aca="false">+Rates!K42</f>
        <v>0.399256166467456</v>
      </c>
      <c r="H34" s="277" t="n">
        <f aca="false">ROUND(+F34*0.6+G34*0.4,3)</f>
        <v>0.369</v>
      </c>
      <c r="I34" s="193"/>
      <c r="J34" s="278" t="n">
        <f aca="false">+Rates!N17</f>
        <v>0.816963339070568</v>
      </c>
      <c r="K34" s="279" t="n">
        <f aca="false">SUM(Rates!N22)</f>
        <v>13.4930438423645</v>
      </c>
      <c r="L34" s="193"/>
    </row>
    <row r="35" customFormat="false" ht="12.75" hidden="false" customHeight="false" outlineLevel="0" collapsed="false">
      <c r="A35" s="236" t="s">
        <v>493</v>
      </c>
      <c r="B35" s="232"/>
      <c r="C35" s="232" t="n">
        <f aca="false">+Rates!K87</f>
        <v>0.108247540983606</v>
      </c>
      <c r="D35" s="280" t="n">
        <f aca="false">+D37</f>
        <v>0.102847540983606</v>
      </c>
      <c r="E35" s="232" t="n">
        <f aca="false">+E37</f>
        <v>0.237776070528967</v>
      </c>
      <c r="F35" s="232" t="n">
        <f aca="false">+F37</f>
        <v>0.310825692373243</v>
      </c>
      <c r="G35" s="232" t="n">
        <f aca="false">+G37</f>
        <v>0.360895857988166</v>
      </c>
      <c r="H35" s="277" t="n">
        <f aca="false">ROUND(+F35*0.6+G35*0.4,3)</f>
        <v>0.331</v>
      </c>
      <c r="I35" s="193"/>
      <c r="J35" s="278" t="n">
        <f aca="false">SUM(Rates!N37)</f>
        <v>0.594794162760971</v>
      </c>
      <c r="K35" s="279" t="n">
        <f aca="false">SUM(Rates!N42)</f>
        <v>0.729981549220011</v>
      </c>
      <c r="L35" s="193"/>
    </row>
    <row r="36" customFormat="false" ht="12.75" hidden="false" customHeight="false" outlineLevel="0" collapsed="false">
      <c r="A36" s="236" t="s">
        <v>460</v>
      </c>
      <c r="B36" s="232"/>
      <c r="C36" s="232" t="n">
        <f aca="false">+Rates!K52</f>
        <v>0.119775462392109</v>
      </c>
      <c r="D36" s="232" t="n">
        <f aca="false">+Rates!K47</f>
        <v>0.0811573147109795</v>
      </c>
      <c r="E36" s="232" t="n">
        <f aca="false">+Rates!K57</f>
        <v>0.249784210526316</v>
      </c>
      <c r="F36" s="232" t="n">
        <f aca="false">+Rates!K62</f>
        <v>0.323141025641026</v>
      </c>
      <c r="G36" s="232" t="n">
        <f aca="false">+Rates!K67</f>
        <v>0.37342298478472</v>
      </c>
      <c r="H36" s="277" t="n">
        <f aca="false">ROUND(+F36*0.6+G36*0.4,3)</f>
        <v>0.343</v>
      </c>
      <c r="I36" s="193"/>
      <c r="J36" s="278" t="n">
        <f aca="false">SUM(Rates!N27)</f>
        <v>0.651441025641026</v>
      </c>
      <c r="K36" s="279" t="n">
        <f aca="false">SUM(Rates!N32)</f>
        <v>0.79142298478472</v>
      </c>
      <c r="L36" s="193"/>
    </row>
    <row r="37" customFormat="false" ht="12.75" hidden="false" customHeight="false" outlineLevel="0" collapsed="false">
      <c r="A37" s="236" t="s">
        <v>461</v>
      </c>
      <c r="B37" s="232"/>
      <c r="C37" s="232" t="n">
        <f aca="false">+Rates!K87</f>
        <v>0.108247540983606</v>
      </c>
      <c r="D37" s="232" t="n">
        <f aca="false">+Rates!K77</f>
        <v>0.102847540983606</v>
      </c>
      <c r="E37" s="232" t="n">
        <f aca="false">+Rates!K97</f>
        <v>0.237776070528967</v>
      </c>
      <c r="F37" s="232" t="n">
        <f aca="false">+Rates!K102</f>
        <v>0.310825692373243</v>
      </c>
      <c r="G37" s="232" t="n">
        <f aca="false">+Rates!K107</f>
        <v>0.360895857988166</v>
      </c>
      <c r="H37" s="277" t="n">
        <f aca="false">ROUND(+F37*0.6+G37*0.4,3)</f>
        <v>0.331</v>
      </c>
      <c r="I37" s="193"/>
      <c r="J37" s="278" t="n">
        <f aca="false">SUM(Rates!N37)</f>
        <v>0.594794162760971</v>
      </c>
      <c r="K37" s="279" t="n">
        <f aca="false">SUM(Rates!N42)</f>
        <v>0.729981549220011</v>
      </c>
      <c r="L37" s="193"/>
    </row>
    <row r="38" customFormat="false" ht="12.75" hidden="false" customHeight="false" outlineLevel="0" collapsed="false">
      <c r="A38" s="281" t="s">
        <v>494</v>
      </c>
      <c r="B38" s="193"/>
      <c r="C38" s="193"/>
      <c r="D38" s="193"/>
      <c r="E38" s="282" t="n">
        <f aca="false">+Rates!K112</f>
        <v>0.137234725634726</v>
      </c>
      <c r="F38" s="232" t="n">
        <f aca="false">+Rates!K117</f>
        <v>0.209173660157873</v>
      </c>
      <c r="G38" s="232" t="n">
        <f aca="false">+Rates!K122</f>
        <v>0.258466334556896</v>
      </c>
      <c r="H38" s="232" t="n">
        <f aca="false">ROUND(+F38*0.6+G38*0.4,3)</f>
        <v>0.229</v>
      </c>
      <c r="I38" s="193"/>
      <c r="J38" s="278" t="n">
        <f aca="false">SUM(Rates!N47)</f>
        <v>0.454373660157873</v>
      </c>
      <c r="K38" s="279" t="n">
        <f aca="false">SUM(Rates!N52)</f>
        <v>0.593366334556896</v>
      </c>
    </row>
    <row r="39" customFormat="false" ht="12.75" hidden="false" customHeight="false" outlineLevel="0" collapsed="false">
      <c r="A39" s="281" t="s">
        <v>351</v>
      </c>
      <c r="B39" s="193"/>
      <c r="C39" s="193"/>
      <c r="D39" s="193"/>
      <c r="E39" s="282"/>
      <c r="F39" s="232" t="n">
        <f aca="false">+Rates!K127</f>
        <v>0.166943894389439</v>
      </c>
      <c r="G39" s="232" t="n">
        <f aca="false">+Rates!K132</f>
        <v>0.223589990625977</v>
      </c>
      <c r="H39" s="277" t="n">
        <f aca="false">ROUND(+F39*0.6+G39*0.4,3)</f>
        <v>0.19</v>
      </c>
      <c r="I39" s="193"/>
      <c r="J39" s="278"/>
      <c r="K39" s="279" t="n">
        <f aca="false">SUM(Rates!N57)</f>
        <v>0.494389990625977</v>
      </c>
    </row>
    <row r="40" customFormat="false" ht="12.75" hidden="false" customHeight="false" outlineLevel="0" collapsed="false">
      <c r="A40" s="283" t="s">
        <v>241</v>
      </c>
      <c r="B40" s="252"/>
      <c r="C40" s="252"/>
      <c r="D40" s="252"/>
      <c r="E40" s="284"/>
      <c r="F40" s="252"/>
      <c r="G40" s="263" t="n">
        <f aca="false">+Rates!K137</f>
        <v>0.12096160164271</v>
      </c>
      <c r="H40" s="285"/>
      <c r="I40" s="252"/>
      <c r="J40" s="286"/>
      <c r="K40" s="287" t="n">
        <f aca="false">SUM(Rates!N62)</f>
        <v>0.297766735112936</v>
      </c>
    </row>
    <row r="41" customFormat="false" ht="12.75" hidden="false" customHeight="false" outlineLevel="0" collapsed="false">
      <c r="A41" s="288"/>
      <c r="E41" s="282"/>
      <c r="G41" s="232"/>
      <c r="H41" s="289"/>
      <c r="J41" s="278"/>
      <c r="K41" s="278"/>
    </row>
    <row r="42" customFormat="false" ht="12.75" hidden="false" customHeight="false" outlineLevel="0" collapsed="false">
      <c r="F42" s="221" t="s">
        <v>495</v>
      </c>
      <c r="G42" s="222"/>
      <c r="H42" s="222"/>
      <c r="I42" s="222"/>
      <c r="J42" s="223"/>
    </row>
    <row r="43" customFormat="false" ht="12.75" hidden="false" customHeight="false" outlineLevel="0" collapsed="false">
      <c r="A43" s="221" t="s">
        <v>496</v>
      </c>
      <c r="B43" s="290" t="s">
        <v>497</v>
      </c>
      <c r="C43" s="290" t="s">
        <v>498</v>
      </c>
      <c r="D43" s="290" t="s">
        <v>499</v>
      </c>
      <c r="E43" s="290" t="s">
        <v>500</v>
      </c>
      <c r="F43" s="226"/>
      <c r="G43" s="193" t="s">
        <v>501</v>
      </c>
      <c r="H43" s="193" t="s">
        <v>502</v>
      </c>
      <c r="I43" s="227" t="s">
        <v>503</v>
      </c>
      <c r="J43" s="228" t="s">
        <v>504</v>
      </c>
    </row>
    <row r="44" customFormat="false" ht="12.75" hidden="false" customHeight="false" outlineLevel="0" collapsed="false">
      <c r="A44" s="250"/>
      <c r="B44" s="251" t="n">
        <f aca="false">+Rates!Q17</f>
        <v>0.0667959390862944</v>
      </c>
      <c r="C44" s="251" t="n">
        <f aca="false">SUM(Rates!Q22)</f>
        <v>0.0687959390862944</v>
      </c>
      <c r="D44" s="251" t="n">
        <f aca="false">SUM(Rates!Q27)</f>
        <v>0.101852405322415</v>
      </c>
      <c r="E44" s="251" t="n">
        <f aca="false">SUM(Rates!Q32)</f>
        <v>0.120492402464066</v>
      </c>
      <c r="F44" s="242" t="s">
        <v>505</v>
      </c>
      <c r="G44" s="277" t="n">
        <f aca="false">+Rates!AF17</f>
        <v>0.0237862497494486</v>
      </c>
      <c r="H44" s="291" t="n">
        <f aca="false">0.0075+G49</f>
        <v>0.0075</v>
      </c>
      <c r="I44" s="292" t="n">
        <f aca="false">+Rates!AF35</f>
        <v>0.0861882412775912</v>
      </c>
      <c r="J44" s="293" t="n">
        <f aca="false">+Rates!AF23</f>
        <v>0.133952363337443</v>
      </c>
    </row>
    <row r="45" customFormat="false" ht="12.75" hidden="false" customHeight="false" outlineLevel="0" collapsed="false">
      <c r="F45" s="250" t="n">
        <v>1</v>
      </c>
      <c r="G45" s="252"/>
      <c r="H45" s="252"/>
      <c r="I45" s="252"/>
      <c r="J45" s="294" t="n">
        <f aca="false">SUM(Rates!AF29)</f>
        <v>0.131152363337443</v>
      </c>
    </row>
    <row r="46" customFormat="false" ht="12.75" hidden="false" customHeight="false" outlineLevel="0" collapsed="false">
      <c r="I46" s="295"/>
      <c r="J46" s="193"/>
      <c r="K46" s="193"/>
      <c r="L46" s="193"/>
      <c r="M46" s="193"/>
    </row>
    <row r="47" customFormat="false" ht="12.75" hidden="false" customHeight="false" outlineLevel="0" collapsed="false">
      <c r="A47" s="221" t="s">
        <v>506</v>
      </c>
      <c r="B47" s="222"/>
      <c r="C47" s="222"/>
      <c r="D47" s="222"/>
      <c r="E47" s="223"/>
      <c r="F47" s="135"/>
      <c r="I47" s="221" t="s">
        <v>507</v>
      </c>
      <c r="J47" s="222"/>
      <c r="K47" s="222"/>
      <c r="L47" s="223"/>
      <c r="M47" s="193"/>
    </row>
    <row r="48" customFormat="false" ht="13.5" hidden="false" customHeight="false" outlineLevel="0" collapsed="false">
      <c r="A48" s="231"/>
      <c r="B48" s="227" t="s">
        <v>508</v>
      </c>
      <c r="C48" s="227" t="s">
        <v>509</v>
      </c>
      <c r="D48" s="227" t="s">
        <v>213</v>
      </c>
      <c r="E48" s="228"/>
      <c r="I48" s="226"/>
      <c r="J48" s="295" t="s">
        <v>510</v>
      </c>
      <c r="K48" s="193"/>
      <c r="L48" s="296" t="s">
        <v>511</v>
      </c>
      <c r="M48" s="193"/>
    </row>
    <row r="49" customFormat="false" ht="13.5" hidden="false" customHeight="false" outlineLevel="0" collapsed="false">
      <c r="A49" s="236" t="s">
        <v>508</v>
      </c>
      <c r="B49" s="232" t="n">
        <f aca="false">+Rates!T32</f>
        <v>0.106131283978655</v>
      </c>
      <c r="C49" s="232" t="n">
        <f aca="false">+C50+B49</f>
        <v>0.16525433195797</v>
      </c>
      <c r="D49" s="232" t="n">
        <f aca="false">SUM(Rates!T27,Rates!T37,Rates!T32)</f>
        <v>0.283406791311747</v>
      </c>
      <c r="E49" s="233"/>
      <c r="F49" s="219"/>
      <c r="G49" s="232"/>
      <c r="H49" s="297"/>
      <c r="I49" s="298" t="n">
        <v>41101</v>
      </c>
      <c r="J49" s="299" t="s">
        <v>512</v>
      </c>
      <c r="K49" s="300" t="n">
        <v>20500</v>
      </c>
      <c r="L49" s="301" t="s">
        <v>513</v>
      </c>
      <c r="M49" s="193"/>
    </row>
    <row r="50" customFormat="false" ht="12.75" hidden="false" customHeight="false" outlineLevel="0" collapsed="false">
      <c r="A50" s="236" t="s">
        <v>509</v>
      </c>
      <c r="B50" s="232"/>
      <c r="C50" s="232" t="n">
        <f aca="false">+Rates!T37</f>
        <v>0.0591230479793151</v>
      </c>
      <c r="D50" s="232" t="n">
        <f aca="false">+Rates!T37+Rates!T27</f>
        <v>0.177275507333092</v>
      </c>
      <c r="E50" s="233"/>
      <c r="I50" s="302" t="n">
        <v>40120</v>
      </c>
      <c r="J50" s="303" t="s">
        <v>514</v>
      </c>
      <c r="K50" s="304" t="n">
        <v>20550</v>
      </c>
      <c r="L50" s="305" t="s">
        <v>515</v>
      </c>
      <c r="M50" s="193"/>
    </row>
    <row r="51" customFormat="false" ht="12.75" hidden="false" customHeight="false" outlineLevel="0" collapsed="false">
      <c r="A51" s="236" t="s">
        <v>516</v>
      </c>
      <c r="B51" s="232"/>
      <c r="C51" s="232"/>
      <c r="D51" s="232" t="n">
        <f aca="false">+Rates!T27</f>
        <v>0.118152459353777</v>
      </c>
      <c r="E51" s="233"/>
      <c r="F51" s="232"/>
      <c r="G51" s="232"/>
      <c r="I51" s="302" t="n">
        <v>40114</v>
      </c>
      <c r="J51" s="303" t="s">
        <v>517</v>
      </c>
      <c r="K51" s="304" t="n">
        <v>20600</v>
      </c>
      <c r="L51" s="305" t="s">
        <v>518</v>
      </c>
      <c r="M51" s="193"/>
    </row>
    <row r="52" customFormat="false" ht="12.75" hidden="false" customHeight="false" outlineLevel="0" collapsed="false">
      <c r="A52" s="306"/>
      <c r="B52" s="263" t="s">
        <v>519</v>
      </c>
      <c r="C52" s="263"/>
      <c r="D52" s="263"/>
      <c r="E52" s="267"/>
      <c r="F52" s="232"/>
      <c r="G52" s="232"/>
      <c r="I52" s="302" t="n">
        <v>40206</v>
      </c>
      <c r="J52" s="303" t="s">
        <v>520</v>
      </c>
      <c r="K52" s="304" t="n">
        <v>20700</v>
      </c>
      <c r="L52" s="305" t="s">
        <v>521</v>
      </c>
      <c r="M52" s="193"/>
    </row>
    <row r="53" customFormat="false" ht="12.75" hidden="false" customHeight="false" outlineLevel="0" collapsed="false">
      <c r="I53" s="302" t="n">
        <v>40301</v>
      </c>
      <c r="J53" s="303" t="s">
        <v>522</v>
      </c>
      <c r="K53" s="304" t="n">
        <v>21100</v>
      </c>
      <c r="L53" s="305" t="s">
        <v>523</v>
      </c>
      <c r="M53" s="193"/>
    </row>
    <row r="54" customFormat="false" ht="13.5" hidden="false" customHeight="false" outlineLevel="0" collapsed="false">
      <c r="F54" s="307"/>
      <c r="I54" s="302"/>
      <c r="J54" s="303"/>
      <c r="K54" s="304" t="n">
        <v>20100</v>
      </c>
      <c r="L54" s="305" t="s">
        <v>524</v>
      </c>
      <c r="M54" s="193"/>
    </row>
    <row r="55" customFormat="false" ht="13.5" hidden="false" customHeight="false" outlineLevel="0" collapsed="false">
      <c r="A55" s="308" t="s">
        <v>525</v>
      </c>
      <c r="B55" s="309"/>
      <c r="C55" s="309"/>
      <c r="D55" s="309"/>
      <c r="E55" s="309"/>
      <c r="F55" s="310" t="n">
        <f aca="false">Rates!A1</f>
        <v>36658</v>
      </c>
      <c r="G55" s="311"/>
      <c r="H55" s="193"/>
      <c r="I55" s="312"/>
      <c r="J55" s="313"/>
      <c r="K55" s="314" t="n">
        <v>20200</v>
      </c>
      <c r="L55" s="315" t="s">
        <v>526</v>
      </c>
      <c r="M55" s="193"/>
    </row>
    <row r="56" customFormat="false" ht="12.75" hidden="false" customHeight="false" outlineLevel="0" collapsed="false">
      <c r="A56" s="289" t="s">
        <v>527</v>
      </c>
      <c r="B56" s="282" t="n">
        <f aca="false">+Rates!B6</f>
        <v>3.51</v>
      </c>
      <c r="D56" s="219" t="s">
        <v>528</v>
      </c>
      <c r="E56" s="282" t="n">
        <f aca="false">Rates!T3</f>
        <v>3.35</v>
      </c>
      <c r="F56" s="316" t="str">
        <f aca="false">Rates!A2</f>
        <v>Gas Daily </v>
      </c>
      <c r="I56" s="303"/>
      <c r="J56" s="303"/>
      <c r="K56" s="303"/>
      <c r="L56" s="303"/>
      <c r="M56" s="193"/>
    </row>
    <row r="57" customFormat="false" ht="13.5" hidden="false" customHeight="false" outlineLevel="0" collapsed="false">
      <c r="A57" s="227" t="s">
        <v>529</v>
      </c>
      <c r="B57" s="317" t="n">
        <f aca="false">+Rates!B5</f>
        <v>3.55</v>
      </c>
      <c r="C57" s="227"/>
      <c r="D57" s="261" t="s">
        <v>530</v>
      </c>
      <c r="E57" s="282" t="n">
        <f aca="false">Rates!T4</f>
        <v>3.41</v>
      </c>
      <c r="F57" s="318" t="str">
        <f aca="false">Rates!B2</f>
        <v>Even</v>
      </c>
      <c r="I57" s="303"/>
      <c r="J57" s="303"/>
      <c r="K57" s="303"/>
      <c r="L57" s="303"/>
      <c r="M57" s="193"/>
    </row>
    <row r="58" customFormat="false" ht="14.25" hidden="false" customHeight="false" outlineLevel="0" collapsed="false">
      <c r="A58" s="227" t="s">
        <v>531</v>
      </c>
      <c r="B58" s="282" t="n">
        <f aca="false">Rates!B4</f>
        <v>3.56</v>
      </c>
      <c r="C58" s="232"/>
      <c r="D58" s="237" t="s">
        <v>532</v>
      </c>
      <c r="E58" s="282" t="n">
        <f aca="false">+Rates!AF3</f>
        <v>3.35</v>
      </c>
      <c r="I58" s="319" t="s">
        <v>533</v>
      </c>
      <c r="J58" s="320" t="s">
        <v>534</v>
      </c>
      <c r="K58" s="321" t="n">
        <f aca="false">+Rates!AR35</f>
        <v>0.081230612244898</v>
      </c>
      <c r="L58" s="322" t="s">
        <v>35</v>
      </c>
      <c r="M58" s="193"/>
    </row>
    <row r="59" customFormat="false" ht="13.5" hidden="false" customHeight="false" outlineLevel="0" collapsed="false">
      <c r="A59" s="289" t="s">
        <v>535</v>
      </c>
      <c r="B59" s="282" t="n">
        <f aca="false">Rates!B3</f>
        <v>3.56</v>
      </c>
      <c r="C59" s="232"/>
      <c r="D59" s="1" t="s">
        <v>536</v>
      </c>
      <c r="E59" s="282" t="n">
        <f aca="false">+Rates!H4</f>
        <v>3.295</v>
      </c>
      <c r="I59" s="303"/>
      <c r="J59" s="303"/>
      <c r="K59" s="303"/>
      <c r="L59" s="303"/>
      <c r="M59" s="193"/>
    </row>
    <row r="60" customFormat="false" ht="12.75" hidden="false" customHeight="false" outlineLevel="0" collapsed="false">
      <c r="A60" s="289" t="s">
        <v>537</v>
      </c>
      <c r="B60" s="282" t="n">
        <f aca="false">Rates!B7</f>
        <v>3.5</v>
      </c>
      <c r="C60" s="232"/>
      <c r="D60" s="219" t="s">
        <v>538</v>
      </c>
      <c r="E60" s="282" t="n">
        <f aca="false">+Rates!H5</f>
        <v>3.505</v>
      </c>
      <c r="I60" s="303"/>
      <c r="J60" s="303"/>
      <c r="K60" s="303"/>
      <c r="L60" s="303"/>
      <c r="M60" s="193"/>
    </row>
    <row r="61" customFormat="false" ht="12.75" hidden="false" customHeight="false" outlineLevel="0" collapsed="false">
      <c r="A61" s="227" t="s">
        <v>340</v>
      </c>
      <c r="B61" s="282" t="n">
        <f aca="false">Rates!K5</f>
        <v>3.265</v>
      </c>
      <c r="D61" s="237" t="s">
        <v>539</v>
      </c>
      <c r="E61" s="282" t="n">
        <f aca="false">Rates!Z3</f>
        <v>3.575</v>
      </c>
      <c r="I61" s="303"/>
      <c r="J61" s="303"/>
      <c r="K61" s="303"/>
      <c r="L61" s="303"/>
      <c r="M61" s="193"/>
    </row>
    <row r="62" customFormat="false" ht="12.75" hidden="false" customHeight="false" outlineLevel="0" collapsed="false">
      <c r="A62" s="227" t="s">
        <v>540</v>
      </c>
      <c r="B62" s="282" t="n">
        <f aca="false">Rates!K4</f>
        <v>3.3</v>
      </c>
      <c r="D62" s="237" t="s">
        <v>46</v>
      </c>
      <c r="E62" s="282" t="n">
        <f aca="false">Rates!W3</f>
        <v>3.51</v>
      </c>
      <c r="I62" s="303"/>
      <c r="J62" s="303"/>
      <c r="K62" s="303"/>
      <c r="L62" s="303"/>
      <c r="M62" s="193"/>
    </row>
    <row r="63" customFormat="false" ht="12.75" hidden="false" customHeight="false" outlineLevel="0" collapsed="false">
      <c r="A63" s="289" t="s">
        <v>347</v>
      </c>
      <c r="B63" s="282" t="n">
        <f aca="false">Rates!K3</f>
        <v>3.3</v>
      </c>
      <c r="D63" s="219" t="s">
        <v>84</v>
      </c>
      <c r="E63" s="282" t="n">
        <f aca="false">Rates!AI3</f>
        <v>3.525</v>
      </c>
      <c r="I63" s="303"/>
      <c r="J63" s="303"/>
      <c r="K63" s="303"/>
      <c r="L63" s="303"/>
      <c r="M63" s="193"/>
    </row>
    <row r="64" customFormat="false" ht="12.75" hidden="false" customHeight="false" outlineLevel="0" collapsed="false">
      <c r="A64" s="289" t="s">
        <v>494</v>
      </c>
      <c r="B64" s="282" t="n">
        <f aca="false">Rates!K6</f>
        <v>3.395</v>
      </c>
      <c r="E64" s="282"/>
      <c r="I64" s="303"/>
      <c r="J64" s="303"/>
      <c r="K64" s="303"/>
      <c r="L64" s="303"/>
      <c r="M64" s="193"/>
    </row>
    <row r="65" customFormat="false" ht="12.75" hidden="false" customHeight="false" outlineLevel="0" collapsed="false">
      <c r="A65" s="289" t="s">
        <v>241</v>
      </c>
      <c r="B65" s="282" t="n">
        <f aca="false">Rates!K7</f>
        <v>3.655</v>
      </c>
      <c r="E65" s="282"/>
      <c r="I65" s="303"/>
      <c r="J65" s="303"/>
      <c r="K65" s="303"/>
      <c r="L65" s="303"/>
      <c r="M65" s="193"/>
    </row>
    <row r="66" customFormat="false" ht="12.75" hidden="false" customHeight="false" outlineLevel="0" collapsed="false">
      <c r="I66" s="303"/>
      <c r="J66" s="303"/>
      <c r="K66" s="303"/>
      <c r="L66" s="303"/>
      <c r="M66" s="193"/>
    </row>
    <row r="67" customFormat="false" ht="12.75" hidden="false" customHeight="false" outlineLevel="0" collapsed="false">
      <c r="I67" s="303"/>
      <c r="J67" s="303"/>
      <c r="K67" s="303"/>
      <c r="L67" s="303"/>
      <c r="M67" s="193"/>
    </row>
    <row r="68" customFormat="false" ht="12.75" hidden="false" customHeight="false" outlineLevel="0" collapsed="false">
      <c r="I68" s="295"/>
      <c r="J68" s="193"/>
      <c r="K68" s="193"/>
      <c r="L68" s="193"/>
      <c r="M68" s="193"/>
    </row>
    <row r="69" customFormat="false" ht="12.75" hidden="false" customHeight="false" outlineLevel="0" collapsed="false">
      <c r="I69" s="193"/>
      <c r="J69" s="295"/>
      <c r="K69" s="193"/>
      <c r="L69" s="295"/>
      <c r="M69" s="193"/>
    </row>
    <row r="70" customFormat="false" ht="12.75" hidden="false" customHeight="false" outlineLevel="0" collapsed="false">
      <c r="I70" s="303"/>
      <c r="J70" s="303"/>
      <c r="K70" s="303"/>
      <c r="L70" s="303"/>
      <c r="M70" s="193"/>
    </row>
    <row r="71" customFormat="false" ht="12.75" hidden="false" customHeight="false" outlineLevel="0" collapsed="false">
      <c r="I71" s="303"/>
      <c r="J71" s="303"/>
      <c r="K71" s="303"/>
      <c r="L71" s="303"/>
      <c r="M71" s="193"/>
    </row>
    <row r="72" customFormat="false" ht="12.75" hidden="false" customHeight="false" outlineLevel="0" collapsed="false">
      <c r="I72" s="303"/>
      <c r="J72" s="303"/>
      <c r="K72" s="303"/>
      <c r="L72" s="303"/>
      <c r="M72" s="193"/>
    </row>
    <row r="73" customFormat="false" ht="12.75" hidden="false" customHeight="false" outlineLevel="0" collapsed="false">
      <c r="I73" s="303"/>
      <c r="J73" s="303"/>
      <c r="K73" s="303"/>
      <c r="L73" s="303"/>
      <c r="M73" s="193"/>
    </row>
    <row r="74" customFormat="false" ht="12.75" hidden="false" customHeight="false" outlineLevel="0" collapsed="false">
      <c r="I74" s="303"/>
      <c r="J74" s="303"/>
      <c r="K74" s="303"/>
      <c r="L74" s="303"/>
      <c r="M74" s="193"/>
    </row>
    <row r="75" customFormat="false" ht="12.75" hidden="false" customHeight="false" outlineLevel="0" collapsed="false">
      <c r="I75" s="303"/>
      <c r="J75" s="303"/>
      <c r="K75" s="303"/>
      <c r="L75" s="303"/>
      <c r="M75" s="193"/>
    </row>
    <row r="76" customFormat="false" ht="12.75" hidden="false" customHeight="false" outlineLevel="0" collapsed="false">
      <c r="I76" s="303"/>
      <c r="J76" s="303"/>
      <c r="K76" s="303"/>
      <c r="L76" s="303"/>
      <c r="M76" s="193"/>
    </row>
    <row r="77" customFormat="false" ht="12.75" hidden="false" customHeight="false" outlineLevel="0" collapsed="false">
      <c r="I77" s="323"/>
      <c r="J77" s="323"/>
      <c r="K77" s="323"/>
      <c r="L77" s="323"/>
    </row>
    <row r="78" customFormat="false" ht="12.75" hidden="false" customHeight="false" outlineLevel="0" collapsed="false">
      <c r="I78" s="323"/>
      <c r="J78" s="323"/>
      <c r="K78" s="323"/>
      <c r="L78" s="323"/>
    </row>
    <row r="79" customFormat="false" ht="12.75" hidden="false" customHeight="false" outlineLevel="0" collapsed="false">
      <c r="I79" s="323"/>
      <c r="J79" s="323"/>
      <c r="K79" s="323"/>
      <c r="L79" s="323"/>
    </row>
    <row r="80" customFormat="false" ht="12.75" hidden="false" customHeight="false" outlineLevel="0" collapsed="false">
      <c r="I80" s="323"/>
      <c r="J80" s="323"/>
      <c r="K80" s="323"/>
      <c r="L80" s="323"/>
    </row>
    <row r="81" customFormat="false" ht="12.75" hidden="false" customHeight="false" outlineLevel="0" collapsed="false">
      <c r="I81" s="323"/>
      <c r="J81" s="323"/>
      <c r="K81" s="323"/>
      <c r="L81" s="3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&amp;C&amp;14May Rates Using Current Cash Prices</oddHeader>
    <oddFooter>&amp;L&amp;D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104" activePane="bottomLeft" state="frozen"/>
      <selection pane="topLeft" activeCell="A1" activeCellId="0" sqref="A1"/>
      <selection pane="bottomLeft" activeCell="B122" activeCellId="0" sqref="B1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11.85"/>
    <col collapsed="false" customWidth="true" hidden="false" outlineLevel="0" max="2" min="2" style="27" width="10.85"/>
    <col collapsed="false" customWidth="true" hidden="false" outlineLevel="0" max="3" min="3" style="27" width="3.99"/>
    <col collapsed="false" customWidth="true" hidden="false" outlineLevel="0" max="4" min="4" style="27" width="11.85"/>
    <col collapsed="false" customWidth="true" hidden="false" outlineLevel="0" max="5" min="5" style="27" width="11.99"/>
    <col collapsed="false" customWidth="true" hidden="false" outlineLevel="0" max="6" min="6" style="27" width="2.84"/>
    <col collapsed="false" customWidth="true" hidden="false" outlineLevel="0" max="8" min="7" style="208" width="10.85"/>
    <col collapsed="false" customWidth="true" hidden="false" outlineLevel="0" max="9" min="9" style="27" width="2.84"/>
    <col collapsed="false" customWidth="true" hidden="false" outlineLevel="0" max="11" min="10" style="208" width="10.85"/>
    <col collapsed="false" customWidth="true" hidden="false" outlineLevel="0" max="12" min="12" style="27" width="2.84"/>
    <col collapsed="false" customWidth="true" hidden="false" outlineLevel="0" max="14" min="13" style="208" width="10.85"/>
    <col collapsed="false" customWidth="true" hidden="false" outlineLevel="0" max="15" min="15" style="27" width="2.84"/>
    <col collapsed="false" customWidth="true" hidden="false" outlineLevel="0" max="17" min="16" style="324" width="10.85"/>
    <col collapsed="false" customWidth="true" hidden="false" outlineLevel="0" max="18" min="18" style="324" width="2.84"/>
    <col collapsed="false" customWidth="true" hidden="false" outlineLevel="0" max="20" min="19" style="27" width="10.85"/>
    <col collapsed="false" customWidth="true" hidden="false" outlineLevel="0" max="21" min="21" style="27" width="2.84"/>
    <col collapsed="false" customWidth="true" hidden="false" outlineLevel="0" max="23" min="22" style="27" width="10.85"/>
    <col collapsed="false" customWidth="true" hidden="false" outlineLevel="0" max="24" min="24" style="27" width="2.84"/>
    <col collapsed="false" customWidth="true" hidden="false" outlineLevel="0" max="26" min="25" style="27" width="10.85"/>
    <col collapsed="false" customWidth="true" hidden="false" outlineLevel="0" max="27" min="27" style="27" width="3.42"/>
    <col collapsed="false" customWidth="false" hidden="false" outlineLevel="0" max="29" min="28" style="208" width="9.14"/>
    <col collapsed="false" customWidth="true" hidden="false" outlineLevel="0" max="30" min="30" style="27" width="3.42"/>
    <col collapsed="false" customWidth="false" hidden="false" outlineLevel="0" max="32" min="31" style="325" width="9.14"/>
    <col collapsed="false" customWidth="true" hidden="false" outlineLevel="0" max="33" min="33" style="27" width="3.42"/>
    <col collapsed="false" customWidth="false" hidden="false" outlineLevel="0" max="35" min="34" style="27" width="9.14"/>
    <col collapsed="false" customWidth="true" hidden="false" outlineLevel="0" max="36" min="36" style="27" width="3.42"/>
    <col collapsed="false" customWidth="false" hidden="false" outlineLevel="0" max="38" min="37" style="27" width="9.14"/>
    <col collapsed="false" customWidth="true" hidden="false" outlineLevel="0" max="39" min="39" style="27" width="3.42"/>
    <col collapsed="false" customWidth="false" hidden="false" outlineLevel="0" max="41" min="40" style="27" width="9.14"/>
    <col collapsed="false" customWidth="true" hidden="false" outlineLevel="0" max="42" min="42" style="27" width="3.42"/>
    <col collapsed="false" customWidth="false" hidden="false" outlineLevel="0" max="257" min="43" style="27" width="9.14"/>
  </cols>
  <sheetData>
    <row r="1" customFormat="false" ht="13.5" hidden="false" customHeight="false" outlineLevel="0" collapsed="false">
      <c r="A1" s="326" t="n">
        <v>36658</v>
      </c>
      <c r="AK1" s="27" t="s">
        <v>541</v>
      </c>
    </row>
    <row r="2" customFormat="false" ht="13.5" hidden="false" customHeight="false" outlineLevel="0" collapsed="false">
      <c r="A2" s="327" t="s">
        <v>542</v>
      </c>
      <c r="B2" s="328" t="s">
        <v>543</v>
      </c>
      <c r="C2" s="327"/>
      <c r="D2" s="329"/>
      <c r="E2" s="330" t="s">
        <v>544</v>
      </c>
      <c r="F2" s="327"/>
      <c r="G2" s="331" t="s">
        <v>1</v>
      </c>
      <c r="H2" s="331"/>
      <c r="I2" s="331"/>
      <c r="J2" s="331"/>
      <c r="K2" s="332"/>
      <c r="L2" s="327"/>
      <c r="M2" s="331"/>
      <c r="N2" s="330" t="s">
        <v>544</v>
      </c>
      <c r="O2" s="327"/>
      <c r="P2" s="333"/>
      <c r="Q2" s="334"/>
      <c r="R2" s="333"/>
      <c r="S2" s="327"/>
      <c r="T2" s="335"/>
      <c r="U2" s="327"/>
      <c r="V2" s="327"/>
      <c r="W2" s="335"/>
      <c r="X2" s="327" t="s">
        <v>1</v>
      </c>
      <c r="Y2" s="327" t="s">
        <v>1</v>
      </c>
      <c r="Z2" s="327" t="s">
        <v>1</v>
      </c>
      <c r="AL2" s="336" t="s">
        <v>545</v>
      </c>
      <c r="AO2" s="336" t="s">
        <v>545</v>
      </c>
    </row>
    <row r="3" customFormat="false" ht="12.75" hidden="false" customHeight="false" outlineLevel="0" collapsed="false">
      <c r="A3" s="337" t="s">
        <v>546</v>
      </c>
      <c r="B3" s="338" t="n">
        <v>3.56</v>
      </c>
      <c r="C3" s="327"/>
      <c r="D3" s="337" t="s">
        <v>546</v>
      </c>
      <c r="E3" s="339" t="n">
        <f aca="false">+B3</f>
        <v>3.56</v>
      </c>
      <c r="F3" s="327"/>
      <c r="G3" s="340" t="s">
        <v>547</v>
      </c>
      <c r="H3" s="341" t="n">
        <v>3.255</v>
      </c>
      <c r="I3" s="327"/>
      <c r="J3" s="342" t="s">
        <v>548</v>
      </c>
      <c r="K3" s="343" t="n">
        <v>3.3</v>
      </c>
      <c r="L3" s="327"/>
      <c r="M3" s="342" t="s">
        <v>548</v>
      </c>
      <c r="N3" s="339" t="n">
        <v>2.87</v>
      </c>
      <c r="O3" s="327"/>
      <c r="P3" s="344" t="s">
        <v>549</v>
      </c>
      <c r="Q3" s="345" t="n">
        <v>3.375</v>
      </c>
      <c r="R3" s="333" t="s">
        <v>1</v>
      </c>
      <c r="S3" s="337" t="s">
        <v>550</v>
      </c>
      <c r="T3" s="346" t="n">
        <v>3.35</v>
      </c>
      <c r="U3" s="327" t="s">
        <v>1</v>
      </c>
      <c r="V3" s="337" t="s">
        <v>46</v>
      </c>
      <c r="W3" s="346" t="n">
        <v>3.51</v>
      </c>
      <c r="X3" s="327"/>
      <c r="Y3" s="337" t="s">
        <v>551</v>
      </c>
      <c r="Z3" s="346" t="n">
        <v>3.575</v>
      </c>
      <c r="AB3" s="342" t="s">
        <v>241</v>
      </c>
      <c r="AC3" s="347" t="n">
        <f aca="false">K7</f>
        <v>3.655</v>
      </c>
      <c r="AE3" s="348" t="s">
        <v>552</v>
      </c>
      <c r="AF3" s="349" t="n">
        <v>3.35</v>
      </c>
      <c r="AH3" s="337" t="s">
        <v>553</v>
      </c>
      <c r="AI3" s="346" t="n">
        <v>3.525</v>
      </c>
      <c r="AK3" s="337" t="s">
        <v>48</v>
      </c>
      <c r="AL3" s="350" t="n">
        <f aca="false">+Z3</f>
        <v>3.575</v>
      </c>
      <c r="AN3" s="337" t="s">
        <v>554</v>
      </c>
      <c r="AO3" s="350" t="n">
        <f aca="false">+H3</f>
        <v>3.255</v>
      </c>
      <c r="AQ3" s="337" t="s">
        <v>533</v>
      </c>
      <c r="AR3" s="345" t="n">
        <f aca="false">H5</f>
        <v>3.505</v>
      </c>
    </row>
    <row r="4" customFormat="false" ht="12.75" hidden="false" customHeight="false" outlineLevel="0" collapsed="false">
      <c r="A4" s="337" t="s">
        <v>555</v>
      </c>
      <c r="B4" s="351" t="n">
        <v>3.56</v>
      </c>
      <c r="C4" s="227"/>
      <c r="D4" s="337" t="s">
        <v>555</v>
      </c>
      <c r="E4" s="339" t="n">
        <f aca="false">+B4</f>
        <v>3.56</v>
      </c>
      <c r="F4" s="227"/>
      <c r="G4" s="340" t="s">
        <v>556</v>
      </c>
      <c r="H4" s="352" t="n">
        <v>3.295</v>
      </c>
      <c r="I4" s="327"/>
      <c r="J4" s="342" t="s">
        <v>557</v>
      </c>
      <c r="K4" s="343" t="n">
        <v>3.3</v>
      </c>
      <c r="L4" s="327"/>
      <c r="M4" s="342" t="s">
        <v>557</v>
      </c>
      <c r="N4" s="339" t="n">
        <f aca="false">+K4</f>
        <v>3.3</v>
      </c>
      <c r="O4" s="327"/>
      <c r="P4" s="344"/>
      <c r="Q4" s="345"/>
      <c r="R4" s="333"/>
      <c r="S4" s="337" t="s">
        <v>558</v>
      </c>
      <c r="T4" s="346" t="n">
        <v>3.41</v>
      </c>
      <c r="U4" s="327"/>
      <c r="V4" s="337"/>
      <c r="W4" s="346" t="n">
        <f aca="false">+W17+W3</f>
        <v>3.61107000081786</v>
      </c>
      <c r="X4" s="327"/>
      <c r="Y4" s="327"/>
      <c r="Z4" s="327"/>
      <c r="AB4" s="353" t="s">
        <v>559</v>
      </c>
      <c r="AE4" s="348" t="s">
        <v>560</v>
      </c>
      <c r="AQ4" s="27" t="s">
        <v>278</v>
      </c>
    </row>
    <row r="5" customFormat="false" ht="12.75" hidden="false" customHeight="false" outlineLevel="0" collapsed="false">
      <c r="A5" s="337" t="s">
        <v>561</v>
      </c>
      <c r="B5" s="354" t="n">
        <v>3.55</v>
      </c>
      <c r="C5" s="232"/>
      <c r="D5" s="337" t="s">
        <v>561</v>
      </c>
      <c r="E5" s="339" t="n">
        <f aca="false">+B5</f>
        <v>3.55</v>
      </c>
      <c r="F5" s="232"/>
      <c r="G5" s="340" t="s">
        <v>278</v>
      </c>
      <c r="H5" s="355" t="n">
        <v>3.505</v>
      </c>
      <c r="I5" s="327"/>
      <c r="J5" s="342" t="s">
        <v>562</v>
      </c>
      <c r="K5" s="343" t="n">
        <v>3.265</v>
      </c>
      <c r="L5" s="327"/>
      <c r="M5" s="342" t="s">
        <v>562</v>
      </c>
      <c r="N5" s="339" t="n">
        <f aca="false">+K5</f>
        <v>3.265</v>
      </c>
      <c r="O5" s="327"/>
      <c r="P5" s="344"/>
      <c r="Q5" s="334"/>
      <c r="R5" s="333"/>
      <c r="S5" s="337"/>
      <c r="T5" s="335"/>
      <c r="U5" s="327"/>
      <c r="V5" s="337"/>
      <c r="W5" s="335"/>
      <c r="X5" s="327"/>
      <c r="Y5" s="327"/>
      <c r="Z5" s="356"/>
    </row>
    <row r="6" customFormat="false" ht="12.75" hidden="false" customHeight="false" outlineLevel="0" collapsed="false">
      <c r="A6" s="357" t="s">
        <v>563</v>
      </c>
      <c r="B6" s="354" t="n">
        <v>3.51</v>
      </c>
      <c r="C6" s="232"/>
      <c r="D6" s="357" t="s">
        <v>563</v>
      </c>
      <c r="E6" s="339" t="n">
        <f aca="false">+B6</f>
        <v>3.51</v>
      </c>
      <c r="F6" s="232"/>
      <c r="G6" s="189"/>
      <c r="H6" s="189"/>
      <c r="I6" s="358"/>
      <c r="J6" s="340" t="s">
        <v>564</v>
      </c>
      <c r="K6" s="359" t="n">
        <v>3.395</v>
      </c>
      <c r="L6" s="358"/>
      <c r="M6" s="340" t="s">
        <v>564</v>
      </c>
      <c r="N6" s="339" t="n">
        <f aca="false">+K6</f>
        <v>3.395</v>
      </c>
      <c r="O6" s="358"/>
      <c r="P6" s="360"/>
      <c r="Q6" s="361"/>
      <c r="R6" s="362"/>
      <c r="S6" s="357"/>
      <c r="T6" s="363" t="n">
        <f aca="false">+T4-T3</f>
        <v>0.0600000000000001</v>
      </c>
      <c r="U6" s="358"/>
      <c r="V6" s="357"/>
      <c r="W6" s="363"/>
      <c r="X6" s="358"/>
      <c r="Y6" s="358"/>
      <c r="Z6" s="363"/>
      <c r="AA6" s="193"/>
      <c r="AB6" s="189"/>
      <c r="AC6" s="189"/>
      <c r="AD6" s="193"/>
      <c r="AE6" s="364"/>
      <c r="AF6" s="364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  <c r="IT6" s="193"/>
      <c r="IU6" s="193"/>
      <c r="IV6" s="193"/>
      <c r="IW6" s="193"/>
    </row>
    <row r="7" customFormat="false" ht="12.75" hidden="false" customHeight="false" outlineLevel="0" collapsed="false">
      <c r="A7" s="365" t="s">
        <v>565</v>
      </c>
      <c r="B7" s="354" t="n">
        <v>3.5</v>
      </c>
      <c r="C7" s="232"/>
      <c r="D7" s="365" t="s">
        <v>565</v>
      </c>
      <c r="E7" s="339" t="n">
        <f aca="false">+B7</f>
        <v>3.5</v>
      </c>
      <c r="F7" s="232"/>
      <c r="G7" s="366"/>
      <c r="H7" s="366"/>
      <c r="I7" s="367"/>
      <c r="J7" s="368" t="s">
        <v>241</v>
      </c>
      <c r="K7" s="369" t="n">
        <v>3.655</v>
      </c>
      <c r="L7" s="367"/>
      <c r="M7" s="368" t="s">
        <v>241</v>
      </c>
      <c r="N7" s="339" t="n">
        <f aca="false">+K7</f>
        <v>3.655</v>
      </c>
      <c r="O7" s="367"/>
      <c r="P7" s="370"/>
      <c r="Q7" s="371"/>
      <c r="R7" s="372"/>
      <c r="S7" s="365"/>
      <c r="T7" s="373"/>
      <c r="U7" s="367"/>
      <c r="V7" s="365"/>
      <c r="W7" s="373"/>
      <c r="X7" s="367"/>
      <c r="Y7" s="367"/>
      <c r="Z7" s="373"/>
      <c r="AA7" s="252"/>
      <c r="AB7" s="374"/>
      <c r="AC7" s="374"/>
      <c r="AD7" s="252"/>
      <c r="AE7" s="375"/>
      <c r="AF7" s="375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2"/>
      <c r="CA7" s="252"/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2"/>
      <c r="DK7" s="252"/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DW7" s="252"/>
      <c r="DX7" s="252"/>
      <c r="DY7" s="252"/>
      <c r="DZ7" s="252"/>
      <c r="EA7" s="252"/>
      <c r="EB7" s="252"/>
      <c r="EC7" s="252"/>
      <c r="ED7" s="252"/>
      <c r="EE7" s="252"/>
      <c r="EF7" s="252"/>
      <c r="EG7" s="252"/>
      <c r="EH7" s="252"/>
      <c r="EI7" s="252"/>
      <c r="EJ7" s="252"/>
      <c r="EK7" s="252"/>
      <c r="EL7" s="252"/>
      <c r="EM7" s="252"/>
      <c r="EN7" s="252"/>
      <c r="EO7" s="252"/>
      <c r="EP7" s="252"/>
      <c r="EQ7" s="252"/>
      <c r="ER7" s="252"/>
      <c r="ES7" s="252"/>
      <c r="ET7" s="252"/>
      <c r="EU7" s="252"/>
      <c r="EV7" s="252"/>
      <c r="EW7" s="252"/>
      <c r="EX7" s="252"/>
      <c r="EY7" s="252"/>
      <c r="EZ7" s="252"/>
      <c r="FA7" s="252"/>
      <c r="FB7" s="252"/>
      <c r="FC7" s="252"/>
      <c r="FD7" s="252"/>
      <c r="FE7" s="252"/>
      <c r="FF7" s="252"/>
      <c r="FG7" s="252"/>
      <c r="FH7" s="252"/>
      <c r="FI7" s="252"/>
      <c r="FJ7" s="252"/>
      <c r="FK7" s="252"/>
      <c r="FL7" s="252"/>
      <c r="FM7" s="252"/>
      <c r="FN7" s="252"/>
      <c r="FO7" s="252"/>
      <c r="FP7" s="252"/>
      <c r="FQ7" s="252"/>
      <c r="FR7" s="252"/>
      <c r="FS7" s="252"/>
      <c r="FT7" s="252"/>
      <c r="FU7" s="252"/>
      <c r="FV7" s="252"/>
      <c r="FW7" s="252"/>
      <c r="FX7" s="252"/>
      <c r="FY7" s="252"/>
      <c r="FZ7" s="252"/>
      <c r="GA7" s="252"/>
      <c r="GB7" s="252"/>
      <c r="GC7" s="252"/>
      <c r="GD7" s="252"/>
      <c r="GE7" s="252"/>
      <c r="GF7" s="252"/>
      <c r="GG7" s="252"/>
      <c r="GH7" s="252"/>
      <c r="GI7" s="252"/>
      <c r="GJ7" s="252"/>
      <c r="GK7" s="252"/>
      <c r="GL7" s="252"/>
      <c r="GM7" s="252"/>
      <c r="GN7" s="252"/>
      <c r="GO7" s="252"/>
      <c r="GP7" s="252"/>
      <c r="GQ7" s="252"/>
      <c r="GR7" s="252"/>
      <c r="GS7" s="252"/>
      <c r="GT7" s="252"/>
      <c r="GU7" s="252"/>
      <c r="GV7" s="252"/>
      <c r="GW7" s="252"/>
      <c r="GX7" s="252"/>
      <c r="GY7" s="252"/>
      <c r="GZ7" s="252"/>
      <c r="HA7" s="252"/>
      <c r="HB7" s="252"/>
      <c r="HC7" s="252"/>
      <c r="HD7" s="252"/>
      <c r="HE7" s="252"/>
      <c r="HF7" s="252"/>
      <c r="HG7" s="252"/>
      <c r="HH7" s="252"/>
      <c r="HI7" s="252"/>
      <c r="HJ7" s="252"/>
      <c r="HK7" s="252"/>
      <c r="HL7" s="252"/>
      <c r="HM7" s="252"/>
      <c r="HN7" s="252"/>
      <c r="HO7" s="252"/>
      <c r="HP7" s="252"/>
      <c r="HQ7" s="252"/>
      <c r="HR7" s="252"/>
      <c r="HS7" s="252"/>
      <c r="HT7" s="252"/>
      <c r="HU7" s="252"/>
      <c r="HV7" s="252"/>
      <c r="HW7" s="252"/>
      <c r="HX7" s="252"/>
      <c r="HY7" s="252"/>
      <c r="HZ7" s="252"/>
      <c r="IA7" s="252"/>
      <c r="IB7" s="252"/>
      <c r="IC7" s="252"/>
      <c r="ID7" s="252"/>
      <c r="IE7" s="252"/>
      <c r="IF7" s="252"/>
      <c r="IG7" s="252"/>
      <c r="IH7" s="252"/>
      <c r="II7" s="252"/>
      <c r="IJ7" s="252"/>
      <c r="IK7" s="252"/>
      <c r="IL7" s="252"/>
      <c r="IM7" s="252"/>
      <c r="IN7" s="252"/>
      <c r="IO7" s="252"/>
      <c r="IP7" s="252"/>
      <c r="IQ7" s="252"/>
      <c r="IR7" s="252"/>
      <c r="IS7" s="252"/>
      <c r="IT7" s="252"/>
      <c r="IU7" s="252"/>
      <c r="IV7" s="252"/>
      <c r="IW7" s="252"/>
    </row>
    <row r="8" customFormat="false" ht="12.75" hidden="false" customHeight="false" outlineLevel="0" collapsed="false">
      <c r="A8" s="337" t="s">
        <v>566</v>
      </c>
      <c r="B8" s="232"/>
      <c r="C8" s="232"/>
      <c r="D8" s="232"/>
      <c r="E8" s="232"/>
      <c r="F8" s="232"/>
      <c r="G8" s="376" t="s">
        <v>567</v>
      </c>
      <c r="H8" s="377"/>
      <c r="I8" s="378"/>
      <c r="J8" s="379" t="s">
        <v>568</v>
      </c>
      <c r="K8" s="380"/>
      <c r="L8" s="327"/>
      <c r="M8" s="340" t="s">
        <v>569</v>
      </c>
      <c r="N8" s="359"/>
      <c r="O8" s="327"/>
      <c r="P8" s="344"/>
      <c r="Q8" s="334"/>
      <c r="R8" s="333"/>
      <c r="S8" s="378" t="s">
        <v>570</v>
      </c>
      <c r="T8" s="335"/>
      <c r="U8" s="327"/>
      <c r="V8" s="337" t="s">
        <v>571</v>
      </c>
      <c r="W8" s="335"/>
      <c r="X8" s="327"/>
      <c r="Y8" s="337" t="s">
        <v>572</v>
      </c>
      <c r="Z8" s="327"/>
      <c r="AB8" s="208" t="s">
        <v>573</v>
      </c>
      <c r="AE8" s="325" t="s">
        <v>574</v>
      </c>
      <c r="AH8" s="27" t="s">
        <v>575</v>
      </c>
      <c r="AK8" s="27" t="s">
        <v>576</v>
      </c>
      <c r="AQ8" s="27" t="s">
        <v>577</v>
      </c>
    </row>
    <row r="9" customFormat="false" ht="12.75" hidden="false" customHeight="false" outlineLevel="0" collapsed="false">
      <c r="A9" s="357" t="s">
        <v>578</v>
      </c>
      <c r="B9" s="232"/>
      <c r="C9" s="232"/>
      <c r="D9" s="232"/>
      <c r="E9" s="232"/>
      <c r="F9" s="232"/>
      <c r="G9" s="377" t="s">
        <v>579</v>
      </c>
      <c r="H9" s="377"/>
      <c r="I9" s="381"/>
      <c r="J9" s="382" t="s">
        <v>580</v>
      </c>
      <c r="K9" s="380"/>
      <c r="L9" s="327"/>
      <c r="M9" s="84" t="s">
        <v>581</v>
      </c>
      <c r="N9" s="359"/>
      <c r="O9" s="327"/>
      <c r="P9" s="383" t="s">
        <v>582</v>
      </c>
      <c r="Q9" s="361"/>
      <c r="R9" s="362"/>
      <c r="S9" s="357" t="s">
        <v>583</v>
      </c>
      <c r="T9" s="363"/>
      <c r="U9" s="358"/>
      <c r="V9" s="357" t="s">
        <v>481</v>
      </c>
      <c r="W9" s="363"/>
      <c r="X9" s="327"/>
      <c r="Y9" s="337" t="s">
        <v>481</v>
      </c>
      <c r="Z9" s="327"/>
      <c r="AB9" s="208" t="s">
        <v>584</v>
      </c>
      <c r="AE9" s="325" t="s">
        <v>585</v>
      </c>
      <c r="AH9" s="27" t="s">
        <v>586</v>
      </c>
      <c r="AK9" s="27" t="s">
        <v>587</v>
      </c>
      <c r="AQ9" s="27" t="s">
        <v>588</v>
      </c>
    </row>
    <row r="10" customFormat="false" ht="12.75" hidden="false" customHeight="false" outlineLevel="0" collapsed="false">
      <c r="A10" s="357"/>
      <c r="B10" s="232"/>
      <c r="C10" s="232"/>
      <c r="D10" s="232"/>
      <c r="E10" s="232"/>
      <c r="F10" s="232"/>
      <c r="G10" s="377" t="s">
        <v>589</v>
      </c>
      <c r="H10" s="377"/>
      <c r="I10" s="381"/>
      <c r="J10" s="384" t="s">
        <v>590</v>
      </c>
      <c r="K10" s="380"/>
      <c r="L10" s="327"/>
      <c r="M10" s="385" t="s">
        <v>590</v>
      </c>
      <c r="N10" s="359"/>
      <c r="O10" s="327"/>
      <c r="P10" s="383" t="s">
        <v>591</v>
      </c>
      <c r="Q10" s="361"/>
      <c r="R10" s="362"/>
      <c r="S10" s="357" t="s">
        <v>592</v>
      </c>
      <c r="T10" s="363"/>
      <c r="U10" s="358"/>
      <c r="V10" s="357" t="s">
        <v>593</v>
      </c>
      <c r="W10" s="363"/>
      <c r="X10" s="327"/>
      <c r="Y10" s="342" t="s">
        <v>594</v>
      </c>
      <c r="Z10" s="337"/>
      <c r="AB10" s="208" t="s">
        <v>595</v>
      </c>
      <c r="AE10" s="325" t="s">
        <v>596</v>
      </c>
      <c r="AH10" s="27" t="s">
        <v>597</v>
      </c>
      <c r="AK10" s="386" t="n">
        <v>36526</v>
      </c>
      <c r="AN10" s="386"/>
      <c r="AQ10" s="27" t="s">
        <v>598</v>
      </c>
    </row>
    <row r="11" customFormat="false" ht="12.75" hidden="false" customHeight="false" outlineLevel="0" collapsed="false">
      <c r="A11" s="357"/>
      <c r="B11" s="1"/>
      <c r="C11" s="1"/>
      <c r="D11" s="1"/>
      <c r="E11" s="1"/>
      <c r="F11" s="1"/>
      <c r="G11" s="382" t="s">
        <v>599</v>
      </c>
      <c r="H11" s="377"/>
      <c r="I11" s="381"/>
      <c r="J11" s="385" t="s">
        <v>600</v>
      </c>
      <c r="K11" s="359"/>
      <c r="L11" s="327"/>
      <c r="M11" s="385" t="s">
        <v>601</v>
      </c>
      <c r="N11" s="359"/>
      <c r="O11" s="327"/>
      <c r="P11" s="383" t="s">
        <v>602</v>
      </c>
      <c r="Q11" s="361"/>
      <c r="R11" s="362"/>
      <c r="S11" s="357"/>
      <c r="T11" s="363"/>
      <c r="U11" s="358"/>
      <c r="V11" s="340" t="s">
        <v>603</v>
      </c>
      <c r="W11" s="363"/>
      <c r="X11" s="327"/>
      <c r="Y11" s="337"/>
      <c r="Z11" s="337"/>
      <c r="AB11" s="208" t="s">
        <v>604</v>
      </c>
      <c r="AE11" s="325" t="s">
        <v>605</v>
      </c>
      <c r="AK11" s="386"/>
      <c r="AN11" s="386"/>
      <c r="AQ11" s="27" t="s">
        <v>606</v>
      </c>
    </row>
    <row r="12" customFormat="false" ht="12.75" hidden="false" customHeight="false" outlineLevel="0" collapsed="false">
      <c r="A12" s="340" t="s">
        <v>607</v>
      </c>
      <c r="B12" s="387"/>
      <c r="C12" s="327"/>
      <c r="D12" s="342" t="s">
        <v>607</v>
      </c>
      <c r="E12" s="388"/>
      <c r="F12" s="389"/>
      <c r="G12" s="390" t="s">
        <v>608</v>
      </c>
      <c r="H12" s="391"/>
      <c r="I12" s="327"/>
      <c r="J12" s="385" t="s">
        <v>609</v>
      </c>
      <c r="K12" s="343"/>
      <c r="L12" s="327"/>
      <c r="M12" s="342" t="s">
        <v>11</v>
      </c>
      <c r="N12" s="343"/>
      <c r="O12" s="327"/>
      <c r="P12" s="360" t="s">
        <v>610</v>
      </c>
      <c r="Q12" s="334"/>
      <c r="R12" s="333"/>
      <c r="S12" s="337"/>
      <c r="T12" s="335"/>
      <c r="U12" s="327"/>
      <c r="V12" s="337"/>
      <c r="W12" s="335"/>
      <c r="X12" s="327"/>
      <c r="Y12" s="337"/>
      <c r="Z12" s="337"/>
      <c r="AE12" s="208" t="s">
        <v>611</v>
      </c>
      <c r="AK12" s="386" t="s">
        <v>612</v>
      </c>
      <c r="AN12" s="386"/>
      <c r="AQ12" s="386" t="n">
        <v>36526</v>
      </c>
      <c r="AT12" s="27" t="s">
        <v>613</v>
      </c>
      <c r="AU12" s="392" t="n">
        <v>2.025</v>
      </c>
    </row>
    <row r="13" customFormat="false" ht="12.75" hidden="false" customHeight="false" outlineLevel="0" collapsed="false">
      <c r="A13" s="393" t="s">
        <v>93</v>
      </c>
      <c r="B13" s="394" t="s">
        <v>614</v>
      </c>
      <c r="C13" s="395"/>
      <c r="D13" s="27" t="s">
        <v>93</v>
      </c>
      <c r="E13" s="27" t="s">
        <v>615</v>
      </c>
      <c r="F13" s="396"/>
      <c r="G13" s="397" t="s">
        <v>616</v>
      </c>
      <c r="H13" s="398" t="s">
        <v>617</v>
      </c>
      <c r="I13" s="389"/>
      <c r="J13" s="399" t="s">
        <v>618</v>
      </c>
      <c r="K13" s="400" t="s">
        <v>619</v>
      </c>
      <c r="L13" s="389"/>
      <c r="M13" s="401" t="s">
        <v>618</v>
      </c>
      <c r="N13" s="402" t="s">
        <v>620</v>
      </c>
      <c r="O13" s="389"/>
      <c r="P13" s="403" t="s">
        <v>496</v>
      </c>
      <c r="Q13" s="404" t="s">
        <v>621</v>
      </c>
      <c r="R13" s="405"/>
      <c r="S13" s="393" t="s">
        <v>622</v>
      </c>
      <c r="T13" s="406" t="s">
        <v>623</v>
      </c>
      <c r="U13" s="395"/>
      <c r="V13" s="393" t="s">
        <v>624</v>
      </c>
      <c r="W13" s="406" t="s">
        <v>625</v>
      </c>
      <c r="X13" s="395"/>
      <c r="Y13" s="393" t="s">
        <v>48</v>
      </c>
      <c r="Z13" s="406" t="s">
        <v>626</v>
      </c>
      <c r="AB13" s="407" t="s">
        <v>150</v>
      </c>
      <c r="AC13" s="408" t="s">
        <v>627</v>
      </c>
      <c r="AE13" s="325" t="s">
        <v>628</v>
      </c>
      <c r="AH13" s="393" t="s">
        <v>629</v>
      </c>
      <c r="AI13" s="406" t="s">
        <v>630</v>
      </c>
      <c r="AK13" s="393" t="s">
        <v>631</v>
      </c>
      <c r="AL13" s="406" t="s">
        <v>632</v>
      </c>
      <c r="AN13" s="393" t="s">
        <v>633</v>
      </c>
      <c r="AO13" s="406" t="s">
        <v>11</v>
      </c>
      <c r="AQ13" s="393" t="s">
        <v>634</v>
      </c>
      <c r="AR13" s="406" t="s">
        <v>635</v>
      </c>
      <c r="AT13" s="135" t="s">
        <v>636</v>
      </c>
      <c r="AU13" s="392"/>
    </row>
    <row r="14" customFormat="false" ht="12.75" hidden="false" customHeight="false" outlineLevel="0" collapsed="false">
      <c r="A14" s="409" t="s">
        <v>637</v>
      </c>
      <c r="B14" s="410" t="n">
        <v>0.0024</v>
      </c>
      <c r="C14" s="396"/>
      <c r="D14" s="409" t="s">
        <v>638</v>
      </c>
      <c r="E14" s="411" t="n">
        <v>0.0653</v>
      </c>
      <c r="F14" s="396"/>
      <c r="G14" s="412" t="s">
        <v>637</v>
      </c>
      <c r="H14" s="413" t="n">
        <v>0.0439</v>
      </c>
      <c r="I14" s="396"/>
      <c r="J14" s="414" t="s">
        <v>637</v>
      </c>
      <c r="K14" s="413" t="n">
        <v>0.0178</v>
      </c>
      <c r="L14" s="396"/>
      <c r="M14" s="415" t="s">
        <v>637</v>
      </c>
      <c r="N14" s="416" t="n">
        <v>0.5603</v>
      </c>
      <c r="O14" s="396"/>
      <c r="P14" s="417" t="s">
        <v>637</v>
      </c>
      <c r="Q14" s="418" t="n">
        <v>0.006</v>
      </c>
      <c r="R14" s="419"/>
      <c r="S14" s="409" t="s">
        <v>637</v>
      </c>
      <c r="T14" s="420" t="n">
        <v>0.0002</v>
      </c>
      <c r="U14" s="396"/>
      <c r="V14" s="409" t="s">
        <v>637</v>
      </c>
      <c r="W14" s="420" t="n">
        <v>0.0133</v>
      </c>
      <c r="X14" s="396"/>
      <c r="Y14" s="409" t="s">
        <v>637</v>
      </c>
      <c r="Z14" s="420" t="n">
        <v>0.0395</v>
      </c>
      <c r="AB14" s="421" t="s">
        <v>637</v>
      </c>
      <c r="AC14" s="416" t="n">
        <v>0.0112</v>
      </c>
      <c r="AE14" s="412" t="s">
        <v>637</v>
      </c>
      <c r="AF14" s="413" t="n">
        <f aca="false">0.005+0.002</f>
        <v>0.007</v>
      </c>
      <c r="AH14" s="409" t="s">
        <v>637</v>
      </c>
      <c r="AI14" s="410" t="n">
        <v>0.003</v>
      </c>
      <c r="AK14" s="409" t="s">
        <v>637</v>
      </c>
      <c r="AL14" s="410" t="n">
        <v>0.2127</v>
      </c>
      <c r="AN14" s="409" t="s">
        <v>637</v>
      </c>
      <c r="AO14" s="410" t="n">
        <v>0.017</v>
      </c>
      <c r="AQ14" s="409" t="s">
        <v>637</v>
      </c>
      <c r="AR14" s="410" t="n">
        <v>0.0064</v>
      </c>
      <c r="AT14" s="27" t="s">
        <v>638</v>
      </c>
      <c r="AU14" s="392" t="n">
        <v>0.01</v>
      </c>
    </row>
    <row r="15" customFormat="false" ht="12.75" hidden="false" customHeight="false" outlineLevel="0" collapsed="false">
      <c r="A15" s="409" t="s">
        <v>119</v>
      </c>
      <c r="B15" s="410" t="n">
        <f aca="false">0.0022+0.0072+0.0131</f>
        <v>0.0225</v>
      </c>
      <c r="C15" s="396"/>
      <c r="D15" s="409" t="s">
        <v>119</v>
      </c>
      <c r="E15" s="411" t="n">
        <f aca="false">0.0072+0.0022+0.0131</f>
        <v>0.0225</v>
      </c>
      <c r="F15" s="422"/>
      <c r="G15" s="412" t="s">
        <v>119</v>
      </c>
      <c r="H15" s="413" t="n">
        <f aca="false">0.0022+0.0072+0.0225</f>
        <v>0.0319</v>
      </c>
      <c r="I15" s="396"/>
      <c r="J15" s="414" t="s">
        <v>119</v>
      </c>
      <c r="K15" s="413" t="n">
        <f aca="false">0.0022+0.0072</f>
        <v>0.0094</v>
      </c>
      <c r="L15" s="396"/>
      <c r="M15" s="415" t="s">
        <v>119</v>
      </c>
      <c r="N15" s="416" t="n">
        <f aca="false">0.0022+0.0072</f>
        <v>0.0094</v>
      </c>
      <c r="O15" s="396"/>
      <c r="P15" s="417" t="s">
        <v>119</v>
      </c>
      <c r="Q15" s="418" t="n">
        <f aca="false">0.0022+0.0072</f>
        <v>0.0094</v>
      </c>
      <c r="R15" s="419"/>
      <c r="S15" s="409" t="s">
        <v>119</v>
      </c>
      <c r="T15" s="420" t="n">
        <v>0.0022</v>
      </c>
      <c r="U15" s="396"/>
      <c r="V15" s="409" t="s">
        <v>119</v>
      </c>
      <c r="W15" s="420" t="n">
        <f aca="false">0.0022+0.0072</f>
        <v>0.0094</v>
      </c>
      <c r="X15" s="396"/>
      <c r="Y15" s="409" t="s">
        <v>119</v>
      </c>
      <c r="Z15" s="410" t="n">
        <v>0.0022</v>
      </c>
      <c r="AB15" s="421" t="s">
        <v>119</v>
      </c>
      <c r="AC15" s="416" t="n">
        <f aca="false">0.0022+0.0072</f>
        <v>0.0094</v>
      </c>
      <c r="AE15" s="412" t="s">
        <v>119</v>
      </c>
      <c r="AF15" s="413" t="n">
        <f aca="false">0.0022+0.0072</f>
        <v>0.0094</v>
      </c>
      <c r="AH15" s="409" t="s">
        <v>119</v>
      </c>
      <c r="AI15" s="410" t="n">
        <f aca="false">0.0022+0.0072+0.0007</f>
        <v>0.0101</v>
      </c>
      <c r="AK15" s="409" t="s">
        <v>119</v>
      </c>
      <c r="AL15" s="410" t="n">
        <f aca="false">0.0022+0.0072</f>
        <v>0.0094</v>
      </c>
      <c r="AN15" s="409" t="s">
        <v>119</v>
      </c>
      <c r="AO15" s="410" t="n">
        <v>0</v>
      </c>
      <c r="AQ15" s="409" t="s">
        <v>119</v>
      </c>
      <c r="AR15" s="410" t="n">
        <f aca="false">0.0072+0.0022</f>
        <v>0.0094</v>
      </c>
      <c r="AT15" s="27" t="s">
        <v>639</v>
      </c>
      <c r="AU15" s="392" t="n">
        <v>0.0022</v>
      </c>
    </row>
    <row r="16" customFormat="false" ht="12.75" hidden="false" customHeight="false" outlineLevel="0" collapsed="false">
      <c r="A16" s="409" t="s">
        <v>640</v>
      </c>
      <c r="B16" s="423" t="n">
        <f aca="false">B6/(1-0.0035)-B6</f>
        <v>0.0123281485198192</v>
      </c>
      <c r="C16" s="422"/>
      <c r="D16" s="409" t="s">
        <v>640</v>
      </c>
      <c r="E16" s="423" t="n">
        <f aca="false">(E6)/(1-0.0035)-E6</f>
        <v>0.0123281485198192</v>
      </c>
      <c r="F16" s="424"/>
      <c r="G16" s="412" t="s">
        <v>641</v>
      </c>
      <c r="H16" s="425" t="n">
        <f aca="false">(H3)/(1-0.0084)-H3</f>
        <v>0.0275736183945137</v>
      </c>
      <c r="I16" s="422"/>
      <c r="J16" s="414" t="s">
        <v>642</v>
      </c>
      <c r="K16" s="426" t="n">
        <f aca="false">(K5)/(1-0.0242)-K5</f>
        <v>0.0809725353556057</v>
      </c>
      <c r="L16" s="422"/>
      <c r="M16" s="415" t="s">
        <v>643</v>
      </c>
      <c r="N16" s="427" t="n">
        <f aca="false">(N5)/(1-0.0704)-N5</f>
        <v>0.247263339070568</v>
      </c>
      <c r="O16" s="422"/>
      <c r="P16" s="417" t="s">
        <v>644</v>
      </c>
      <c r="Q16" s="428" t="n">
        <f aca="false">+Q$3/(1-0.015)-Q$3</f>
        <v>0.0513959390862944</v>
      </c>
      <c r="R16" s="429"/>
      <c r="S16" s="409" t="s">
        <v>645</v>
      </c>
      <c r="T16" s="423" t="n">
        <f aca="false">(+T3-0.108)/(1-0.00489)-(T3-0.108)</f>
        <v>0.0159312839786554</v>
      </c>
      <c r="U16" s="422"/>
      <c r="V16" s="430" t="n">
        <v>0.02184</v>
      </c>
      <c r="W16" s="423" t="n">
        <f aca="false">+W3/(1-0.02184)-W3</f>
        <v>0.0783700008178618</v>
      </c>
      <c r="X16" s="422"/>
      <c r="Y16" s="431" t="s">
        <v>646</v>
      </c>
      <c r="Z16" s="423" t="n">
        <f aca="false">Z3/(1-0.0228)-Z3</f>
        <v>0.0834117887842818</v>
      </c>
      <c r="AB16" s="421" t="s">
        <v>647</v>
      </c>
      <c r="AC16" s="427" t="n">
        <f aca="false">+AC3/(1-0.0111)-AC3</f>
        <v>0.0410258873495804</v>
      </c>
      <c r="AE16" s="412" t="s">
        <v>648</v>
      </c>
      <c r="AF16" s="426" t="n">
        <f aca="false">+AF3/(1-0.0022)-AF3</f>
        <v>0.00738624974944857</v>
      </c>
      <c r="AH16" s="409" t="s">
        <v>649</v>
      </c>
      <c r="AI16" s="423" t="n">
        <f aca="false">+AI3/(1-0)-AI3</f>
        <v>0</v>
      </c>
      <c r="AK16" s="409" t="s">
        <v>650</v>
      </c>
      <c r="AL16" s="423" t="n">
        <f aca="false">+AL3/(1-0.03)-AL3</f>
        <v>0.110567010309278</v>
      </c>
      <c r="AN16" s="409" t="s">
        <v>651</v>
      </c>
      <c r="AO16" s="423" t="n">
        <f aca="false">+AO3/(1-0)-AO3</f>
        <v>0</v>
      </c>
      <c r="AQ16" s="409" t="s">
        <v>652</v>
      </c>
      <c r="AR16" s="423" t="n">
        <f aca="false">+AR3/(1-0.02)-AR3</f>
        <v>0.071530612244898</v>
      </c>
      <c r="AT16" s="27" t="s">
        <v>653</v>
      </c>
      <c r="AU16" s="392" t="n">
        <v>0</v>
      </c>
    </row>
    <row r="17" customFormat="false" ht="12.75" hidden="false" customHeight="false" outlineLevel="0" collapsed="false">
      <c r="A17" s="432"/>
      <c r="B17" s="433" t="n">
        <f aca="false">SUM(B14:B16)</f>
        <v>0.0372281485198192</v>
      </c>
      <c r="C17" s="424"/>
      <c r="D17" s="409"/>
      <c r="E17" s="433" t="n">
        <f aca="false">SUM(E14:E16)</f>
        <v>0.100128148519819</v>
      </c>
      <c r="F17" s="389"/>
      <c r="G17" s="434"/>
      <c r="H17" s="435" t="n">
        <f aca="false">SUM(H14:H16)</f>
        <v>0.103373618394514</v>
      </c>
      <c r="I17" s="424"/>
      <c r="J17" s="414"/>
      <c r="K17" s="435" t="n">
        <f aca="false">SUM(K14:K16)</f>
        <v>0.108172535355606</v>
      </c>
      <c r="L17" s="424"/>
      <c r="M17" s="415"/>
      <c r="N17" s="436" t="n">
        <f aca="false">SUM(N14:N16)</f>
        <v>0.816963339070568</v>
      </c>
      <c r="O17" s="424"/>
      <c r="P17" s="437"/>
      <c r="Q17" s="438" t="n">
        <f aca="false">SUM(Q14:Q16)</f>
        <v>0.0667959390862944</v>
      </c>
      <c r="R17" s="439"/>
      <c r="S17" s="432"/>
      <c r="T17" s="433" t="n">
        <f aca="false">SUM(T14:T16)</f>
        <v>0.0183312839786554</v>
      </c>
      <c r="U17" s="424"/>
      <c r="V17" s="432"/>
      <c r="W17" s="433" t="n">
        <f aca="false">SUM(W14:W16)</f>
        <v>0.101070000817862</v>
      </c>
      <c r="X17" s="424" t="n">
        <v>0</v>
      </c>
      <c r="Y17" s="432"/>
      <c r="Z17" s="433" t="n">
        <f aca="false">SUM(Z14:Z16)</f>
        <v>0.125111788784282</v>
      </c>
      <c r="AB17" s="440"/>
      <c r="AC17" s="436" t="n">
        <f aca="false">SUM(AC14:AC16)</f>
        <v>0.0616258873495804</v>
      </c>
      <c r="AE17" s="434"/>
      <c r="AF17" s="435" t="n">
        <f aca="false">SUM(AF14:AF16)</f>
        <v>0.0237862497494486</v>
      </c>
      <c r="AH17" s="432"/>
      <c r="AI17" s="433" t="n">
        <f aca="false">SUM(AI14:AI16)</f>
        <v>0.0131</v>
      </c>
      <c r="AK17" s="432"/>
      <c r="AL17" s="433" t="n">
        <f aca="false">SUM(AL14:AL16)</f>
        <v>0.332667010309278</v>
      </c>
      <c r="AN17" s="432"/>
      <c r="AO17" s="433" t="n">
        <f aca="false">SUM(AO14:AO16)</f>
        <v>0.017</v>
      </c>
      <c r="AQ17" s="432"/>
      <c r="AR17" s="433" t="n">
        <f aca="false">SUM(AR14:AR16)</f>
        <v>0.087330612244898</v>
      </c>
      <c r="AT17" s="27" t="s">
        <v>654</v>
      </c>
      <c r="AU17" s="27" t="n">
        <v>0.016</v>
      </c>
    </row>
    <row r="18" customFormat="false" ht="12.75" hidden="false" customHeight="false" outlineLevel="0" collapsed="false">
      <c r="A18" s="441" t="s">
        <v>93</v>
      </c>
      <c r="B18" s="394" t="s">
        <v>655</v>
      </c>
      <c r="C18" s="395"/>
      <c r="D18" s="27" t="s">
        <v>93</v>
      </c>
      <c r="E18" s="27" t="s">
        <v>656</v>
      </c>
      <c r="F18" s="396"/>
      <c r="G18" s="442" t="s">
        <v>616</v>
      </c>
      <c r="H18" s="443" t="s">
        <v>657</v>
      </c>
      <c r="I18" s="389"/>
      <c r="J18" s="399" t="s">
        <v>618</v>
      </c>
      <c r="K18" s="400" t="s">
        <v>658</v>
      </c>
      <c r="L18" s="389"/>
      <c r="M18" s="401" t="s">
        <v>618</v>
      </c>
      <c r="N18" s="402" t="s">
        <v>659</v>
      </c>
      <c r="O18" s="389"/>
      <c r="P18" s="444" t="s">
        <v>496</v>
      </c>
      <c r="Q18" s="445" t="s">
        <v>660</v>
      </c>
      <c r="R18" s="405"/>
      <c r="S18" s="441" t="s">
        <v>622</v>
      </c>
      <c r="T18" s="446" t="s">
        <v>661</v>
      </c>
      <c r="U18" s="395"/>
      <c r="V18" s="441" t="s">
        <v>624</v>
      </c>
      <c r="W18" s="446" t="s">
        <v>662</v>
      </c>
      <c r="X18" s="395"/>
      <c r="Y18" s="393" t="s">
        <v>48</v>
      </c>
      <c r="Z18" s="406" t="s">
        <v>663</v>
      </c>
      <c r="AN18" s="73"/>
      <c r="AO18" s="73"/>
      <c r="AT18" s="27" t="s">
        <v>664</v>
      </c>
      <c r="AU18" s="392" t="n">
        <f aca="false">+AU12/(1-AU17)-AU12</f>
        <v>0.0329268292682925</v>
      </c>
    </row>
    <row r="19" customFormat="false" ht="12.75" hidden="false" customHeight="false" outlineLevel="0" collapsed="false">
      <c r="A19" s="409" t="s">
        <v>637</v>
      </c>
      <c r="B19" s="410" t="n">
        <v>0.005</v>
      </c>
      <c r="C19" s="396"/>
      <c r="D19" s="409" t="s">
        <v>637</v>
      </c>
      <c r="E19" s="411" t="n">
        <v>0.0899</v>
      </c>
      <c r="F19" s="396"/>
      <c r="G19" s="412" t="s">
        <v>637</v>
      </c>
      <c r="H19" s="413" t="n">
        <v>0.0669</v>
      </c>
      <c r="I19" s="396"/>
      <c r="J19" s="414" t="s">
        <v>637</v>
      </c>
      <c r="K19" s="413" t="n">
        <v>0.0187</v>
      </c>
      <c r="L19" s="396"/>
      <c r="M19" s="415" t="s">
        <v>637</v>
      </c>
      <c r="N19" s="416" t="n">
        <v>0.6649</v>
      </c>
      <c r="O19" s="396"/>
      <c r="P19" s="417" t="s">
        <v>637</v>
      </c>
      <c r="Q19" s="418" t="n">
        <v>0.008</v>
      </c>
      <c r="R19" s="419"/>
      <c r="S19" s="409" t="s">
        <v>637</v>
      </c>
      <c r="T19" s="420" t="n">
        <v>0.0017</v>
      </c>
      <c r="U19" s="396"/>
      <c r="V19" s="409" t="s">
        <v>637</v>
      </c>
      <c r="W19" s="420" t="n">
        <v>0.1541</v>
      </c>
      <c r="X19" s="396"/>
      <c r="Y19" s="409" t="s">
        <v>637</v>
      </c>
      <c r="Z19" s="420" t="n">
        <v>0.1943</v>
      </c>
      <c r="AB19" s="407" t="s">
        <v>150</v>
      </c>
      <c r="AC19" s="408" t="s">
        <v>665</v>
      </c>
      <c r="AE19" s="325" t="s">
        <v>666</v>
      </c>
      <c r="AH19" s="393" t="s">
        <v>629</v>
      </c>
      <c r="AI19" s="406" t="s">
        <v>667</v>
      </c>
      <c r="AK19" s="393" t="s">
        <v>631</v>
      </c>
      <c r="AL19" s="406" t="s">
        <v>237</v>
      </c>
      <c r="AN19" s="447"/>
      <c r="AO19" s="395"/>
      <c r="AQ19" s="393" t="s">
        <v>634</v>
      </c>
      <c r="AR19" s="406" t="s">
        <v>668</v>
      </c>
      <c r="AT19" s="27" t="s">
        <v>669</v>
      </c>
      <c r="AU19" s="448" t="n">
        <f aca="false">+AU18+AU16+AU15+AU14</f>
        <v>0.0451268292682925</v>
      </c>
    </row>
    <row r="20" customFormat="false" ht="13.5" hidden="false" customHeight="false" outlineLevel="0" collapsed="false">
      <c r="A20" s="409" t="s">
        <v>119</v>
      </c>
      <c r="B20" s="410" t="n">
        <f aca="false">0.0022+0.0072+0.0131</f>
        <v>0.0225</v>
      </c>
      <c r="C20" s="396"/>
      <c r="D20" s="409" t="s">
        <v>119</v>
      </c>
      <c r="E20" s="411" t="n">
        <f aca="false">0.0072+0.0022+0.0131</f>
        <v>0.0225</v>
      </c>
      <c r="F20" s="422"/>
      <c r="G20" s="412" t="s">
        <v>119</v>
      </c>
      <c r="H20" s="413" t="n">
        <f aca="false">0.0022+0.0072+0.0225</f>
        <v>0.0319</v>
      </c>
      <c r="I20" s="396"/>
      <c r="J20" s="414" t="s">
        <v>119</v>
      </c>
      <c r="K20" s="413" t="n">
        <f aca="false">0.0022</f>
        <v>0.0022</v>
      </c>
      <c r="L20" s="396"/>
      <c r="M20" s="415" t="s">
        <v>119</v>
      </c>
      <c r="N20" s="416" t="n">
        <f aca="false">0.0022+0.0072</f>
        <v>0.0094</v>
      </c>
      <c r="O20" s="396"/>
      <c r="P20" s="417" t="s">
        <v>119</v>
      </c>
      <c r="Q20" s="418" t="n">
        <f aca="false">0.0022+0.0072</f>
        <v>0.0094</v>
      </c>
      <c r="R20" s="419"/>
      <c r="S20" s="409" t="s">
        <v>119</v>
      </c>
      <c r="T20" s="420" t="n">
        <v>0.0022</v>
      </c>
      <c r="U20" s="396"/>
      <c r="V20" s="409" t="s">
        <v>119</v>
      </c>
      <c r="W20" s="420" t="n">
        <f aca="false">0.0022+0.0072</f>
        <v>0.0094</v>
      </c>
      <c r="X20" s="396"/>
      <c r="Y20" s="409" t="s">
        <v>119</v>
      </c>
      <c r="Z20" s="410" t="n">
        <v>0.0022</v>
      </c>
      <c r="AB20" s="421" t="s">
        <v>637</v>
      </c>
      <c r="AC20" s="416" t="n">
        <v>0</v>
      </c>
      <c r="AE20" s="412" t="s">
        <v>637</v>
      </c>
      <c r="AF20" s="413" t="n">
        <f aca="false">0.0303+0.002</f>
        <v>0.0323</v>
      </c>
      <c r="AH20" s="409" t="s">
        <v>637</v>
      </c>
      <c r="AI20" s="410" t="n">
        <v>0.0054</v>
      </c>
      <c r="AK20" s="409" t="s">
        <v>637</v>
      </c>
      <c r="AL20" s="410" t="n">
        <v>0.0092</v>
      </c>
      <c r="AN20" s="449"/>
      <c r="AO20" s="396"/>
      <c r="AQ20" s="409" t="s">
        <v>637</v>
      </c>
      <c r="AR20" s="410" t="n">
        <f aca="false">0.0001</f>
        <v>0.0001</v>
      </c>
      <c r="AT20" s="27" t="s">
        <v>670</v>
      </c>
      <c r="AU20" s="450"/>
      <c r="AW20" s="27" t="s">
        <v>671</v>
      </c>
    </row>
    <row r="21" customFormat="false" ht="13.5" hidden="false" customHeight="false" outlineLevel="0" collapsed="false">
      <c r="A21" s="409" t="s">
        <v>672</v>
      </c>
      <c r="B21" s="423" t="n">
        <f aca="false">B6/(1-0.0081)-B6</f>
        <v>0.0286631716906944</v>
      </c>
      <c r="C21" s="422"/>
      <c r="D21" s="409" t="s">
        <v>672</v>
      </c>
      <c r="E21" s="423" t="n">
        <f aca="false">(E6)/(1-0.0081)-E6</f>
        <v>0.0286631716906944</v>
      </c>
      <c r="F21" s="424"/>
      <c r="G21" s="412" t="s">
        <v>673</v>
      </c>
      <c r="H21" s="425" t="n">
        <f aca="false">(H3)/(1-0.0244)-H3</f>
        <v>0.0814083640836407</v>
      </c>
      <c r="I21" s="422"/>
      <c r="J21" s="414" t="s">
        <v>674</v>
      </c>
      <c r="K21" s="426" t="n">
        <f aca="false">(K5)/(1-0.0257)-K5</f>
        <v>0.0861238838140204</v>
      </c>
      <c r="L21" s="422"/>
      <c r="M21" s="415" t="s">
        <v>675</v>
      </c>
      <c r="N21" s="427" t="n">
        <f aca="false">(N5)/(1-0.797)-N5</f>
        <v>12.8187438423645</v>
      </c>
      <c r="O21" s="422"/>
      <c r="P21" s="417" t="s">
        <v>644</v>
      </c>
      <c r="Q21" s="428" t="n">
        <f aca="false">+Q$3/(1-0.015)-Q$3</f>
        <v>0.0513959390862944</v>
      </c>
      <c r="R21" s="429"/>
      <c r="S21" s="409" t="s">
        <v>676</v>
      </c>
      <c r="T21" s="423" t="n">
        <f aca="false">+T3/(1-0.00603)-T3</f>
        <v>0.0203230479793151</v>
      </c>
      <c r="U21" s="422"/>
      <c r="V21" s="409" t="s">
        <v>677</v>
      </c>
      <c r="W21" s="423" t="n">
        <f aca="false">+W3/(1-0.02184)-W3</f>
        <v>0.0783700008178618</v>
      </c>
      <c r="X21" s="422"/>
      <c r="Y21" s="409" t="s">
        <v>646</v>
      </c>
      <c r="Z21" s="423" t="n">
        <f aca="false">(Z3)/(1-0.0228)-Z3</f>
        <v>0.0834117887842818</v>
      </c>
      <c r="AB21" s="421" t="s">
        <v>119</v>
      </c>
      <c r="AC21" s="416" t="n">
        <f aca="false">0.0022+0.0072</f>
        <v>0.0094</v>
      </c>
      <c r="AE21" s="412" t="s">
        <v>119</v>
      </c>
      <c r="AF21" s="413" t="n">
        <f aca="false">0.0072+0.0022</f>
        <v>0.0094</v>
      </c>
      <c r="AH21" s="409" t="s">
        <v>119</v>
      </c>
      <c r="AI21" s="410" t="n">
        <f aca="false">0.0022+0.0072+0.0012</f>
        <v>0.0106</v>
      </c>
      <c r="AK21" s="409" t="s">
        <v>119</v>
      </c>
      <c r="AL21" s="410" t="n">
        <f aca="false">0.0022+0.0072</f>
        <v>0.0094</v>
      </c>
      <c r="AN21" s="449"/>
      <c r="AO21" s="396"/>
      <c r="AQ21" s="409" t="s">
        <v>119</v>
      </c>
      <c r="AR21" s="410" t="n">
        <f aca="false">0.0072+0.0022</f>
        <v>0.0094</v>
      </c>
    </row>
    <row r="22" customFormat="false" ht="12.75" hidden="false" customHeight="false" outlineLevel="0" collapsed="false">
      <c r="A22" s="432" t="s">
        <v>1</v>
      </c>
      <c r="B22" s="433" t="n">
        <f aca="false">SUM(B19:B21)</f>
        <v>0.0561631716906944</v>
      </c>
      <c r="C22" s="424"/>
      <c r="D22" s="409"/>
      <c r="E22" s="433" t="n">
        <f aca="false">SUM(E19:E21)</f>
        <v>0.141063171690694</v>
      </c>
      <c r="F22" s="424"/>
      <c r="G22" s="434"/>
      <c r="H22" s="435" t="n">
        <f aca="false">SUM(H19:H21)</f>
        <v>0.180208364083641</v>
      </c>
      <c r="I22" s="424"/>
      <c r="J22" s="414"/>
      <c r="K22" s="435" t="n">
        <f aca="false">SUM(K19:K21)</f>
        <v>0.10702388381402</v>
      </c>
      <c r="L22" s="424"/>
      <c r="M22" s="415"/>
      <c r="N22" s="436" t="n">
        <f aca="false">SUM(N19:N21)</f>
        <v>13.4930438423645</v>
      </c>
      <c r="O22" s="424"/>
      <c r="P22" s="437"/>
      <c r="Q22" s="438" t="n">
        <f aca="false">SUM(Q19:Q21)</f>
        <v>0.0687959390862944</v>
      </c>
      <c r="R22" s="439"/>
      <c r="S22" s="432"/>
      <c r="T22" s="433" t="n">
        <f aca="false">SUM(T19:T21)</f>
        <v>0.0242230479793151</v>
      </c>
      <c r="U22" s="424"/>
      <c r="V22" s="432"/>
      <c r="W22" s="433" t="n">
        <f aca="false">SUM(W19:W21)</f>
        <v>0.241870000817862</v>
      </c>
      <c r="X22" s="424"/>
      <c r="Y22" s="432"/>
      <c r="Z22" s="433" t="n">
        <f aca="false">SUM(Z19:Z21)</f>
        <v>0.279911788784282</v>
      </c>
      <c r="AB22" s="421" t="s">
        <v>647</v>
      </c>
      <c r="AC22" s="427" t="n">
        <f aca="false">+AC3/(1-0.0111)-AC3</f>
        <v>0.0410258873495804</v>
      </c>
      <c r="AE22" s="412" t="s">
        <v>678</v>
      </c>
      <c r="AF22" s="426" t="n">
        <f aca="false">+AF3/(1-0.0268)-AF3</f>
        <v>0.0922523633374435</v>
      </c>
      <c r="AH22" s="409" t="s">
        <v>679</v>
      </c>
      <c r="AI22" s="423" t="n">
        <f aca="false">+AI3/(1-0)-AI3</f>
        <v>0</v>
      </c>
      <c r="AK22" s="409" t="s">
        <v>650</v>
      </c>
      <c r="AL22" s="423" t="n">
        <f aca="false">+AL3/(1-0.03)-AL3</f>
        <v>0.110567010309278</v>
      </c>
      <c r="AN22" s="449"/>
      <c r="AO22" s="422"/>
      <c r="AQ22" s="409" t="s">
        <v>652</v>
      </c>
      <c r="AR22" s="423" t="n">
        <f aca="false">+AR3/(1-0.02)-AR3</f>
        <v>0.071530612244898</v>
      </c>
    </row>
    <row r="23" customFormat="false" ht="12.75" hidden="false" customHeight="false" outlineLevel="0" collapsed="false">
      <c r="A23" s="441" t="s">
        <v>93</v>
      </c>
      <c r="B23" s="394" t="s">
        <v>680</v>
      </c>
      <c r="C23" s="395"/>
      <c r="D23" s="451" t="s">
        <v>93</v>
      </c>
      <c r="E23" s="433" t="s">
        <v>681</v>
      </c>
      <c r="F23" s="452"/>
      <c r="G23" s="442" t="s">
        <v>616</v>
      </c>
      <c r="H23" s="443" t="s">
        <v>682</v>
      </c>
      <c r="I23" s="424"/>
      <c r="J23" s="453" t="s">
        <v>618</v>
      </c>
      <c r="K23" s="454" t="s">
        <v>683</v>
      </c>
      <c r="L23" s="424"/>
      <c r="M23" s="401" t="s">
        <v>618</v>
      </c>
      <c r="N23" s="402" t="s">
        <v>684</v>
      </c>
      <c r="O23" s="424"/>
      <c r="P23" s="444" t="s">
        <v>496</v>
      </c>
      <c r="Q23" s="445" t="s">
        <v>685</v>
      </c>
      <c r="R23" s="405"/>
      <c r="S23" s="441" t="s">
        <v>622</v>
      </c>
      <c r="T23" s="446" t="s">
        <v>686</v>
      </c>
      <c r="U23" s="395"/>
      <c r="V23" s="441" t="s">
        <v>624</v>
      </c>
      <c r="W23" s="446" t="s">
        <v>687</v>
      </c>
      <c r="X23" s="395"/>
      <c r="Y23" s="395"/>
      <c r="Z23" s="395"/>
      <c r="AB23" s="440"/>
      <c r="AC23" s="436" t="n">
        <f aca="false">SUM(AC20:AC22)</f>
        <v>0.0504258873495803</v>
      </c>
      <c r="AE23" s="434"/>
      <c r="AF23" s="435" t="n">
        <f aca="false">SUM(AF20:AF22)</f>
        <v>0.133952363337443</v>
      </c>
      <c r="AH23" s="432"/>
      <c r="AI23" s="433" t="n">
        <f aca="false">SUM(AI20:AI22)</f>
        <v>0.016</v>
      </c>
      <c r="AK23" s="432"/>
      <c r="AL23" s="433" t="n">
        <f aca="false">SUM(AL20:AL22)</f>
        <v>0.129167010309278</v>
      </c>
      <c r="AN23" s="73"/>
      <c r="AO23" s="424"/>
      <c r="AQ23" s="432"/>
      <c r="AR23" s="433" t="n">
        <f aca="false">SUM(AR20:AR22)</f>
        <v>0.081030612244898</v>
      </c>
    </row>
    <row r="24" customFormat="false" ht="12.75" hidden="false" customHeight="false" outlineLevel="0" collapsed="false">
      <c r="A24" s="409" t="s">
        <v>637</v>
      </c>
      <c r="B24" s="410" t="n">
        <v>0.0075</v>
      </c>
      <c r="C24" s="396"/>
      <c r="D24" s="409" t="s">
        <v>637</v>
      </c>
      <c r="E24" s="411" t="n">
        <v>0.1243</v>
      </c>
      <c r="F24" s="452"/>
      <c r="G24" s="412" t="s">
        <v>637</v>
      </c>
      <c r="H24" s="413" t="n">
        <v>0.088</v>
      </c>
      <c r="I24" s="452"/>
      <c r="J24" s="414" t="s">
        <v>637</v>
      </c>
      <c r="K24" s="413" t="n">
        <v>0.0236</v>
      </c>
      <c r="L24" s="452"/>
      <c r="M24" s="415" t="s">
        <v>637</v>
      </c>
      <c r="N24" s="416" t="n">
        <v>0.4164</v>
      </c>
      <c r="O24" s="452"/>
      <c r="P24" s="417" t="s">
        <v>637</v>
      </c>
      <c r="Q24" s="418" t="n">
        <v>0.013</v>
      </c>
      <c r="R24" s="419"/>
      <c r="S24" s="409" t="s">
        <v>637</v>
      </c>
      <c r="T24" s="420" t="n">
        <v>0.017</v>
      </c>
      <c r="U24" s="396"/>
      <c r="V24" s="409" t="s">
        <v>637</v>
      </c>
      <c r="W24" s="420" t="n">
        <v>0.2197</v>
      </c>
      <c r="X24" s="396"/>
      <c r="Y24" s="393" t="s">
        <v>48</v>
      </c>
      <c r="Z24" s="406" t="s">
        <v>688</v>
      </c>
      <c r="AN24" s="73"/>
      <c r="AO24" s="73"/>
    </row>
    <row r="25" customFormat="false" ht="12.75" hidden="false" customHeight="false" outlineLevel="0" collapsed="false">
      <c r="A25" s="409" t="s">
        <v>119</v>
      </c>
      <c r="B25" s="410" t="n">
        <f aca="false">0.0022+0.0072+0.0131</f>
        <v>0.0225</v>
      </c>
      <c r="C25" s="396"/>
      <c r="D25" s="409" t="s">
        <v>119</v>
      </c>
      <c r="E25" s="411" t="n">
        <f aca="false">0.0072+0.0022+0.0131</f>
        <v>0.0225</v>
      </c>
      <c r="F25" s="422"/>
      <c r="G25" s="412" t="s">
        <v>119</v>
      </c>
      <c r="H25" s="413" t="n">
        <f aca="false">0.0022+0.0072</f>
        <v>0.0094</v>
      </c>
      <c r="I25" s="452"/>
      <c r="J25" s="414" t="s">
        <v>119</v>
      </c>
      <c r="K25" s="413" t="n">
        <f aca="false">0.0022+0.0072</f>
        <v>0.0094</v>
      </c>
      <c r="L25" s="452"/>
      <c r="M25" s="415" t="s">
        <v>119</v>
      </c>
      <c r="N25" s="416" t="n">
        <f aca="false">0.0022+0.0072</f>
        <v>0.0094</v>
      </c>
      <c r="O25" s="452"/>
      <c r="P25" s="417" t="s">
        <v>119</v>
      </c>
      <c r="Q25" s="418" t="n">
        <f aca="false">0.0022+0.0072</f>
        <v>0.0094</v>
      </c>
      <c r="R25" s="419"/>
      <c r="S25" s="409" t="s">
        <v>119</v>
      </c>
      <c r="T25" s="420" t="n">
        <v>0.0022</v>
      </c>
      <c r="U25" s="396"/>
      <c r="V25" s="409" t="s">
        <v>119</v>
      </c>
      <c r="W25" s="420" t="n">
        <f aca="false">0.0022+0.0072</f>
        <v>0.0094</v>
      </c>
      <c r="X25" s="396"/>
      <c r="Y25" s="409" t="s">
        <v>637</v>
      </c>
      <c r="Z25" s="410" t="n">
        <v>0.15</v>
      </c>
      <c r="AB25" s="208" t="s">
        <v>574</v>
      </c>
      <c r="AE25" s="325" t="s">
        <v>689</v>
      </c>
      <c r="AH25" s="393" t="s">
        <v>629</v>
      </c>
      <c r="AI25" s="406" t="s">
        <v>690</v>
      </c>
      <c r="AK25" s="447"/>
      <c r="AL25" s="395"/>
      <c r="AN25" s="447"/>
      <c r="AO25" s="395"/>
      <c r="AQ25" s="393" t="s">
        <v>634</v>
      </c>
      <c r="AR25" s="406" t="s">
        <v>691</v>
      </c>
    </row>
    <row r="26" customFormat="false" ht="12.75" hidden="false" customHeight="false" outlineLevel="0" collapsed="false">
      <c r="A26" s="409" t="s">
        <v>692</v>
      </c>
      <c r="B26" s="423" t="n">
        <f aca="false">B6/(1-0.0126)-B6</f>
        <v>0.0447903585173179</v>
      </c>
      <c r="C26" s="422"/>
      <c r="D26" s="409" t="s">
        <v>692</v>
      </c>
      <c r="E26" s="423" t="n">
        <f aca="false">E6/(1-0.0126)-E6</f>
        <v>0.0447903585173179</v>
      </c>
      <c r="F26" s="424"/>
      <c r="G26" s="412" t="s">
        <v>693</v>
      </c>
      <c r="H26" s="425" t="n">
        <f aca="false">(H3)/(1-0.0443)-H3</f>
        <v>0.150880506435074</v>
      </c>
      <c r="I26" s="422"/>
      <c r="J26" s="414" t="s">
        <v>694</v>
      </c>
      <c r="K26" s="426" t="n">
        <f aca="false">(K5)/(1-0.0332)-K5</f>
        <v>0.112120397186595</v>
      </c>
      <c r="L26" s="422"/>
      <c r="M26" s="415" t="s">
        <v>695</v>
      </c>
      <c r="N26" s="427" t="n">
        <f aca="false">(N4)/(1-0.064)-N4</f>
        <v>0.225641025641026</v>
      </c>
      <c r="O26" s="422"/>
      <c r="P26" s="417" t="s">
        <v>696</v>
      </c>
      <c r="Q26" s="428" t="n">
        <f aca="false">+Q$3/(1-0.023)-Q$3</f>
        <v>0.0794524053224155</v>
      </c>
      <c r="R26" s="429"/>
      <c r="S26" s="409" t="s">
        <v>697</v>
      </c>
      <c r="T26" s="423" t="n">
        <f aca="false">+T4/(1-0.0282)-T4</f>
        <v>0.0989524593537765</v>
      </c>
      <c r="U26" s="422"/>
      <c r="V26" s="409" t="s">
        <v>677</v>
      </c>
      <c r="W26" s="423" t="n">
        <f aca="false">+W3/(1-0.02184)-W3</f>
        <v>0.0783700008178618</v>
      </c>
      <c r="X26" s="422"/>
      <c r="Y26" s="409" t="s">
        <v>119</v>
      </c>
      <c r="Z26" s="410" t="n">
        <v>0.0022</v>
      </c>
      <c r="AB26" s="208" t="s">
        <v>698</v>
      </c>
      <c r="AE26" s="412" t="s">
        <v>637</v>
      </c>
      <c r="AF26" s="413" t="n">
        <f aca="false">0.0275+0.002</f>
        <v>0.0295</v>
      </c>
      <c r="AH26" s="409" t="s">
        <v>637</v>
      </c>
      <c r="AI26" s="410" t="n">
        <v>0.4693</v>
      </c>
      <c r="AK26" s="449"/>
      <c r="AL26" s="396"/>
      <c r="AN26" s="449"/>
      <c r="AO26" s="396"/>
      <c r="AQ26" s="409" t="s">
        <v>637</v>
      </c>
      <c r="AR26" s="410" t="n">
        <v>0.0009</v>
      </c>
    </row>
    <row r="27" customFormat="false" ht="12.75" hidden="false" customHeight="false" outlineLevel="0" collapsed="false">
      <c r="A27" s="432"/>
      <c r="B27" s="433" t="n">
        <f aca="false">SUM(B24:B26)</f>
        <v>0.0747903585173179</v>
      </c>
      <c r="C27" s="424"/>
      <c r="D27" s="409"/>
      <c r="E27" s="433" t="n">
        <f aca="false">SUM(E24:E26)</f>
        <v>0.191590358517318</v>
      </c>
      <c r="F27" s="395"/>
      <c r="G27" s="434"/>
      <c r="H27" s="435" t="n">
        <f aca="false">SUM(H24:H26)</f>
        <v>0.248280506435074</v>
      </c>
      <c r="I27" s="424"/>
      <c r="J27" s="414"/>
      <c r="K27" s="435" t="n">
        <f aca="false">SUM(K24:K26)</f>
        <v>0.145120397186595</v>
      </c>
      <c r="L27" s="424"/>
      <c r="M27" s="415"/>
      <c r="N27" s="436" t="n">
        <f aca="false">SUM(N24:N26)</f>
        <v>0.651441025641026</v>
      </c>
      <c r="O27" s="424"/>
      <c r="P27" s="437"/>
      <c r="Q27" s="438" t="n">
        <f aca="false">SUM(Q24:Q26)</f>
        <v>0.101852405322415</v>
      </c>
      <c r="R27" s="439"/>
      <c r="S27" s="432"/>
      <c r="T27" s="433" t="n">
        <f aca="false">SUM(T24:T26)</f>
        <v>0.118152459353777</v>
      </c>
      <c r="U27" s="424"/>
      <c r="V27" s="432"/>
      <c r="W27" s="433" t="n">
        <f aca="false">SUM(W24:W26)</f>
        <v>0.307470000817862</v>
      </c>
      <c r="X27" s="424"/>
      <c r="Y27" s="409" t="s">
        <v>646</v>
      </c>
      <c r="Z27" s="423" t="n">
        <f aca="false">(Z3)/(1-0.0228)-Z3</f>
        <v>0.0834117887842818</v>
      </c>
      <c r="AB27" s="208" t="s">
        <v>595</v>
      </c>
      <c r="AE27" s="412" t="s">
        <v>119</v>
      </c>
      <c r="AF27" s="413" t="n">
        <f aca="false">0.0072+0.0022</f>
        <v>0.0094</v>
      </c>
      <c r="AH27" s="409" t="s">
        <v>119</v>
      </c>
      <c r="AI27" s="410" t="n">
        <f aca="false">0.0022+0.0072+0.0012</f>
        <v>0.0106</v>
      </c>
      <c r="AK27" s="449"/>
      <c r="AL27" s="396"/>
      <c r="AN27" s="449"/>
      <c r="AO27" s="396"/>
      <c r="AQ27" s="409" t="s">
        <v>119</v>
      </c>
      <c r="AR27" s="410" t="n">
        <f aca="false">0.0072+0.0022</f>
        <v>0.0094</v>
      </c>
    </row>
    <row r="28" customFormat="false" ht="12.75" hidden="false" customHeight="false" outlineLevel="0" collapsed="false">
      <c r="A28" s="393" t="s">
        <v>93</v>
      </c>
      <c r="B28" s="394" t="s">
        <v>699</v>
      </c>
      <c r="D28" s="27" t="s">
        <v>93</v>
      </c>
      <c r="E28" s="27" t="s">
        <v>700</v>
      </c>
      <c r="F28" s="396"/>
      <c r="G28" s="442" t="s">
        <v>616</v>
      </c>
      <c r="H28" s="455" t="s">
        <v>701</v>
      </c>
      <c r="I28" s="395"/>
      <c r="J28" s="399" t="s">
        <v>618</v>
      </c>
      <c r="K28" s="400" t="s">
        <v>702</v>
      </c>
      <c r="L28" s="395"/>
      <c r="M28" s="401" t="s">
        <v>618</v>
      </c>
      <c r="N28" s="402" t="s">
        <v>703</v>
      </c>
      <c r="O28" s="395"/>
      <c r="P28" s="444" t="s">
        <v>496</v>
      </c>
      <c r="Q28" s="445" t="s">
        <v>704</v>
      </c>
      <c r="S28" s="393" t="s">
        <v>622</v>
      </c>
      <c r="T28" s="406" t="s">
        <v>705</v>
      </c>
      <c r="V28" s="393" t="s">
        <v>624</v>
      </c>
      <c r="W28" s="406" t="s">
        <v>706</v>
      </c>
      <c r="Y28" s="432"/>
      <c r="Z28" s="433" t="n">
        <f aca="false">SUM(Z25:Z27)</f>
        <v>0.235611788784282</v>
      </c>
      <c r="AB28" s="208" t="s">
        <v>604</v>
      </c>
      <c r="AE28" s="412" t="s">
        <v>678</v>
      </c>
      <c r="AF28" s="426" t="n">
        <f aca="false">+AF3/(1-0.0268)-AF3</f>
        <v>0.0922523633374435</v>
      </c>
      <c r="AH28" s="409" t="s">
        <v>679</v>
      </c>
      <c r="AI28" s="423" t="n">
        <f aca="false">+AI3/(1-0)-AI3</f>
        <v>0</v>
      </c>
      <c r="AK28" s="449"/>
      <c r="AL28" s="422"/>
      <c r="AN28" s="449"/>
      <c r="AO28" s="422"/>
      <c r="AQ28" s="409" t="s">
        <v>652</v>
      </c>
      <c r="AR28" s="423" t="n">
        <f aca="false">+AR3/(1-0.02)-AR3</f>
        <v>0.071530612244898</v>
      </c>
    </row>
    <row r="29" customFormat="false" ht="12.75" hidden="false" customHeight="false" outlineLevel="0" collapsed="false">
      <c r="A29" s="409" t="s">
        <v>637</v>
      </c>
      <c r="B29" s="410" t="n">
        <v>0.0186</v>
      </c>
      <c r="D29" s="409" t="s">
        <v>637</v>
      </c>
      <c r="E29" s="411" t="n">
        <v>0.2511</v>
      </c>
      <c r="F29" s="396"/>
      <c r="G29" s="434" t="s">
        <v>637</v>
      </c>
      <c r="H29" s="413" t="n">
        <v>0.0978</v>
      </c>
      <c r="I29" s="396"/>
      <c r="J29" s="414" t="s">
        <v>637</v>
      </c>
      <c r="K29" s="413" t="n">
        <v>0.0708</v>
      </c>
      <c r="L29" s="396"/>
      <c r="M29" s="415" t="s">
        <v>637</v>
      </c>
      <c r="N29" s="416" t="n">
        <v>0.521</v>
      </c>
      <c r="O29" s="396"/>
      <c r="P29" s="417" t="s">
        <v>637</v>
      </c>
      <c r="Q29" s="418" t="n">
        <v>0.021</v>
      </c>
      <c r="S29" s="409" t="s">
        <v>637</v>
      </c>
      <c r="T29" s="420" t="n">
        <v>0.088</v>
      </c>
      <c r="V29" s="409" t="s">
        <v>637</v>
      </c>
      <c r="W29" s="410" t="s">
        <v>707</v>
      </c>
      <c r="Y29" s="396" t="s">
        <v>1</v>
      </c>
      <c r="Z29" s="396" t="s">
        <v>1</v>
      </c>
      <c r="AE29" s="434"/>
      <c r="AF29" s="435" t="n">
        <f aca="false">SUM(AF26:AF28)</f>
        <v>0.131152363337443</v>
      </c>
      <c r="AH29" s="432"/>
      <c r="AI29" s="433" t="n">
        <f aca="false">SUM(AI26:AI28)</f>
        <v>0.4799</v>
      </c>
      <c r="AK29" s="73"/>
      <c r="AL29" s="424"/>
      <c r="AN29" s="73"/>
      <c r="AO29" s="424"/>
      <c r="AQ29" s="432"/>
      <c r="AR29" s="433" t="n">
        <f aca="false">SUM(AR26:AR28)</f>
        <v>0.081830612244898</v>
      </c>
    </row>
    <row r="30" customFormat="false" ht="12.75" hidden="false" customHeight="false" outlineLevel="0" collapsed="false">
      <c r="A30" s="409" t="s">
        <v>119</v>
      </c>
      <c r="B30" s="410" t="n">
        <f aca="false">0.0022+0.0072+0.0131</f>
        <v>0.0225</v>
      </c>
      <c r="C30" s="452"/>
      <c r="D30" s="409" t="s">
        <v>119</v>
      </c>
      <c r="E30" s="411" t="n">
        <f aca="false">0.0072+0.0131+0.0022</f>
        <v>0.0225</v>
      </c>
      <c r="F30" s="422"/>
      <c r="G30" s="434" t="s">
        <v>119</v>
      </c>
      <c r="H30" s="413" t="n">
        <f aca="false">0.0022</f>
        <v>0.0022</v>
      </c>
      <c r="I30" s="396"/>
      <c r="J30" s="414" t="s">
        <v>119</v>
      </c>
      <c r="K30" s="413" t="n">
        <f aca="false">0.0022+0.0072</f>
        <v>0.0094</v>
      </c>
      <c r="L30" s="396"/>
      <c r="M30" s="415" t="s">
        <v>119</v>
      </c>
      <c r="N30" s="416" t="n">
        <f aca="false">0.0022+0.0072</f>
        <v>0.0094</v>
      </c>
      <c r="O30" s="396"/>
      <c r="P30" s="417" t="s">
        <v>119</v>
      </c>
      <c r="Q30" s="418" t="n">
        <f aca="false">0.0022+0.0072</f>
        <v>0.0094</v>
      </c>
      <c r="R30" s="456"/>
      <c r="S30" s="409" t="s">
        <v>119</v>
      </c>
      <c r="T30" s="420" t="n">
        <v>0.0022</v>
      </c>
      <c r="U30" s="452"/>
      <c r="V30" s="409" t="s">
        <v>119</v>
      </c>
      <c r="W30" s="410" t="n">
        <v>0</v>
      </c>
      <c r="X30" s="452"/>
      <c r="Y30" s="396" t="s">
        <v>1</v>
      </c>
      <c r="Z30" s="396" t="s">
        <v>1</v>
      </c>
      <c r="AB30" s="407" t="s">
        <v>150</v>
      </c>
      <c r="AC30" s="408" t="s">
        <v>627</v>
      </c>
      <c r="AL30" s="457"/>
      <c r="AN30" s="73"/>
      <c r="AO30" s="457"/>
    </row>
    <row r="31" customFormat="false" ht="12.75" hidden="false" customHeight="false" outlineLevel="0" collapsed="false">
      <c r="A31" s="409" t="s">
        <v>708</v>
      </c>
      <c r="B31" s="423" t="n">
        <f aca="false">B6/(1-0.0316)-B6</f>
        <v>0.11453531598513</v>
      </c>
      <c r="C31" s="422"/>
      <c r="D31" s="409" t="s">
        <v>708</v>
      </c>
      <c r="E31" s="423" t="n">
        <f aca="false">+E6/(1-0.0316)-E6</f>
        <v>0.11453531598513</v>
      </c>
      <c r="F31" s="424"/>
      <c r="G31" s="434" t="s">
        <v>709</v>
      </c>
      <c r="H31" s="425" t="n">
        <f aca="false">(H3)/(1-0.0504)-H3</f>
        <v>0.172759056444819</v>
      </c>
      <c r="I31" s="422"/>
      <c r="J31" s="414" t="s">
        <v>710</v>
      </c>
      <c r="K31" s="426" t="n">
        <f aca="false">(K5)/(1-0.0564)-K5</f>
        <v>0.19515260703688</v>
      </c>
      <c r="L31" s="422"/>
      <c r="M31" s="415" t="s">
        <v>711</v>
      </c>
      <c r="N31" s="427" t="n">
        <f aca="false">(N4)/(1-0.0733)-N4</f>
        <v>0.26102298478472</v>
      </c>
      <c r="O31" s="422"/>
      <c r="P31" s="417" t="s">
        <v>712</v>
      </c>
      <c r="Q31" s="428" t="n">
        <f aca="false">+Q$3/(1-0.026)-Q$3</f>
        <v>0.0900924024640659</v>
      </c>
      <c r="R31" s="429"/>
      <c r="S31" s="409" t="s">
        <v>645</v>
      </c>
      <c r="T31" s="423" t="n">
        <f aca="false">(+T3-0.108)/(1-0.00489)-(T3-0.108)</f>
        <v>0.0159312839786554</v>
      </c>
      <c r="U31" s="422"/>
      <c r="V31" s="409" t="s">
        <v>677</v>
      </c>
      <c r="W31" s="423" t="n">
        <f aca="false">+W3/(1-0.02184)-W3</f>
        <v>0.0783700008178618</v>
      </c>
      <c r="X31" s="422"/>
      <c r="Y31" s="422"/>
      <c r="Z31" s="422"/>
      <c r="AB31" s="421" t="s">
        <v>637</v>
      </c>
      <c r="AC31" s="416" t="n">
        <v>0.0112</v>
      </c>
      <c r="AE31" s="325" t="s">
        <v>713</v>
      </c>
      <c r="AH31" s="393" t="s">
        <v>629</v>
      </c>
      <c r="AI31" s="406" t="s">
        <v>714</v>
      </c>
      <c r="AL31" s="457"/>
      <c r="AO31" s="457"/>
      <c r="AQ31" s="393" t="s">
        <v>634</v>
      </c>
      <c r="AR31" s="406" t="s">
        <v>715</v>
      </c>
    </row>
    <row r="32" customFormat="false" ht="12.75" hidden="false" customHeight="false" outlineLevel="0" collapsed="false">
      <c r="A32" s="432"/>
      <c r="B32" s="433" t="n">
        <f aca="false">SUM(B29:B31)</f>
        <v>0.15563531598513</v>
      </c>
      <c r="C32" s="424"/>
      <c r="D32" s="409"/>
      <c r="E32" s="433" t="n">
        <f aca="false">SUM(E29:E31)</f>
        <v>0.38813531598513</v>
      </c>
      <c r="F32" s="395"/>
      <c r="G32" s="434"/>
      <c r="H32" s="435" t="n">
        <f aca="false">SUM(H29:H31)</f>
        <v>0.272759056444819</v>
      </c>
      <c r="I32" s="424"/>
      <c r="J32" s="414"/>
      <c r="K32" s="435" t="n">
        <f aca="false">SUM(K29:K31)</f>
        <v>0.27535260703688</v>
      </c>
      <c r="L32" s="424"/>
      <c r="M32" s="415"/>
      <c r="N32" s="436" t="n">
        <f aca="false">SUM(N29:N31)</f>
        <v>0.79142298478472</v>
      </c>
      <c r="O32" s="424"/>
      <c r="P32" s="437"/>
      <c r="Q32" s="438" t="n">
        <f aca="false">SUM(Q29:Q31)</f>
        <v>0.120492402464066</v>
      </c>
      <c r="R32" s="439"/>
      <c r="S32" s="432"/>
      <c r="T32" s="433" t="n">
        <f aca="false">SUM(T29:T31)</f>
        <v>0.106131283978655</v>
      </c>
      <c r="U32" s="424"/>
      <c r="V32" s="432"/>
      <c r="W32" s="433" t="n">
        <f aca="false">SUM(W29:W31)</f>
        <v>0.0783700008178618</v>
      </c>
      <c r="X32" s="424"/>
      <c r="Y32" s="424"/>
      <c r="Z32" s="424"/>
      <c r="AB32" s="421" t="s">
        <v>119</v>
      </c>
      <c r="AC32" s="416" t="n">
        <f aca="false">0.0022+0.0072</f>
        <v>0.0094</v>
      </c>
      <c r="AE32" s="412" t="s">
        <v>637</v>
      </c>
      <c r="AF32" s="413" t="n">
        <f aca="false">0.0152+0.002</f>
        <v>0.0172</v>
      </c>
      <c r="AH32" s="409" t="s">
        <v>637</v>
      </c>
      <c r="AI32" s="410" t="n">
        <v>0.115</v>
      </c>
      <c r="AK32" s="458"/>
      <c r="AN32" s="458"/>
      <c r="AQ32" s="409" t="s">
        <v>637</v>
      </c>
      <c r="AR32" s="410" t="n">
        <v>0.0003</v>
      </c>
    </row>
    <row r="33" customFormat="false" ht="12.75" hidden="false" customHeight="false" outlineLevel="0" collapsed="false">
      <c r="A33" s="393" t="s">
        <v>93</v>
      </c>
      <c r="B33" s="394" t="s">
        <v>716</v>
      </c>
      <c r="C33" s="395"/>
      <c r="D33" s="27" t="s">
        <v>93</v>
      </c>
      <c r="E33" s="27" t="s">
        <v>717</v>
      </c>
      <c r="F33" s="396"/>
      <c r="G33" s="442" t="s">
        <v>616</v>
      </c>
      <c r="H33" s="455" t="s">
        <v>718</v>
      </c>
      <c r="I33" s="395"/>
      <c r="J33" s="399" t="s">
        <v>618</v>
      </c>
      <c r="K33" s="400" t="s">
        <v>620</v>
      </c>
      <c r="L33" s="395"/>
      <c r="M33" s="401" t="s">
        <v>618</v>
      </c>
      <c r="N33" s="402" t="s">
        <v>719</v>
      </c>
      <c r="O33" s="395"/>
      <c r="P33" s="459"/>
      <c r="Q33" s="405"/>
      <c r="R33" s="405"/>
      <c r="S33" s="441" t="s">
        <v>622</v>
      </c>
      <c r="T33" s="446" t="s">
        <v>720</v>
      </c>
      <c r="U33" s="395"/>
      <c r="V33" s="441" t="s">
        <v>624</v>
      </c>
      <c r="W33" s="446" t="s">
        <v>721</v>
      </c>
      <c r="X33" s="395"/>
      <c r="Y33" s="395"/>
      <c r="Z33" s="395"/>
      <c r="AB33" s="421" t="s">
        <v>722</v>
      </c>
      <c r="AC33" s="427" t="n">
        <f aca="false">+AC3/(1-0.0058)-AC3</f>
        <v>0.0213226714946693</v>
      </c>
      <c r="AE33" s="412" t="s">
        <v>119</v>
      </c>
      <c r="AF33" s="413" t="n">
        <f aca="false">0.002+0.0072+0.0022</f>
        <v>0.0114</v>
      </c>
      <c r="AH33" s="409" t="s">
        <v>119</v>
      </c>
      <c r="AI33" s="410" t="n">
        <f aca="false">0.0022+0.0012</f>
        <v>0.0034</v>
      </c>
      <c r="AK33" s="460"/>
      <c r="AL33" s="457"/>
      <c r="AN33" s="460"/>
      <c r="AO33" s="457"/>
      <c r="AQ33" s="409" t="s">
        <v>119</v>
      </c>
      <c r="AR33" s="410" t="n">
        <f aca="false">0.0072+0.0022</f>
        <v>0.0094</v>
      </c>
    </row>
    <row r="34" customFormat="false" ht="12.75" hidden="false" customHeight="false" outlineLevel="0" collapsed="false">
      <c r="A34" s="409" t="s">
        <v>637</v>
      </c>
      <c r="B34" s="410" t="n">
        <v>0.0274</v>
      </c>
      <c r="C34" s="396"/>
      <c r="D34" s="409" t="s">
        <v>637</v>
      </c>
      <c r="E34" s="411" t="n">
        <v>0.0694</v>
      </c>
      <c r="F34" s="396"/>
      <c r="G34" s="434" t="s">
        <v>637</v>
      </c>
      <c r="H34" s="413" t="n">
        <v>0.1118</v>
      </c>
      <c r="I34" s="396"/>
      <c r="J34" s="414" t="s">
        <v>637</v>
      </c>
      <c r="K34" s="413" t="n">
        <v>0.0922</v>
      </c>
      <c r="L34" s="396"/>
      <c r="M34" s="415" t="s">
        <v>637</v>
      </c>
      <c r="N34" s="416" t="n">
        <v>0.3983</v>
      </c>
      <c r="O34" s="396"/>
      <c r="P34" s="461"/>
      <c r="Q34" s="419"/>
      <c r="R34" s="419"/>
      <c r="S34" s="409" t="s">
        <v>637</v>
      </c>
      <c r="T34" s="420" t="n">
        <v>0.0366</v>
      </c>
      <c r="U34" s="396"/>
      <c r="V34" s="409" t="s">
        <v>637</v>
      </c>
      <c r="W34" s="410" t="n">
        <v>0.05</v>
      </c>
      <c r="X34" s="396"/>
      <c r="Y34" s="396"/>
      <c r="Z34" s="396"/>
      <c r="AB34" s="440"/>
      <c r="AC34" s="436" t="n">
        <f aca="false">SUM(AC31:AC33)</f>
        <v>0.0419226714946693</v>
      </c>
      <c r="AE34" s="412" t="s">
        <v>723</v>
      </c>
      <c r="AF34" s="426" t="n">
        <f aca="false">+AF3/(1-0.0169)-AF3</f>
        <v>0.0575882412775912</v>
      </c>
      <c r="AH34" s="409" t="s">
        <v>679</v>
      </c>
      <c r="AI34" s="423" t="n">
        <f aca="false">+AI3/(1-0)-AI3</f>
        <v>0</v>
      </c>
      <c r="AL34" s="457"/>
      <c r="AO34" s="457"/>
      <c r="AQ34" s="409" t="s">
        <v>652</v>
      </c>
      <c r="AR34" s="423" t="n">
        <f aca="false">+AR3/(1-0.02)-AR3</f>
        <v>0.071530612244898</v>
      </c>
    </row>
    <row r="35" customFormat="false" ht="12.75" hidden="false" customHeight="false" outlineLevel="0" collapsed="false">
      <c r="A35" s="409" t="s">
        <v>119</v>
      </c>
      <c r="B35" s="410" t="n">
        <f aca="false">0.0022+0.0072+0.0131</f>
        <v>0.0225</v>
      </c>
      <c r="C35" s="396"/>
      <c r="D35" s="409" t="s">
        <v>119</v>
      </c>
      <c r="E35" s="411" t="n">
        <v>0</v>
      </c>
      <c r="F35" s="422"/>
      <c r="G35" s="434" t="s">
        <v>119</v>
      </c>
      <c r="H35" s="413" t="n">
        <f aca="false">0.0022+0.0072</f>
        <v>0.0094</v>
      </c>
      <c r="I35" s="396"/>
      <c r="J35" s="414" t="s">
        <v>119</v>
      </c>
      <c r="K35" s="413" t="n">
        <f aca="false">0.0022+0.0072</f>
        <v>0.0094</v>
      </c>
      <c r="L35" s="396"/>
      <c r="M35" s="415" t="s">
        <v>119</v>
      </c>
      <c r="N35" s="416" t="n">
        <f aca="false">0.0022+0.0072</f>
        <v>0.0094</v>
      </c>
      <c r="O35" s="396"/>
      <c r="P35" s="461"/>
      <c r="Q35" s="419"/>
      <c r="R35" s="419"/>
      <c r="S35" s="409" t="s">
        <v>119</v>
      </c>
      <c r="T35" s="420" t="n">
        <v>0.0022</v>
      </c>
      <c r="U35" s="396"/>
      <c r="V35" s="409" t="s">
        <v>119</v>
      </c>
      <c r="W35" s="410" t="n">
        <f aca="false">0.0022</f>
        <v>0.0022</v>
      </c>
      <c r="X35" s="396"/>
      <c r="Y35" s="396"/>
      <c r="Z35" s="396"/>
      <c r="AE35" s="434"/>
      <c r="AF35" s="435" t="n">
        <f aca="false">SUM(AF32:AF34)</f>
        <v>0.0861882412775912</v>
      </c>
      <c r="AH35" s="432"/>
      <c r="AI35" s="433" t="n">
        <f aca="false">SUM(AI32:AI34)</f>
        <v>0.1184</v>
      </c>
      <c r="AL35" s="457"/>
      <c r="AO35" s="457"/>
      <c r="AQ35" s="432"/>
      <c r="AR35" s="433" t="n">
        <f aca="false">SUM(AR32:AR34)</f>
        <v>0.081230612244898</v>
      </c>
    </row>
    <row r="36" customFormat="false" ht="12.75" hidden="false" customHeight="false" outlineLevel="0" collapsed="false">
      <c r="A36" s="409" t="s">
        <v>724</v>
      </c>
      <c r="B36" s="423" t="n">
        <f aca="false">B6/(1-0.0469)-B6</f>
        <v>0.17271954674221</v>
      </c>
      <c r="C36" s="422"/>
      <c r="D36" s="409" t="s">
        <v>725</v>
      </c>
      <c r="E36" s="423" t="n">
        <f aca="false">+E5/(1-0.0046)-E5</f>
        <v>0.0164054651396426</v>
      </c>
      <c r="F36" s="424"/>
      <c r="G36" s="434" t="s">
        <v>726</v>
      </c>
      <c r="H36" s="425" t="n">
        <f aca="false">(H3)/(1-0.058)-H3</f>
        <v>0.200414012738854</v>
      </c>
      <c r="I36" s="422"/>
      <c r="J36" s="414" t="s">
        <v>643</v>
      </c>
      <c r="K36" s="426" t="n">
        <f aca="false">(K5)/(1-0.0704)-K5</f>
        <v>0.247263339070568</v>
      </c>
      <c r="L36" s="422"/>
      <c r="M36" s="415" t="s">
        <v>727</v>
      </c>
      <c r="N36" s="427" t="n">
        <f aca="false">(N3)/(1-0.0612)-N3</f>
        <v>0.187094162760971</v>
      </c>
      <c r="O36" s="422"/>
      <c r="P36" s="461"/>
      <c r="Q36" s="429"/>
      <c r="R36" s="429"/>
      <c r="S36" s="409" t="s">
        <v>676</v>
      </c>
      <c r="T36" s="423" t="n">
        <f aca="false">T3/(1-0.00603)-T3</f>
        <v>0.0203230479793151</v>
      </c>
      <c r="U36" s="422"/>
      <c r="V36" s="409" t="s">
        <v>677</v>
      </c>
      <c r="W36" s="423" t="n">
        <f aca="false">+W3/(1-0.02184)-W3</f>
        <v>0.0783700008178618</v>
      </c>
      <c r="X36" s="422"/>
      <c r="Y36" s="422"/>
      <c r="Z36" s="422"/>
      <c r="AB36" s="407" t="s">
        <v>150</v>
      </c>
      <c r="AC36" s="408" t="s">
        <v>665</v>
      </c>
      <c r="AI36" s="462" t="n">
        <f aca="false">SUM(AI35,AI3)</f>
        <v>3.6434</v>
      </c>
      <c r="AR36" s="462"/>
    </row>
    <row r="37" customFormat="false" ht="12.75" hidden="false" customHeight="false" outlineLevel="0" collapsed="false">
      <c r="A37" s="432"/>
      <c r="B37" s="433" t="n">
        <f aca="false">SUM(B34:B36)</f>
        <v>0.22261954674221</v>
      </c>
      <c r="C37" s="424"/>
      <c r="D37" s="409"/>
      <c r="E37" s="433" t="n">
        <f aca="false">SUM(E34:E36)</f>
        <v>0.0858054651396426</v>
      </c>
      <c r="F37" s="395"/>
      <c r="G37" s="434"/>
      <c r="H37" s="435" t="n">
        <f aca="false">SUM(H34:H36)</f>
        <v>0.321614012738854</v>
      </c>
      <c r="I37" s="424"/>
      <c r="J37" s="414"/>
      <c r="K37" s="435" t="n">
        <f aca="false">SUM(K34:K36)</f>
        <v>0.348863339070568</v>
      </c>
      <c r="L37" s="424"/>
      <c r="M37" s="415"/>
      <c r="N37" s="436" t="n">
        <f aca="false">SUM(N34:N36)</f>
        <v>0.594794162760971</v>
      </c>
      <c r="O37" s="424"/>
      <c r="P37" s="463"/>
      <c r="Q37" s="464"/>
      <c r="R37" s="439"/>
      <c r="S37" s="432"/>
      <c r="T37" s="465" t="n">
        <f aca="false">SUM(T34:T36)</f>
        <v>0.0591230479793151</v>
      </c>
      <c r="U37" s="424"/>
      <c r="V37" s="432"/>
      <c r="W37" s="433" t="n">
        <f aca="false">SUM(W34:W36)</f>
        <v>0.130570000817862</v>
      </c>
      <c r="X37" s="424"/>
      <c r="Y37" s="424"/>
      <c r="Z37" s="424"/>
      <c r="AB37" s="421" t="s">
        <v>637</v>
      </c>
      <c r="AC37" s="416" t="n">
        <v>0</v>
      </c>
      <c r="AE37" s="325" t="s">
        <v>728</v>
      </c>
      <c r="AH37" s="393" t="s">
        <v>629</v>
      </c>
      <c r="AI37" s="406" t="s">
        <v>729</v>
      </c>
      <c r="AK37" s="458"/>
      <c r="AN37" s="458"/>
      <c r="AQ37" s="447"/>
      <c r="AR37" s="395"/>
    </row>
    <row r="38" customFormat="false" ht="12.75" hidden="false" customHeight="false" outlineLevel="0" collapsed="false">
      <c r="A38" s="441" t="s">
        <v>93</v>
      </c>
      <c r="B38" s="394" t="s">
        <v>730</v>
      </c>
      <c r="C38" s="395"/>
      <c r="D38" s="451" t="s">
        <v>93</v>
      </c>
      <c r="E38" s="433" t="s">
        <v>731</v>
      </c>
      <c r="F38" s="396"/>
      <c r="G38" s="442" t="s">
        <v>616</v>
      </c>
      <c r="H38" s="455" t="s">
        <v>732</v>
      </c>
      <c r="I38" s="395"/>
      <c r="J38" s="399" t="s">
        <v>618</v>
      </c>
      <c r="K38" s="400" t="s">
        <v>659</v>
      </c>
      <c r="L38" s="395"/>
      <c r="M38" s="401" t="s">
        <v>618</v>
      </c>
      <c r="N38" s="402" t="s">
        <v>733</v>
      </c>
      <c r="O38" s="395"/>
      <c r="P38" s="459"/>
      <c r="Q38" s="405"/>
      <c r="R38" s="405"/>
      <c r="S38" s="441" t="s">
        <v>622</v>
      </c>
      <c r="T38" s="446" t="s">
        <v>734</v>
      </c>
      <c r="U38" s="395"/>
      <c r="V38" s="441"/>
      <c r="W38" s="446"/>
      <c r="X38" s="395"/>
      <c r="Y38" s="395"/>
      <c r="Z38" s="395"/>
      <c r="AB38" s="421" t="s">
        <v>119</v>
      </c>
      <c r="AC38" s="416" t="n">
        <f aca="false">0.0022+0.0072</f>
        <v>0.0094</v>
      </c>
      <c r="AE38" s="412" t="s">
        <v>637</v>
      </c>
      <c r="AF38" s="413" t="n">
        <f aca="false">0.0152+0.002</f>
        <v>0.0172</v>
      </c>
      <c r="AH38" s="409" t="s">
        <v>637</v>
      </c>
      <c r="AI38" s="410" t="n">
        <v>0.07</v>
      </c>
      <c r="AK38" s="460"/>
      <c r="AL38" s="457"/>
      <c r="AN38" s="460"/>
      <c r="AO38" s="457"/>
      <c r="AQ38" s="449"/>
      <c r="AR38" s="396"/>
    </row>
    <row r="39" customFormat="false" ht="12.75" hidden="false" customHeight="false" outlineLevel="0" collapsed="false">
      <c r="A39" s="409" t="s">
        <v>637</v>
      </c>
      <c r="B39" s="410" t="n">
        <v>0.032</v>
      </c>
      <c r="C39" s="396"/>
      <c r="D39" s="409" t="s">
        <v>637</v>
      </c>
      <c r="E39" s="411" t="n">
        <v>0.1038</v>
      </c>
      <c r="F39" s="396"/>
      <c r="G39" s="434" t="s">
        <v>637</v>
      </c>
      <c r="H39" s="413" t="n">
        <v>0.1231</v>
      </c>
      <c r="I39" s="396"/>
      <c r="J39" s="414" t="s">
        <v>637</v>
      </c>
      <c r="K39" s="413" t="n">
        <v>0.1071</v>
      </c>
      <c r="L39" s="396"/>
      <c r="M39" s="415" t="s">
        <v>637</v>
      </c>
      <c r="N39" s="416" t="n">
        <v>0.5029</v>
      </c>
      <c r="O39" s="396"/>
      <c r="P39" s="461"/>
      <c r="Q39" s="419"/>
      <c r="R39" s="419"/>
      <c r="S39" s="409" t="s">
        <v>637</v>
      </c>
      <c r="T39" s="420" t="n">
        <v>0.1204</v>
      </c>
      <c r="U39" s="396"/>
      <c r="V39" s="409"/>
      <c r="W39" s="410"/>
      <c r="X39" s="396"/>
      <c r="Y39" s="396"/>
      <c r="Z39" s="396"/>
      <c r="AB39" s="421" t="s">
        <v>722</v>
      </c>
      <c r="AC39" s="427" t="n">
        <f aca="false">+AC3/(1-0.0058)-AC3</f>
        <v>0.0213226714946693</v>
      </c>
      <c r="AE39" s="412" t="s">
        <v>119</v>
      </c>
      <c r="AF39" s="413" t="n">
        <f aca="false">0.0072+0.0022</f>
        <v>0.0094</v>
      </c>
      <c r="AH39" s="409" t="s">
        <v>119</v>
      </c>
      <c r="AI39" s="410" t="n">
        <f aca="false">0.0022+0.0007</f>
        <v>0.0029</v>
      </c>
      <c r="AL39" s="457"/>
      <c r="AO39" s="457"/>
      <c r="AQ39" s="449"/>
      <c r="AR39" s="396"/>
    </row>
    <row r="40" customFormat="false" ht="12.75" hidden="false" customHeight="false" outlineLevel="0" collapsed="false">
      <c r="A40" s="409" t="s">
        <v>119</v>
      </c>
      <c r="B40" s="410" t="n">
        <f aca="false">0.0022+0.0072+0.0131</f>
        <v>0.0225</v>
      </c>
      <c r="C40" s="396"/>
      <c r="D40" s="409" t="s">
        <v>119</v>
      </c>
      <c r="E40" s="411" t="n">
        <f aca="false">0.0072+0.0022+0.0131</f>
        <v>0.0225</v>
      </c>
      <c r="F40" s="422"/>
      <c r="G40" s="434" t="s">
        <v>119</v>
      </c>
      <c r="H40" s="413" t="n">
        <f aca="false">0.0022+0.0072</f>
        <v>0.0094</v>
      </c>
      <c r="I40" s="396"/>
      <c r="J40" s="414" t="s">
        <v>119</v>
      </c>
      <c r="K40" s="413" t="n">
        <f aca="false">0.0022+0.0072</f>
        <v>0.0094</v>
      </c>
      <c r="L40" s="396"/>
      <c r="M40" s="415" t="s">
        <v>119</v>
      </c>
      <c r="N40" s="416" t="n">
        <f aca="false">0.0022+0.0072</f>
        <v>0.0094</v>
      </c>
      <c r="O40" s="396"/>
      <c r="P40" s="461"/>
      <c r="Q40" s="419"/>
      <c r="R40" s="419"/>
      <c r="S40" s="409" t="s">
        <v>119</v>
      </c>
      <c r="T40" s="420" t="n">
        <v>0.0022</v>
      </c>
      <c r="U40" s="396"/>
      <c r="V40" s="409"/>
      <c r="W40" s="410"/>
      <c r="X40" s="396"/>
      <c r="Y40" s="396"/>
      <c r="Z40" s="396"/>
      <c r="AB40" s="440"/>
      <c r="AC40" s="436" t="n">
        <f aca="false">SUM(AC37:AC39)</f>
        <v>0.0307226714946693</v>
      </c>
      <c r="AE40" s="412" t="s">
        <v>651</v>
      </c>
      <c r="AF40" s="426" t="n">
        <v>0</v>
      </c>
      <c r="AH40" s="409" t="s">
        <v>735</v>
      </c>
      <c r="AI40" s="423" t="n">
        <f aca="false">+AI3/(1-0)-AI3</f>
        <v>0</v>
      </c>
      <c r="AL40" s="457"/>
      <c r="AO40" s="457"/>
      <c r="AQ40" s="449"/>
      <c r="AR40" s="422"/>
    </row>
    <row r="41" customFormat="false" ht="12.75" hidden="false" customHeight="false" outlineLevel="0" collapsed="false">
      <c r="A41" s="409" t="s">
        <v>736</v>
      </c>
      <c r="B41" s="423" t="n">
        <f aca="false">B6/(1-0.0553)-B6</f>
        <v>0.205465227056208</v>
      </c>
      <c r="C41" s="422"/>
      <c r="D41" s="409" t="s">
        <v>737</v>
      </c>
      <c r="E41" s="423" t="n">
        <f aca="false">E5/(1-0.0091)-E5</f>
        <v>0.0326016752447269</v>
      </c>
      <c r="F41" s="424"/>
      <c r="G41" s="434" t="s">
        <v>738</v>
      </c>
      <c r="H41" s="425" t="n">
        <f aca="false">(H3)/(1-0.0672)-H3</f>
        <v>0.234493996569468</v>
      </c>
      <c r="I41" s="422"/>
      <c r="J41" s="414" t="s">
        <v>675</v>
      </c>
      <c r="K41" s="426" t="n">
        <f aca="false">(K5)/(1-0.0797)-K5</f>
        <v>0.282756166467456</v>
      </c>
      <c r="L41" s="422"/>
      <c r="M41" s="415" t="s">
        <v>739</v>
      </c>
      <c r="N41" s="427" t="n">
        <f aca="false">(N3)/(1-0.0705)-N3</f>
        <v>0.217681549220011</v>
      </c>
      <c r="O41" s="422"/>
      <c r="P41" s="461"/>
      <c r="Q41" s="429"/>
      <c r="R41" s="429"/>
      <c r="S41" s="409" t="s">
        <v>697</v>
      </c>
      <c r="T41" s="423" t="n">
        <f aca="false">T4/(1-0.0282)-T4</f>
        <v>0.0989524593537765</v>
      </c>
      <c r="U41" s="422"/>
      <c r="V41" s="409"/>
      <c r="W41" s="423"/>
      <c r="X41" s="422"/>
      <c r="Y41" s="422"/>
      <c r="Z41" s="422"/>
      <c r="AE41" s="434"/>
      <c r="AF41" s="435" t="n">
        <f aca="false">SUM(AF38:AF40)</f>
        <v>0.0266</v>
      </c>
      <c r="AH41" s="432"/>
      <c r="AI41" s="433" t="n">
        <f aca="false">SUM(AI38:AI40)</f>
        <v>0.0729</v>
      </c>
      <c r="AQ41" s="73"/>
      <c r="AR41" s="424"/>
    </row>
    <row r="42" customFormat="false" ht="12.75" hidden="false" customHeight="false" outlineLevel="0" collapsed="false">
      <c r="A42" s="432"/>
      <c r="B42" s="433" t="n">
        <f aca="false">SUM(B39:B41)</f>
        <v>0.259965227056208</v>
      </c>
      <c r="C42" s="424"/>
      <c r="D42" s="409"/>
      <c r="E42" s="433" t="n">
        <f aca="false">SUM(E39:E41)</f>
        <v>0.158901675244727</v>
      </c>
      <c r="F42" s="395"/>
      <c r="G42" s="434"/>
      <c r="H42" s="435" t="n">
        <f aca="false">SUM(H39:H41)</f>
        <v>0.366993996569468</v>
      </c>
      <c r="I42" s="424"/>
      <c r="J42" s="414"/>
      <c r="K42" s="435" t="n">
        <f aca="false">SUM(K39:K41)</f>
        <v>0.399256166467456</v>
      </c>
      <c r="L42" s="424"/>
      <c r="M42" s="415"/>
      <c r="N42" s="436" t="n">
        <f aca="false">SUM(N39:N41)</f>
        <v>0.729981549220011</v>
      </c>
      <c r="O42" s="424"/>
      <c r="P42" s="463"/>
      <c r="Q42" s="439"/>
      <c r="R42" s="439"/>
      <c r="S42" s="432"/>
      <c r="T42" s="433" t="n">
        <f aca="false">SUM(T39:T41)</f>
        <v>0.221552459353777</v>
      </c>
      <c r="U42" s="424"/>
      <c r="V42" s="432"/>
      <c r="W42" s="433"/>
      <c r="X42" s="424"/>
      <c r="Y42" s="424"/>
      <c r="Z42" s="424"/>
      <c r="AI42" s="466" t="n">
        <f aca="false">+AI41+AI3</f>
        <v>3.5979</v>
      </c>
      <c r="AK42" s="458"/>
      <c r="AN42" s="458"/>
      <c r="AQ42" s="73"/>
      <c r="AR42" s="467"/>
    </row>
    <row r="43" customFormat="false" ht="12.75" hidden="false" customHeight="false" outlineLevel="0" collapsed="false">
      <c r="A43" s="441" t="s">
        <v>93</v>
      </c>
      <c r="B43" s="394" t="s">
        <v>740</v>
      </c>
      <c r="C43" s="395"/>
      <c r="D43" s="27" t="s">
        <v>93</v>
      </c>
      <c r="E43" s="27" t="s">
        <v>741</v>
      </c>
      <c r="F43" s="396"/>
      <c r="G43" s="442" t="s">
        <v>616</v>
      </c>
      <c r="H43" s="455" t="s">
        <v>742</v>
      </c>
      <c r="I43" s="395"/>
      <c r="J43" s="399" t="s">
        <v>618</v>
      </c>
      <c r="K43" s="400" t="s">
        <v>743</v>
      </c>
      <c r="L43" s="395"/>
      <c r="M43" s="401" t="s">
        <v>618</v>
      </c>
      <c r="N43" s="402" t="s">
        <v>744</v>
      </c>
      <c r="O43" s="395"/>
      <c r="P43" s="405"/>
      <c r="Q43" s="405"/>
      <c r="R43" s="405"/>
      <c r="S43" s="395"/>
      <c r="T43" s="395"/>
      <c r="U43" s="395"/>
      <c r="V43" s="395"/>
      <c r="W43" s="395"/>
      <c r="X43" s="395"/>
      <c r="Y43" s="468"/>
      <c r="Z43" s="468"/>
      <c r="AH43" s="27" t="s">
        <v>745</v>
      </c>
      <c r="AK43" s="460"/>
      <c r="AL43" s="457"/>
      <c r="AN43" s="460"/>
      <c r="AO43" s="457"/>
    </row>
    <row r="44" customFormat="false" ht="12.75" hidden="false" customHeight="false" outlineLevel="0" collapsed="false">
      <c r="A44" s="409" t="s">
        <v>637</v>
      </c>
      <c r="B44" s="410" t="n">
        <v>0.003</v>
      </c>
      <c r="C44" s="396"/>
      <c r="D44" s="409" t="s">
        <v>637</v>
      </c>
      <c r="E44" s="411" t="n">
        <v>0.2306</v>
      </c>
      <c r="F44" s="396"/>
      <c r="G44" s="434" t="s">
        <v>637</v>
      </c>
      <c r="H44" s="413" t="n">
        <v>0.1608</v>
      </c>
      <c r="I44" s="396"/>
      <c r="J44" s="414" t="s">
        <v>637</v>
      </c>
      <c r="K44" s="413" t="n">
        <v>0.0147</v>
      </c>
      <c r="L44" s="396"/>
      <c r="M44" s="415" t="s">
        <v>637</v>
      </c>
      <c r="N44" s="416" t="n">
        <v>0.3138</v>
      </c>
      <c r="O44" s="396"/>
      <c r="P44" s="459"/>
      <c r="Q44" s="405"/>
      <c r="R44" s="419"/>
      <c r="S44" s="441" t="s">
        <v>622</v>
      </c>
      <c r="T44" s="446" t="s">
        <v>746</v>
      </c>
      <c r="U44" s="396"/>
      <c r="V44" s="441"/>
      <c r="W44" s="446"/>
      <c r="X44" s="396"/>
      <c r="Y44" s="396"/>
      <c r="Z44" s="396"/>
      <c r="AL44" s="457"/>
      <c r="AO44" s="457"/>
    </row>
    <row r="45" customFormat="false" ht="12.75" hidden="false" customHeight="false" outlineLevel="0" collapsed="false">
      <c r="A45" s="409" t="s">
        <v>119</v>
      </c>
      <c r="B45" s="410" t="n">
        <f aca="false">0.0022+0.0072+0.0131</f>
        <v>0.0225</v>
      </c>
      <c r="C45" s="396"/>
      <c r="D45" s="409" t="s">
        <v>119</v>
      </c>
      <c r="E45" s="411" t="n">
        <f aca="false">0.0072+0.0022+0.0131</f>
        <v>0.0225</v>
      </c>
      <c r="F45" s="422"/>
      <c r="G45" s="434" t="s">
        <v>119</v>
      </c>
      <c r="H45" s="413" t="n">
        <f aca="false">0.0022+0.0072</f>
        <v>0.0094</v>
      </c>
      <c r="I45" s="396"/>
      <c r="J45" s="414" t="s">
        <v>119</v>
      </c>
      <c r="K45" s="413" t="n">
        <f aca="false">0.0022</f>
        <v>0.0022</v>
      </c>
      <c r="L45" s="396"/>
      <c r="M45" s="415" t="s">
        <v>119</v>
      </c>
      <c r="N45" s="416" t="n">
        <f aca="false">0.0022+0.0072</f>
        <v>0.0094</v>
      </c>
      <c r="O45" s="396"/>
      <c r="P45" s="461"/>
      <c r="Q45" s="419"/>
      <c r="R45" s="419"/>
      <c r="S45" s="409" t="s">
        <v>637</v>
      </c>
      <c r="T45" s="410" t="n">
        <v>0.03</v>
      </c>
      <c r="U45" s="396"/>
      <c r="V45" s="409"/>
      <c r="W45" s="410"/>
      <c r="X45" s="396"/>
      <c r="Y45" s="396"/>
      <c r="Z45" s="396"/>
      <c r="AH45" s="458" t="n">
        <v>36647</v>
      </c>
      <c r="AL45" s="457"/>
      <c r="AO45" s="457"/>
      <c r="AQ45" s="458"/>
    </row>
    <row r="46" customFormat="false" ht="12.75" hidden="false" customHeight="false" outlineLevel="0" collapsed="false">
      <c r="A46" s="409" t="s">
        <v>725</v>
      </c>
      <c r="B46" s="423" t="n">
        <f aca="false">B4/(1-0.0046)-B4</f>
        <v>0.0164516777175008</v>
      </c>
      <c r="C46" s="422"/>
      <c r="D46" s="409" t="s">
        <v>747</v>
      </c>
      <c r="E46" s="423" t="n">
        <f aca="false">(E5)/(1-0.0281)-E5</f>
        <v>0.102639160407449</v>
      </c>
      <c r="F46" s="424"/>
      <c r="G46" s="434" t="s">
        <v>748</v>
      </c>
      <c r="H46" s="425" t="n">
        <f aca="false">(H3)/(1-0.0742)-H3</f>
        <v>0.260878159429683</v>
      </c>
      <c r="I46" s="422"/>
      <c r="J46" s="414" t="s">
        <v>749</v>
      </c>
      <c r="K46" s="426" t="n">
        <f aca="false">(K4)/(1-0.0191)-K4</f>
        <v>0.0642573147109795</v>
      </c>
      <c r="L46" s="422"/>
      <c r="M46" s="415" t="s">
        <v>750</v>
      </c>
      <c r="N46" s="427" t="n">
        <f aca="false">(N6)/(1-0.0372)-(N6)</f>
        <v>0.131173660157873</v>
      </c>
      <c r="O46" s="422"/>
      <c r="P46" s="461"/>
      <c r="Q46" s="419"/>
      <c r="R46" s="429"/>
      <c r="S46" s="409" t="s">
        <v>119</v>
      </c>
      <c r="T46" s="410" t="n">
        <v>0.0022</v>
      </c>
      <c r="U46" s="422"/>
      <c r="V46" s="409"/>
      <c r="W46" s="410"/>
      <c r="X46" s="422"/>
      <c r="Y46" s="422"/>
      <c r="Z46" s="422"/>
      <c r="AH46" s="460" t="s">
        <v>751</v>
      </c>
      <c r="AI46" s="457" t="n">
        <v>0</v>
      </c>
      <c r="AQ46" s="460"/>
      <c r="AR46" s="457"/>
    </row>
    <row r="47" customFormat="false" ht="12.75" hidden="false" customHeight="false" outlineLevel="0" collapsed="false">
      <c r="A47" s="432"/>
      <c r="B47" s="433" t="n">
        <f aca="false">SUM(B44:B46)</f>
        <v>0.0419516777175008</v>
      </c>
      <c r="C47" s="424"/>
      <c r="D47" s="409"/>
      <c r="E47" s="433" t="n">
        <f aca="false">SUM(E44:E46)</f>
        <v>0.355739160407449</v>
      </c>
      <c r="F47" s="468"/>
      <c r="G47" s="434"/>
      <c r="H47" s="435" t="n">
        <f aca="false">SUM(H44:H46)</f>
        <v>0.431078159429683</v>
      </c>
      <c r="I47" s="424"/>
      <c r="J47" s="414"/>
      <c r="K47" s="435" t="n">
        <f aca="false">SUM(K44:K46)</f>
        <v>0.0811573147109795</v>
      </c>
      <c r="L47" s="424"/>
      <c r="M47" s="415"/>
      <c r="N47" s="436" t="n">
        <f aca="false">SUM(N44:N46)</f>
        <v>0.454373660157873</v>
      </c>
      <c r="O47" s="424"/>
      <c r="P47" s="461"/>
      <c r="Q47" s="429"/>
      <c r="R47" s="439"/>
      <c r="S47" s="409" t="s">
        <v>676</v>
      </c>
      <c r="T47" s="423" t="n">
        <f aca="false">T3/(1-0.00603)-T3</f>
        <v>0.0203230479793151</v>
      </c>
      <c r="U47" s="424"/>
      <c r="V47" s="409"/>
      <c r="W47" s="423"/>
      <c r="X47" s="424"/>
      <c r="Y47" s="424"/>
      <c r="Z47" s="424"/>
      <c r="AH47" s="27" t="s">
        <v>752</v>
      </c>
      <c r="AI47" s="457" t="n">
        <v>0</v>
      </c>
      <c r="AK47" s="458"/>
      <c r="AN47" s="458"/>
      <c r="AR47" s="457"/>
    </row>
    <row r="48" customFormat="false" ht="12.75" hidden="false" customHeight="false" outlineLevel="0" collapsed="false">
      <c r="A48" s="395" t="s">
        <v>93</v>
      </c>
      <c r="B48" s="394" t="s">
        <v>753</v>
      </c>
      <c r="C48" s="395"/>
      <c r="D48" s="451" t="s">
        <v>93</v>
      </c>
      <c r="E48" s="433" t="s">
        <v>754</v>
      </c>
      <c r="F48" s="396"/>
      <c r="G48" s="442" t="s">
        <v>616</v>
      </c>
      <c r="H48" s="443" t="s">
        <v>755</v>
      </c>
      <c r="I48" s="468"/>
      <c r="J48" s="399" t="s">
        <v>618</v>
      </c>
      <c r="K48" s="400" t="s">
        <v>756</v>
      </c>
      <c r="L48" s="468"/>
      <c r="M48" s="401" t="s">
        <v>618</v>
      </c>
      <c r="N48" s="402" t="s">
        <v>757</v>
      </c>
      <c r="O48" s="468"/>
      <c r="P48" s="463"/>
      <c r="Q48" s="439"/>
      <c r="R48" s="405"/>
      <c r="S48" s="432"/>
      <c r="T48" s="433" t="n">
        <f aca="false">SUM(T45:T47)</f>
        <v>0.0525230479793151</v>
      </c>
      <c r="U48" s="395"/>
      <c r="V48" s="432"/>
      <c r="W48" s="433"/>
      <c r="X48" s="395"/>
      <c r="Y48" s="468"/>
      <c r="Z48" s="468"/>
      <c r="AH48" s="27" t="s">
        <v>758</v>
      </c>
      <c r="AI48" s="457" t="n">
        <v>0</v>
      </c>
      <c r="AK48" s="460"/>
      <c r="AL48" s="457"/>
      <c r="AN48" s="460"/>
      <c r="AO48" s="457"/>
      <c r="AR48" s="457"/>
    </row>
    <row r="49" customFormat="false" ht="12.75" hidden="false" customHeight="false" outlineLevel="0" collapsed="false">
      <c r="A49" s="441" t="s">
        <v>637</v>
      </c>
      <c r="B49" s="410" t="n">
        <v>0.0055</v>
      </c>
      <c r="C49" s="396"/>
      <c r="D49" s="409" t="s">
        <v>637</v>
      </c>
      <c r="E49" s="411" t="n">
        <v>0.0792</v>
      </c>
      <c r="F49" s="396"/>
      <c r="G49" s="412" t="s">
        <v>637</v>
      </c>
      <c r="H49" s="413" t="n">
        <v>0.0286</v>
      </c>
      <c r="I49" s="396"/>
      <c r="J49" s="414" t="s">
        <v>637</v>
      </c>
      <c r="K49" s="413" t="n">
        <v>0.0195</v>
      </c>
      <c r="L49" s="396"/>
      <c r="M49" s="415" t="s">
        <v>637</v>
      </c>
      <c r="N49" s="416" t="n">
        <v>0.4184</v>
      </c>
      <c r="O49" s="396"/>
      <c r="P49" s="463"/>
      <c r="Q49" s="439"/>
      <c r="R49" s="419"/>
      <c r="S49" s="432"/>
      <c r="T49" s="433"/>
      <c r="U49" s="396"/>
      <c r="V49" s="432"/>
      <c r="W49" s="433"/>
      <c r="X49" s="396"/>
      <c r="Y49" s="396"/>
      <c r="Z49" s="396"/>
      <c r="AL49" s="457"/>
      <c r="AO49" s="457"/>
      <c r="AR49" s="457"/>
    </row>
    <row r="50" customFormat="false" ht="12.75" hidden="false" customHeight="false" outlineLevel="0" collapsed="false">
      <c r="A50" s="409" t="s">
        <v>119</v>
      </c>
      <c r="B50" s="410" t="n">
        <v>0.0022</v>
      </c>
      <c r="C50" s="396"/>
      <c r="D50" s="409" t="s">
        <v>119</v>
      </c>
      <c r="E50" s="411" t="n">
        <f aca="false">0.0072+0.0022+0.0131</f>
        <v>0.0225</v>
      </c>
      <c r="F50" s="422"/>
      <c r="G50" s="412" t="s">
        <v>119</v>
      </c>
      <c r="H50" s="413" t="n">
        <f aca="false">0.0022+0.0072+0.0225</f>
        <v>0.0319</v>
      </c>
      <c r="I50" s="396"/>
      <c r="J50" s="414" t="s">
        <v>119</v>
      </c>
      <c r="K50" s="413" t="n">
        <f aca="false">0.0022+0.0072</f>
        <v>0.0094</v>
      </c>
      <c r="L50" s="396"/>
      <c r="M50" s="415" t="s">
        <v>119</v>
      </c>
      <c r="N50" s="416" t="n">
        <f aca="false">0.0022+0.0072</f>
        <v>0.0094</v>
      </c>
      <c r="O50" s="396"/>
      <c r="P50" s="459"/>
      <c r="Q50" s="405"/>
      <c r="R50" s="419"/>
      <c r="S50" s="441" t="s">
        <v>622</v>
      </c>
      <c r="T50" s="446" t="s">
        <v>759</v>
      </c>
      <c r="U50" s="396"/>
      <c r="V50" s="441"/>
      <c r="W50" s="446"/>
      <c r="X50" s="396"/>
      <c r="Y50" s="396"/>
      <c r="Z50" s="396"/>
      <c r="AH50" s="458" t="n">
        <v>36617</v>
      </c>
      <c r="AL50" s="457"/>
      <c r="AO50" s="457"/>
      <c r="AQ50" s="458"/>
    </row>
    <row r="51" customFormat="false" ht="12.75" hidden="false" customHeight="false" outlineLevel="0" collapsed="false">
      <c r="A51" s="409" t="s">
        <v>760</v>
      </c>
      <c r="B51" s="423" t="n">
        <f aca="false">B5/(1-0.0091)-B5</f>
        <v>0.0326016752447269</v>
      </c>
      <c r="C51" s="422"/>
      <c r="D51" s="409" t="s">
        <v>761</v>
      </c>
      <c r="E51" s="423" t="n">
        <f aca="false">(E4)/(1-0.0045)-E4</f>
        <v>0.0160924158714213</v>
      </c>
      <c r="F51" s="424"/>
      <c r="G51" s="412" t="s">
        <v>762</v>
      </c>
      <c r="H51" s="469" t="n">
        <f aca="false">(H4)/(1-0.0095)-H4</f>
        <v>0.0316027258960121</v>
      </c>
      <c r="I51" s="422"/>
      <c r="J51" s="414" t="s">
        <v>678</v>
      </c>
      <c r="K51" s="426" t="n">
        <f aca="false">(K4)/(1-0.0268)-K4</f>
        <v>0.0908754623921086</v>
      </c>
      <c r="L51" s="422"/>
      <c r="M51" s="415" t="s">
        <v>763</v>
      </c>
      <c r="N51" s="427" t="n">
        <f aca="false">(N6)/(1-0.0465)-(N6)</f>
        <v>0.165566334556896</v>
      </c>
      <c r="O51" s="422"/>
      <c r="P51" s="461"/>
      <c r="Q51" s="419"/>
      <c r="R51" s="429"/>
      <c r="S51" s="409" t="s">
        <v>637</v>
      </c>
      <c r="T51" s="410" t="n">
        <v>0.03</v>
      </c>
      <c r="U51" s="422"/>
      <c r="V51" s="409"/>
      <c r="W51" s="410"/>
      <c r="X51" s="422"/>
      <c r="Y51" s="422"/>
      <c r="Z51" s="422"/>
      <c r="AH51" s="460" t="s">
        <v>751</v>
      </c>
      <c r="AI51" s="457" t="n">
        <v>0.004</v>
      </c>
      <c r="AQ51" s="460"/>
      <c r="AR51" s="457"/>
    </row>
    <row r="52" customFormat="false" ht="12.75" hidden="false" customHeight="false" outlineLevel="0" collapsed="false">
      <c r="A52" s="409"/>
      <c r="B52" s="433" t="n">
        <f aca="false">SUM(B49:B51)</f>
        <v>0.0403016752447269</v>
      </c>
      <c r="C52" s="424"/>
      <c r="D52" s="409"/>
      <c r="E52" s="433" t="n">
        <f aca="false">SUM(E49:E51)</f>
        <v>0.117792415871421</v>
      </c>
      <c r="F52" s="468"/>
      <c r="G52" s="434"/>
      <c r="H52" s="435" t="n">
        <f aca="false">SUM(H49:H51)</f>
        <v>0.0921027258960121</v>
      </c>
      <c r="I52" s="424"/>
      <c r="J52" s="414"/>
      <c r="K52" s="435" t="n">
        <f aca="false">SUM(K49:K51)</f>
        <v>0.119775462392109</v>
      </c>
      <c r="L52" s="424"/>
      <c r="M52" s="415"/>
      <c r="N52" s="436" t="n">
        <f aca="false">SUM(N49:N51)</f>
        <v>0.593366334556896</v>
      </c>
      <c r="O52" s="424"/>
      <c r="P52" s="461"/>
      <c r="Q52" s="419"/>
      <c r="R52" s="439"/>
      <c r="S52" s="409" t="s">
        <v>119</v>
      </c>
      <c r="T52" s="410" t="n">
        <v>0.0022</v>
      </c>
      <c r="U52" s="424"/>
      <c r="V52" s="409"/>
      <c r="W52" s="410"/>
      <c r="X52" s="424"/>
      <c r="Y52" s="424"/>
      <c r="Z52" s="424"/>
      <c r="AH52" s="27" t="s">
        <v>752</v>
      </c>
      <c r="AI52" s="457" t="n">
        <v>0.008</v>
      </c>
      <c r="AR52" s="457"/>
    </row>
    <row r="53" customFormat="false" ht="12.75" hidden="false" customHeight="false" outlineLevel="0" collapsed="false">
      <c r="A53" s="432" t="s">
        <v>93</v>
      </c>
      <c r="B53" s="394" t="s">
        <v>764</v>
      </c>
      <c r="C53" s="468"/>
      <c r="D53" s="27" t="s">
        <v>93</v>
      </c>
      <c r="E53" s="27" t="s">
        <v>765</v>
      </c>
      <c r="F53" s="396"/>
      <c r="G53" s="442" t="s">
        <v>616</v>
      </c>
      <c r="H53" s="443" t="s">
        <v>766</v>
      </c>
      <c r="I53" s="468"/>
      <c r="J53" s="399" t="s">
        <v>618</v>
      </c>
      <c r="K53" s="400" t="s">
        <v>767</v>
      </c>
      <c r="L53" s="468"/>
      <c r="M53" s="401" t="s">
        <v>618</v>
      </c>
      <c r="N53" s="436" t="s">
        <v>768</v>
      </c>
      <c r="O53" s="468"/>
      <c r="P53" s="461"/>
      <c r="Q53" s="429"/>
      <c r="R53" s="470"/>
      <c r="S53" s="409" t="s">
        <v>697</v>
      </c>
      <c r="T53" s="423" t="n">
        <f aca="false">T4/(1-0.0282)-T4</f>
        <v>0.0989524593537765</v>
      </c>
      <c r="U53" s="468"/>
      <c r="V53" s="409"/>
      <c r="W53" s="423"/>
      <c r="X53" s="468"/>
      <c r="Y53" s="395"/>
      <c r="Z53" s="395"/>
      <c r="AH53" s="27" t="s">
        <v>758</v>
      </c>
      <c r="AI53" s="457" t="n">
        <v>0.004</v>
      </c>
      <c r="AR53" s="457"/>
    </row>
    <row r="54" customFormat="false" ht="12.75" hidden="false" customHeight="false" outlineLevel="0" collapsed="false">
      <c r="A54" s="432" t="s">
        <v>637</v>
      </c>
      <c r="B54" s="410" t="n">
        <v>0.0166</v>
      </c>
      <c r="C54" s="396"/>
      <c r="D54" s="409" t="s">
        <v>637</v>
      </c>
      <c r="E54" s="411" t="n">
        <v>0.206</v>
      </c>
      <c r="F54" s="396"/>
      <c r="G54" s="412" t="s">
        <v>637</v>
      </c>
      <c r="H54" s="413" t="n">
        <v>0.0572</v>
      </c>
      <c r="I54" s="396"/>
      <c r="J54" s="414" t="s">
        <v>637</v>
      </c>
      <c r="K54" s="413" t="n">
        <v>0.0667</v>
      </c>
      <c r="L54" s="396"/>
      <c r="M54" s="415" t="s">
        <v>637</v>
      </c>
      <c r="N54" s="471" t="n">
        <v>0.3439</v>
      </c>
      <c r="O54" s="396"/>
      <c r="P54" s="463"/>
      <c r="Q54" s="439"/>
      <c r="R54" s="419"/>
      <c r="S54" s="432"/>
      <c r="T54" s="433" t="n">
        <f aca="false">SUM(T51:T53)</f>
        <v>0.131152459353777</v>
      </c>
      <c r="U54" s="396"/>
      <c r="V54" s="432"/>
      <c r="W54" s="433"/>
      <c r="X54" s="396"/>
      <c r="Y54" s="396"/>
      <c r="Z54" s="396"/>
      <c r="AI54" s="457"/>
      <c r="AR54" s="457"/>
    </row>
    <row r="55" customFormat="false" ht="12.75" hidden="false" customHeight="false" outlineLevel="0" collapsed="false">
      <c r="A55" s="441" t="s">
        <v>119</v>
      </c>
      <c r="B55" s="410" t="n">
        <f aca="false">0.0022+0.0072+0.0131</f>
        <v>0.0225</v>
      </c>
      <c r="C55" s="396"/>
      <c r="D55" s="409" t="s">
        <v>119</v>
      </c>
      <c r="E55" s="411" t="n">
        <f aca="false">0.0072+0.0022+0.0131</f>
        <v>0.0225</v>
      </c>
      <c r="F55" s="422"/>
      <c r="G55" s="412" t="s">
        <v>119</v>
      </c>
      <c r="H55" s="413" t="n">
        <f aca="false">0.0022+0.0072+0.0225</f>
        <v>0.0319</v>
      </c>
      <c r="I55" s="396"/>
      <c r="J55" s="414" t="s">
        <v>119</v>
      </c>
      <c r="K55" s="413" t="n">
        <f aca="false">0.0022+0.0072</f>
        <v>0.0094</v>
      </c>
      <c r="L55" s="396"/>
      <c r="M55" s="415" t="s">
        <v>119</v>
      </c>
      <c r="N55" s="416" t="n">
        <f aca="false">0.0022+0.0072</f>
        <v>0.0094</v>
      </c>
      <c r="O55" s="396"/>
      <c r="P55" s="405"/>
      <c r="Q55" s="439"/>
      <c r="R55" s="419"/>
      <c r="S55" s="395"/>
      <c r="T55" s="424" t="n">
        <f aca="false">+T54+T48</f>
        <v>0.183675507333092</v>
      </c>
      <c r="U55" s="396"/>
      <c r="V55" s="395"/>
      <c r="W55" s="424"/>
      <c r="X55" s="396"/>
      <c r="Y55" s="396"/>
      <c r="Z55" s="396"/>
      <c r="AH55" s="458" t="n">
        <v>36586</v>
      </c>
      <c r="AQ55" s="458"/>
    </row>
    <row r="56" customFormat="false" ht="12.75" hidden="false" customHeight="false" outlineLevel="0" collapsed="false">
      <c r="A56" s="409" t="s">
        <v>747</v>
      </c>
      <c r="B56" s="423" t="n">
        <f aca="false">B$5/(1-0.0281)-B$5</f>
        <v>0.102639160407449</v>
      </c>
      <c r="C56" s="422"/>
      <c r="D56" s="409" t="s">
        <v>769</v>
      </c>
      <c r="E56" s="423" t="n">
        <f aca="false">(E4)/(1-0.0235)-E4</f>
        <v>0.0856733230926778</v>
      </c>
      <c r="F56" s="424"/>
      <c r="G56" s="412" t="s">
        <v>770</v>
      </c>
      <c r="H56" s="469" t="n">
        <f aca="false">(H4)/(1-0.017)-H4</f>
        <v>0.0569837232960326</v>
      </c>
      <c r="I56" s="422"/>
      <c r="J56" s="414" t="s">
        <v>771</v>
      </c>
      <c r="K56" s="426" t="n">
        <f aca="false">(K4)/(1-0.05)-K4</f>
        <v>0.173684210526316</v>
      </c>
      <c r="L56" s="422"/>
      <c r="M56" s="415" t="s">
        <v>772</v>
      </c>
      <c r="N56" s="427" t="n">
        <f aca="false">(N6)/(1-0.0399)-N6</f>
        <v>0.141089990625977</v>
      </c>
      <c r="O56" s="422"/>
      <c r="P56" s="459"/>
      <c r="Q56" s="405"/>
      <c r="R56" s="429"/>
      <c r="S56" s="393" t="s">
        <v>1</v>
      </c>
      <c r="T56" s="406" t="s">
        <v>1</v>
      </c>
      <c r="U56" s="422"/>
      <c r="V56" s="393"/>
      <c r="W56" s="406"/>
      <c r="X56" s="422"/>
      <c r="Y56" s="422"/>
      <c r="Z56" s="422"/>
      <c r="AH56" s="460" t="s">
        <v>751</v>
      </c>
      <c r="AI56" s="457" t="n">
        <v>0.005</v>
      </c>
      <c r="AQ56" s="460"/>
      <c r="AR56" s="457"/>
    </row>
    <row r="57" customFormat="false" ht="12.75" hidden="false" customHeight="false" outlineLevel="0" collapsed="false">
      <c r="A57" s="409"/>
      <c r="B57" s="433" t="n">
        <f aca="false">SUM(B54:B56)</f>
        <v>0.141739160407449</v>
      </c>
      <c r="C57" s="424"/>
      <c r="D57" s="409"/>
      <c r="E57" s="433" t="n">
        <f aca="false">SUM(E54:E56)</f>
        <v>0.314173323092678</v>
      </c>
      <c r="F57" s="395"/>
      <c r="G57" s="434"/>
      <c r="H57" s="435" t="n">
        <f aca="false">SUM(H54:H56)</f>
        <v>0.146083723296033</v>
      </c>
      <c r="I57" s="424"/>
      <c r="J57" s="414"/>
      <c r="K57" s="435" t="n">
        <f aca="false">SUM(K54:K56)</f>
        <v>0.249784210526316</v>
      </c>
      <c r="L57" s="424"/>
      <c r="M57" s="415"/>
      <c r="N57" s="436" t="n">
        <f aca="false">SUM(N54:N56)</f>
        <v>0.494389990625977</v>
      </c>
      <c r="O57" s="424"/>
      <c r="P57" s="461"/>
      <c r="Q57" s="419"/>
      <c r="R57" s="439"/>
      <c r="S57" s="409"/>
      <c r="T57" s="410" t="s">
        <v>1</v>
      </c>
      <c r="U57" s="424"/>
      <c r="V57" s="409"/>
      <c r="W57" s="410"/>
      <c r="X57" s="424"/>
      <c r="Y57" s="424"/>
      <c r="Z57" s="424"/>
      <c r="AH57" s="27" t="s">
        <v>752</v>
      </c>
      <c r="AI57" s="457" t="n">
        <v>0.01</v>
      </c>
      <c r="AR57" s="457"/>
    </row>
    <row r="58" customFormat="false" ht="12.75" hidden="false" customHeight="false" outlineLevel="0" collapsed="false">
      <c r="A58" s="432" t="s">
        <v>93</v>
      </c>
      <c r="B58" s="394" t="s">
        <v>773</v>
      </c>
      <c r="C58" s="468"/>
      <c r="D58" s="27" t="s">
        <v>93</v>
      </c>
      <c r="E58" s="27" t="s">
        <v>774</v>
      </c>
      <c r="F58" s="396"/>
      <c r="G58" s="442" t="s">
        <v>616</v>
      </c>
      <c r="H58" s="443" t="s">
        <v>775</v>
      </c>
      <c r="I58" s="395"/>
      <c r="J58" s="399" t="s">
        <v>618</v>
      </c>
      <c r="K58" s="400" t="s">
        <v>684</v>
      </c>
      <c r="L58" s="395"/>
      <c r="M58" s="401" t="s">
        <v>618</v>
      </c>
      <c r="N58" s="436" t="s">
        <v>776</v>
      </c>
      <c r="O58" s="395"/>
      <c r="P58" s="461"/>
      <c r="Q58" s="419"/>
      <c r="R58" s="470"/>
      <c r="S58" s="409"/>
      <c r="T58" s="410"/>
      <c r="U58" s="468"/>
      <c r="V58" s="409"/>
      <c r="W58" s="410"/>
      <c r="X58" s="468"/>
      <c r="Y58" s="395"/>
      <c r="Z58" s="395"/>
      <c r="AH58" s="27" t="s">
        <v>758</v>
      </c>
      <c r="AI58" s="457" t="n">
        <v>0.005</v>
      </c>
      <c r="AR58" s="457"/>
    </row>
    <row r="59" customFormat="false" ht="12.75" hidden="false" customHeight="false" outlineLevel="0" collapsed="false">
      <c r="A59" s="432" t="s">
        <v>637</v>
      </c>
      <c r="B59" s="410" t="n">
        <v>0.0254</v>
      </c>
      <c r="C59" s="396"/>
      <c r="D59" s="409" t="s">
        <v>637</v>
      </c>
      <c r="E59" s="411" t="n">
        <v>0.3528</v>
      </c>
      <c r="F59" s="396"/>
      <c r="G59" s="412" t="s">
        <v>637</v>
      </c>
      <c r="H59" s="413" t="n">
        <v>0.0776</v>
      </c>
      <c r="I59" s="396"/>
      <c r="J59" s="414" t="s">
        <v>637</v>
      </c>
      <c r="K59" s="413" t="n">
        <v>0.0881</v>
      </c>
      <c r="L59" s="396"/>
      <c r="M59" s="415" t="s">
        <v>637</v>
      </c>
      <c r="N59" s="471" t="n">
        <v>0.1908</v>
      </c>
      <c r="O59" s="396"/>
      <c r="P59" s="461"/>
      <c r="Q59" s="429"/>
      <c r="R59" s="419"/>
      <c r="S59" s="409"/>
      <c r="T59" s="423"/>
      <c r="U59" s="396"/>
      <c r="V59" s="409"/>
      <c r="W59" s="423"/>
      <c r="X59" s="396"/>
      <c r="Y59" s="396"/>
      <c r="Z59" s="396"/>
      <c r="AI59" s="457"/>
      <c r="AR59" s="457"/>
    </row>
    <row r="60" customFormat="false" ht="12.75" hidden="false" customHeight="false" outlineLevel="0" collapsed="false">
      <c r="A60" s="441" t="s">
        <v>119</v>
      </c>
      <c r="B60" s="410" t="n">
        <f aca="false">0.0022+0.0072+0.0131</f>
        <v>0.0225</v>
      </c>
      <c r="C60" s="396"/>
      <c r="D60" s="409" t="s">
        <v>119</v>
      </c>
      <c r="E60" s="411" t="n">
        <f aca="false">0.0131+0.0072+0.0022</f>
        <v>0.0225</v>
      </c>
      <c r="F60" s="422"/>
      <c r="G60" s="412" t="s">
        <v>119</v>
      </c>
      <c r="H60" s="413" t="n">
        <f aca="false">0.0022+0.0072</f>
        <v>0.0094</v>
      </c>
      <c r="I60" s="396"/>
      <c r="J60" s="414" t="s">
        <v>119</v>
      </c>
      <c r="K60" s="413" t="n">
        <f aca="false">0.0022+0.0072</f>
        <v>0.0094</v>
      </c>
      <c r="L60" s="396"/>
      <c r="M60" s="415" t="s">
        <v>119</v>
      </c>
      <c r="N60" s="416" t="n">
        <f aca="false">0.0022+0.0072</f>
        <v>0.0094</v>
      </c>
      <c r="O60" s="396"/>
      <c r="P60" s="463"/>
      <c r="Q60" s="439"/>
      <c r="R60" s="419"/>
      <c r="S60" s="432" t="s">
        <v>1</v>
      </c>
      <c r="T60" s="433" t="s">
        <v>1</v>
      </c>
      <c r="U60" s="396"/>
      <c r="V60" s="432"/>
      <c r="W60" s="433"/>
      <c r="X60" s="396"/>
      <c r="Y60" s="396"/>
      <c r="Z60" s="396"/>
      <c r="AH60" s="458" t="n">
        <v>36465</v>
      </c>
      <c r="AQ60" s="458"/>
    </row>
    <row r="61" customFormat="false" ht="12.75" hidden="false" customHeight="false" outlineLevel="0" collapsed="false">
      <c r="A61" s="409" t="s">
        <v>777</v>
      </c>
      <c r="B61" s="423" t="n">
        <f aca="false">B5/(1-0.0434)-B5</f>
        <v>0.161060004181476</v>
      </c>
      <c r="C61" s="422"/>
      <c r="D61" s="409" t="s">
        <v>778</v>
      </c>
      <c r="E61" s="423" t="n">
        <f aca="false">(E4)/(1-0.0472)-E4</f>
        <v>0.176356003358523</v>
      </c>
      <c r="F61" s="424"/>
      <c r="G61" s="412" t="s">
        <v>779</v>
      </c>
      <c r="H61" s="425" t="n">
        <f aca="false">(H4)/(1-0.0369)-H4</f>
        <v>0.126243899906552</v>
      </c>
      <c r="I61" s="422"/>
      <c r="J61" s="414" t="s">
        <v>695</v>
      </c>
      <c r="K61" s="426" t="n">
        <f aca="false">(K4)/(1-0.064)-K4</f>
        <v>0.225641025641026</v>
      </c>
      <c r="L61" s="422"/>
      <c r="M61" s="415" t="s">
        <v>712</v>
      </c>
      <c r="N61" s="427" t="n">
        <f aca="false">(N7)/(1-0.026)-N7</f>
        <v>0.0975667351129363</v>
      </c>
      <c r="O61" s="422"/>
      <c r="P61" s="459"/>
      <c r="Q61" s="405"/>
      <c r="R61" s="429"/>
      <c r="S61" s="441" t="s">
        <v>1</v>
      </c>
      <c r="T61" s="446" t="s">
        <v>1</v>
      </c>
      <c r="U61" s="422"/>
      <c r="V61" s="441"/>
      <c r="W61" s="446"/>
      <c r="X61" s="422"/>
      <c r="Y61" s="422"/>
      <c r="Z61" s="422"/>
      <c r="AH61" s="460" t="s">
        <v>751</v>
      </c>
      <c r="AI61" s="457" t="n">
        <v>0</v>
      </c>
      <c r="AQ61" s="460"/>
      <c r="AR61" s="457"/>
    </row>
    <row r="62" customFormat="false" ht="12.75" hidden="false" customHeight="false" outlineLevel="0" collapsed="false">
      <c r="A62" s="409"/>
      <c r="B62" s="433" t="n">
        <f aca="false">SUM(B59:B61)</f>
        <v>0.208960004181476</v>
      </c>
      <c r="C62" s="424"/>
      <c r="D62" s="409"/>
      <c r="E62" s="433" t="n">
        <f aca="false">SUM(E59:E61)</f>
        <v>0.551656003358523</v>
      </c>
      <c r="F62" s="395"/>
      <c r="G62" s="434"/>
      <c r="H62" s="435" t="n">
        <f aca="false">SUM(H59:H61)</f>
        <v>0.213243899906552</v>
      </c>
      <c r="I62" s="424"/>
      <c r="J62" s="414"/>
      <c r="K62" s="435" t="n">
        <f aca="false">SUM(K59:K61)</f>
        <v>0.323141025641026</v>
      </c>
      <c r="L62" s="424"/>
      <c r="M62" s="415"/>
      <c r="N62" s="436" t="n">
        <f aca="false">SUM(N59:N61)</f>
        <v>0.297766735112936</v>
      </c>
      <c r="O62" s="424"/>
      <c r="P62" s="461"/>
      <c r="Q62" s="419"/>
      <c r="R62" s="439"/>
      <c r="S62" s="409" t="s">
        <v>1</v>
      </c>
      <c r="T62" s="410" t="s">
        <v>1</v>
      </c>
      <c r="U62" s="424"/>
      <c r="V62" s="409"/>
      <c r="W62" s="410"/>
      <c r="X62" s="424"/>
      <c r="Y62" s="424"/>
      <c r="Z62" s="424"/>
      <c r="AH62" s="27" t="s">
        <v>752</v>
      </c>
      <c r="AI62" s="457" t="n">
        <v>0.007</v>
      </c>
      <c r="AR62" s="457"/>
    </row>
    <row r="63" customFormat="false" ht="12.75" hidden="false" customHeight="false" outlineLevel="0" collapsed="false">
      <c r="A63" s="409" t="s">
        <v>93</v>
      </c>
      <c r="B63" s="394" t="s">
        <v>780</v>
      </c>
      <c r="C63" s="395"/>
      <c r="D63" s="27" t="s">
        <v>93</v>
      </c>
      <c r="E63" s="27" t="s">
        <v>781</v>
      </c>
      <c r="F63" s="396"/>
      <c r="G63" s="442" t="s">
        <v>616</v>
      </c>
      <c r="H63" s="443" t="s">
        <v>782</v>
      </c>
      <c r="I63" s="395"/>
      <c r="J63" s="399" t="s">
        <v>618</v>
      </c>
      <c r="K63" s="400" t="s">
        <v>703</v>
      </c>
      <c r="L63" s="395"/>
      <c r="M63" s="472"/>
      <c r="N63" s="473"/>
      <c r="O63" s="395"/>
      <c r="P63" s="461"/>
      <c r="Q63" s="419"/>
      <c r="R63" s="405"/>
      <c r="S63" s="409" t="s">
        <v>1</v>
      </c>
      <c r="T63" s="410" t="s">
        <v>1</v>
      </c>
      <c r="U63" s="395"/>
      <c r="V63" s="409"/>
      <c r="W63" s="410"/>
      <c r="X63" s="395"/>
      <c r="Y63" s="389"/>
      <c r="Z63" s="389"/>
      <c r="AH63" s="27" t="s">
        <v>758</v>
      </c>
      <c r="AI63" s="457" t="n">
        <v>0</v>
      </c>
      <c r="AR63" s="457"/>
    </row>
    <row r="64" customFormat="false" ht="12.75" hidden="false" customHeight="false" outlineLevel="0" collapsed="false">
      <c r="A64" s="432" t="s">
        <v>637</v>
      </c>
      <c r="B64" s="410" t="n">
        <v>0.03</v>
      </c>
      <c r="C64" s="396"/>
      <c r="D64" s="409" t="s">
        <v>637</v>
      </c>
      <c r="E64" s="411" t="n">
        <v>0.1716</v>
      </c>
      <c r="F64" s="396"/>
      <c r="G64" s="412" t="s">
        <v>637</v>
      </c>
      <c r="H64" s="413" t="n">
        <v>0.0874</v>
      </c>
      <c r="I64" s="396"/>
      <c r="J64" s="414" t="s">
        <v>637</v>
      </c>
      <c r="K64" s="413" t="n">
        <v>0.103</v>
      </c>
      <c r="L64" s="396"/>
      <c r="M64" s="474"/>
      <c r="N64" s="475"/>
      <c r="O64" s="396"/>
      <c r="P64" s="461"/>
      <c r="Q64" s="429"/>
      <c r="R64" s="419"/>
      <c r="S64" s="409" t="s">
        <v>1</v>
      </c>
      <c r="T64" s="423" t="s">
        <v>1</v>
      </c>
      <c r="U64" s="396"/>
      <c r="V64" s="409"/>
      <c r="W64" s="423"/>
      <c r="X64" s="396"/>
      <c r="Y64" s="396"/>
      <c r="Z64" s="396"/>
      <c r="AI64" s="457"/>
      <c r="AR64" s="457"/>
    </row>
    <row r="65" customFormat="false" ht="12.75" hidden="false" customHeight="false" outlineLevel="0" collapsed="false">
      <c r="A65" s="193" t="s">
        <v>119</v>
      </c>
      <c r="B65" s="410" t="n">
        <f aca="false">0.0022+0.0072+0.0131</f>
        <v>0.0225</v>
      </c>
      <c r="C65" s="396"/>
      <c r="D65" s="409" t="s">
        <v>119</v>
      </c>
      <c r="E65" s="411" t="n">
        <v>0</v>
      </c>
      <c r="F65" s="422"/>
      <c r="G65" s="412" t="s">
        <v>119</v>
      </c>
      <c r="H65" s="413" t="n">
        <f aca="false">0.0022</f>
        <v>0.0022</v>
      </c>
      <c r="I65" s="396"/>
      <c r="J65" s="414" t="s">
        <v>119</v>
      </c>
      <c r="K65" s="413" t="n">
        <f aca="false">0.0022+0.0072</f>
        <v>0.0094</v>
      </c>
      <c r="L65" s="396"/>
      <c r="M65" s="474"/>
      <c r="N65" s="474"/>
      <c r="O65" s="396"/>
      <c r="P65" s="463"/>
      <c r="Q65" s="439"/>
      <c r="R65" s="419"/>
      <c r="S65" s="432"/>
      <c r="T65" s="433" t="s">
        <v>1</v>
      </c>
      <c r="U65" s="396"/>
      <c r="V65" s="432"/>
      <c r="W65" s="433"/>
      <c r="X65" s="396"/>
      <c r="Y65" s="396"/>
      <c r="Z65" s="396"/>
      <c r="AH65" s="458" t="n">
        <v>36434</v>
      </c>
      <c r="AQ65" s="458"/>
    </row>
    <row r="66" customFormat="false" ht="12.75" hidden="false" customHeight="false" outlineLevel="0" collapsed="false">
      <c r="A66" s="476" t="s">
        <v>783</v>
      </c>
      <c r="B66" s="423" t="n">
        <f aca="false">B5/(1-0.0518)-B5</f>
        <v>0.193935878506644</v>
      </c>
      <c r="C66" s="422"/>
      <c r="D66" s="409" t="s">
        <v>784</v>
      </c>
      <c r="E66" s="423" t="n">
        <f aca="false">(E3)/(1-0.019)-E3</f>
        <v>0.0689500509683998</v>
      </c>
      <c r="F66" s="424"/>
      <c r="G66" s="412" t="s">
        <v>785</v>
      </c>
      <c r="H66" s="426" t="n">
        <f aca="false">(H4)/(1-0.0429)-H4</f>
        <v>0.147691463796887</v>
      </c>
      <c r="I66" s="422"/>
      <c r="J66" s="414" t="s">
        <v>711</v>
      </c>
      <c r="K66" s="426" t="n">
        <f aca="false">(K4)/(1-0.0733)-K4</f>
        <v>0.26102298478472</v>
      </c>
      <c r="L66" s="422"/>
      <c r="M66" s="474"/>
      <c r="N66" s="477"/>
      <c r="O66" s="422"/>
      <c r="P66" s="459"/>
      <c r="Q66" s="405"/>
      <c r="R66" s="429"/>
      <c r="S66" s="441" t="s">
        <v>1</v>
      </c>
      <c r="T66" s="446" t="s">
        <v>1</v>
      </c>
      <c r="U66" s="422"/>
      <c r="V66" s="441"/>
      <c r="W66" s="446"/>
      <c r="X66" s="422"/>
      <c r="Y66" s="422"/>
      <c r="Z66" s="422"/>
      <c r="AH66" s="460" t="s">
        <v>751</v>
      </c>
      <c r="AI66" s="457" t="n">
        <v>0</v>
      </c>
      <c r="AQ66" s="460"/>
      <c r="AR66" s="457"/>
    </row>
    <row r="67" customFormat="false" ht="12.75" hidden="false" customHeight="false" outlineLevel="0" collapsed="false">
      <c r="A67" s="409"/>
      <c r="B67" s="433" t="n">
        <f aca="false">SUM(B64:B66)</f>
        <v>0.246435878506644</v>
      </c>
      <c r="C67" s="424"/>
      <c r="D67" s="409"/>
      <c r="E67" s="433" t="n">
        <f aca="false">SUM(E64:E66)</f>
        <v>0.2405500509684</v>
      </c>
      <c r="F67" s="389"/>
      <c r="G67" s="434"/>
      <c r="H67" s="435" t="n">
        <f aca="false">SUM(H64:H66)</f>
        <v>0.237291463796887</v>
      </c>
      <c r="I67" s="424"/>
      <c r="J67" s="414"/>
      <c r="K67" s="435" t="n">
        <f aca="false">SUM(K64:K66)</f>
        <v>0.37342298478472</v>
      </c>
      <c r="L67" s="424"/>
      <c r="M67" s="474"/>
      <c r="N67" s="473"/>
      <c r="O67" s="424"/>
      <c r="P67" s="461"/>
      <c r="Q67" s="419"/>
      <c r="R67" s="439"/>
      <c r="S67" s="409"/>
      <c r="T67" s="410"/>
      <c r="U67" s="424"/>
      <c r="V67" s="409"/>
      <c r="W67" s="410"/>
      <c r="X67" s="424"/>
      <c r="Y67" s="424"/>
      <c r="Z67" s="424"/>
      <c r="AH67" s="27" t="s">
        <v>752</v>
      </c>
      <c r="AI67" s="457" t="n">
        <v>0.007</v>
      </c>
      <c r="AR67" s="457"/>
    </row>
    <row r="68" customFormat="false" ht="12.75" hidden="false" customHeight="false" outlineLevel="0" collapsed="false">
      <c r="A68" s="409" t="s">
        <v>93</v>
      </c>
      <c r="B68" s="394" t="s">
        <v>786</v>
      </c>
      <c r="C68" s="395"/>
      <c r="D68" s="27" t="s">
        <v>787</v>
      </c>
      <c r="E68" s="27" t="s">
        <v>788</v>
      </c>
      <c r="F68" s="396"/>
      <c r="G68" s="442" t="s">
        <v>616</v>
      </c>
      <c r="H68" s="443" t="s">
        <v>789</v>
      </c>
      <c r="I68" s="389"/>
      <c r="J68" s="399" t="s">
        <v>618</v>
      </c>
      <c r="K68" s="400" t="s">
        <v>790</v>
      </c>
      <c r="L68" s="389"/>
      <c r="M68" s="474"/>
      <c r="N68" s="474"/>
      <c r="O68" s="389"/>
      <c r="P68" s="461"/>
      <c r="Q68" s="419"/>
      <c r="R68" s="405"/>
      <c r="S68" s="409"/>
      <c r="T68" s="410"/>
      <c r="U68" s="395"/>
      <c r="V68" s="409"/>
      <c r="W68" s="410"/>
      <c r="X68" s="395"/>
      <c r="Y68" s="389"/>
      <c r="Z68" s="389"/>
      <c r="AH68" s="27" t="s">
        <v>758</v>
      </c>
      <c r="AI68" s="457" t="n">
        <v>0</v>
      </c>
      <c r="AR68" s="457"/>
    </row>
    <row r="69" customFormat="false" ht="12.75" hidden="false" customHeight="false" outlineLevel="0" collapsed="false">
      <c r="A69" s="409" t="s">
        <v>637</v>
      </c>
      <c r="B69" s="410" t="n">
        <v>0.0029</v>
      </c>
      <c r="C69" s="396"/>
      <c r="D69" s="409" t="s">
        <v>637</v>
      </c>
      <c r="E69" s="411" t="n">
        <v>0.076</v>
      </c>
      <c r="F69" s="396"/>
      <c r="G69" s="412" t="s">
        <v>637</v>
      </c>
      <c r="H69" s="413" t="n">
        <v>0.1014</v>
      </c>
      <c r="I69" s="396"/>
      <c r="J69" s="414" t="s">
        <v>637</v>
      </c>
      <c r="K69" s="413" t="n">
        <v>0.0236</v>
      </c>
      <c r="L69" s="396"/>
      <c r="M69" s="474"/>
      <c r="N69" s="474"/>
      <c r="O69" s="396"/>
      <c r="P69" s="461"/>
      <c r="Q69" s="429"/>
      <c r="R69" s="419"/>
      <c r="S69" s="409"/>
      <c r="T69" s="423"/>
      <c r="U69" s="396"/>
      <c r="V69" s="409"/>
      <c r="W69" s="423"/>
      <c r="X69" s="396"/>
      <c r="Y69" s="396"/>
      <c r="Z69" s="396"/>
      <c r="AI69" s="457"/>
      <c r="AR69" s="457"/>
    </row>
    <row r="70" customFormat="false" ht="12.75" hidden="false" customHeight="false" outlineLevel="0" collapsed="false">
      <c r="A70" s="432" t="s">
        <v>119</v>
      </c>
      <c r="B70" s="410" t="n">
        <f aca="false">0.0022+0.0072+0.0131</f>
        <v>0.0225</v>
      </c>
      <c r="C70" s="396"/>
      <c r="D70" s="409" t="s">
        <v>119</v>
      </c>
      <c r="E70" s="411" t="n">
        <v>0</v>
      </c>
      <c r="F70" s="422"/>
      <c r="G70" s="412" t="s">
        <v>119</v>
      </c>
      <c r="H70" s="413" t="n">
        <f aca="false">0.0022+0.0072</f>
        <v>0.0094</v>
      </c>
      <c r="I70" s="396"/>
      <c r="J70" s="414" t="s">
        <v>119</v>
      </c>
      <c r="K70" s="413" t="n">
        <f aca="false">0.0022+0.0072</f>
        <v>0.0094</v>
      </c>
      <c r="L70" s="396"/>
      <c r="M70" s="477"/>
      <c r="N70" s="477"/>
      <c r="O70" s="396"/>
      <c r="P70" s="437"/>
      <c r="Q70" s="438"/>
      <c r="R70" s="419"/>
      <c r="S70" s="432"/>
      <c r="T70" s="433"/>
      <c r="U70" s="396"/>
      <c r="V70" s="432"/>
      <c r="W70" s="433"/>
      <c r="X70" s="396"/>
      <c r="Y70" s="396"/>
      <c r="Z70" s="396"/>
      <c r="AH70" s="458" t="n">
        <v>36404</v>
      </c>
      <c r="AQ70" s="458"/>
    </row>
    <row r="71" customFormat="false" ht="12.75" hidden="false" customHeight="false" outlineLevel="0" collapsed="false">
      <c r="A71" s="441" t="s">
        <v>791</v>
      </c>
      <c r="B71" s="423" t="n">
        <f aca="false">(B4)/(1-0.0045)-B4</f>
        <v>0.0160924158714213</v>
      </c>
      <c r="C71" s="422"/>
      <c r="D71" s="409" t="s">
        <v>792</v>
      </c>
      <c r="E71" s="423" t="n">
        <f aca="false">(+E3)/(1-0.0059)-E3</f>
        <v>0.0211286590886228</v>
      </c>
      <c r="F71" s="424"/>
      <c r="G71" s="412" t="s">
        <v>793</v>
      </c>
      <c r="H71" s="469" t="n">
        <f aca="false">(H4)/(1-0.0506)-H4</f>
        <v>0.175613018748683</v>
      </c>
      <c r="I71" s="422"/>
      <c r="J71" s="414" t="s">
        <v>642</v>
      </c>
      <c r="K71" s="426" t="n">
        <f aca="false">(K3)/(1-0.0242)-K3</f>
        <v>0.0818405410944867</v>
      </c>
      <c r="L71" s="422"/>
      <c r="M71" s="473"/>
      <c r="N71" s="473"/>
      <c r="O71" s="422"/>
      <c r="P71" s="405"/>
      <c r="Q71" s="405"/>
      <c r="R71" s="429"/>
      <c r="S71" s="395"/>
      <c r="T71" s="395"/>
      <c r="U71" s="422"/>
      <c r="V71" s="395"/>
      <c r="W71" s="395"/>
      <c r="X71" s="422"/>
      <c r="Y71" s="422"/>
      <c r="Z71" s="422"/>
      <c r="AH71" s="460" t="s">
        <v>751</v>
      </c>
      <c r="AI71" s="457" t="n">
        <v>0</v>
      </c>
      <c r="AQ71" s="460"/>
      <c r="AR71" s="457"/>
    </row>
    <row r="72" customFormat="false" ht="12.75" hidden="false" customHeight="false" outlineLevel="0" collapsed="false">
      <c r="A72" s="409"/>
      <c r="B72" s="433" t="n">
        <f aca="false">SUM(B69:B71)</f>
        <v>0.0414924158714213</v>
      </c>
      <c r="C72" s="424"/>
      <c r="D72" s="409"/>
      <c r="E72" s="433" t="n">
        <f aca="false">SUM(E69:E71)</f>
        <v>0.0971286590886228</v>
      </c>
      <c r="F72" s="389"/>
      <c r="G72" s="434"/>
      <c r="H72" s="435" t="n">
        <f aca="false">SUM(H69:H71)</f>
        <v>0.286413018748683</v>
      </c>
      <c r="I72" s="424"/>
      <c r="J72" s="414"/>
      <c r="K72" s="435" t="n">
        <f aca="false">SUM(K69:K71)</f>
        <v>0.114840541094487</v>
      </c>
      <c r="L72" s="424"/>
      <c r="M72" s="478"/>
      <c r="N72" s="478"/>
      <c r="O72" s="424"/>
      <c r="P72" s="419"/>
      <c r="Q72" s="419"/>
      <c r="R72" s="439"/>
      <c r="S72" s="396"/>
      <c r="T72" s="396"/>
      <c r="U72" s="424"/>
      <c r="V72" s="396"/>
      <c r="W72" s="396"/>
      <c r="X72" s="424"/>
      <c r="Y72" s="424"/>
      <c r="Z72" s="424"/>
      <c r="AH72" s="27" t="s">
        <v>752</v>
      </c>
      <c r="AI72" s="457" t="n">
        <v>0.004</v>
      </c>
      <c r="AR72" s="457"/>
    </row>
    <row r="73" customFormat="false" ht="12.75" hidden="false" customHeight="false" outlineLevel="0" collapsed="false">
      <c r="A73" s="409" t="s">
        <v>93</v>
      </c>
      <c r="B73" s="433" t="s">
        <v>794</v>
      </c>
      <c r="C73" s="389"/>
      <c r="F73" s="396"/>
      <c r="G73" s="442" t="s">
        <v>616</v>
      </c>
      <c r="H73" s="443" t="s">
        <v>795</v>
      </c>
      <c r="I73" s="389"/>
      <c r="J73" s="399" t="s">
        <v>618</v>
      </c>
      <c r="K73" s="400" t="s">
        <v>796</v>
      </c>
      <c r="L73" s="389"/>
      <c r="M73" s="474"/>
      <c r="N73" s="474"/>
      <c r="O73" s="389"/>
      <c r="P73" s="429"/>
      <c r="Q73" s="429"/>
      <c r="R73" s="479"/>
      <c r="S73" s="422"/>
      <c r="T73" s="422"/>
      <c r="U73" s="389"/>
      <c r="V73" s="422"/>
      <c r="W73" s="422"/>
      <c r="X73" s="389"/>
      <c r="Y73" s="389"/>
      <c r="Z73" s="389"/>
      <c r="AH73" s="27" t="s">
        <v>758</v>
      </c>
      <c r="AI73" s="457" t="n">
        <v>0</v>
      </c>
      <c r="AR73" s="457"/>
    </row>
    <row r="74" customFormat="false" ht="12.75" hidden="false" customHeight="false" outlineLevel="0" collapsed="false">
      <c r="A74" s="409" t="s">
        <v>637</v>
      </c>
      <c r="B74" s="411" t="n">
        <v>0.014</v>
      </c>
      <c r="C74" s="396"/>
      <c r="D74" s="451" t="s">
        <v>797</v>
      </c>
      <c r="E74" s="433" t="s">
        <v>798</v>
      </c>
      <c r="F74" s="396"/>
      <c r="G74" s="412" t="s">
        <v>637</v>
      </c>
      <c r="H74" s="413" t="n">
        <v>0.1126</v>
      </c>
      <c r="I74" s="396"/>
      <c r="J74" s="414" t="s">
        <v>637</v>
      </c>
      <c r="K74" s="413" t="n">
        <v>0.0195</v>
      </c>
      <c r="L74" s="396"/>
      <c r="M74" s="474"/>
      <c r="N74" s="474"/>
      <c r="O74" s="396"/>
      <c r="P74" s="439"/>
      <c r="Q74" s="439"/>
      <c r="R74" s="419"/>
      <c r="S74" s="424"/>
      <c r="T74" s="424"/>
      <c r="U74" s="396"/>
      <c r="V74" s="424"/>
      <c r="W74" s="424"/>
      <c r="X74" s="396"/>
      <c r="Y74" s="396"/>
      <c r="Z74" s="396"/>
      <c r="AI74" s="457"/>
      <c r="AR74" s="457"/>
    </row>
    <row r="75" customFormat="false" ht="12.75" hidden="false" customHeight="false" outlineLevel="0" collapsed="false">
      <c r="A75" s="432" t="s">
        <v>119</v>
      </c>
      <c r="B75" s="411" t="n">
        <f aca="false">0.0022+0.0072+0.0131</f>
        <v>0.0225</v>
      </c>
      <c r="C75" s="396"/>
      <c r="D75" s="409" t="s">
        <v>637</v>
      </c>
      <c r="E75" s="411" t="n">
        <v>0.0972</v>
      </c>
      <c r="F75" s="422"/>
      <c r="G75" s="412" t="s">
        <v>119</v>
      </c>
      <c r="H75" s="413" t="n">
        <f aca="false">0.0022+0.0072</f>
        <v>0.0094</v>
      </c>
      <c r="I75" s="396"/>
      <c r="J75" s="414" t="s">
        <v>119</v>
      </c>
      <c r="K75" s="413" t="n">
        <f aca="false">0.0022</f>
        <v>0.0022</v>
      </c>
      <c r="L75" s="396"/>
      <c r="M75" s="477"/>
      <c r="N75" s="477"/>
      <c r="O75" s="396"/>
      <c r="P75" s="405"/>
      <c r="Q75" s="405"/>
      <c r="R75" s="419"/>
      <c r="S75" s="395"/>
      <c r="T75" s="395"/>
      <c r="U75" s="396"/>
      <c r="V75" s="395"/>
      <c r="W75" s="395"/>
      <c r="X75" s="396"/>
      <c r="Y75" s="396"/>
      <c r="Z75" s="396"/>
      <c r="AH75" s="458" t="n">
        <v>36312</v>
      </c>
      <c r="AQ75" s="458"/>
    </row>
    <row r="76" customFormat="false" ht="12.75" hidden="false" customHeight="false" outlineLevel="0" collapsed="false">
      <c r="A76" s="441" t="s">
        <v>769</v>
      </c>
      <c r="B76" s="423" t="n">
        <f aca="false">(+B4)/(1-0.0235)-B4</f>
        <v>0.0856733230926778</v>
      </c>
      <c r="C76" s="422"/>
      <c r="D76" s="409" t="s">
        <v>119</v>
      </c>
      <c r="E76" s="411" t="n">
        <f aca="false">0.0072+0.0022+0.0131</f>
        <v>0.0225</v>
      </c>
      <c r="F76" s="424"/>
      <c r="G76" s="412" t="s">
        <v>799</v>
      </c>
      <c r="H76" s="469" t="n">
        <f aca="false">(H4)/(1-0.0597)-H4</f>
        <v>0.209200786982878</v>
      </c>
      <c r="I76" s="422"/>
      <c r="J76" s="414" t="s">
        <v>800</v>
      </c>
      <c r="K76" s="426" t="n">
        <f aca="false">(K3)/(1-0.024)-K3</f>
        <v>0.0811475409836064</v>
      </c>
      <c r="L76" s="422"/>
      <c r="M76" s="473"/>
      <c r="N76" s="473"/>
      <c r="O76" s="422"/>
      <c r="P76" s="419"/>
      <c r="Q76" s="419"/>
      <c r="R76" s="429"/>
      <c r="S76" s="396"/>
      <c r="T76" s="396"/>
      <c r="U76" s="422"/>
      <c r="V76" s="396"/>
      <c r="W76" s="396"/>
      <c r="X76" s="422"/>
      <c r="Y76" s="422"/>
      <c r="Z76" s="422"/>
      <c r="AH76" s="460" t="s">
        <v>751</v>
      </c>
      <c r="AI76" s="457" t="n">
        <v>0.002</v>
      </c>
      <c r="AQ76" s="460"/>
      <c r="AR76" s="457"/>
    </row>
    <row r="77" customFormat="false" ht="12.75" hidden="false" customHeight="false" outlineLevel="0" collapsed="false">
      <c r="A77" s="409"/>
      <c r="B77" s="433" t="n">
        <f aca="false">SUM(B74:B76)</f>
        <v>0.122173323092678</v>
      </c>
      <c r="C77" s="424"/>
      <c r="D77" s="409" t="s">
        <v>641</v>
      </c>
      <c r="E77" s="423" t="n">
        <f aca="false">(2.25)/(1-0.0084)-2.25</f>
        <v>0.0190601048810004</v>
      </c>
      <c r="F77" s="389"/>
      <c r="G77" s="434"/>
      <c r="H77" s="435" t="n">
        <f aca="false">SUM(H74:H76)</f>
        <v>0.331200786982878</v>
      </c>
      <c r="I77" s="424"/>
      <c r="J77" s="414"/>
      <c r="K77" s="435" t="n">
        <f aca="false">SUM(K74:K76)</f>
        <v>0.102847540983606</v>
      </c>
      <c r="L77" s="424"/>
      <c r="M77" s="473"/>
      <c r="N77" s="473"/>
      <c r="O77" s="424"/>
      <c r="P77" s="419"/>
      <c r="Q77" s="419"/>
      <c r="R77" s="439"/>
      <c r="S77" s="396"/>
      <c r="T77" s="396"/>
      <c r="U77" s="424"/>
      <c r="V77" s="396"/>
      <c r="W77" s="396"/>
      <c r="X77" s="424"/>
      <c r="Y77" s="424"/>
      <c r="Z77" s="424"/>
      <c r="AH77" s="27" t="s">
        <v>752</v>
      </c>
      <c r="AI77" s="457" t="n">
        <v>0.005</v>
      </c>
      <c r="AR77" s="457"/>
    </row>
    <row r="78" customFormat="false" ht="12.75" hidden="false" customHeight="false" outlineLevel="0" collapsed="false">
      <c r="A78" s="409" t="s">
        <v>93</v>
      </c>
      <c r="B78" s="394" t="s">
        <v>801</v>
      </c>
      <c r="C78" s="389"/>
      <c r="D78" s="409"/>
      <c r="E78" s="433" t="n">
        <f aca="false">SUM(E75:E77)</f>
        <v>0.138760104881</v>
      </c>
      <c r="F78" s="396"/>
      <c r="G78" s="442" t="s">
        <v>616</v>
      </c>
      <c r="H78" s="443" t="s">
        <v>802</v>
      </c>
      <c r="I78" s="389"/>
      <c r="J78" s="399" t="s">
        <v>618</v>
      </c>
      <c r="K78" s="400" t="s">
        <v>803</v>
      </c>
      <c r="L78" s="389"/>
      <c r="M78" s="475"/>
      <c r="N78" s="475"/>
      <c r="O78" s="389"/>
      <c r="P78" s="429"/>
      <c r="Q78" s="429"/>
      <c r="R78" s="479"/>
      <c r="S78" s="422"/>
      <c r="T78" s="422"/>
      <c r="U78" s="389"/>
      <c r="V78" s="422"/>
      <c r="W78" s="422"/>
      <c r="X78" s="389"/>
      <c r="Y78" s="389"/>
      <c r="Z78" s="389"/>
      <c r="AH78" s="27" t="s">
        <v>758</v>
      </c>
      <c r="AI78" s="457" t="n">
        <v>0.002</v>
      </c>
      <c r="AR78" s="457"/>
    </row>
    <row r="79" customFormat="false" ht="12.75" hidden="false" customHeight="false" outlineLevel="0" collapsed="false">
      <c r="A79" s="409" t="s">
        <v>637</v>
      </c>
      <c r="B79" s="410" t="n">
        <v>0.0228</v>
      </c>
      <c r="C79" s="396"/>
      <c r="F79" s="396"/>
      <c r="G79" s="412" t="s">
        <v>637</v>
      </c>
      <c r="H79" s="413" t="n">
        <v>0.1503</v>
      </c>
      <c r="I79" s="396"/>
      <c r="J79" s="414" t="s">
        <v>637</v>
      </c>
      <c r="K79" s="413" t="n">
        <v>0.0177</v>
      </c>
      <c r="L79" s="396"/>
      <c r="M79" s="475"/>
      <c r="N79" s="475"/>
      <c r="O79" s="396"/>
      <c r="P79" s="439"/>
      <c r="Q79" s="439"/>
      <c r="R79" s="419"/>
      <c r="S79" s="424"/>
      <c r="T79" s="424"/>
      <c r="U79" s="396"/>
      <c r="V79" s="424"/>
      <c r="W79" s="424"/>
      <c r="X79" s="396"/>
      <c r="Y79" s="396"/>
      <c r="Z79" s="396"/>
      <c r="AI79" s="457"/>
      <c r="AR79" s="457"/>
    </row>
    <row r="80" customFormat="false" ht="12.75" hidden="false" customHeight="false" outlineLevel="0" collapsed="false">
      <c r="A80" s="432" t="s">
        <v>119</v>
      </c>
      <c r="B80" s="411" t="n">
        <f aca="false">0.0022+0.0072+0.0131</f>
        <v>0.0225</v>
      </c>
      <c r="C80" s="396"/>
      <c r="D80" s="451" t="s">
        <v>804</v>
      </c>
      <c r="E80" s="433"/>
      <c r="F80" s="422"/>
      <c r="G80" s="412" t="s">
        <v>119</v>
      </c>
      <c r="H80" s="413" t="n">
        <f aca="false">0.0022+0.0072</f>
        <v>0.0094</v>
      </c>
      <c r="I80" s="396"/>
      <c r="J80" s="414" t="s">
        <v>119</v>
      </c>
      <c r="K80" s="413" t="n">
        <f aca="false">0.0022+0.0072</f>
        <v>0.0094</v>
      </c>
      <c r="L80" s="396"/>
      <c r="M80" s="475"/>
      <c r="N80" s="475"/>
      <c r="O80" s="396"/>
      <c r="P80" s="479"/>
      <c r="Q80" s="479"/>
      <c r="R80" s="419"/>
      <c r="S80" s="389"/>
      <c r="T80" s="389"/>
      <c r="U80" s="396"/>
      <c r="V80" s="389"/>
      <c r="W80" s="389"/>
      <c r="X80" s="396"/>
      <c r="Y80" s="396"/>
      <c r="Z80" s="396"/>
      <c r="AH80" s="458" t="n">
        <v>36281</v>
      </c>
      <c r="AQ80" s="458"/>
    </row>
    <row r="81" customFormat="false" ht="12.75" hidden="false" customHeight="false" outlineLevel="0" collapsed="false">
      <c r="A81" s="395" t="s">
        <v>805</v>
      </c>
      <c r="B81" s="423" t="n">
        <f aca="false">B4/(1-0.0388)-B4</f>
        <v>0.143703703703704</v>
      </c>
      <c r="C81" s="422"/>
      <c r="D81" s="409" t="s">
        <v>637</v>
      </c>
      <c r="E81" s="411" t="n">
        <v>0.0448</v>
      </c>
      <c r="F81" s="424"/>
      <c r="G81" s="412" t="s">
        <v>806</v>
      </c>
      <c r="H81" s="425" t="n">
        <f aca="false">(H4)/(1-0.0667)-H4</f>
        <v>0.235483231543983</v>
      </c>
      <c r="I81" s="422"/>
      <c r="J81" s="414" t="s">
        <v>800</v>
      </c>
      <c r="K81" s="426" t="n">
        <f aca="false">(K3)/(1-0.024)-K3</f>
        <v>0.0811475409836064</v>
      </c>
      <c r="L81" s="422"/>
      <c r="M81" s="477"/>
      <c r="N81" s="477"/>
      <c r="O81" s="422"/>
      <c r="P81" s="419"/>
      <c r="Q81" s="419"/>
      <c r="R81" s="429"/>
      <c r="S81" s="396"/>
      <c r="T81" s="396"/>
      <c r="U81" s="422"/>
      <c r="V81" s="396"/>
      <c r="W81" s="396"/>
      <c r="X81" s="422"/>
      <c r="Y81" s="422"/>
      <c r="Z81" s="422"/>
      <c r="AH81" s="460" t="s">
        <v>751</v>
      </c>
      <c r="AI81" s="457" t="n">
        <v>0.002</v>
      </c>
      <c r="AQ81" s="460"/>
      <c r="AR81" s="457"/>
    </row>
    <row r="82" customFormat="false" ht="12.75" hidden="false" customHeight="false" outlineLevel="0" collapsed="false">
      <c r="A82" s="396"/>
      <c r="B82" s="433" t="n">
        <f aca="false">SUM(B79:B81)</f>
        <v>0.189003703703704</v>
      </c>
      <c r="C82" s="424"/>
      <c r="D82" s="409" t="s">
        <v>119</v>
      </c>
      <c r="E82" s="411" t="n">
        <f aca="false">0.0072+0.0022+0.0131</f>
        <v>0.0225</v>
      </c>
      <c r="F82" s="389"/>
      <c r="G82" s="434"/>
      <c r="H82" s="435" t="n">
        <f aca="false">SUM(H79:H81)</f>
        <v>0.395183231543983</v>
      </c>
      <c r="I82" s="424"/>
      <c r="J82" s="414"/>
      <c r="K82" s="435" t="n">
        <f aca="false">SUM(K79:K81)</f>
        <v>0.108247540983606</v>
      </c>
      <c r="L82" s="424"/>
      <c r="M82" s="473"/>
      <c r="N82" s="473"/>
      <c r="O82" s="424"/>
      <c r="P82" s="419"/>
      <c r="Q82" s="419"/>
      <c r="R82" s="439"/>
      <c r="S82" s="396"/>
      <c r="T82" s="396"/>
      <c r="U82" s="424"/>
      <c r="V82" s="396"/>
      <c r="W82" s="396"/>
      <c r="X82" s="424"/>
      <c r="Y82" s="424"/>
      <c r="Z82" s="424"/>
      <c r="AH82" s="27" t="s">
        <v>752</v>
      </c>
      <c r="AI82" s="457" t="n">
        <v>0.005</v>
      </c>
      <c r="AR82" s="457"/>
    </row>
    <row r="83" customFormat="false" ht="14.1" hidden="false" customHeight="true" outlineLevel="0" collapsed="false">
      <c r="A83" s="422" t="s">
        <v>93</v>
      </c>
      <c r="B83" s="394" t="s">
        <v>807</v>
      </c>
      <c r="C83" s="389"/>
      <c r="D83" s="409" t="s">
        <v>651</v>
      </c>
      <c r="E83" s="423" t="n">
        <v>0</v>
      </c>
      <c r="F83" s="396"/>
      <c r="G83" s="442" t="s">
        <v>616</v>
      </c>
      <c r="H83" s="443" t="s">
        <v>808</v>
      </c>
      <c r="I83" s="389"/>
      <c r="J83" s="399" t="s">
        <v>618</v>
      </c>
      <c r="K83" s="400" t="s">
        <v>809</v>
      </c>
      <c r="L83" s="389"/>
      <c r="M83" s="478"/>
      <c r="N83" s="478"/>
      <c r="O83" s="389"/>
      <c r="P83" s="429"/>
      <c r="Q83" s="429"/>
      <c r="R83" s="479"/>
      <c r="S83" s="422"/>
      <c r="T83" s="422"/>
      <c r="U83" s="389"/>
      <c r="V83" s="422"/>
      <c r="W83" s="422"/>
      <c r="X83" s="389"/>
      <c r="Y83" s="389"/>
      <c r="Z83" s="389"/>
      <c r="AH83" s="27" t="s">
        <v>758</v>
      </c>
      <c r="AI83" s="457" t="n">
        <v>0.002</v>
      </c>
      <c r="AR83" s="457"/>
    </row>
    <row r="84" customFormat="false" ht="12.75" hidden="false" customHeight="false" outlineLevel="0" collapsed="false">
      <c r="A84" s="424" t="s">
        <v>637</v>
      </c>
      <c r="B84" s="410" t="n">
        <v>0.0274</v>
      </c>
      <c r="C84" s="396"/>
      <c r="D84" s="409"/>
      <c r="E84" s="433" t="n">
        <f aca="false">SUM(E81:E83)</f>
        <v>0.0673</v>
      </c>
      <c r="F84" s="396"/>
      <c r="G84" s="412" t="s">
        <v>637</v>
      </c>
      <c r="H84" s="413" t="n">
        <v>0.0783</v>
      </c>
      <c r="I84" s="396"/>
      <c r="J84" s="414" t="s">
        <v>637</v>
      </c>
      <c r="K84" s="413" t="n">
        <v>0.0177</v>
      </c>
      <c r="L84" s="396"/>
      <c r="M84" s="474"/>
      <c r="N84" s="474"/>
      <c r="O84" s="396"/>
      <c r="P84" s="480"/>
      <c r="Q84" s="481"/>
      <c r="R84" s="419"/>
      <c r="S84" s="482"/>
      <c r="T84" s="483"/>
      <c r="U84" s="396"/>
      <c r="V84" s="482"/>
      <c r="W84" s="483"/>
      <c r="X84" s="396"/>
      <c r="Y84" s="396"/>
      <c r="Z84" s="396"/>
      <c r="AI84" s="457"/>
      <c r="AR84" s="457"/>
    </row>
    <row r="85" customFormat="false" ht="12.75" hidden="false" customHeight="false" outlineLevel="0" collapsed="false">
      <c r="A85" s="395" t="s">
        <v>119</v>
      </c>
      <c r="B85" s="411" t="n">
        <f aca="false">0.0022+0.0072+0.0131</f>
        <v>0.0225</v>
      </c>
      <c r="C85" s="396"/>
      <c r="F85" s="422"/>
      <c r="G85" s="412" t="s">
        <v>119</v>
      </c>
      <c r="H85" s="413" t="n">
        <f aca="false">0.0022+0.0072</f>
        <v>0.0094</v>
      </c>
      <c r="I85" s="396"/>
      <c r="J85" s="414" t="s">
        <v>119</v>
      </c>
      <c r="K85" s="413" t="n">
        <f aca="false">0.0022+0.0072</f>
        <v>0.0094</v>
      </c>
      <c r="L85" s="396"/>
      <c r="M85" s="474"/>
      <c r="N85" s="474"/>
      <c r="O85" s="396"/>
      <c r="P85" s="479"/>
      <c r="Q85" s="479"/>
      <c r="R85" s="419"/>
      <c r="S85" s="389"/>
      <c r="T85" s="389"/>
      <c r="U85" s="396"/>
      <c r="V85" s="389"/>
      <c r="W85" s="389"/>
      <c r="X85" s="396"/>
      <c r="Y85" s="396"/>
      <c r="Z85" s="396"/>
      <c r="AH85" s="458" t="n">
        <v>36251</v>
      </c>
      <c r="AQ85" s="458"/>
    </row>
    <row r="86" customFormat="false" ht="12.75" hidden="false" customHeight="false" outlineLevel="0" collapsed="false">
      <c r="A86" s="396" t="s">
        <v>778</v>
      </c>
      <c r="B86" s="423" t="n">
        <f aca="false">B4/(1-0.0472)-B4</f>
        <v>0.176356003358523</v>
      </c>
      <c r="C86" s="422"/>
      <c r="F86" s="424"/>
      <c r="G86" s="412" t="s">
        <v>810</v>
      </c>
      <c r="H86" s="425" t="n">
        <f aca="false">(H4)/(1-0.0358)-H4</f>
        <v>0.122340800663763</v>
      </c>
      <c r="I86" s="422"/>
      <c r="J86" s="414" t="s">
        <v>800</v>
      </c>
      <c r="K86" s="426" t="n">
        <f aca="false">(K4)/(1-0.024)-K4</f>
        <v>0.0811475409836064</v>
      </c>
      <c r="L86" s="422"/>
      <c r="M86" s="477"/>
      <c r="N86" s="477"/>
      <c r="O86" s="422"/>
      <c r="P86" s="419"/>
      <c r="Q86" s="419"/>
      <c r="R86" s="429"/>
      <c r="S86" s="396"/>
      <c r="T86" s="396"/>
      <c r="U86" s="422"/>
      <c r="V86" s="396"/>
      <c r="W86" s="396"/>
      <c r="X86" s="422"/>
      <c r="Y86" s="422"/>
      <c r="Z86" s="422"/>
      <c r="AH86" s="460" t="s">
        <v>751</v>
      </c>
      <c r="AI86" s="457" t="n">
        <v>0.002</v>
      </c>
      <c r="AQ86" s="460"/>
      <c r="AR86" s="457"/>
    </row>
    <row r="87" customFormat="false" ht="12.75" hidden="false" customHeight="false" outlineLevel="0" collapsed="false">
      <c r="A87" s="396"/>
      <c r="B87" s="433" t="n">
        <f aca="false">SUM(B84:B86)</f>
        <v>0.226256003358523</v>
      </c>
      <c r="C87" s="424"/>
      <c r="F87" s="389"/>
      <c r="G87" s="434"/>
      <c r="H87" s="435" t="n">
        <f aca="false">SUM(H84:H86)</f>
        <v>0.210040800663763</v>
      </c>
      <c r="I87" s="424"/>
      <c r="J87" s="414"/>
      <c r="K87" s="435" t="n">
        <f aca="false">SUM(K84:K86)</f>
        <v>0.108247540983606</v>
      </c>
      <c r="L87" s="424"/>
      <c r="M87" s="473"/>
      <c r="N87" s="473"/>
      <c r="O87" s="424"/>
      <c r="P87" s="419"/>
      <c r="Q87" s="419"/>
      <c r="R87" s="439"/>
      <c r="S87" s="396"/>
      <c r="T87" s="396"/>
      <c r="U87" s="424"/>
      <c r="V87" s="396"/>
      <c r="W87" s="396"/>
      <c r="X87" s="424"/>
      <c r="Y87" s="424"/>
      <c r="Z87" s="424"/>
      <c r="AH87" s="27" t="s">
        <v>752</v>
      </c>
      <c r="AI87" s="457" t="n">
        <v>0.007</v>
      </c>
      <c r="AR87" s="457"/>
    </row>
    <row r="88" customFormat="false" ht="12.75" hidden="false" customHeight="false" outlineLevel="0" collapsed="false">
      <c r="A88" s="422" t="s">
        <v>93</v>
      </c>
      <c r="B88" s="433" t="s">
        <v>811</v>
      </c>
      <c r="C88" s="389"/>
      <c r="F88" s="396"/>
      <c r="G88" s="442" t="s">
        <v>616</v>
      </c>
      <c r="H88" s="443" t="s">
        <v>812</v>
      </c>
      <c r="I88" s="389"/>
      <c r="J88" s="399" t="s">
        <v>618</v>
      </c>
      <c r="K88" s="400" t="s">
        <v>813</v>
      </c>
      <c r="L88" s="389"/>
      <c r="O88" s="389"/>
      <c r="P88" s="429"/>
      <c r="Q88" s="429"/>
      <c r="R88" s="479"/>
      <c r="S88" s="422"/>
      <c r="T88" s="422"/>
      <c r="U88" s="389"/>
      <c r="V88" s="422"/>
      <c r="W88" s="422"/>
      <c r="X88" s="389"/>
      <c r="Y88" s="424"/>
      <c r="Z88" s="424"/>
      <c r="AH88" s="27" t="s">
        <v>758</v>
      </c>
      <c r="AI88" s="457" t="n">
        <v>0.002</v>
      </c>
      <c r="AR88" s="457"/>
    </row>
    <row r="89" customFormat="false" ht="12.75" hidden="false" customHeight="false" outlineLevel="0" collapsed="false">
      <c r="A89" s="424" t="s">
        <v>637</v>
      </c>
      <c r="B89" s="411" t="n">
        <v>0.0115</v>
      </c>
      <c r="C89" s="396"/>
      <c r="F89" s="396"/>
      <c r="G89" s="412" t="s">
        <v>637</v>
      </c>
      <c r="H89" s="413" t="n">
        <f aca="false">0.0511-0.0022-0.0088</f>
        <v>0.0401</v>
      </c>
      <c r="I89" s="396"/>
      <c r="J89" s="414" t="s">
        <v>637</v>
      </c>
      <c r="K89" s="413" t="n">
        <v>0.0177</v>
      </c>
      <c r="L89" s="396"/>
      <c r="M89" s="478"/>
      <c r="N89" s="478"/>
      <c r="O89" s="396"/>
      <c r="P89" s="439"/>
      <c r="Q89" s="439"/>
      <c r="R89" s="419"/>
      <c r="S89" s="424"/>
      <c r="T89" s="424"/>
      <c r="U89" s="396"/>
      <c r="V89" s="424"/>
      <c r="W89" s="424"/>
      <c r="X89" s="396"/>
      <c r="Y89" s="452"/>
      <c r="Z89" s="452"/>
      <c r="AI89" s="457"/>
      <c r="AR89" s="457"/>
    </row>
    <row r="90" customFormat="false" ht="12.75" hidden="false" customHeight="false" outlineLevel="0" collapsed="false">
      <c r="A90" s="389" t="s">
        <v>119</v>
      </c>
      <c r="B90" s="411" t="n">
        <f aca="false">0.0022+0.0072+0.0131</f>
        <v>0.0225</v>
      </c>
      <c r="C90" s="396"/>
      <c r="F90" s="422"/>
      <c r="G90" s="412" t="s">
        <v>119</v>
      </c>
      <c r="H90" s="413" t="n">
        <f aca="false">0.0022+0.0072</f>
        <v>0.0094</v>
      </c>
      <c r="I90" s="396"/>
      <c r="J90" s="414" t="s">
        <v>119</v>
      </c>
      <c r="K90" s="413" t="n">
        <f aca="false">0.0022+0.0072</f>
        <v>0.0094</v>
      </c>
      <c r="L90" s="396"/>
      <c r="M90" s="474"/>
      <c r="N90" s="474"/>
      <c r="O90" s="396"/>
      <c r="P90" s="479"/>
      <c r="Q90" s="479"/>
      <c r="R90" s="419"/>
      <c r="S90" s="389"/>
      <c r="T90" s="389"/>
      <c r="U90" s="396"/>
      <c r="V90" s="389"/>
      <c r="W90" s="389"/>
      <c r="X90" s="396"/>
      <c r="Y90" s="452"/>
      <c r="Z90" s="452"/>
      <c r="AH90" s="458" t="n">
        <v>36220</v>
      </c>
      <c r="AQ90" s="458"/>
    </row>
    <row r="91" customFormat="false" ht="12.75" hidden="false" customHeight="false" outlineLevel="0" collapsed="false">
      <c r="A91" s="396" t="s">
        <v>784</v>
      </c>
      <c r="B91" s="423" t="n">
        <f aca="false">(B3)/(1-0.019)-B3</f>
        <v>0.0689500509683998</v>
      </c>
      <c r="C91" s="422"/>
      <c r="F91" s="424"/>
      <c r="G91" s="412" t="s">
        <v>814</v>
      </c>
      <c r="H91" s="426" t="n">
        <f aca="false">(H5)/(1-0.0101)-H5</f>
        <v>0.0357616931003131</v>
      </c>
      <c r="I91" s="422"/>
      <c r="J91" s="414" t="s">
        <v>800</v>
      </c>
      <c r="K91" s="426" t="n">
        <f aca="false">(K3)/(1-0.024)-K3</f>
        <v>0.0811475409836064</v>
      </c>
      <c r="L91" s="422"/>
      <c r="M91" s="474"/>
      <c r="N91" s="474"/>
      <c r="O91" s="422"/>
      <c r="P91" s="419"/>
      <c r="Q91" s="419"/>
      <c r="R91" s="429"/>
      <c r="S91" s="396"/>
      <c r="T91" s="396"/>
      <c r="U91" s="422"/>
      <c r="V91" s="396"/>
      <c r="W91" s="396"/>
      <c r="X91" s="422"/>
      <c r="Y91" s="452"/>
      <c r="Z91" s="452"/>
      <c r="AH91" s="460" t="s">
        <v>751</v>
      </c>
      <c r="AI91" s="457" t="n">
        <v>0.001</v>
      </c>
      <c r="AQ91" s="460"/>
      <c r="AR91" s="457"/>
    </row>
    <row r="92" customFormat="false" ht="12.75" hidden="false" customHeight="false" outlineLevel="0" collapsed="false">
      <c r="A92" s="396"/>
      <c r="B92" s="433" t="n">
        <f aca="false">SUM(B89:B91)</f>
        <v>0.1029500509684</v>
      </c>
      <c r="C92" s="424"/>
      <c r="F92" s="424"/>
      <c r="G92" s="434"/>
      <c r="H92" s="435" t="n">
        <f aca="false">SUM(H89:H91)</f>
        <v>0.0852616931003131</v>
      </c>
      <c r="I92" s="424"/>
      <c r="J92" s="414"/>
      <c r="K92" s="435" t="n">
        <f aca="false">SUM(K89:K91)</f>
        <v>0.108247540983606</v>
      </c>
      <c r="L92" s="424"/>
      <c r="M92" s="477"/>
      <c r="N92" s="477"/>
      <c r="O92" s="424"/>
      <c r="P92" s="419"/>
      <c r="Q92" s="419"/>
      <c r="R92" s="439"/>
      <c r="S92" s="396"/>
      <c r="T92" s="396"/>
      <c r="U92" s="424"/>
      <c r="V92" s="396"/>
      <c r="W92" s="396"/>
      <c r="X92" s="424"/>
      <c r="Y92" s="422"/>
      <c r="Z92" s="422"/>
      <c r="AH92" s="27" t="s">
        <v>752</v>
      </c>
      <c r="AI92" s="457" t="n">
        <v>0.003</v>
      </c>
      <c r="AR92" s="457"/>
    </row>
    <row r="93" customFormat="false" ht="12.75" hidden="false" customHeight="false" outlineLevel="0" collapsed="false">
      <c r="A93" s="422" t="s">
        <v>93</v>
      </c>
      <c r="B93" s="433" t="s">
        <v>815</v>
      </c>
      <c r="C93" s="389"/>
      <c r="F93" s="452"/>
      <c r="G93" s="442" t="s">
        <v>616</v>
      </c>
      <c r="H93" s="443" t="s">
        <v>816</v>
      </c>
      <c r="I93" s="424"/>
      <c r="J93" s="399" t="s">
        <v>618</v>
      </c>
      <c r="K93" s="400" t="s">
        <v>817</v>
      </c>
      <c r="L93" s="424"/>
      <c r="M93" s="473"/>
      <c r="N93" s="473"/>
      <c r="O93" s="424"/>
      <c r="P93" s="429"/>
      <c r="Q93" s="429"/>
      <c r="R93" s="479"/>
      <c r="S93" s="422"/>
      <c r="T93" s="422"/>
      <c r="U93" s="389"/>
      <c r="V93" s="422"/>
      <c r="W93" s="422"/>
      <c r="X93" s="389"/>
      <c r="Y93" s="424"/>
      <c r="Z93" s="424"/>
      <c r="AH93" s="27" t="s">
        <v>758</v>
      </c>
      <c r="AI93" s="457" t="n">
        <v>0.001</v>
      </c>
      <c r="AR93" s="457"/>
    </row>
    <row r="94" customFormat="false" ht="12.75" hidden="false" customHeight="false" outlineLevel="0" collapsed="false">
      <c r="A94" s="482" t="s">
        <v>637</v>
      </c>
      <c r="B94" s="411" t="n">
        <v>0.0203</v>
      </c>
      <c r="C94" s="396"/>
      <c r="F94" s="452"/>
      <c r="G94" s="412" t="s">
        <v>637</v>
      </c>
      <c r="H94" s="413" t="n">
        <f aca="false">0.0945-0.0022-0.0088</f>
        <v>0.0835</v>
      </c>
      <c r="I94" s="452"/>
      <c r="J94" s="414" t="s">
        <v>637</v>
      </c>
      <c r="K94" s="413" t="n">
        <v>0.0649</v>
      </c>
      <c r="L94" s="452"/>
      <c r="M94" s="478"/>
      <c r="N94" s="478"/>
      <c r="O94" s="452"/>
      <c r="P94" s="480"/>
      <c r="Q94" s="481"/>
      <c r="R94" s="419"/>
      <c r="S94" s="482"/>
      <c r="T94" s="483"/>
      <c r="U94" s="396"/>
      <c r="V94" s="482"/>
      <c r="W94" s="483"/>
      <c r="X94" s="396"/>
      <c r="Y94" s="389"/>
      <c r="Z94" s="389"/>
      <c r="AI94" s="457"/>
      <c r="AR94" s="457"/>
    </row>
    <row r="95" customFormat="false" ht="12.75" hidden="false" customHeight="false" outlineLevel="0" collapsed="false">
      <c r="A95" s="389" t="s">
        <v>119</v>
      </c>
      <c r="B95" s="411" t="n">
        <f aca="false">0.0022+0.0072+0.0131</f>
        <v>0.0225</v>
      </c>
      <c r="C95" s="396"/>
      <c r="F95" s="422"/>
      <c r="G95" s="412" t="s">
        <v>119</v>
      </c>
      <c r="H95" s="413" t="n">
        <f aca="false">0.0022+0.0072</f>
        <v>0.0094</v>
      </c>
      <c r="I95" s="452" t="s">
        <v>1</v>
      </c>
      <c r="J95" s="414" t="s">
        <v>119</v>
      </c>
      <c r="K95" s="413" t="n">
        <f aca="false">0.0022+0.0072</f>
        <v>0.0094</v>
      </c>
      <c r="L95" s="452"/>
      <c r="M95" s="474"/>
      <c r="N95" s="474"/>
      <c r="O95" s="452"/>
      <c r="P95" s="479"/>
      <c r="Q95" s="479"/>
      <c r="R95" s="419"/>
      <c r="S95" s="389"/>
      <c r="T95" s="389"/>
      <c r="U95" s="396"/>
      <c r="V95" s="389"/>
      <c r="W95" s="389"/>
      <c r="X95" s="396"/>
      <c r="Y95" s="396"/>
      <c r="Z95" s="396"/>
      <c r="AH95" s="458" t="n">
        <v>36192</v>
      </c>
      <c r="AQ95" s="458"/>
    </row>
    <row r="96" customFormat="false" ht="12.75" hidden="false" customHeight="false" outlineLevel="0" collapsed="false">
      <c r="A96" s="396" t="s">
        <v>818</v>
      </c>
      <c r="B96" s="423" t="n">
        <f aca="false">(B3)/(1-0.0343)-B3</f>
        <v>0.12644506575541</v>
      </c>
      <c r="C96" s="422"/>
      <c r="F96" s="424"/>
      <c r="G96" s="412" t="s">
        <v>819</v>
      </c>
      <c r="H96" s="426" t="n">
        <f aca="false">(H5)/(1-0.0192)-H5</f>
        <v>0.0686133768352364</v>
      </c>
      <c r="I96" s="422"/>
      <c r="J96" s="414" t="s">
        <v>778</v>
      </c>
      <c r="K96" s="426" t="n">
        <f aca="false">(K3)/(1-0.0472)-K3</f>
        <v>0.163476070528967</v>
      </c>
      <c r="L96" s="422"/>
      <c r="M96" s="474"/>
      <c r="N96" s="474"/>
      <c r="O96" s="422"/>
      <c r="P96" s="419"/>
      <c r="Q96" s="419"/>
      <c r="R96" s="429"/>
      <c r="S96" s="396"/>
      <c r="T96" s="396"/>
      <c r="U96" s="422"/>
      <c r="V96" s="396"/>
      <c r="W96" s="396"/>
      <c r="X96" s="422"/>
      <c r="Y96" s="396"/>
      <c r="Z96" s="396"/>
      <c r="AH96" s="460" t="s">
        <v>751</v>
      </c>
      <c r="AI96" s="457" t="n">
        <v>0.004</v>
      </c>
      <c r="AQ96" s="460"/>
      <c r="AR96" s="457"/>
    </row>
    <row r="97" customFormat="false" ht="12.75" hidden="false" customHeight="false" outlineLevel="0" collapsed="false">
      <c r="A97" s="396"/>
      <c r="B97" s="433" t="n">
        <f aca="false">SUM(B94:B96)</f>
        <v>0.16924506575541</v>
      </c>
      <c r="C97" s="424"/>
      <c r="F97" s="389"/>
      <c r="G97" s="434"/>
      <c r="H97" s="435" t="n">
        <f aca="false">SUM(H94:H96)</f>
        <v>0.161513376835236</v>
      </c>
      <c r="I97" s="424"/>
      <c r="J97" s="414"/>
      <c r="K97" s="435" t="n">
        <f aca="false">SUM(K94:K96)</f>
        <v>0.237776070528967</v>
      </c>
      <c r="L97" s="424"/>
      <c r="M97" s="477"/>
      <c r="N97" s="477"/>
      <c r="O97" s="424"/>
      <c r="P97" s="419"/>
      <c r="Q97" s="419"/>
      <c r="R97" s="439"/>
      <c r="S97" s="396"/>
      <c r="T97" s="396"/>
      <c r="U97" s="424"/>
      <c r="V97" s="396"/>
      <c r="W97" s="396"/>
      <c r="X97" s="424"/>
      <c r="Y97" s="422"/>
      <c r="Z97" s="422"/>
      <c r="AH97" s="27" t="s">
        <v>752</v>
      </c>
      <c r="AI97" s="457" t="n">
        <v>0.01</v>
      </c>
      <c r="AR97" s="457"/>
    </row>
    <row r="98" customFormat="false" ht="12.75" hidden="false" customHeight="false" outlineLevel="0" collapsed="false">
      <c r="A98" s="422" t="s">
        <v>93</v>
      </c>
      <c r="B98" s="433" t="s">
        <v>820</v>
      </c>
      <c r="C98" s="424"/>
      <c r="F98" s="396"/>
      <c r="G98" s="442" t="s">
        <v>616</v>
      </c>
      <c r="H98" s="455" t="s">
        <v>821</v>
      </c>
      <c r="I98" s="389"/>
      <c r="J98" s="399" t="s">
        <v>618</v>
      </c>
      <c r="K98" s="400" t="s">
        <v>719</v>
      </c>
      <c r="L98" s="389"/>
      <c r="M98" s="473"/>
      <c r="N98" s="473"/>
      <c r="O98" s="389"/>
      <c r="P98" s="429"/>
      <c r="Q98" s="429"/>
      <c r="R98" s="439"/>
      <c r="S98" s="422"/>
      <c r="T98" s="422"/>
      <c r="U98" s="424"/>
      <c r="V98" s="422"/>
      <c r="W98" s="422"/>
      <c r="X98" s="424"/>
      <c r="Y98" s="424"/>
      <c r="Z98" s="424"/>
      <c r="AH98" s="27" t="s">
        <v>758</v>
      </c>
      <c r="AI98" s="457" t="n">
        <v>0.004</v>
      </c>
      <c r="AR98" s="457"/>
    </row>
    <row r="99" customFormat="false" ht="12.75" hidden="false" customHeight="false" outlineLevel="0" collapsed="false">
      <c r="A99" s="482" t="s">
        <v>637</v>
      </c>
      <c r="B99" s="411" t="n">
        <v>0.0249</v>
      </c>
      <c r="C99" s="452"/>
      <c r="F99" s="396"/>
      <c r="G99" s="434" t="s">
        <v>637</v>
      </c>
      <c r="H99" s="413" t="n">
        <v>0.0427</v>
      </c>
      <c r="I99" s="396"/>
      <c r="J99" s="414" t="s">
        <v>637</v>
      </c>
      <c r="K99" s="413" t="n">
        <v>0.0863</v>
      </c>
      <c r="L99" s="396"/>
      <c r="O99" s="396"/>
      <c r="P99" s="439"/>
      <c r="Q99" s="439"/>
      <c r="R99" s="456"/>
      <c r="S99" s="424"/>
      <c r="T99" s="424"/>
      <c r="U99" s="452"/>
      <c r="V99" s="424"/>
      <c r="W99" s="424"/>
      <c r="X99" s="452"/>
      <c r="AI99" s="457"/>
      <c r="AR99" s="457"/>
    </row>
    <row r="100" customFormat="false" ht="12.75" hidden="false" customHeight="false" outlineLevel="0" collapsed="false">
      <c r="A100" s="389" t="s">
        <v>119</v>
      </c>
      <c r="B100" s="411" t="n">
        <f aca="false">0.0022+0.0072+0.0131</f>
        <v>0.0225</v>
      </c>
      <c r="C100" s="452"/>
      <c r="F100" s="396"/>
      <c r="G100" s="434" t="s">
        <v>119</v>
      </c>
      <c r="H100" s="413" t="n">
        <f aca="false">0.0022+0.0072</f>
        <v>0.0094</v>
      </c>
      <c r="I100" s="396"/>
      <c r="J100" s="414" t="s">
        <v>119</v>
      </c>
      <c r="K100" s="413" t="n">
        <f aca="false">0.0022+0.0072</f>
        <v>0.0094</v>
      </c>
      <c r="L100" s="396"/>
      <c r="O100" s="396"/>
      <c r="P100" s="479"/>
      <c r="Q100" s="479"/>
      <c r="R100" s="456"/>
      <c r="S100" s="389"/>
      <c r="T100" s="389"/>
      <c r="U100" s="452"/>
      <c r="V100" s="389"/>
      <c r="W100" s="389"/>
      <c r="X100" s="452"/>
      <c r="Y100" s="389"/>
      <c r="Z100" s="389"/>
      <c r="AH100" s="458" t="n">
        <v>36161</v>
      </c>
      <c r="AQ100" s="458"/>
    </row>
    <row r="101" customFormat="false" ht="12.75" hidden="false" customHeight="false" outlineLevel="0" collapsed="false">
      <c r="A101" s="396" t="s">
        <v>822</v>
      </c>
      <c r="B101" s="423" t="n">
        <f aca="false">(B3)/(1-0.0427)-B3</f>
        <v>0.158792437062572</v>
      </c>
      <c r="C101" s="452"/>
      <c r="F101" s="422"/>
      <c r="G101" s="434" t="s">
        <v>823</v>
      </c>
      <c r="H101" s="426" t="n">
        <f aca="false">(+H5)/(1-0.0117)-H5</f>
        <v>0.0414939795608622</v>
      </c>
      <c r="I101" s="396"/>
      <c r="J101" s="414" t="s">
        <v>727</v>
      </c>
      <c r="K101" s="426" t="n">
        <f aca="false">(K3)/(1-0.0612)-K3</f>
        <v>0.215125692373243</v>
      </c>
      <c r="L101" s="396"/>
      <c r="O101" s="396"/>
      <c r="P101" s="419"/>
      <c r="Q101" s="419"/>
      <c r="R101" s="456"/>
      <c r="S101" s="396"/>
      <c r="T101" s="396"/>
      <c r="U101" s="452"/>
      <c r="V101" s="396"/>
      <c r="W101" s="396"/>
      <c r="X101" s="452"/>
      <c r="Y101" s="396"/>
      <c r="Z101" s="396"/>
      <c r="AH101" s="460" t="s">
        <v>751</v>
      </c>
      <c r="AI101" s="457" t="n">
        <v>0.003</v>
      </c>
      <c r="AQ101" s="460"/>
      <c r="AR101" s="457"/>
    </row>
    <row r="102" customFormat="false" ht="12.75" hidden="false" customHeight="false" outlineLevel="0" collapsed="false">
      <c r="A102" s="396"/>
      <c r="B102" s="433" t="n">
        <f aca="false">SUM(B99:B101)</f>
        <v>0.206192437062572</v>
      </c>
      <c r="C102" s="422"/>
      <c r="F102" s="424"/>
      <c r="G102" s="434"/>
      <c r="H102" s="435" t="n">
        <f aca="false">SUM(H99:H101)</f>
        <v>0.0935939795608622</v>
      </c>
      <c r="I102" s="422"/>
      <c r="J102" s="414"/>
      <c r="K102" s="435" t="n">
        <f aca="false">SUM(K99:K101)</f>
        <v>0.310825692373243</v>
      </c>
      <c r="L102" s="422"/>
      <c r="O102" s="422"/>
      <c r="P102" s="419" t="n">
        <f aca="false">+'Offseason Rate'!B102+'Offseason Rate'!B3</f>
        <v>3.35254570502431</v>
      </c>
      <c r="Q102" s="419" t="n">
        <f aca="false">+P102*0.6</f>
        <v>2.01152742301459</v>
      </c>
      <c r="R102" s="429"/>
      <c r="S102" s="396" t="n">
        <f aca="false">+'Offseason Rate'!E102+'Offseason Rate'!E3</f>
        <v>2.80162055417253</v>
      </c>
      <c r="T102" s="396" t="n">
        <f aca="false">+S102*0.6</f>
        <v>1.68097233250352</v>
      </c>
      <c r="U102" s="422"/>
      <c r="V102" s="396"/>
      <c r="W102" s="396"/>
      <c r="X102" s="422"/>
      <c r="Y102" s="396"/>
      <c r="Z102" s="396"/>
      <c r="AH102" s="27" t="s">
        <v>752</v>
      </c>
      <c r="AI102" s="457" t="n">
        <v>0.008</v>
      </c>
      <c r="AR102" s="457"/>
    </row>
    <row r="103" customFormat="false" ht="12.75" hidden="false" customHeight="false" outlineLevel="0" collapsed="false">
      <c r="A103" s="422" t="s">
        <v>93</v>
      </c>
      <c r="B103" s="433" t="s">
        <v>824</v>
      </c>
      <c r="C103" s="424"/>
      <c r="G103" s="484" t="s">
        <v>825</v>
      </c>
      <c r="H103" s="455" t="s">
        <v>826</v>
      </c>
      <c r="I103" s="424"/>
      <c r="J103" s="399" t="s">
        <v>618</v>
      </c>
      <c r="K103" s="400" t="s">
        <v>733</v>
      </c>
      <c r="L103" s="424"/>
      <c r="O103" s="424"/>
      <c r="P103" s="429"/>
      <c r="Q103" s="429"/>
      <c r="R103" s="439"/>
      <c r="S103" s="422"/>
      <c r="T103" s="422"/>
      <c r="U103" s="424"/>
      <c r="V103" s="422"/>
      <c r="W103" s="422"/>
      <c r="X103" s="424"/>
      <c r="Y103" s="422"/>
      <c r="Z103" s="422"/>
      <c r="AH103" s="27" t="s">
        <v>758</v>
      </c>
      <c r="AI103" s="457" t="n">
        <v>0.003</v>
      </c>
      <c r="AR103" s="457"/>
    </row>
    <row r="104" customFormat="false" ht="12.75" hidden="false" customHeight="false" outlineLevel="0" collapsed="false">
      <c r="A104" s="424" t="s">
        <v>637</v>
      </c>
      <c r="B104" s="411" t="n">
        <v>0.0034</v>
      </c>
      <c r="C104" s="389"/>
      <c r="F104" s="389"/>
      <c r="G104" s="434" t="s">
        <v>637</v>
      </c>
      <c r="H104" s="413" t="n">
        <v>0.0427</v>
      </c>
      <c r="J104" s="414" t="s">
        <v>637</v>
      </c>
      <c r="K104" s="413" t="n">
        <v>0.1012</v>
      </c>
      <c r="P104" s="439"/>
      <c r="Q104" s="439"/>
      <c r="R104" s="479"/>
      <c r="S104" s="424"/>
      <c r="T104" s="424"/>
      <c r="U104" s="389"/>
      <c r="V104" s="424"/>
      <c r="W104" s="424"/>
      <c r="X104" s="389"/>
      <c r="Y104" s="424"/>
      <c r="Z104" s="424"/>
      <c r="AI104" s="457"/>
      <c r="AR104" s="457"/>
    </row>
    <row r="105" customFormat="false" ht="12.75" hidden="false" customHeight="false" outlineLevel="0" collapsed="false">
      <c r="A105" s="389" t="s">
        <v>119</v>
      </c>
      <c r="B105" s="411" t="n">
        <v>0</v>
      </c>
      <c r="C105" s="396"/>
      <c r="F105" s="396"/>
      <c r="G105" s="434" t="s">
        <v>119</v>
      </c>
      <c r="H105" s="413" t="n">
        <f aca="false">0.0022+0.0072</f>
        <v>0.0094</v>
      </c>
      <c r="I105" s="389"/>
      <c r="J105" s="414" t="s">
        <v>119</v>
      </c>
      <c r="K105" s="413" t="n">
        <f aca="false">0.0022+0.0072</f>
        <v>0.0094</v>
      </c>
      <c r="L105" s="389"/>
      <c r="O105" s="389"/>
      <c r="P105" s="439"/>
      <c r="Q105" s="439"/>
      <c r="R105" s="419"/>
      <c r="S105" s="424"/>
      <c r="T105" s="424"/>
      <c r="U105" s="396"/>
      <c r="V105" s="424"/>
      <c r="W105" s="424"/>
      <c r="X105" s="396"/>
      <c r="Y105" s="389"/>
      <c r="Z105" s="389"/>
      <c r="AH105" s="458" t="n">
        <v>36130</v>
      </c>
      <c r="AQ105" s="458"/>
    </row>
    <row r="106" customFormat="false" ht="12.75" hidden="false" customHeight="false" outlineLevel="0" collapsed="false">
      <c r="A106" s="396" t="s">
        <v>792</v>
      </c>
      <c r="B106" s="423" t="n">
        <f aca="false">(B3-0.09)/(1-0.0059)-(B3-0.09)</f>
        <v>0.0205945075948093</v>
      </c>
      <c r="C106" s="396"/>
      <c r="F106" s="396"/>
      <c r="G106" s="434" t="s">
        <v>827</v>
      </c>
      <c r="H106" s="426" t="n">
        <f aca="false">(+H5)/(1-0.005)-H5</f>
        <v>0.0176130653266333</v>
      </c>
      <c r="I106" s="396"/>
      <c r="J106" s="414" t="s">
        <v>739</v>
      </c>
      <c r="K106" s="426" t="n">
        <f aca="false">(K3)/(1-0.0705)-K3</f>
        <v>0.250295857988166</v>
      </c>
      <c r="L106" s="396"/>
      <c r="O106" s="396"/>
      <c r="P106" s="456"/>
      <c r="Q106" s="456"/>
      <c r="R106" s="419"/>
      <c r="S106" s="452"/>
      <c r="T106" s="452"/>
      <c r="U106" s="396"/>
      <c r="V106" s="452"/>
      <c r="W106" s="452"/>
      <c r="X106" s="396"/>
      <c r="Y106" s="396"/>
      <c r="Z106" s="396"/>
      <c r="AH106" s="460" t="s">
        <v>751</v>
      </c>
      <c r="AI106" s="457" t="n">
        <v>0.002</v>
      </c>
      <c r="AQ106" s="460"/>
      <c r="AR106" s="457"/>
    </row>
    <row r="107" customFormat="false" ht="12.75" hidden="false" customHeight="false" outlineLevel="0" collapsed="false">
      <c r="A107" s="396"/>
      <c r="B107" s="433" t="n">
        <f aca="false">SUM(B104:B106)</f>
        <v>0.0239945075948093</v>
      </c>
      <c r="C107" s="422"/>
      <c r="F107" s="422"/>
      <c r="G107" s="434"/>
      <c r="H107" s="435" t="n">
        <f aca="false">SUM(H104:H106)</f>
        <v>0.0697130653266333</v>
      </c>
      <c r="I107" s="396"/>
      <c r="J107" s="414"/>
      <c r="K107" s="435" t="n">
        <f aca="false">SUM(K104:K106)</f>
        <v>0.360895857988166</v>
      </c>
      <c r="L107" s="396"/>
      <c r="O107" s="396"/>
      <c r="P107" s="456" t="n">
        <f aca="false">+'Offseason Rate'!B107+'Offseason Rate'!B3</f>
        <v>3.41581820038811</v>
      </c>
      <c r="Q107" s="456" t="n">
        <f aca="false">+P107*0.4</f>
        <v>1.36632728015524</v>
      </c>
      <c r="R107" s="429"/>
      <c r="S107" s="452" t="n">
        <f aca="false">+'Offseason Rate'!E107+'Offseason Rate'!E3</f>
        <v>2.86511740855002</v>
      </c>
      <c r="T107" s="452" t="n">
        <f aca="false">+S107*0.4</f>
        <v>1.14604696342001</v>
      </c>
      <c r="U107" s="422"/>
      <c r="V107" s="452"/>
      <c r="W107" s="452"/>
      <c r="X107" s="422"/>
      <c r="Y107" s="396"/>
      <c r="Z107" s="396"/>
      <c r="AH107" s="27" t="s">
        <v>752</v>
      </c>
      <c r="AI107" s="457" t="n">
        <v>0.008</v>
      </c>
      <c r="AR107" s="457"/>
    </row>
    <row r="108" customFormat="false" ht="12.75" hidden="false" customHeight="false" outlineLevel="0" collapsed="false">
      <c r="A108" s="422" t="s">
        <v>93</v>
      </c>
      <c r="B108" s="433" t="s">
        <v>828</v>
      </c>
      <c r="C108" s="424"/>
      <c r="F108" s="424"/>
      <c r="G108" s="442" t="s">
        <v>616</v>
      </c>
      <c r="H108" s="455" t="s">
        <v>829</v>
      </c>
      <c r="I108" s="422"/>
      <c r="J108" s="399" t="s">
        <v>618</v>
      </c>
      <c r="K108" s="400" t="s">
        <v>830</v>
      </c>
      <c r="L108" s="422"/>
      <c r="O108" s="422"/>
      <c r="P108" s="456"/>
      <c r="Q108" s="456" t="n">
        <f aca="false">SUM(Q102:Q107)</f>
        <v>3.37785470316983</v>
      </c>
      <c r="R108" s="439"/>
      <c r="S108" s="452"/>
      <c r="T108" s="452" t="n">
        <f aca="false">SUM(T102:T107)</f>
        <v>2.82701929592353</v>
      </c>
      <c r="U108" s="424"/>
      <c r="V108" s="452"/>
      <c r="W108" s="452"/>
      <c r="X108" s="424"/>
      <c r="Y108" s="422"/>
      <c r="Z108" s="422"/>
      <c r="AH108" s="27" t="s">
        <v>758</v>
      </c>
      <c r="AI108" s="457" t="n">
        <v>0.002</v>
      </c>
      <c r="AR108" s="457"/>
    </row>
    <row r="109" customFormat="false" ht="12.75" hidden="false" customHeight="false" outlineLevel="0" collapsed="false">
      <c r="A109" s="482" t="s">
        <v>637</v>
      </c>
      <c r="B109" s="411" t="n">
        <v>0.0092</v>
      </c>
      <c r="F109" s="389"/>
      <c r="G109" s="434" t="s">
        <v>637</v>
      </c>
      <c r="H109" s="413" t="n">
        <v>0.0765</v>
      </c>
      <c r="I109" s="424"/>
      <c r="J109" s="414" t="s">
        <v>637</v>
      </c>
      <c r="K109" s="413" t="n">
        <v>0.0472</v>
      </c>
      <c r="L109" s="424"/>
      <c r="O109" s="424"/>
      <c r="P109" s="429"/>
      <c r="Q109" s="429"/>
      <c r="S109" s="422"/>
      <c r="T109" s="422"/>
      <c r="V109" s="422"/>
      <c r="W109" s="422"/>
      <c r="Y109" s="424"/>
      <c r="Z109" s="424"/>
      <c r="AI109" s="457"/>
      <c r="AR109" s="457"/>
    </row>
    <row r="110" customFormat="false" ht="12.75" hidden="false" customHeight="false" outlineLevel="0" collapsed="false">
      <c r="A110" s="389" t="s">
        <v>119</v>
      </c>
      <c r="B110" s="411" t="n">
        <f aca="false">0.0022+0.0072+0.0131</f>
        <v>0.0225</v>
      </c>
      <c r="C110" s="389"/>
      <c r="F110" s="396"/>
      <c r="G110" s="434" t="s">
        <v>119</v>
      </c>
      <c r="H110" s="413" t="n">
        <f aca="false">0.0022+0.0072</f>
        <v>0.0094</v>
      </c>
      <c r="I110" s="389"/>
      <c r="J110" s="414" t="s">
        <v>119</v>
      </c>
      <c r="K110" s="413" t="n">
        <f aca="false">0.0022+0.0072</f>
        <v>0.0094</v>
      </c>
      <c r="L110" s="389"/>
      <c r="O110" s="389"/>
      <c r="P110" s="439"/>
      <c r="Q110" s="439"/>
      <c r="R110" s="479"/>
      <c r="S110" s="424"/>
      <c r="T110" s="424"/>
      <c r="U110" s="389"/>
      <c r="V110" s="424"/>
      <c r="W110" s="424"/>
      <c r="X110" s="389"/>
      <c r="AH110" s="458" t="n">
        <v>36100</v>
      </c>
      <c r="AQ110" s="458"/>
    </row>
    <row r="111" customFormat="false" ht="12.75" hidden="false" customHeight="false" outlineLevel="0" collapsed="false">
      <c r="A111" s="396" t="s">
        <v>831</v>
      </c>
      <c r="B111" s="423" t="n">
        <f aca="false">2.3/(1-0.0153)-2.3</f>
        <v>0.0357367726211026</v>
      </c>
      <c r="C111" s="396"/>
      <c r="F111" s="396"/>
      <c r="G111" s="434" t="s">
        <v>832</v>
      </c>
      <c r="H111" s="426" t="n">
        <f aca="false">(+H5)/(1-0.0186)-H5</f>
        <v>0.0664285714285713</v>
      </c>
      <c r="I111" s="396"/>
      <c r="J111" s="414" t="s">
        <v>833</v>
      </c>
      <c r="K111" s="426" t="n">
        <f aca="false">(K6)/(1-0.0232)-(K6)</f>
        <v>0.0806347256347255</v>
      </c>
      <c r="L111" s="396"/>
      <c r="O111" s="396"/>
      <c r="P111" s="479"/>
      <c r="Q111" s="479"/>
      <c r="R111" s="419"/>
      <c r="S111" s="389"/>
      <c r="T111" s="389"/>
      <c r="U111" s="396"/>
      <c r="V111" s="389"/>
      <c r="W111" s="389"/>
      <c r="X111" s="396"/>
      <c r="AH111" s="460" t="s">
        <v>751</v>
      </c>
      <c r="AI111" s="457" t="n">
        <v>0.003</v>
      </c>
      <c r="AQ111" s="460"/>
      <c r="AR111" s="457"/>
    </row>
    <row r="112" customFormat="false" ht="12.75" hidden="false" customHeight="false" outlineLevel="0" collapsed="false">
      <c r="A112" s="396"/>
      <c r="B112" s="433" t="n">
        <f aca="false">SUM(B109:B111)</f>
        <v>0.0674367726211027</v>
      </c>
      <c r="C112" s="396"/>
      <c r="F112" s="422"/>
      <c r="G112" s="434"/>
      <c r="H112" s="435" t="n">
        <f aca="false">SUM(H109:H111)</f>
        <v>0.152328571428571</v>
      </c>
      <c r="I112" s="396"/>
      <c r="J112" s="414"/>
      <c r="K112" s="435" t="n">
        <f aca="false">SUM(K109:K111)</f>
        <v>0.137234725634726</v>
      </c>
      <c r="L112" s="396"/>
      <c r="O112" s="396"/>
      <c r="P112" s="419"/>
      <c r="Q112" s="419"/>
      <c r="R112" s="419"/>
      <c r="S112" s="396"/>
      <c r="T112" s="396"/>
      <c r="U112" s="396"/>
      <c r="V112" s="396"/>
      <c r="W112" s="396"/>
      <c r="X112" s="396"/>
      <c r="AH112" s="27" t="s">
        <v>752</v>
      </c>
      <c r="AI112" s="457" t="n">
        <v>0.006</v>
      </c>
      <c r="AR112" s="457"/>
    </row>
    <row r="113" customFormat="false" ht="12.75" hidden="false" customHeight="false" outlineLevel="0" collapsed="false">
      <c r="A113" s="422" t="s">
        <v>93</v>
      </c>
      <c r="B113" s="433" t="s">
        <v>834</v>
      </c>
      <c r="C113" s="422"/>
      <c r="F113" s="424"/>
      <c r="G113" s="442" t="s">
        <v>616</v>
      </c>
      <c r="H113" s="455" t="s">
        <v>835</v>
      </c>
      <c r="I113" s="422"/>
      <c r="J113" s="399" t="s">
        <v>618</v>
      </c>
      <c r="K113" s="400" t="s">
        <v>744</v>
      </c>
      <c r="L113" s="422"/>
      <c r="O113" s="422"/>
      <c r="P113" s="419"/>
      <c r="Q113" s="419"/>
      <c r="R113" s="429"/>
      <c r="S113" s="396"/>
      <c r="T113" s="396"/>
      <c r="U113" s="422"/>
      <c r="V113" s="396"/>
      <c r="W113" s="396"/>
      <c r="X113" s="422"/>
      <c r="AH113" s="27" t="s">
        <v>758</v>
      </c>
      <c r="AI113" s="457" t="n">
        <v>0.003</v>
      </c>
      <c r="AR113" s="457"/>
    </row>
    <row r="114" customFormat="false" ht="12.75" hidden="false" customHeight="false" outlineLevel="0" collapsed="false">
      <c r="A114" s="482" t="s">
        <v>637</v>
      </c>
      <c r="B114" s="411" t="n">
        <v>0.0138</v>
      </c>
      <c r="C114" s="424"/>
      <c r="G114" s="434" t="s">
        <v>637</v>
      </c>
      <c r="H114" s="413" t="n">
        <v>0.0642</v>
      </c>
      <c r="I114" s="424"/>
      <c r="J114" s="414" t="s">
        <v>637</v>
      </c>
      <c r="K114" s="413" t="n">
        <v>0.0686</v>
      </c>
      <c r="L114" s="424"/>
      <c r="O114" s="424"/>
      <c r="P114" s="429"/>
      <c r="Q114" s="429"/>
      <c r="R114" s="439"/>
      <c r="S114" s="422"/>
      <c r="T114" s="422"/>
      <c r="U114" s="424"/>
      <c r="V114" s="422"/>
      <c r="W114" s="422"/>
      <c r="X114" s="424"/>
      <c r="AI114" s="457"/>
    </row>
    <row r="115" customFormat="false" ht="12.75" hidden="false" customHeight="false" outlineLevel="0" collapsed="false">
      <c r="A115" s="389" t="s">
        <v>119</v>
      </c>
      <c r="B115" s="411" t="n">
        <f aca="false">0.0022+0.0072+0.0131</f>
        <v>0.0225</v>
      </c>
      <c r="C115" s="389"/>
      <c r="G115" s="434" t="s">
        <v>119</v>
      </c>
      <c r="H115" s="413" t="n">
        <f aca="false">0.0022+0.0072</f>
        <v>0.0094</v>
      </c>
      <c r="J115" s="414" t="s">
        <v>119</v>
      </c>
      <c r="K115" s="413" t="n">
        <f aca="false">0.0022+0.0072</f>
        <v>0.0094</v>
      </c>
      <c r="P115" s="439"/>
      <c r="Q115" s="439"/>
      <c r="R115" s="479"/>
      <c r="S115" s="424"/>
      <c r="T115" s="424"/>
      <c r="U115" s="389"/>
      <c r="V115" s="424"/>
      <c r="W115" s="424"/>
      <c r="X115" s="389"/>
      <c r="AH115" s="458" t="n">
        <v>36069</v>
      </c>
      <c r="AQ115" s="458"/>
    </row>
    <row r="116" customFormat="false" ht="12.75" hidden="false" customHeight="false" outlineLevel="0" collapsed="false">
      <c r="A116" s="396" t="s">
        <v>836</v>
      </c>
      <c r="B116" s="423" t="n">
        <f aca="false">2.3/(1-0.0237)-2.3</f>
        <v>0.0558332479770565</v>
      </c>
      <c r="C116" s="396"/>
      <c r="D116" s="485"/>
      <c r="G116" s="434" t="s">
        <v>837</v>
      </c>
      <c r="H116" s="426" t="n">
        <f aca="false">(+H4)/(1-0.0186)-H4</f>
        <v>0.0624485428979007</v>
      </c>
      <c r="J116" s="414" t="s">
        <v>750</v>
      </c>
      <c r="K116" s="426" t="n">
        <f aca="false">(K6)/(1-0.0372)-(K6)</f>
        <v>0.131173660157873</v>
      </c>
      <c r="R116" s="419"/>
      <c r="U116" s="396"/>
      <c r="X116" s="396"/>
      <c r="AH116" s="460" t="s">
        <v>751</v>
      </c>
      <c r="AI116" s="457" t="n">
        <v>0</v>
      </c>
      <c r="AQ116" s="460"/>
      <c r="AR116" s="457"/>
    </row>
    <row r="117" customFormat="false" ht="12.75" hidden="false" customHeight="false" outlineLevel="0" collapsed="false">
      <c r="A117" s="396"/>
      <c r="B117" s="433" t="n">
        <f aca="false">SUM(B114:B116)</f>
        <v>0.0921332479770565</v>
      </c>
      <c r="C117" s="396"/>
      <c r="D117" s="485"/>
      <c r="G117" s="434"/>
      <c r="H117" s="435" t="n">
        <f aca="false">SUM(H114:H116)</f>
        <v>0.136048542897901</v>
      </c>
      <c r="J117" s="414"/>
      <c r="K117" s="435" t="n">
        <f aca="false">SUM(K114:K116)</f>
        <v>0.209173660157873</v>
      </c>
      <c r="P117" s="479"/>
      <c r="Q117" s="479"/>
      <c r="R117" s="419"/>
      <c r="S117" s="389"/>
      <c r="T117" s="389"/>
      <c r="U117" s="396"/>
      <c r="V117" s="389"/>
      <c r="W117" s="389"/>
      <c r="X117" s="396"/>
      <c r="AH117" s="27" t="s">
        <v>752</v>
      </c>
      <c r="AI117" s="457" t="n">
        <v>0</v>
      </c>
      <c r="AR117" s="457"/>
    </row>
    <row r="118" customFormat="false" ht="12.75" hidden="false" customHeight="false" outlineLevel="0" collapsed="false">
      <c r="A118" s="422" t="s">
        <v>93</v>
      </c>
      <c r="B118" s="433" t="s">
        <v>838</v>
      </c>
      <c r="C118" s="422"/>
      <c r="G118" s="442" t="s">
        <v>839</v>
      </c>
      <c r="H118" s="443"/>
      <c r="J118" s="399" t="s">
        <v>618</v>
      </c>
      <c r="K118" s="400" t="s">
        <v>757</v>
      </c>
      <c r="P118" s="419"/>
      <c r="Q118" s="419"/>
      <c r="R118" s="429"/>
      <c r="S118" s="396"/>
      <c r="T118" s="396"/>
      <c r="U118" s="422"/>
      <c r="V118" s="396"/>
      <c r="W118" s="396"/>
      <c r="X118" s="422"/>
      <c r="AH118" s="27" t="s">
        <v>758</v>
      </c>
      <c r="AI118" s="457" t="n">
        <v>0</v>
      </c>
      <c r="AR118" s="457"/>
    </row>
    <row r="119" customFormat="false" ht="12.75" hidden="false" customHeight="false" outlineLevel="0" collapsed="false">
      <c r="A119" s="424" t="s">
        <v>637</v>
      </c>
      <c r="B119" s="411" t="n">
        <v>0.005</v>
      </c>
      <c r="C119" s="424"/>
      <c r="G119" s="412" t="s">
        <v>637</v>
      </c>
      <c r="H119" s="413" t="n">
        <v>0.0094</v>
      </c>
      <c r="J119" s="414" t="s">
        <v>637</v>
      </c>
      <c r="K119" s="413" t="n">
        <v>0.0835</v>
      </c>
      <c r="P119" s="419"/>
      <c r="Q119" s="419"/>
      <c r="R119" s="439"/>
      <c r="S119" s="396"/>
      <c r="T119" s="396"/>
      <c r="U119" s="424"/>
      <c r="V119" s="396"/>
      <c r="W119" s="396"/>
      <c r="X119" s="424"/>
    </row>
    <row r="120" customFormat="false" ht="12.75" hidden="false" customHeight="false" outlineLevel="0" collapsed="false">
      <c r="A120" s="389" t="s">
        <v>119</v>
      </c>
      <c r="B120" s="411" t="n">
        <f aca="false">0.0022+0.0072+0.0131</f>
        <v>0.0225</v>
      </c>
      <c r="G120" s="412" t="s">
        <v>119</v>
      </c>
      <c r="H120" s="413" t="n">
        <v>0.0022</v>
      </c>
      <c r="J120" s="414" t="s">
        <v>119</v>
      </c>
      <c r="K120" s="413" t="n">
        <f aca="false">0.0022+0.0072</f>
        <v>0.0094</v>
      </c>
      <c r="P120" s="429"/>
      <c r="Q120" s="429"/>
      <c r="S120" s="422"/>
      <c r="T120" s="422"/>
      <c r="V120" s="422"/>
      <c r="W120" s="422"/>
      <c r="AH120" s="458" t="n">
        <v>36039</v>
      </c>
      <c r="AQ120" s="458"/>
    </row>
    <row r="121" customFormat="false" ht="12.75" hidden="false" customHeight="false" outlineLevel="0" collapsed="false">
      <c r="A121" s="396" t="s">
        <v>641</v>
      </c>
      <c r="B121" s="423" t="n">
        <f aca="false">B7/(1-0.0084)-B7</f>
        <v>0.0296490520371115</v>
      </c>
      <c r="G121" s="412" t="s">
        <v>840</v>
      </c>
      <c r="H121" s="426" t="n">
        <f aca="false">(+AI3+AI17)/(1-0.0131)-(+AI3+AI17)</f>
        <v>0.0469643428918838</v>
      </c>
      <c r="J121" s="414" t="s">
        <v>763</v>
      </c>
      <c r="K121" s="426" t="n">
        <f aca="false">(K6)/(1-0.0465)-(K6)</f>
        <v>0.165566334556896</v>
      </c>
      <c r="P121" s="439"/>
      <c r="Q121" s="439"/>
      <c r="S121" s="424"/>
      <c r="T121" s="424"/>
      <c r="V121" s="424"/>
      <c r="W121" s="424"/>
      <c r="AH121" s="460" t="s">
        <v>751</v>
      </c>
      <c r="AI121" s="457" t="n">
        <v>0</v>
      </c>
      <c r="AQ121" s="460"/>
      <c r="AR121" s="457"/>
    </row>
    <row r="122" customFormat="false" ht="12.75" hidden="false" customHeight="false" outlineLevel="0" collapsed="false">
      <c r="A122" s="396" t="s">
        <v>671</v>
      </c>
      <c r="B122" s="433" t="n">
        <f aca="false">SUM(B119:B121)</f>
        <v>0.0571490520371115</v>
      </c>
      <c r="G122" s="434"/>
      <c r="H122" s="435" t="n">
        <f aca="false">SUM(H119:H121)</f>
        <v>0.0585643428918838</v>
      </c>
      <c r="J122" s="414"/>
      <c r="K122" s="435" t="n">
        <f aca="false">SUM(K119:K121)</f>
        <v>0.258466334556896</v>
      </c>
      <c r="P122" s="479"/>
      <c r="Q122" s="479"/>
      <c r="S122" s="389"/>
      <c r="T122" s="389"/>
      <c r="V122" s="389"/>
      <c r="W122" s="389"/>
      <c r="AH122" s="27" t="s">
        <v>752</v>
      </c>
      <c r="AI122" s="457" t="n">
        <v>0</v>
      </c>
      <c r="AR122" s="457"/>
    </row>
    <row r="123" customFormat="false" ht="12.75" hidden="false" customHeight="false" outlineLevel="0" collapsed="false">
      <c r="A123" s="429" t="s">
        <v>841</v>
      </c>
      <c r="B123" s="324"/>
      <c r="G123" s="442" t="s">
        <v>616</v>
      </c>
      <c r="H123" s="443" t="s">
        <v>842</v>
      </c>
      <c r="J123" s="399" t="s">
        <v>618</v>
      </c>
      <c r="K123" s="435" t="s">
        <v>843</v>
      </c>
      <c r="P123" s="419"/>
      <c r="Q123" s="419"/>
      <c r="S123" s="396"/>
      <c r="T123" s="396"/>
      <c r="V123" s="396"/>
      <c r="W123" s="396"/>
      <c r="AH123" s="27" t="s">
        <v>758</v>
      </c>
      <c r="AI123" s="457" t="n">
        <v>0</v>
      </c>
      <c r="AR123" s="457"/>
    </row>
    <row r="124" customFormat="false" ht="12.75" hidden="false" customHeight="false" outlineLevel="0" collapsed="false">
      <c r="A124" s="439" t="s">
        <v>93</v>
      </c>
      <c r="B124" s="324"/>
      <c r="G124" s="412" t="s">
        <v>637</v>
      </c>
      <c r="H124" s="413" t="n">
        <v>0.0459</v>
      </c>
      <c r="J124" s="414" t="s">
        <v>637</v>
      </c>
      <c r="K124" s="486" t="n">
        <v>0.0583</v>
      </c>
      <c r="P124" s="419"/>
      <c r="Q124" s="419"/>
      <c r="S124" s="396"/>
      <c r="T124" s="396"/>
      <c r="V124" s="396"/>
      <c r="W124" s="396"/>
    </row>
    <row r="125" customFormat="false" ht="12.75" hidden="false" customHeight="false" outlineLevel="0" collapsed="false">
      <c r="A125" s="439" t="s">
        <v>844</v>
      </c>
      <c r="B125" s="324"/>
      <c r="G125" s="412" t="s">
        <v>119</v>
      </c>
      <c r="H125" s="413" t="n">
        <f aca="false">0.0022+0.0072</f>
        <v>0.0094</v>
      </c>
      <c r="J125" s="414" t="s">
        <v>119</v>
      </c>
      <c r="K125" s="413" t="n">
        <f aca="false">0.0022</f>
        <v>0.0022</v>
      </c>
      <c r="P125" s="429"/>
      <c r="Q125" s="429"/>
      <c r="S125" s="422"/>
      <c r="T125" s="422"/>
      <c r="V125" s="422"/>
      <c r="W125" s="422"/>
      <c r="AH125" s="458" t="n">
        <v>36008</v>
      </c>
      <c r="AQ125" s="458"/>
    </row>
    <row r="126" customFormat="false" ht="12.75" hidden="false" customHeight="false" outlineLevel="0" collapsed="false">
      <c r="A126" s="456" t="s">
        <v>845</v>
      </c>
      <c r="B126" s="324"/>
      <c r="G126" s="412" t="s">
        <v>846</v>
      </c>
      <c r="H126" s="426" t="n">
        <f aca="false">(+H5)/(1-0.0107)-H5</f>
        <v>0.0379091276660266</v>
      </c>
      <c r="J126" s="414" t="s">
        <v>847</v>
      </c>
      <c r="K126" s="426" t="n">
        <f aca="false">(K6)/(1-0.0304)-K6</f>
        <v>0.106443894389439</v>
      </c>
      <c r="P126" s="439"/>
      <c r="Q126" s="439"/>
      <c r="S126" s="424"/>
      <c r="T126" s="424"/>
      <c r="V126" s="424"/>
      <c r="W126" s="424"/>
      <c r="AH126" s="460" t="s">
        <v>751</v>
      </c>
      <c r="AI126" s="457" t="n">
        <v>0</v>
      </c>
      <c r="AQ126" s="460"/>
      <c r="AR126" s="457"/>
    </row>
    <row r="127" customFormat="false" ht="12.75" hidden="false" customHeight="false" outlineLevel="0" collapsed="false">
      <c r="A127" s="456" t="s">
        <v>93</v>
      </c>
      <c r="B127" s="438" t="s">
        <v>848</v>
      </c>
      <c r="G127" s="434"/>
      <c r="H127" s="435" t="n">
        <f aca="false">SUM(H124:H126)</f>
        <v>0.0932091276660266</v>
      </c>
      <c r="J127" s="414"/>
      <c r="K127" s="435" t="n">
        <f aca="false">SUM(K124:K126)</f>
        <v>0.166943894389439</v>
      </c>
      <c r="AH127" s="27" t="s">
        <v>752</v>
      </c>
      <c r="AI127" s="457" t="n">
        <v>0</v>
      </c>
      <c r="AR127" s="457"/>
    </row>
    <row r="128" customFormat="false" ht="12.75" hidden="false" customHeight="false" outlineLevel="0" collapsed="false">
      <c r="A128" s="456" t="s">
        <v>637</v>
      </c>
      <c r="B128" s="487" t="n">
        <v>0.0016</v>
      </c>
      <c r="G128" s="442" t="s">
        <v>616</v>
      </c>
      <c r="H128" s="443" t="s">
        <v>849</v>
      </c>
      <c r="J128" s="399" t="s">
        <v>618</v>
      </c>
      <c r="K128" s="435" t="s">
        <v>768</v>
      </c>
      <c r="AH128" s="27" t="s">
        <v>758</v>
      </c>
      <c r="AI128" s="457" t="n">
        <v>0</v>
      </c>
      <c r="AR128" s="457"/>
    </row>
    <row r="129" customFormat="false" ht="12.75" hidden="false" customHeight="false" outlineLevel="0" collapsed="false">
      <c r="A129" s="429" t="s">
        <v>119</v>
      </c>
      <c r="B129" s="487" t="n">
        <f aca="false">0.0022+0.0072+0.0131</f>
        <v>0.0225</v>
      </c>
      <c r="G129" s="412" t="s">
        <v>637</v>
      </c>
      <c r="H129" s="488" t="n">
        <v>0.1577</v>
      </c>
      <c r="J129" s="414" t="s">
        <v>637</v>
      </c>
      <c r="K129" s="486" t="n">
        <v>0.0731</v>
      </c>
    </row>
    <row r="130" customFormat="false" ht="12.75" hidden="false" customHeight="false" outlineLevel="0" collapsed="false">
      <c r="A130" s="439" t="s">
        <v>784</v>
      </c>
      <c r="B130" s="428" t="n">
        <f aca="false">B3/(1-0.019)-B3</f>
        <v>0.0689500509683998</v>
      </c>
      <c r="G130" s="412" t="s">
        <v>119</v>
      </c>
      <c r="H130" s="413" t="n">
        <f aca="false">0.0022+0+0.0225+0.0072</f>
        <v>0.0319</v>
      </c>
      <c r="J130" s="414" t="s">
        <v>119</v>
      </c>
      <c r="K130" s="413" t="n">
        <f aca="false">0.0022+0.0072</f>
        <v>0.0094</v>
      </c>
      <c r="AH130" s="458" t="n">
        <v>35977</v>
      </c>
    </row>
    <row r="131" customFormat="false" ht="12.75" hidden="false" customHeight="false" outlineLevel="0" collapsed="false">
      <c r="A131" s="479" t="s">
        <v>671</v>
      </c>
      <c r="B131" s="438" t="n">
        <f aca="false">SUM(B128:B130)</f>
        <v>0.0930500509683998</v>
      </c>
      <c r="G131" s="412" t="s">
        <v>762</v>
      </c>
      <c r="H131" s="425" t="n">
        <f aca="false">(H4)/(1-0.095)-H4</f>
        <v>0.345883977900552</v>
      </c>
      <c r="J131" s="414" t="s">
        <v>772</v>
      </c>
      <c r="K131" s="426" t="n">
        <f aca="false">(K6)/(1-0.0399)-K6</f>
        <v>0.141089990625977</v>
      </c>
      <c r="AH131" s="460" t="s">
        <v>751</v>
      </c>
      <c r="AI131" s="457" t="n">
        <v>0</v>
      </c>
    </row>
    <row r="132" customFormat="false" ht="12.75" hidden="false" customHeight="false" outlineLevel="0" collapsed="false">
      <c r="A132" s="419"/>
      <c r="B132" s="324"/>
      <c r="G132" s="434"/>
      <c r="H132" s="435" t="n">
        <f aca="false">SUM(H129:H131)</f>
        <v>0.535483977900552</v>
      </c>
      <c r="J132" s="414"/>
      <c r="K132" s="435" t="n">
        <f aca="false">SUM(K129:K131)</f>
        <v>0.223589990625977</v>
      </c>
      <c r="AH132" s="27" t="s">
        <v>752</v>
      </c>
      <c r="AI132" s="457" t="n">
        <v>0</v>
      </c>
    </row>
    <row r="133" customFormat="false" ht="12.75" hidden="false" customHeight="false" outlineLevel="0" collapsed="false">
      <c r="A133" s="439" t="s">
        <v>93</v>
      </c>
      <c r="B133" s="324"/>
      <c r="G133" s="442" t="s">
        <v>616</v>
      </c>
      <c r="H133" s="443" t="s">
        <v>850</v>
      </c>
      <c r="J133" s="399" t="s">
        <v>618</v>
      </c>
      <c r="K133" s="435" t="s">
        <v>776</v>
      </c>
      <c r="AH133" s="27" t="s">
        <v>758</v>
      </c>
      <c r="AI133" s="457" t="n">
        <v>0</v>
      </c>
    </row>
    <row r="134" customFormat="false" ht="12.75" hidden="false" customHeight="false" outlineLevel="0" collapsed="false">
      <c r="A134" s="439" t="s">
        <v>851</v>
      </c>
      <c r="B134" s="324"/>
      <c r="G134" s="412" t="s">
        <v>637</v>
      </c>
      <c r="H134" s="488" t="n">
        <v>0.319</v>
      </c>
      <c r="J134" s="414" t="s">
        <v>637</v>
      </c>
      <c r="K134" s="486" t="n">
        <v>0.0515</v>
      </c>
    </row>
    <row r="135" customFormat="false" ht="12.75" hidden="false" customHeight="false" outlineLevel="0" collapsed="false">
      <c r="A135" s="456" t="s">
        <v>852</v>
      </c>
      <c r="B135" s="324"/>
      <c r="G135" s="412" t="s">
        <v>119</v>
      </c>
      <c r="H135" s="413" t="n">
        <f aca="false">0.0022+0+0.0225+0.0072</f>
        <v>0.0319</v>
      </c>
      <c r="J135" s="414" t="s">
        <v>119</v>
      </c>
      <c r="K135" s="413" t="n">
        <f aca="false">0.0022+0.0072</f>
        <v>0.0094</v>
      </c>
    </row>
    <row r="136" customFormat="false" ht="12.75" hidden="false" customHeight="false" outlineLevel="0" collapsed="false">
      <c r="A136" s="456" t="s">
        <v>93</v>
      </c>
      <c r="B136" s="438" t="s">
        <v>838</v>
      </c>
      <c r="G136" s="412" t="s">
        <v>673</v>
      </c>
      <c r="H136" s="425" t="n">
        <f aca="false">(H3)/(1-0.0244)-H3</f>
        <v>0.0814083640836407</v>
      </c>
      <c r="J136" s="414" t="s">
        <v>712</v>
      </c>
      <c r="K136" s="426" t="n">
        <f aca="false">(2.25)/(1-0.026)-2.25</f>
        <v>0.0600616016427105</v>
      </c>
    </row>
    <row r="137" customFormat="false" ht="12.75" hidden="false" customHeight="false" outlineLevel="0" collapsed="false">
      <c r="A137" s="456" t="s">
        <v>637</v>
      </c>
      <c r="B137" s="487" t="n">
        <v>0.0057</v>
      </c>
      <c r="G137" s="434"/>
      <c r="H137" s="435" t="n">
        <f aca="false">SUM(H134:H136)</f>
        <v>0.432308364083641</v>
      </c>
      <c r="J137" s="414"/>
      <c r="K137" s="435" t="n">
        <f aca="false">SUM(K134:K136)</f>
        <v>0.12096160164271</v>
      </c>
    </row>
    <row r="138" customFormat="false" ht="12.75" hidden="false" customHeight="false" outlineLevel="0" collapsed="false">
      <c r="A138" s="429" t="s">
        <v>119</v>
      </c>
      <c r="B138" s="487" t="n">
        <f aca="false">0.0072+0.0022</f>
        <v>0.0094</v>
      </c>
      <c r="E138" s="73"/>
      <c r="F138" s="73"/>
      <c r="G138" s="442" t="s">
        <v>616</v>
      </c>
      <c r="H138" s="443" t="s">
        <v>853</v>
      </c>
      <c r="I138" s="73"/>
      <c r="J138" s="489"/>
      <c r="K138" s="489"/>
      <c r="L138" s="73"/>
    </row>
    <row r="139" customFormat="false" ht="12.75" hidden="false" customHeight="false" outlineLevel="0" collapsed="false">
      <c r="A139" s="439" t="s">
        <v>854</v>
      </c>
      <c r="B139" s="428" t="n">
        <f aca="false">B7/(1-0.0084)-B7</f>
        <v>0.0296490520371115</v>
      </c>
      <c r="E139" s="73"/>
      <c r="F139" s="73"/>
      <c r="G139" s="412" t="s">
        <v>637</v>
      </c>
      <c r="H139" s="488" t="n">
        <v>0.3681</v>
      </c>
      <c r="I139" s="73"/>
      <c r="J139" s="474"/>
      <c r="K139" s="475"/>
      <c r="L139" s="73"/>
    </row>
    <row r="140" customFormat="false" ht="12.75" hidden="false" customHeight="false" outlineLevel="0" collapsed="false">
      <c r="A140" s="479" t="s">
        <v>671</v>
      </c>
      <c r="B140" s="438" t="n">
        <f aca="false">SUM(B137:B139)</f>
        <v>0.0447490520371116</v>
      </c>
      <c r="E140" s="73"/>
      <c r="F140" s="73"/>
      <c r="G140" s="412" t="s">
        <v>119</v>
      </c>
      <c r="H140" s="413" t="n">
        <f aca="false">0.0022+0+0.0225+0.0072</f>
        <v>0.0319</v>
      </c>
      <c r="I140" s="73"/>
      <c r="J140" s="474"/>
      <c r="K140" s="474"/>
      <c r="L140" s="73"/>
    </row>
    <row r="141" customFormat="false" ht="12.75" hidden="false" customHeight="false" outlineLevel="0" collapsed="false">
      <c r="A141" s="439"/>
      <c r="B141" s="324"/>
      <c r="E141" s="73"/>
      <c r="F141" s="73"/>
      <c r="G141" s="412" t="s">
        <v>779</v>
      </c>
      <c r="H141" s="425" t="n">
        <f aca="false">(H4)/(1-0.0369)-H4</f>
        <v>0.126243899906552</v>
      </c>
      <c r="I141" s="73"/>
      <c r="J141" s="474"/>
      <c r="K141" s="477"/>
      <c r="L141" s="73"/>
    </row>
    <row r="142" customFormat="false" ht="12.75" hidden="false" customHeight="false" outlineLevel="0" collapsed="false">
      <c r="A142" s="479" t="s">
        <v>855</v>
      </c>
      <c r="B142" s="324"/>
      <c r="E142" s="73"/>
      <c r="F142" s="73"/>
      <c r="G142" s="434"/>
      <c r="H142" s="435" t="n">
        <f aca="false">SUM(H139:H141)</f>
        <v>0.526243899906552</v>
      </c>
      <c r="I142" s="73"/>
      <c r="J142" s="474"/>
      <c r="K142" s="473"/>
      <c r="L142" s="73"/>
    </row>
    <row r="143" customFormat="false" ht="12.75" hidden="false" customHeight="false" outlineLevel="0" collapsed="false">
      <c r="A143" s="419" t="s">
        <v>856</v>
      </c>
      <c r="B143" s="324"/>
      <c r="E143" s="73"/>
      <c r="F143" s="73"/>
      <c r="G143" s="412" t="s">
        <v>1</v>
      </c>
      <c r="H143" s="413" t="s">
        <v>1</v>
      </c>
      <c r="I143" s="73"/>
      <c r="J143" s="474"/>
      <c r="K143" s="474"/>
      <c r="L143" s="73"/>
    </row>
    <row r="144" customFormat="false" ht="12.75" hidden="false" customHeight="false" outlineLevel="0" collapsed="false">
      <c r="A144" s="419" t="s">
        <v>638</v>
      </c>
      <c r="B144" s="324" t="n">
        <v>0.045</v>
      </c>
      <c r="E144" s="73"/>
      <c r="F144" s="73"/>
      <c r="G144" s="442" t="s">
        <v>616</v>
      </c>
      <c r="H144" s="455" t="s">
        <v>857</v>
      </c>
      <c r="I144" s="73"/>
      <c r="J144" s="474"/>
      <c r="K144" s="474"/>
      <c r="L144" s="73"/>
    </row>
    <row r="145" customFormat="false" ht="12.75" hidden="false" customHeight="false" outlineLevel="0" collapsed="false">
      <c r="A145" s="429" t="s">
        <v>119</v>
      </c>
      <c r="B145" s="324" t="n">
        <f aca="false">0.0022+0.0072</f>
        <v>0.0094</v>
      </c>
      <c r="E145" s="73"/>
      <c r="F145" s="73"/>
      <c r="G145" s="434" t="s">
        <v>637</v>
      </c>
      <c r="H145" s="488" t="n">
        <v>0.1764</v>
      </c>
      <c r="I145" s="73"/>
      <c r="J145" s="477"/>
      <c r="K145" s="477"/>
      <c r="L145" s="73"/>
    </row>
    <row r="146" customFormat="false" ht="12.75" hidden="false" customHeight="false" outlineLevel="0" collapsed="false">
      <c r="A146" s="439" t="s">
        <v>858</v>
      </c>
      <c r="B146" s="324" t="n">
        <f aca="false">ROUND(+B4/(1-0.0706)-B4,4)</f>
        <v>0.2704</v>
      </c>
      <c r="G146" s="434" t="s">
        <v>119</v>
      </c>
      <c r="H146" s="413" t="n">
        <f aca="false">0.0022+0.0072</f>
        <v>0.0094</v>
      </c>
      <c r="J146" s="473"/>
      <c r="K146" s="473"/>
    </row>
    <row r="147" customFormat="false" ht="13.5" hidden="false" customHeight="false" outlineLevel="0" collapsed="false">
      <c r="A147" s="324"/>
      <c r="B147" s="490" t="n">
        <f aca="false">SUM(B144:B146)</f>
        <v>0.3248</v>
      </c>
      <c r="G147" s="434" t="s">
        <v>823</v>
      </c>
      <c r="H147" s="426" t="n">
        <f aca="false">(H5)/(1-0.0117)-H5</f>
        <v>0.0414939795608622</v>
      </c>
      <c r="J147" s="478"/>
      <c r="K147" s="478"/>
    </row>
    <row r="148" customFormat="false" ht="13.5" hidden="false" customHeight="false" outlineLevel="0" collapsed="false">
      <c r="A148" s="324"/>
      <c r="B148" s="324"/>
      <c r="G148" s="434"/>
      <c r="H148" s="435" t="n">
        <f aca="false">SUM(H145:H147)</f>
        <v>0.227293979560862</v>
      </c>
      <c r="J148" s="474"/>
      <c r="K148" s="474"/>
    </row>
    <row r="149" customFormat="false" ht="12.75" hidden="false" customHeight="false" outlineLevel="0" collapsed="false">
      <c r="A149" s="324" t="s">
        <v>859</v>
      </c>
      <c r="B149" s="491"/>
      <c r="G149" s="325"/>
      <c r="H149" s="325"/>
      <c r="J149" s="474"/>
      <c r="K149" s="474"/>
    </row>
    <row r="150" customFormat="false" ht="12.75" hidden="false" customHeight="false" outlineLevel="0" collapsed="false">
      <c r="A150" s="456" t="s">
        <v>860</v>
      </c>
      <c r="B150" s="324"/>
      <c r="G150" s="412" t="s">
        <v>1</v>
      </c>
      <c r="H150" s="413" t="s">
        <v>1</v>
      </c>
      <c r="J150" s="477"/>
      <c r="K150" s="477"/>
    </row>
    <row r="151" customFormat="false" ht="12.75" hidden="false" customHeight="false" outlineLevel="0" collapsed="false">
      <c r="A151" s="456" t="s">
        <v>93</v>
      </c>
      <c r="B151" s="438" t="s">
        <v>838</v>
      </c>
      <c r="G151" s="412" t="s">
        <v>1</v>
      </c>
      <c r="H151" s="413" t="s">
        <v>1</v>
      </c>
      <c r="J151" s="473"/>
      <c r="K151" s="473"/>
    </row>
    <row r="152" customFormat="false" ht="12.75" hidden="false" customHeight="false" outlineLevel="0" collapsed="false">
      <c r="A152" s="456" t="s">
        <v>637</v>
      </c>
      <c r="B152" s="487" t="n">
        <v>0.0055</v>
      </c>
      <c r="G152" s="325"/>
      <c r="H152" s="325"/>
      <c r="J152" s="473"/>
      <c r="K152" s="473"/>
    </row>
    <row r="153" customFormat="false" ht="12.75" hidden="false" customHeight="false" outlineLevel="0" collapsed="false">
      <c r="A153" s="429" t="s">
        <v>119</v>
      </c>
      <c r="B153" s="487" t="n">
        <v>0.0167</v>
      </c>
      <c r="G153" s="492"/>
      <c r="H153" s="492"/>
      <c r="J153" s="475"/>
      <c r="K153" s="475"/>
    </row>
    <row r="154" customFormat="false" ht="12.75" hidden="false" customHeight="false" outlineLevel="0" collapsed="false">
      <c r="A154" s="439" t="s">
        <v>854</v>
      </c>
      <c r="B154" s="428" t="n">
        <f aca="false">B7/(1-0.0084)-B7</f>
        <v>0.0296490520371115</v>
      </c>
      <c r="G154" s="493"/>
      <c r="H154" s="493"/>
      <c r="J154" s="475"/>
      <c r="K154" s="475"/>
    </row>
    <row r="155" customFormat="false" ht="12.75" hidden="false" customHeight="false" outlineLevel="0" collapsed="false">
      <c r="A155" s="479" t="s">
        <v>671</v>
      </c>
      <c r="B155" s="438" t="n">
        <f aca="false">SUM(B152:B154)</f>
        <v>0.0518490520371115</v>
      </c>
      <c r="G155" s="494" t="s">
        <v>1</v>
      </c>
      <c r="H155" s="474" t="s">
        <v>1</v>
      </c>
      <c r="J155" s="475"/>
      <c r="K155" s="475"/>
    </row>
    <row r="156" customFormat="false" ht="12.75" hidden="false" customHeight="false" outlineLevel="0" collapsed="false">
      <c r="A156" s="439"/>
      <c r="B156" s="324"/>
      <c r="G156" s="494" t="s">
        <v>1</v>
      </c>
      <c r="H156" s="474" t="s">
        <v>1</v>
      </c>
      <c r="J156" s="477"/>
      <c r="K156" s="477"/>
    </row>
    <row r="157" customFormat="false" ht="12.75" hidden="false" customHeight="false" outlineLevel="0" collapsed="false">
      <c r="G157" s="493"/>
      <c r="H157" s="493"/>
      <c r="J157" s="473"/>
      <c r="K157" s="473"/>
    </row>
    <row r="158" customFormat="false" ht="12.75" hidden="false" customHeight="false" outlineLevel="0" collapsed="false">
      <c r="G158" s="493"/>
      <c r="H158" s="493"/>
      <c r="J158" s="478"/>
      <c r="K158" s="478"/>
    </row>
    <row r="159" customFormat="false" ht="12.75" hidden="false" customHeight="false" outlineLevel="0" collapsed="false">
      <c r="G159" s="493"/>
      <c r="H159" s="493"/>
      <c r="J159" s="474"/>
      <c r="K159" s="474"/>
    </row>
    <row r="160" customFormat="false" ht="12.75" hidden="false" customHeight="false" outlineLevel="0" collapsed="false">
      <c r="G160" s="493"/>
      <c r="H160" s="493"/>
      <c r="J160" s="474"/>
      <c r="K160" s="474"/>
    </row>
    <row r="161" customFormat="false" ht="12.75" hidden="false" customHeight="false" outlineLevel="0" collapsed="false">
      <c r="J161" s="477"/>
      <c r="K161" s="477"/>
    </row>
    <row r="162" customFormat="false" ht="12.75" hidden="false" customHeight="false" outlineLevel="0" collapsed="false">
      <c r="J162" s="473"/>
      <c r="K162" s="473"/>
    </row>
    <row r="164" customFormat="false" ht="12.75" hidden="false" customHeight="false" outlineLevel="0" collapsed="false">
      <c r="J164" s="478"/>
      <c r="K164" s="478"/>
    </row>
    <row r="165" customFormat="false" ht="12.75" hidden="false" customHeight="false" outlineLevel="0" collapsed="false">
      <c r="J165" s="474"/>
      <c r="K165" s="474"/>
    </row>
    <row r="166" customFormat="false" ht="12.75" hidden="false" customHeight="false" outlineLevel="0" collapsed="false">
      <c r="J166" s="474"/>
      <c r="K166" s="474"/>
    </row>
    <row r="167" customFormat="false" ht="12.75" hidden="false" customHeight="false" outlineLevel="0" collapsed="false">
      <c r="J167" s="477"/>
      <c r="K167" s="477"/>
    </row>
    <row r="168" customFormat="false" ht="12.75" hidden="false" customHeight="false" outlineLevel="0" collapsed="false">
      <c r="J168" s="473"/>
      <c r="K168" s="473"/>
    </row>
    <row r="169" customFormat="false" ht="12.75" hidden="false" customHeight="false" outlineLevel="0" collapsed="false">
      <c r="J169" s="478"/>
      <c r="K169" s="478"/>
    </row>
    <row r="170" customFormat="false" ht="12.75" hidden="false" customHeight="false" outlineLevel="0" collapsed="false">
      <c r="J170" s="474"/>
      <c r="K170" s="474"/>
    </row>
    <row r="171" customFormat="false" ht="12.75" hidden="false" customHeight="false" outlineLevel="0" collapsed="false">
      <c r="J171" s="474"/>
      <c r="K171" s="474"/>
    </row>
    <row r="172" customFormat="false" ht="12.75" hidden="false" customHeight="false" outlineLevel="0" collapsed="false">
      <c r="J172" s="477"/>
      <c r="K172" s="477"/>
    </row>
    <row r="173" customFormat="false" ht="12.75" hidden="false" customHeight="false" outlineLevel="0" collapsed="false">
      <c r="J173" s="473"/>
      <c r="K173" s="473"/>
    </row>
  </sheetData>
  <mergeCells count="1">
    <mergeCell ref="G2:J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3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325" width="10.85"/>
    <col collapsed="false" customWidth="true" hidden="false" outlineLevel="0" max="3" min="3" style="27" width="2.84"/>
    <col collapsed="false" customWidth="true" hidden="false" outlineLevel="0" max="5" min="4" style="325" width="10.85"/>
    <col collapsed="false" customWidth="true" hidden="false" outlineLevel="0" max="6" min="6" style="27" width="2.84"/>
    <col collapsed="false" customWidth="true" hidden="false" outlineLevel="0" max="8" min="7" style="208" width="10.85"/>
    <col collapsed="false" customWidth="true" hidden="false" outlineLevel="0" max="9" min="9" style="27" width="2.84"/>
    <col collapsed="false" customWidth="true" hidden="false" outlineLevel="0" max="11" min="10" style="325" width="9.14"/>
    <col collapsed="false" customWidth="true" hidden="false" outlineLevel="0" max="12" min="12" style="27" width="3.42"/>
    <col collapsed="false" customWidth="true" hidden="false" outlineLevel="0" max="14" min="13" style="325" width="9.14"/>
    <col collapsed="false" customWidth="true" hidden="false" outlineLevel="0" max="15" min="15" style="27" width="3.42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495" t="s">
        <v>1</v>
      </c>
      <c r="B2" s="495"/>
      <c r="C2" s="495"/>
      <c r="D2" s="495" t="s">
        <v>1</v>
      </c>
      <c r="E2" s="496"/>
      <c r="F2" s="327"/>
      <c r="G2" s="331"/>
      <c r="H2" s="330" t="s">
        <v>544</v>
      </c>
      <c r="I2" s="327"/>
      <c r="K2" s="336" t="s">
        <v>861</v>
      </c>
    </row>
    <row r="3" customFormat="false" ht="12.75" hidden="false" customHeight="false" outlineLevel="0" collapsed="false">
      <c r="A3" s="379" t="s">
        <v>547</v>
      </c>
      <c r="B3" s="497" t="n">
        <f aca="false">+Rates!H3</f>
        <v>3.255</v>
      </c>
      <c r="C3" s="327"/>
      <c r="D3" s="498" t="s">
        <v>548</v>
      </c>
      <c r="E3" s="349" t="n">
        <v>2.5</v>
      </c>
      <c r="F3" s="327"/>
      <c r="G3" s="342" t="s">
        <v>548</v>
      </c>
      <c r="H3" s="339" t="n">
        <f aca="false">+E3</f>
        <v>2.5</v>
      </c>
      <c r="I3" s="327"/>
      <c r="J3" s="348" t="s">
        <v>552</v>
      </c>
      <c r="K3" s="350" t="n">
        <f aca="false">+Rates!AF3</f>
        <v>3.35</v>
      </c>
      <c r="M3" s="498" t="s">
        <v>241</v>
      </c>
      <c r="N3" s="349" t="n">
        <v>2.97</v>
      </c>
    </row>
    <row r="4" customFormat="false" ht="12.75" hidden="false" customHeight="false" outlineLevel="0" collapsed="false">
      <c r="A4" s="379" t="s">
        <v>556</v>
      </c>
      <c r="B4" s="499" t="n">
        <f aca="false">+Rates!H4</f>
        <v>3.295</v>
      </c>
      <c r="C4" s="327"/>
      <c r="D4" s="498" t="s">
        <v>557</v>
      </c>
      <c r="E4" s="349" t="n">
        <v>2.165</v>
      </c>
      <c r="F4" s="327"/>
      <c r="G4" s="342" t="s">
        <v>557</v>
      </c>
      <c r="H4" s="339" t="n">
        <f aca="false">+E4</f>
        <v>2.165</v>
      </c>
      <c r="I4" s="327"/>
      <c r="J4" s="348" t="s">
        <v>560</v>
      </c>
      <c r="M4" s="348" t="s">
        <v>560</v>
      </c>
    </row>
    <row r="5" customFormat="false" ht="12.75" hidden="false" customHeight="false" outlineLevel="0" collapsed="false">
      <c r="A5" s="379" t="s">
        <v>278</v>
      </c>
      <c r="B5" s="500" t="n">
        <f aca="false">+Rates!H5</f>
        <v>3.505</v>
      </c>
      <c r="C5" s="327"/>
      <c r="D5" s="498" t="s">
        <v>562</v>
      </c>
      <c r="E5" s="349" t="n">
        <f aca="false">2.815-0.0635</f>
        <v>2.7515</v>
      </c>
      <c r="F5" s="327"/>
      <c r="G5" s="342" t="s">
        <v>562</v>
      </c>
      <c r="H5" s="339" t="n">
        <f aca="false">+E5</f>
        <v>2.7515</v>
      </c>
      <c r="I5" s="327"/>
    </row>
    <row r="6" customFormat="false" ht="12.75" hidden="false" customHeight="false" outlineLevel="0" collapsed="false">
      <c r="A6" s="364"/>
      <c r="B6" s="364"/>
      <c r="C6" s="358"/>
      <c r="D6" s="379" t="s">
        <v>564</v>
      </c>
      <c r="E6" s="380" t="n">
        <v>2.6</v>
      </c>
      <c r="F6" s="358"/>
      <c r="G6" s="340" t="s">
        <v>564</v>
      </c>
      <c r="H6" s="339" t="n">
        <f aca="false">+E6</f>
        <v>2.6</v>
      </c>
      <c r="I6" s="358"/>
      <c r="J6" s="364"/>
      <c r="K6" s="364"/>
      <c r="L6" s="193"/>
      <c r="M6" s="364"/>
      <c r="N6" s="364"/>
      <c r="O6" s="193"/>
    </row>
    <row r="7" customFormat="false" ht="12.75" hidden="false" customHeight="false" outlineLevel="0" collapsed="false">
      <c r="A7" s="377"/>
      <c r="B7" s="377"/>
      <c r="C7" s="367"/>
      <c r="D7" s="501" t="s">
        <v>241</v>
      </c>
      <c r="E7" s="502" t="n">
        <v>3.065</v>
      </c>
      <c r="F7" s="367"/>
      <c r="G7" s="368" t="s">
        <v>241</v>
      </c>
      <c r="H7" s="339" t="n">
        <f aca="false">+E7</f>
        <v>3.065</v>
      </c>
      <c r="I7" s="367"/>
      <c r="J7" s="375"/>
      <c r="K7" s="375"/>
      <c r="L7" s="252"/>
      <c r="M7" s="375"/>
      <c r="N7" s="375"/>
      <c r="O7" s="252"/>
    </row>
    <row r="8" customFormat="false" ht="12.75" hidden="false" customHeight="false" outlineLevel="0" collapsed="false">
      <c r="A8" s="503" t="s">
        <v>862</v>
      </c>
      <c r="B8" s="366"/>
      <c r="C8" s="378"/>
      <c r="D8" s="340" t="s">
        <v>569</v>
      </c>
      <c r="E8" s="359"/>
      <c r="F8" s="327"/>
      <c r="G8" s="340" t="s">
        <v>569</v>
      </c>
      <c r="H8" s="359"/>
      <c r="I8" s="327"/>
      <c r="J8" s="325" t="s">
        <v>574</v>
      </c>
      <c r="M8" s="325" t="s">
        <v>863</v>
      </c>
    </row>
    <row r="9" customFormat="false" ht="12.75" hidden="false" customHeight="false" outlineLevel="0" collapsed="false">
      <c r="A9" s="366" t="s">
        <v>579</v>
      </c>
      <c r="B9" s="366"/>
      <c r="C9" s="381"/>
      <c r="D9" s="84" t="s">
        <v>580</v>
      </c>
      <c r="E9" s="359"/>
      <c r="F9" s="327"/>
      <c r="G9" s="84" t="s">
        <v>581</v>
      </c>
      <c r="H9" s="359"/>
      <c r="I9" s="327"/>
      <c r="J9" s="325" t="s">
        <v>585</v>
      </c>
      <c r="M9" s="325" t="s">
        <v>595</v>
      </c>
    </row>
    <row r="10" customFormat="false" ht="12.75" hidden="false" customHeight="false" outlineLevel="0" collapsed="false">
      <c r="A10" s="366" t="s">
        <v>589</v>
      </c>
      <c r="B10" s="366"/>
      <c r="C10" s="381"/>
      <c r="D10" s="385" t="s">
        <v>590</v>
      </c>
      <c r="E10" s="359"/>
      <c r="F10" s="327"/>
      <c r="G10" s="385" t="s">
        <v>590</v>
      </c>
      <c r="H10" s="359"/>
      <c r="I10" s="327"/>
      <c r="J10" s="325" t="s">
        <v>596</v>
      </c>
      <c r="M10" s="325" t="s">
        <v>604</v>
      </c>
    </row>
    <row r="11" customFormat="false" ht="12.75" hidden="false" customHeight="false" outlineLevel="0" collapsed="false">
      <c r="A11" s="84" t="s">
        <v>599</v>
      </c>
      <c r="B11" s="366"/>
      <c r="C11" s="381"/>
      <c r="D11" s="385" t="s">
        <v>864</v>
      </c>
      <c r="E11" s="359"/>
      <c r="F11" s="327"/>
      <c r="G11" s="385" t="s">
        <v>601</v>
      </c>
      <c r="H11" s="359"/>
      <c r="I11" s="327"/>
      <c r="J11" s="325" t="s">
        <v>605</v>
      </c>
    </row>
    <row r="12" customFormat="false" ht="12.75" hidden="false" customHeight="false" outlineLevel="0" collapsed="false">
      <c r="A12" s="342"/>
      <c r="B12" s="504"/>
      <c r="C12" s="327"/>
      <c r="D12" s="342" t="s">
        <v>865</v>
      </c>
      <c r="E12" s="343"/>
      <c r="F12" s="327"/>
      <c r="G12" s="342" t="s">
        <v>11</v>
      </c>
      <c r="H12" s="343"/>
      <c r="I12" s="327"/>
      <c r="J12" s="208" t="s">
        <v>611</v>
      </c>
      <c r="M12" s="325" t="s">
        <v>866</v>
      </c>
    </row>
    <row r="13" customFormat="false" ht="12.75" hidden="false" customHeight="false" outlineLevel="0" collapsed="false">
      <c r="A13" s="407" t="s">
        <v>616</v>
      </c>
      <c r="B13" s="408" t="s">
        <v>867</v>
      </c>
      <c r="C13" s="389"/>
      <c r="D13" s="401" t="s">
        <v>618</v>
      </c>
      <c r="E13" s="402" t="s">
        <v>619</v>
      </c>
      <c r="F13" s="389"/>
      <c r="G13" s="401" t="s">
        <v>618</v>
      </c>
      <c r="H13" s="402" t="s">
        <v>620</v>
      </c>
      <c r="I13" s="389"/>
      <c r="J13" s="325" t="s">
        <v>628</v>
      </c>
      <c r="M13" s="397" t="s">
        <v>150</v>
      </c>
      <c r="N13" s="398" t="s">
        <v>627</v>
      </c>
    </row>
    <row r="14" customFormat="false" ht="12.75" hidden="false" customHeight="false" outlineLevel="0" collapsed="false">
      <c r="A14" s="421" t="s">
        <v>637</v>
      </c>
      <c r="B14" s="416" t="n">
        <v>0.0439</v>
      </c>
      <c r="C14" s="396"/>
      <c r="D14" s="415" t="s">
        <v>637</v>
      </c>
      <c r="E14" s="416" t="n">
        <v>0.0178</v>
      </c>
      <c r="F14" s="396"/>
      <c r="G14" s="415" t="s">
        <v>637</v>
      </c>
      <c r="H14" s="416" t="n">
        <v>0.5603</v>
      </c>
      <c r="I14" s="396"/>
      <c r="J14" s="412" t="s">
        <v>637</v>
      </c>
      <c r="K14" s="413" t="n">
        <f aca="false">0.005+0.002</f>
        <v>0.007</v>
      </c>
      <c r="M14" s="412" t="s">
        <v>637</v>
      </c>
      <c r="N14" s="413" t="n">
        <v>0.0112</v>
      </c>
    </row>
    <row r="15" customFormat="false" ht="12.75" hidden="false" customHeight="false" outlineLevel="0" collapsed="false">
      <c r="A15" s="421" t="s">
        <v>119</v>
      </c>
      <c r="B15" s="416" t="n">
        <f aca="false">0.0022+0.0072+0.0225</f>
        <v>0.0319</v>
      </c>
      <c r="C15" s="396"/>
      <c r="D15" s="415" t="s">
        <v>119</v>
      </c>
      <c r="E15" s="416" t="n">
        <f aca="false">0.0022+0.0072</f>
        <v>0.0094</v>
      </c>
      <c r="F15" s="396"/>
      <c r="G15" s="415" t="s">
        <v>119</v>
      </c>
      <c r="H15" s="416" t="n">
        <f aca="false">0.0022+0.0072</f>
        <v>0.0094</v>
      </c>
      <c r="I15" s="396"/>
      <c r="J15" s="412" t="s">
        <v>119</v>
      </c>
      <c r="K15" s="413" t="n">
        <f aca="false">0.0022+0.0072</f>
        <v>0.0094</v>
      </c>
      <c r="M15" s="412" t="s">
        <v>119</v>
      </c>
      <c r="N15" s="413" t="n">
        <f aca="false">0.0022+0.0072</f>
        <v>0.0094</v>
      </c>
    </row>
    <row r="16" customFormat="false" ht="12.75" hidden="false" customHeight="false" outlineLevel="0" collapsed="false">
      <c r="A16" s="421" t="s">
        <v>868</v>
      </c>
      <c r="B16" s="505" t="n">
        <f aca="false">(B3)/(1-0.0089)-B3</f>
        <v>0.0292296438300879</v>
      </c>
      <c r="C16" s="422"/>
      <c r="D16" s="415" t="s">
        <v>678</v>
      </c>
      <c r="E16" s="427" t="n">
        <f aca="false">(E5)/(1-0.0268)-E5</f>
        <v>0.0757708590217838</v>
      </c>
      <c r="F16" s="422"/>
      <c r="G16" s="415" t="s">
        <v>869</v>
      </c>
      <c r="H16" s="427" t="n">
        <f aca="false">(H5)/(1-0.0926)-H5</f>
        <v>0.28079005951069</v>
      </c>
      <c r="I16" s="422"/>
      <c r="J16" s="412" t="s">
        <v>648</v>
      </c>
      <c r="K16" s="426" t="n">
        <f aca="false">+K3/(1-0.0022)-K3</f>
        <v>0.00738624974944857</v>
      </c>
      <c r="M16" s="412" t="s">
        <v>870</v>
      </c>
      <c r="N16" s="426" t="n">
        <f aca="false">+N3/(1-0.0058)-N3</f>
        <v>0.0173264936632469</v>
      </c>
    </row>
    <row r="17" customFormat="false" ht="12.75" hidden="false" customHeight="false" outlineLevel="0" collapsed="false">
      <c r="A17" s="440"/>
      <c r="B17" s="436" t="n">
        <f aca="false">SUM(B14:B16)</f>
        <v>0.105029643830088</v>
      </c>
      <c r="C17" s="424"/>
      <c r="D17" s="415"/>
      <c r="E17" s="436" t="n">
        <f aca="false">SUM(E14:E16)</f>
        <v>0.102970859021784</v>
      </c>
      <c r="F17" s="424"/>
      <c r="G17" s="415"/>
      <c r="H17" s="436" t="n">
        <f aca="false">SUM(H14:H16)</f>
        <v>0.85049005951069</v>
      </c>
      <c r="I17" s="424"/>
      <c r="J17" s="434"/>
      <c r="K17" s="435" t="n">
        <f aca="false">SUM(K14:K16)</f>
        <v>0.0237862497494486</v>
      </c>
      <c r="M17" s="434"/>
      <c r="N17" s="435" t="n">
        <f aca="false">SUM(N14:N16)</f>
        <v>0.0379264936632469</v>
      </c>
    </row>
    <row r="18" customFormat="false" ht="12.75" hidden="false" customHeight="false" outlineLevel="0" collapsed="false">
      <c r="A18" s="506" t="s">
        <v>616</v>
      </c>
      <c r="B18" s="507" t="s">
        <v>871</v>
      </c>
      <c r="C18" s="389"/>
      <c r="D18" s="401" t="s">
        <v>618</v>
      </c>
      <c r="E18" s="402" t="s">
        <v>658</v>
      </c>
      <c r="F18" s="389"/>
      <c r="G18" s="401" t="s">
        <v>618</v>
      </c>
      <c r="H18" s="402" t="s">
        <v>659</v>
      </c>
      <c r="I18" s="389"/>
    </row>
    <row r="19" customFormat="false" ht="12.75" hidden="false" customHeight="false" outlineLevel="0" collapsed="false">
      <c r="A19" s="421" t="s">
        <v>637</v>
      </c>
      <c r="B19" s="416" t="n">
        <v>0.0669</v>
      </c>
      <c r="C19" s="396"/>
      <c r="D19" s="415" t="s">
        <v>637</v>
      </c>
      <c r="E19" s="416" t="n">
        <v>0.0187</v>
      </c>
      <c r="F19" s="396"/>
      <c r="G19" s="415" t="s">
        <v>637</v>
      </c>
      <c r="H19" s="416" t="n">
        <v>0.6649</v>
      </c>
      <c r="I19" s="396"/>
      <c r="J19" s="325" t="s">
        <v>666</v>
      </c>
      <c r="M19" s="397" t="s">
        <v>150</v>
      </c>
      <c r="N19" s="398" t="s">
        <v>665</v>
      </c>
    </row>
    <row r="20" customFormat="false" ht="12.75" hidden="false" customHeight="false" outlineLevel="0" collapsed="false">
      <c r="A20" s="421" t="s">
        <v>119</v>
      </c>
      <c r="B20" s="416" t="n">
        <f aca="false">0.0022+0.0072+0.0225</f>
        <v>0.0319</v>
      </c>
      <c r="C20" s="396"/>
      <c r="D20" s="415" t="s">
        <v>119</v>
      </c>
      <c r="E20" s="416" t="n">
        <f aca="false">0.0022</f>
        <v>0.0022</v>
      </c>
      <c r="F20" s="396"/>
      <c r="G20" s="415" t="s">
        <v>119</v>
      </c>
      <c r="H20" s="416" t="n">
        <f aca="false">0.0022+0.0072</f>
        <v>0.0094</v>
      </c>
      <c r="I20" s="396"/>
      <c r="J20" s="412" t="s">
        <v>637</v>
      </c>
      <c r="K20" s="413" t="n">
        <f aca="false">0.0303+0.002</f>
        <v>0.0323</v>
      </c>
      <c r="M20" s="412" t="s">
        <v>637</v>
      </c>
      <c r="N20" s="413" t="n">
        <v>0</v>
      </c>
    </row>
    <row r="21" customFormat="false" ht="12.75" hidden="false" customHeight="false" outlineLevel="0" collapsed="false">
      <c r="A21" s="421" t="s">
        <v>872</v>
      </c>
      <c r="B21" s="505" t="n">
        <f aca="false">(B3)/(1-0.0279)-B3</f>
        <v>0.0934209443472893</v>
      </c>
      <c r="C21" s="422"/>
      <c r="D21" s="415" t="s">
        <v>873</v>
      </c>
      <c r="E21" s="427" t="n">
        <f aca="false">(E5)/(1-0.0293)-E5</f>
        <v>0.0830523848768929</v>
      </c>
      <c r="F21" s="422"/>
      <c r="G21" s="415" t="s">
        <v>874</v>
      </c>
      <c r="H21" s="427" t="n">
        <f aca="false">(H5)/(1-0.1089)-H5</f>
        <v>0.336256705195825</v>
      </c>
      <c r="I21" s="422"/>
      <c r="J21" s="412" t="s">
        <v>119</v>
      </c>
      <c r="K21" s="413" t="n">
        <f aca="false">0.0072+0.0022</f>
        <v>0.0094</v>
      </c>
      <c r="M21" s="412" t="s">
        <v>119</v>
      </c>
      <c r="N21" s="413" t="n">
        <f aca="false">0.0022+0.0072</f>
        <v>0.0094</v>
      </c>
    </row>
    <row r="22" customFormat="false" ht="12.75" hidden="false" customHeight="false" outlineLevel="0" collapsed="false">
      <c r="A22" s="440"/>
      <c r="B22" s="436" t="n">
        <f aca="false">SUM(B19:B21)</f>
        <v>0.192220944347289</v>
      </c>
      <c r="C22" s="424"/>
      <c r="D22" s="415"/>
      <c r="E22" s="436" t="n">
        <f aca="false">SUM(E19:E21)</f>
        <v>0.103952384876893</v>
      </c>
      <c r="F22" s="424"/>
      <c r="G22" s="415"/>
      <c r="H22" s="436" t="n">
        <f aca="false">SUM(H19:H21)</f>
        <v>1.01055670519583</v>
      </c>
      <c r="I22" s="424"/>
      <c r="J22" s="412" t="s">
        <v>678</v>
      </c>
      <c r="K22" s="426" t="n">
        <f aca="false">+K3/(1-0.0268)-K3</f>
        <v>0.0922523633374435</v>
      </c>
      <c r="M22" s="412" t="s">
        <v>870</v>
      </c>
      <c r="N22" s="426" t="n">
        <f aca="false">+N3/(1-0.0058)-N3</f>
        <v>0.0173264936632469</v>
      </c>
    </row>
    <row r="23" customFormat="false" ht="12.75" hidden="false" customHeight="false" outlineLevel="0" collapsed="false">
      <c r="A23" s="506" t="s">
        <v>616</v>
      </c>
      <c r="B23" s="507" t="s">
        <v>875</v>
      </c>
      <c r="C23" s="424"/>
      <c r="D23" s="508" t="s">
        <v>618</v>
      </c>
      <c r="E23" s="509" t="s">
        <v>683</v>
      </c>
      <c r="F23" s="424"/>
      <c r="G23" s="401" t="s">
        <v>618</v>
      </c>
      <c r="H23" s="402" t="s">
        <v>684</v>
      </c>
      <c r="I23" s="424"/>
      <c r="J23" s="434"/>
      <c r="K23" s="435" t="n">
        <f aca="false">SUM(K20:K22)</f>
        <v>0.133952363337443</v>
      </c>
      <c r="M23" s="434"/>
      <c r="N23" s="435" t="n">
        <f aca="false">SUM(N20:N22)</f>
        <v>0.0267264936632469</v>
      </c>
    </row>
    <row r="24" customFormat="false" ht="12.75" hidden="false" customHeight="false" outlineLevel="0" collapsed="false">
      <c r="A24" s="421" t="s">
        <v>637</v>
      </c>
      <c r="B24" s="416" t="n">
        <v>0.088</v>
      </c>
      <c r="C24" s="452"/>
      <c r="D24" s="415" t="s">
        <v>637</v>
      </c>
      <c r="E24" s="416" t="n">
        <v>0.0236</v>
      </c>
      <c r="F24" s="452"/>
      <c r="G24" s="415" t="s">
        <v>637</v>
      </c>
      <c r="H24" s="416" t="n">
        <v>0.4164</v>
      </c>
      <c r="I24" s="452"/>
    </row>
    <row r="25" customFormat="false" ht="12.75" hidden="false" customHeight="false" outlineLevel="0" collapsed="false">
      <c r="A25" s="421" t="s">
        <v>119</v>
      </c>
      <c r="B25" s="416" t="n">
        <f aca="false">0.0022+0.0072</f>
        <v>0.0094</v>
      </c>
      <c r="C25" s="452"/>
      <c r="D25" s="415" t="s">
        <v>119</v>
      </c>
      <c r="E25" s="416" t="n">
        <f aca="false">0.0022+0.0072</f>
        <v>0.0094</v>
      </c>
      <c r="F25" s="452"/>
      <c r="G25" s="415" t="s">
        <v>119</v>
      </c>
      <c r="H25" s="416" t="n">
        <f aca="false">0.0022+0.0072</f>
        <v>0.0094</v>
      </c>
      <c r="I25" s="452"/>
      <c r="J25" s="325" t="s">
        <v>689</v>
      </c>
    </row>
    <row r="26" customFormat="false" ht="12.75" hidden="false" customHeight="false" outlineLevel="0" collapsed="false">
      <c r="A26" s="421" t="s">
        <v>876</v>
      </c>
      <c r="B26" s="505" t="n">
        <f aca="false">(B3)/(1-0.0516)-B3</f>
        <v>0.17709616195698</v>
      </c>
      <c r="C26" s="422"/>
      <c r="D26" s="415" t="s">
        <v>877</v>
      </c>
      <c r="E26" s="427" t="n">
        <f aca="false">(E5)/(1-0.0428)-E5</f>
        <v>0.123029878813205</v>
      </c>
      <c r="F26" s="422"/>
      <c r="G26" s="415" t="s">
        <v>878</v>
      </c>
      <c r="H26" s="427" t="n">
        <f aca="false">(H4)/(1-0.0812)-H4</f>
        <v>0.191334349151067</v>
      </c>
      <c r="I26" s="422"/>
      <c r="J26" s="412" t="s">
        <v>637</v>
      </c>
      <c r="K26" s="413" t="n">
        <f aca="false">0.0275+0.002</f>
        <v>0.0295</v>
      </c>
    </row>
    <row r="27" customFormat="false" ht="12.75" hidden="false" customHeight="false" outlineLevel="0" collapsed="false">
      <c r="A27" s="440"/>
      <c r="B27" s="436" t="n">
        <f aca="false">SUM(B24:B26)</f>
        <v>0.27449616195698</v>
      </c>
      <c r="C27" s="424"/>
      <c r="D27" s="415"/>
      <c r="E27" s="436" t="n">
        <f aca="false">SUM(E24:E26)</f>
        <v>0.156029878813205</v>
      </c>
      <c r="F27" s="424"/>
      <c r="G27" s="415"/>
      <c r="H27" s="436" t="n">
        <f aca="false">SUM(H24:H26)</f>
        <v>0.617134349151067</v>
      </c>
      <c r="I27" s="424"/>
      <c r="J27" s="412" t="s">
        <v>119</v>
      </c>
      <c r="K27" s="413" t="n">
        <f aca="false">0.0072+0.0022</f>
        <v>0.0094</v>
      </c>
    </row>
    <row r="28" customFormat="false" ht="12.75" hidden="false" customHeight="false" outlineLevel="0" collapsed="false">
      <c r="A28" s="506" t="s">
        <v>616</v>
      </c>
      <c r="B28" s="510" t="s">
        <v>879</v>
      </c>
      <c r="C28" s="395"/>
      <c r="D28" s="401" t="s">
        <v>618</v>
      </c>
      <c r="E28" s="402" t="s">
        <v>702</v>
      </c>
      <c r="F28" s="395"/>
      <c r="G28" s="401" t="s">
        <v>618</v>
      </c>
      <c r="H28" s="402" t="s">
        <v>703</v>
      </c>
      <c r="I28" s="395"/>
      <c r="J28" s="412" t="s">
        <v>678</v>
      </c>
      <c r="K28" s="426" t="n">
        <f aca="false">+K3/(1-0.0268)-K3</f>
        <v>0.0922523633374435</v>
      </c>
    </row>
    <row r="29" customFormat="false" ht="12.75" hidden="false" customHeight="false" outlineLevel="0" collapsed="false">
      <c r="A29" s="440" t="s">
        <v>637</v>
      </c>
      <c r="B29" s="416" t="n">
        <v>0.0978</v>
      </c>
      <c r="C29" s="396"/>
      <c r="D29" s="415" t="s">
        <v>637</v>
      </c>
      <c r="E29" s="416" t="n">
        <v>0.0708</v>
      </c>
      <c r="F29" s="396"/>
      <c r="G29" s="415" t="s">
        <v>637</v>
      </c>
      <c r="H29" s="416" t="n">
        <v>0.521</v>
      </c>
      <c r="I29" s="396"/>
      <c r="J29" s="434"/>
      <c r="K29" s="435" t="n">
        <f aca="false">SUM(K26:K28)</f>
        <v>0.131152363337443</v>
      </c>
    </row>
    <row r="30" customFormat="false" ht="12.75" hidden="false" customHeight="false" outlineLevel="0" collapsed="false">
      <c r="A30" s="440" t="s">
        <v>119</v>
      </c>
      <c r="B30" s="416" t="n">
        <f aca="false">0.0022</f>
        <v>0.0022</v>
      </c>
      <c r="C30" s="396"/>
      <c r="D30" s="415" t="s">
        <v>119</v>
      </c>
      <c r="E30" s="416" t="n">
        <f aca="false">0.0022+0.0072</f>
        <v>0.0094</v>
      </c>
      <c r="F30" s="396"/>
      <c r="G30" s="415" t="s">
        <v>119</v>
      </c>
      <c r="H30" s="416" t="n">
        <f aca="false">0.0022+0.0072</f>
        <v>0.0094</v>
      </c>
      <c r="I30" s="396"/>
    </row>
    <row r="31" customFormat="false" ht="12.75" hidden="false" customHeight="false" outlineLevel="0" collapsed="false">
      <c r="A31" s="440" t="s">
        <v>880</v>
      </c>
      <c r="B31" s="505" t="n">
        <f aca="false">(B3)/(1-0.0588)-B3</f>
        <v>0.203351041223969</v>
      </c>
      <c r="C31" s="422"/>
      <c r="D31" s="415" t="s">
        <v>881</v>
      </c>
      <c r="E31" s="427" t="n">
        <f aca="false">(E5)/(1-0.0677)-E5</f>
        <v>0.199803228574493</v>
      </c>
      <c r="F31" s="422"/>
      <c r="G31" s="415" t="s">
        <v>882</v>
      </c>
      <c r="H31" s="427" t="n">
        <f aca="false">(H4)/(1-0.0975)-H4</f>
        <v>0.233891966759003</v>
      </c>
      <c r="I31" s="422"/>
      <c r="J31" s="325" t="s">
        <v>713</v>
      </c>
    </row>
    <row r="32" customFormat="false" ht="12.75" hidden="false" customHeight="false" outlineLevel="0" collapsed="false">
      <c r="A32" s="440"/>
      <c r="B32" s="436" t="n">
        <f aca="false">SUM(B29:B31)</f>
        <v>0.303351041223969</v>
      </c>
      <c r="C32" s="424"/>
      <c r="D32" s="415"/>
      <c r="E32" s="436" t="n">
        <f aca="false">SUM(E29:E31)</f>
        <v>0.280003228574493</v>
      </c>
      <c r="F32" s="424"/>
      <c r="G32" s="415"/>
      <c r="H32" s="436" t="n">
        <f aca="false">SUM(H29:H31)</f>
        <v>0.764291966759003</v>
      </c>
      <c r="I32" s="424"/>
      <c r="J32" s="412" t="s">
        <v>637</v>
      </c>
      <c r="K32" s="413" t="n">
        <f aca="false">0.0152+0.002</f>
        <v>0.0172</v>
      </c>
    </row>
    <row r="33" customFormat="false" ht="12.75" hidden="false" customHeight="false" outlineLevel="0" collapsed="false">
      <c r="A33" s="506" t="s">
        <v>616</v>
      </c>
      <c r="B33" s="510" t="s">
        <v>883</v>
      </c>
      <c r="C33" s="395"/>
      <c r="D33" s="401" t="s">
        <v>618</v>
      </c>
      <c r="E33" s="402" t="s">
        <v>620</v>
      </c>
      <c r="F33" s="395"/>
      <c r="G33" s="401" t="s">
        <v>618</v>
      </c>
      <c r="H33" s="402" t="s">
        <v>719</v>
      </c>
      <c r="I33" s="395"/>
      <c r="J33" s="412" t="s">
        <v>119</v>
      </c>
      <c r="K33" s="413" t="n">
        <f aca="false">0.002+0.0072+0.0022</f>
        <v>0.0114</v>
      </c>
    </row>
    <row r="34" customFormat="false" ht="12.75" hidden="false" customHeight="false" outlineLevel="0" collapsed="false">
      <c r="A34" s="440" t="s">
        <v>637</v>
      </c>
      <c r="B34" s="416" t="n">
        <v>0.1118</v>
      </c>
      <c r="C34" s="396"/>
      <c r="D34" s="415" t="s">
        <v>637</v>
      </c>
      <c r="E34" s="416" t="n">
        <v>0.0922</v>
      </c>
      <c r="F34" s="396"/>
      <c r="G34" s="415" t="s">
        <v>637</v>
      </c>
      <c r="H34" s="416" t="n">
        <v>0.3983</v>
      </c>
      <c r="I34" s="396"/>
      <c r="J34" s="412" t="s">
        <v>723</v>
      </c>
      <c r="K34" s="426" t="n">
        <f aca="false">+K3/(1-0.0169)-K3</f>
        <v>0.0575882412775912</v>
      </c>
    </row>
    <row r="35" customFormat="false" ht="12.75" hidden="false" customHeight="false" outlineLevel="0" collapsed="false">
      <c r="A35" s="440" t="s">
        <v>119</v>
      </c>
      <c r="B35" s="416" t="n">
        <f aca="false">0.0022+0.0072</f>
        <v>0.0094</v>
      </c>
      <c r="C35" s="396"/>
      <c r="D35" s="415" t="s">
        <v>119</v>
      </c>
      <c r="E35" s="416" t="n">
        <f aca="false">0.0022+0.0072</f>
        <v>0.0094</v>
      </c>
      <c r="F35" s="396"/>
      <c r="G35" s="415" t="s">
        <v>119</v>
      </c>
      <c r="H35" s="416" t="n">
        <f aca="false">0.0022+0.0072</f>
        <v>0.0094</v>
      </c>
      <c r="I35" s="396"/>
      <c r="J35" s="434"/>
      <c r="K35" s="435" t="n">
        <f aca="false">SUM(K32:K34)</f>
        <v>0.0861882412775912</v>
      </c>
    </row>
    <row r="36" customFormat="false" ht="12.75" hidden="false" customHeight="false" outlineLevel="0" collapsed="false">
      <c r="A36" s="440" t="s">
        <v>884</v>
      </c>
      <c r="B36" s="505" t="n">
        <f aca="false">(B3)/(1-0.0679)-B3</f>
        <v>0.237114579980688</v>
      </c>
      <c r="C36" s="422"/>
      <c r="D36" s="415" t="s">
        <v>869</v>
      </c>
      <c r="E36" s="427" t="n">
        <f aca="false">(E5)/(1-0.0926)-E5</f>
        <v>0.28079005951069</v>
      </c>
      <c r="F36" s="422"/>
      <c r="G36" s="415" t="s">
        <v>885</v>
      </c>
      <c r="H36" s="427" t="n">
        <f aca="false">(H3)/(1-0.0761)-H3</f>
        <v>0.20592055417253</v>
      </c>
      <c r="I36" s="422"/>
    </row>
    <row r="37" customFormat="false" ht="12.75" hidden="false" customHeight="false" outlineLevel="0" collapsed="false">
      <c r="A37" s="440"/>
      <c r="B37" s="436" t="n">
        <f aca="false">SUM(B34:B36)</f>
        <v>0.358314579980688</v>
      </c>
      <c r="C37" s="424"/>
      <c r="D37" s="415"/>
      <c r="E37" s="436" t="n">
        <f aca="false">SUM(E34:E36)</f>
        <v>0.38239005951069</v>
      </c>
      <c r="F37" s="424"/>
      <c r="G37" s="415"/>
      <c r="H37" s="436" t="n">
        <f aca="false">SUM(H34:H36)</f>
        <v>0.61362055417253</v>
      </c>
      <c r="I37" s="424"/>
      <c r="J37" s="325" t="s">
        <v>728</v>
      </c>
    </row>
    <row r="38" customFormat="false" ht="12.75" hidden="false" customHeight="false" outlineLevel="0" collapsed="false">
      <c r="A38" s="506" t="s">
        <v>616</v>
      </c>
      <c r="B38" s="510" t="s">
        <v>886</v>
      </c>
      <c r="C38" s="395"/>
      <c r="D38" s="401" t="s">
        <v>618</v>
      </c>
      <c r="E38" s="402" t="s">
        <v>659</v>
      </c>
      <c r="F38" s="395"/>
      <c r="G38" s="401" t="s">
        <v>618</v>
      </c>
      <c r="H38" s="402" t="s">
        <v>733</v>
      </c>
      <c r="I38" s="395"/>
      <c r="J38" s="412" t="s">
        <v>637</v>
      </c>
      <c r="K38" s="413" t="n">
        <f aca="false">0.0152+0.002</f>
        <v>0.0172</v>
      </c>
    </row>
    <row r="39" customFormat="false" ht="12.75" hidden="false" customHeight="false" outlineLevel="0" collapsed="false">
      <c r="A39" s="440" t="s">
        <v>637</v>
      </c>
      <c r="B39" s="416" t="n">
        <v>0.1231</v>
      </c>
      <c r="C39" s="396"/>
      <c r="D39" s="415" t="s">
        <v>637</v>
      </c>
      <c r="E39" s="416" t="n">
        <v>0.1071</v>
      </c>
      <c r="F39" s="396"/>
      <c r="G39" s="415" t="s">
        <v>637</v>
      </c>
      <c r="H39" s="416" t="n">
        <v>0.5029</v>
      </c>
      <c r="I39" s="396"/>
      <c r="J39" s="412" t="s">
        <v>119</v>
      </c>
      <c r="K39" s="413" t="n">
        <f aca="false">0.0072+0.0022</f>
        <v>0.0094</v>
      </c>
    </row>
    <row r="40" customFormat="false" ht="12.75" hidden="false" customHeight="false" outlineLevel="0" collapsed="false">
      <c r="A40" s="440" t="s">
        <v>119</v>
      </c>
      <c r="B40" s="416" t="n">
        <f aca="false">0.0022+0.0072</f>
        <v>0.0094</v>
      </c>
      <c r="C40" s="396"/>
      <c r="D40" s="415" t="s">
        <v>119</v>
      </c>
      <c r="E40" s="416" t="n">
        <f aca="false">0.0022+0.0072</f>
        <v>0.0094</v>
      </c>
      <c r="F40" s="396"/>
      <c r="G40" s="415" t="s">
        <v>119</v>
      </c>
      <c r="H40" s="416" t="n">
        <f aca="false">0.0022+0.0072</f>
        <v>0.0094</v>
      </c>
      <c r="I40" s="396"/>
      <c r="J40" s="412" t="s">
        <v>651</v>
      </c>
      <c r="K40" s="426" t="n">
        <v>0</v>
      </c>
    </row>
    <row r="41" customFormat="false" ht="12.75" hidden="false" customHeight="false" outlineLevel="0" collapsed="false">
      <c r="A41" s="440" t="s">
        <v>887</v>
      </c>
      <c r="B41" s="505" t="n">
        <f aca="false">(B3)/(1-0.0788)-B3</f>
        <v>0.278434650455927</v>
      </c>
      <c r="C41" s="422"/>
      <c r="D41" s="415" t="s">
        <v>874</v>
      </c>
      <c r="E41" s="427" t="n">
        <f aca="false">(E5)/(1-0.1089)-E5</f>
        <v>0.336256705195825</v>
      </c>
      <c r="F41" s="422"/>
      <c r="G41" s="415" t="s">
        <v>888</v>
      </c>
      <c r="H41" s="427" t="n">
        <f aca="false">(H3)/(1-0.0924)-H3</f>
        <v>0.254517408550022</v>
      </c>
      <c r="I41" s="422"/>
      <c r="J41" s="434"/>
      <c r="K41" s="435" t="n">
        <f aca="false">SUM(K38:K40)</f>
        <v>0.0266</v>
      </c>
    </row>
    <row r="42" customFormat="false" ht="12.75" hidden="false" customHeight="false" outlineLevel="0" collapsed="false">
      <c r="A42" s="440"/>
      <c r="B42" s="436" t="n">
        <f aca="false">SUM(B39:B41)</f>
        <v>0.410934650455927</v>
      </c>
      <c r="C42" s="424"/>
      <c r="D42" s="415"/>
      <c r="E42" s="436" t="n">
        <f aca="false">SUM(E39:E41)</f>
        <v>0.452756705195825</v>
      </c>
      <c r="F42" s="424"/>
      <c r="G42" s="415"/>
      <c r="H42" s="436" t="n">
        <f aca="false">SUM(H39:H41)</f>
        <v>0.766817408550022</v>
      </c>
      <c r="I42" s="424"/>
    </row>
    <row r="43" customFormat="false" ht="12.75" hidden="false" customHeight="false" outlineLevel="0" collapsed="false">
      <c r="A43" s="506" t="s">
        <v>616</v>
      </c>
      <c r="B43" s="510" t="s">
        <v>889</v>
      </c>
      <c r="C43" s="395"/>
      <c r="D43" s="401" t="s">
        <v>618</v>
      </c>
      <c r="E43" s="402" t="s">
        <v>743</v>
      </c>
      <c r="F43" s="395"/>
      <c r="G43" s="401" t="s">
        <v>618</v>
      </c>
      <c r="H43" s="402" t="s">
        <v>744</v>
      </c>
      <c r="I43" s="395"/>
    </row>
    <row r="44" customFormat="false" ht="12.75" hidden="false" customHeight="false" outlineLevel="0" collapsed="false">
      <c r="A44" s="440" t="s">
        <v>637</v>
      </c>
      <c r="B44" s="416" t="n">
        <v>0.1608</v>
      </c>
      <c r="C44" s="396"/>
      <c r="D44" s="415" t="s">
        <v>637</v>
      </c>
      <c r="E44" s="416" t="n">
        <v>0.0147</v>
      </c>
      <c r="F44" s="396"/>
      <c r="G44" s="415" t="s">
        <v>637</v>
      </c>
      <c r="H44" s="416" t="n">
        <v>0.3138</v>
      </c>
      <c r="I44" s="396"/>
    </row>
    <row r="45" customFormat="false" ht="12.75" hidden="false" customHeight="false" outlineLevel="0" collapsed="false">
      <c r="A45" s="440" t="s">
        <v>119</v>
      </c>
      <c r="B45" s="416" t="n">
        <f aca="false">0.0022+0.0072</f>
        <v>0.0094</v>
      </c>
      <c r="C45" s="396"/>
      <c r="D45" s="415" t="s">
        <v>119</v>
      </c>
      <c r="E45" s="416" t="n">
        <f aca="false">0.0022</f>
        <v>0.0022</v>
      </c>
      <c r="F45" s="396"/>
      <c r="G45" s="415" t="s">
        <v>119</v>
      </c>
      <c r="H45" s="416" t="n">
        <f aca="false">0.0022+0.0072</f>
        <v>0.0094</v>
      </c>
      <c r="I45" s="396"/>
    </row>
    <row r="46" customFormat="false" ht="12.75" hidden="false" customHeight="false" outlineLevel="0" collapsed="false">
      <c r="A46" s="440" t="s">
        <v>890</v>
      </c>
      <c r="B46" s="505" t="n">
        <f aca="false">(B3)/(1-0.0871)-B3</f>
        <v>0.310560302333224</v>
      </c>
      <c r="C46" s="422"/>
      <c r="D46" s="415" t="s">
        <v>891</v>
      </c>
      <c r="E46" s="427" t="n">
        <f aca="false">(E4)/(1-0.0175)-E4</f>
        <v>0.0385623409669211</v>
      </c>
      <c r="F46" s="422"/>
      <c r="G46" s="415" t="s">
        <v>892</v>
      </c>
      <c r="H46" s="427" t="n">
        <f aca="false">(H6)/(1-0.0498)-(H6)</f>
        <v>0.136266049252789</v>
      </c>
      <c r="I46" s="422"/>
    </row>
    <row r="47" customFormat="false" ht="12.75" hidden="false" customHeight="false" outlineLevel="0" collapsed="false">
      <c r="A47" s="440"/>
      <c r="B47" s="436" t="n">
        <f aca="false">SUM(B44:B46)</f>
        <v>0.480760302333224</v>
      </c>
      <c r="C47" s="424"/>
      <c r="D47" s="415"/>
      <c r="E47" s="436" t="n">
        <f aca="false">SUM(E44:E46)</f>
        <v>0.0554623409669211</v>
      </c>
      <c r="F47" s="424"/>
      <c r="G47" s="415"/>
      <c r="H47" s="436" t="n">
        <f aca="false">SUM(H44:H46)</f>
        <v>0.459466049252789</v>
      </c>
      <c r="I47" s="424"/>
    </row>
    <row r="48" customFormat="false" ht="12.75" hidden="false" customHeight="false" outlineLevel="0" collapsed="false">
      <c r="A48" s="506" t="s">
        <v>616</v>
      </c>
      <c r="B48" s="507" t="s">
        <v>893</v>
      </c>
      <c r="C48" s="468"/>
      <c r="D48" s="401" t="s">
        <v>618</v>
      </c>
      <c r="E48" s="402" t="s">
        <v>756</v>
      </c>
      <c r="F48" s="468"/>
      <c r="G48" s="401" t="s">
        <v>618</v>
      </c>
      <c r="H48" s="402" t="s">
        <v>757</v>
      </c>
      <c r="I48" s="468"/>
    </row>
    <row r="49" customFormat="false" ht="12.75" hidden="false" customHeight="false" outlineLevel="0" collapsed="false">
      <c r="A49" s="421" t="s">
        <v>637</v>
      </c>
      <c r="B49" s="416" t="n">
        <v>0.0286</v>
      </c>
      <c r="C49" s="396"/>
      <c r="D49" s="415" t="s">
        <v>637</v>
      </c>
      <c r="E49" s="416" t="n">
        <v>0.0195</v>
      </c>
      <c r="F49" s="396"/>
      <c r="G49" s="415" t="s">
        <v>637</v>
      </c>
      <c r="H49" s="416" t="n">
        <v>0.4184</v>
      </c>
      <c r="I49" s="396"/>
    </row>
    <row r="50" customFormat="false" ht="12.75" hidden="false" customHeight="false" outlineLevel="0" collapsed="false">
      <c r="A50" s="421" t="s">
        <v>119</v>
      </c>
      <c r="B50" s="416" t="n">
        <f aca="false">0.0022+0.0072+0.0225</f>
        <v>0.0319</v>
      </c>
      <c r="C50" s="396"/>
      <c r="D50" s="415" t="s">
        <v>119</v>
      </c>
      <c r="E50" s="416" t="n">
        <f aca="false">0.0022+0.0072</f>
        <v>0.0094</v>
      </c>
      <c r="F50" s="396"/>
      <c r="G50" s="415" t="s">
        <v>119</v>
      </c>
      <c r="H50" s="416" t="n">
        <f aca="false">0.0022+0.0072</f>
        <v>0.0094</v>
      </c>
      <c r="I50" s="396"/>
    </row>
    <row r="51" customFormat="false" ht="12.75" hidden="false" customHeight="false" outlineLevel="0" collapsed="false">
      <c r="A51" s="421" t="s">
        <v>814</v>
      </c>
      <c r="B51" s="511" t="n">
        <f aca="false">(B4)/(1-0.0101)-B4</f>
        <v>0.0336190524295383</v>
      </c>
      <c r="C51" s="422"/>
      <c r="D51" s="415" t="s">
        <v>894</v>
      </c>
      <c r="E51" s="427" t="n">
        <f aca="false">(E4)/(1-0.0314)-E4</f>
        <v>0.0701848028081766</v>
      </c>
      <c r="F51" s="422"/>
      <c r="G51" s="415" t="s">
        <v>895</v>
      </c>
      <c r="H51" s="427" t="n">
        <f aca="false">(H6)/(1-0.0661)-(H6)</f>
        <v>0.184023985437413</v>
      </c>
      <c r="I51" s="422"/>
    </row>
    <row r="52" customFormat="false" ht="12.75" hidden="false" customHeight="false" outlineLevel="0" collapsed="false">
      <c r="A52" s="440"/>
      <c r="B52" s="436" t="n">
        <f aca="false">SUM(B49:B51)</f>
        <v>0.0941190524295383</v>
      </c>
      <c r="C52" s="424"/>
      <c r="D52" s="415"/>
      <c r="E52" s="436" t="n">
        <f aca="false">SUM(E49:E51)</f>
        <v>0.0990848028081766</v>
      </c>
      <c r="F52" s="424"/>
      <c r="G52" s="415"/>
      <c r="H52" s="436" t="n">
        <f aca="false">SUM(H49:H51)</f>
        <v>0.611823985437413</v>
      </c>
      <c r="I52" s="424"/>
    </row>
    <row r="53" customFormat="false" ht="12.75" hidden="false" customHeight="false" outlineLevel="0" collapsed="false">
      <c r="A53" s="506" t="s">
        <v>616</v>
      </c>
      <c r="B53" s="507" t="s">
        <v>614</v>
      </c>
      <c r="C53" s="468"/>
      <c r="D53" s="401" t="s">
        <v>618</v>
      </c>
      <c r="E53" s="402" t="s">
        <v>767</v>
      </c>
      <c r="F53" s="468"/>
      <c r="G53" s="401" t="s">
        <v>618</v>
      </c>
      <c r="H53" s="436" t="s">
        <v>768</v>
      </c>
      <c r="I53" s="468"/>
    </row>
    <row r="54" customFormat="false" ht="12.75" hidden="false" customHeight="false" outlineLevel="0" collapsed="false">
      <c r="A54" s="421" t="s">
        <v>637</v>
      </c>
      <c r="B54" s="416" t="n">
        <v>0.0572</v>
      </c>
      <c r="C54" s="396"/>
      <c r="D54" s="415" t="s">
        <v>637</v>
      </c>
      <c r="E54" s="416" t="n">
        <v>0.0667</v>
      </c>
      <c r="F54" s="396"/>
      <c r="G54" s="415" t="s">
        <v>637</v>
      </c>
      <c r="H54" s="471" t="n">
        <v>0.3439</v>
      </c>
      <c r="I54" s="396"/>
    </row>
    <row r="55" customFormat="false" ht="12.75" hidden="false" customHeight="false" outlineLevel="0" collapsed="false">
      <c r="A55" s="421" t="s">
        <v>119</v>
      </c>
      <c r="B55" s="416" t="n">
        <f aca="false">0.0022+0.0072+0.0225</f>
        <v>0.0319</v>
      </c>
      <c r="C55" s="396"/>
      <c r="D55" s="415" t="s">
        <v>119</v>
      </c>
      <c r="E55" s="416" t="n">
        <f aca="false">0.0022+0.0072</f>
        <v>0.0094</v>
      </c>
      <c r="F55" s="396"/>
      <c r="G55" s="415" t="s">
        <v>119</v>
      </c>
      <c r="H55" s="416" t="n">
        <f aca="false">0.0022+0.0072</f>
        <v>0.0094</v>
      </c>
      <c r="I55" s="396"/>
    </row>
    <row r="56" customFormat="false" ht="12.75" hidden="false" customHeight="false" outlineLevel="0" collapsed="false">
      <c r="A56" s="421" t="s">
        <v>749</v>
      </c>
      <c r="B56" s="511" t="n">
        <f aca="false">(B4)/(1-0.0191)-B4</f>
        <v>0.0641599551432357</v>
      </c>
      <c r="C56" s="422"/>
      <c r="D56" s="415" t="s">
        <v>896</v>
      </c>
      <c r="E56" s="427" t="n">
        <f aca="false">(E4)/(1-0.0563)-E4</f>
        <v>0.129161280067818</v>
      </c>
      <c r="F56" s="422"/>
      <c r="G56" s="415" t="s">
        <v>897</v>
      </c>
      <c r="H56" s="427" t="n">
        <f aca="false">(H6)/(1-0.0545)-H6</f>
        <v>0.149867794817557</v>
      </c>
      <c r="I56" s="422"/>
    </row>
    <row r="57" customFormat="false" ht="12.75" hidden="false" customHeight="false" outlineLevel="0" collapsed="false">
      <c r="A57" s="440"/>
      <c r="B57" s="436" t="n">
        <f aca="false">SUM(B54:B56)</f>
        <v>0.153259955143236</v>
      </c>
      <c r="C57" s="424"/>
      <c r="D57" s="415"/>
      <c r="E57" s="436" t="n">
        <f aca="false">SUM(E54:E56)</f>
        <v>0.205261280067818</v>
      </c>
      <c r="F57" s="424"/>
      <c r="G57" s="415"/>
      <c r="H57" s="436" t="n">
        <f aca="false">SUM(H54:H56)</f>
        <v>0.503167794817557</v>
      </c>
      <c r="I57" s="424"/>
    </row>
    <row r="58" customFormat="false" ht="12.75" hidden="false" customHeight="false" outlineLevel="0" collapsed="false">
      <c r="A58" s="506" t="s">
        <v>616</v>
      </c>
      <c r="B58" s="507" t="s">
        <v>655</v>
      </c>
      <c r="C58" s="395"/>
      <c r="D58" s="401" t="s">
        <v>618</v>
      </c>
      <c r="E58" s="402" t="s">
        <v>684</v>
      </c>
      <c r="F58" s="395"/>
      <c r="G58" s="401" t="s">
        <v>618</v>
      </c>
      <c r="H58" s="436" t="s">
        <v>776</v>
      </c>
      <c r="I58" s="395"/>
    </row>
    <row r="59" customFormat="false" ht="12.75" hidden="false" customHeight="false" outlineLevel="0" collapsed="false">
      <c r="A59" s="421" t="s">
        <v>637</v>
      </c>
      <c r="B59" s="416" t="n">
        <v>0.0776</v>
      </c>
      <c r="C59" s="396"/>
      <c r="D59" s="415" t="s">
        <v>637</v>
      </c>
      <c r="E59" s="416" t="n">
        <v>0.0881</v>
      </c>
      <c r="F59" s="396"/>
      <c r="G59" s="415" t="s">
        <v>637</v>
      </c>
      <c r="H59" s="471" t="n">
        <v>0.1908</v>
      </c>
      <c r="I59" s="396"/>
    </row>
    <row r="60" customFormat="false" ht="12.75" hidden="false" customHeight="false" outlineLevel="0" collapsed="false">
      <c r="A60" s="421" t="s">
        <v>119</v>
      </c>
      <c r="B60" s="416" t="n">
        <f aca="false">0.0022+0.0072</f>
        <v>0.0094</v>
      </c>
      <c r="C60" s="396"/>
      <c r="D60" s="415" t="s">
        <v>119</v>
      </c>
      <c r="E60" s="416" t="n">
        <f aca="false">0.0022+0.0072</f>
        <v>0.0094</v>
      </c>
      <c r="F60" s="396"/>
      <c r="G60" s="415" t="s">
        <v>119</v>
      </c>
      <c r="H60" s="416" t="n">
        <f aca="false">0.0022+0.0072</f>
        <v>0.0094</v>
      </c>
      <c r="I60" s="396"/>
    </row>
    <row r="61" customFormat="false" ht="12.75" hidden="false" customHeight="false" outlineLevel="0" collapsed="false">
      <c r="A61" s="421" t="s">
        <v>877</v>
      </c>
      <c r="B61" s="505" t="n">
        <f aca="false">(B4)/(1-0.0428)-B4</f>
        <v>0.147331801086502</v>
      </c>
      <c r="C61" s="422"/>
      <c r="D61" s="415" t="s">
        <v>878</v>
      </c>
      <c r="E61" s="427" t="n">
        <f aca="false">(E4)/(1-0.0812)-E4</f>
        <v>0.191334349151067</v>
      </c>
      <c r="F61" s="422"/>
      <c r="G61" s="415" t="s">
        <v>898</v>
      </c>
      <c r="H61" s="427" t="n">
        <f aca="false">(H7)/(1-0.0299)-H7</f>
        <v>0.0944680960725699</v>
      </c>
      <c r="I61" s="422"/>
    </row>
    <row r="62" customFormat="false" ht="12.75" hidden="false" customHeight="false" outlineLevel="0" collapsed="false">
      <c r="A62" s="440"/>
      <c r="B62" s="436" t="n">
        <f aca="false">SUM(B59:B61)</f>
        <v>0.234331801086502</v>
      </c>
      <c r="C62" s="424"/>
      <c r="D62" s="415"/>
      <c r="E62" s="436" t="n">
        <f aca="false">SUM(E59:E61)</f>
        <v>0.288834349151067</v>
      </c>
      <c r="F62" s="424"/>
      <c r="G62" s="415"/>
      <c r="H62" s="436" t="n">
        <f aca="false">SUM(H59:H61)</f>
        <v>0.29466809607257</v>
      </c>
      <c r="I62" s="424"/>
    </row>
    <row r="63" customFormat="false" ht="12.75" hidden="false" customHeight="false" outlineLevel="0" collapsed="false">
      <c r="A63" s="506" t="s">
        <v>616</v>
      </c>
      <c r="B63" s="507" t="s">
        <v>680</v>
      </c>
      <c r="C63" s="395"/>
      <c r="D63" s="401" t="s">
        <v>618</v>
      </c>
      <c r="E63" s="402" t="s">
        <v>703</v>
      </c>
      <c r="F63" s="395"/>
      <c r="G63" s="472"/>
      <c r="H63" s="473"/>
      <c r="I63" s="395"/>
    </row>
    <row r="64" customFormat="false" ht="12.75" hidden="false" customHeight="false" outlineLevel="0" collapsed="false">
      <c r="A64" s="421" t="s">
        <v>637</v>
      </c>
      <c r="B64" s="416" t="n">
        <v>0.0874</v>
      </c>
      <c r="C64" s="396"/>
      <c r="D64" s="415" t="s">
        <v>637</v>
      </c>
      <c r="E64" s="416" t="n">
        <v>0.103</v>
      </c>
      <c r="F64" s="396"/>
      <c r="G64" s="474"/>
      <c r="H64" s="475"/>
      <c r="I64" s="396"/>
    </row>
    <row r="65" customFormat="false" ht="12.75" hidden="false" customHeight="false" outlineLevel="0" collapsed="false">
      <c r="A65" s="421" t="s">
        <v>119</v>
      </c>
      <c r="B65" s="416" t="n">
        <f aca="false">0.0022</f>
        <v>0.0022</v>
      </c>
      <c r="C65" s="396"/>
      <c r="D65" s="415" t="s">
        <v>119</v>
      </c>
      <c r="E65" s="416" t="n">
        <f aca="false">0.0022+0.0072</f>
        <v>0.0094</v>
      </c>
      <c r="F65" s="396"/>
      <c r="G65" s="474"/>
      <c r="H65" s="474"/>
      <c r="I65" s="396"/>
    </row>
    <row r="66" customFormat="false" ht="12.75" hidden="false" customHeight="false" outlineLevel="0" collapsed="false">
      <c r="A66" s="421" t="s">
        <v>899</v>
      </c>
      <c r="B66" s="427" t="n">
        <f aca="false">(B4)/(1-0.0499)-B4</f>
        <v>0.173055994105884</v>
      </c>
      <c r="C66" s="422"/>
      <c r="D66" s="415" t="s">
        <v>882</v>
      </c>
      <c r="E66" s="427" t="n">
        <f aca="false">(E4)/(1-0.0975)-E4</f>
        <v>0.233891966759003</v>
      </c>
      <c r="F66" s="422"/>
      <c r="G66" s="474"/>
      <c r="H66" s="477"/>
      <c r="I66" s="422"/>
    </row>
    <row r="67" customFormat="false" ht="12.75" hidden="false" customHeight="false" outlineLevel="0" collapsed="false">
      <c r="A67" s="440"/>
      <c r="B67" s="436" t="n">
        <f aca="false">SUM(B64:B66)</f>
        <v>0.262655994105884</v>
      </c>
      <c r="C67" s="424"/>
      <c r="D67" s="415"/>
      <c r="E67" s="436" t="n">
        <f aca="false">SUM(E64:E66)</f>
        <v>0.346291966759003</v>
      </c>
      <c r="F67" s="424"/>
      <c r="G67" s="474"/>
      <c r="H67" s="473"/>
      <c r="I67" s="424"/>
    </row>
    <row r="68" customFormat="false" ht="12.75" hidden="false" customHeight="false" outlineLevel="0" collapsed="false">
      <c r="A68" s="506" t="s">
        <v>616</v>
      </c>
      <c r="B68" s="507" t="s">
        <v>699</v>
      </c>
      <c r="C68" s="389"/>
      <c r="D68" s="401" t="s">
        <v>618</v>
      </c>
      <c r="E68" s="402" t="s">
        <v>790</v>
      </c>
      <c r="F68" s="389"/>
      <c r="G68" s="474"/>
      <c r="H68" s="474"/>
      <c r="I68" s="389"/>
    </row>
    <row r="69" customFormat="false" ht="12.75" hidden="false" customHeight="false" outlineLevel="0" collapsed="false">
      <c r="A69" s="421" t="s">
        <v>637</v>
      </c>
      <c r="B69" s="416" t="n">
        <v>0.1015</v>
      </c>
      <c r="C69" s="396"/>
      <c r="D69" s="415" t="s">
        <v>637</v>
      </c>
      <c r="E69" s="416" t="n">
        <v>0.0236</v>
      </c>
      <c r="F69" s="396"/>
      <c r="G69" s="474"/>
      <c r="H69" s="474"/>
      <c r="I69" s="396"/>
    </row>
    <row r="70" customFormat="false" ht="12.75" hidden="false" customHeight="false" outlineLevel="0" collapsed="false">
      <c r="A70" s="421" t="s">
        <v>119</v>
      </c>
      <c r="B70" s="416" t="n">
        <f aca="false">0.0022+0.0072</f>
        <v>0.0094</v>
      </c>
      <c r="C70" s="396"/>
      <c r="D70" s="415" t="s">
        <v>119</v>
      </c>
      <c r="E70" s="416" t="n">
        <f aca="false">0.0022+0.0072</f>
        <v>0.0094</v>
      </c>
      <c r="F70" s="396"/>
      <c r="G70" s="477"/>
      <c r="H70" s="477"/>
      <c r="I70" s="396"/>
    </row>
    <row r="71" customFormat="false" ht="12.75" hidden="false" customHeight="false" outlineLevel="0" collapsed="false">
      <c r="A71" s="421" t="s">
        <v>900</v>
      </c>
      <c r="B71" s="511" t="n">
        <f aca="false">(B4)/(1-0.059)-B4</f>
        <v>0.206594048884166</v>
      </c>
      <c r="C71" s="422"/>
      <c r="D71" s="415" t="s">
        <v>678</v>
      </c>
      <c r="E71" s="427" t="n">
        <f aca="false">(E3)/(1-0.0268)-E3</f>
        <v>0.0688450472667488</v>
      </c>
      <c r="F71" s="422"/>
      <c r="G71" s="473"/>
      <c r="H71" s="473"/>
      <c r="I71" s="422"/>
    </row>
    <row r="72" customFormat="false" ht="12.75" hidden="false" customHeight="false" outlineLevel="0" collapsed="false">
      <c r="A72" s="440"/>
      <c r="B72" s="436" t="n">
        <f aca="false">SUM(B69:B71)</f>
        <v>0.317494048884166</v>
      </c>
      <c r="C72" s="424"/>
      <c r="D72" s="415"/>
      <c r="E72" s="436" t="n">
        <f aca="false">SUM(E69:E71)</f>
        <v>0.101845047266749</v>
      </c>
      <c r="F72" s="424"/>
      <c r="G72" s="478"/>
      <c r="H72" s="478"/>
      <c r="I72" s="424"/>
    </row>
    <row r="73" customFormat="false" ht="12.75" hidden="false" customHeight="false" outlineLevel="0" collapsed="false">
      <c r="A73" s="506" t="s">
        <v>616</v>
      </c>
      <c r="B73" s="507" t="s">
        <v>716</v>
      </c>
      <c r="C73" s="389"/>
      <c r="D73" s="401" t="s">
        <v>618</v>
      </c>
      <c r="E73" s="402" t="s">
        <v>796</v>
      </c>
      <c r="F73" s="389"/>
      <c r="G73" s="474"/>
      <c r="H73" s="474"/>
      <c r="I73" s="389"/>
    </row>
    <row r="74" customFormat="false" ht="12.75" hidden="false" customHeight="false" outlineLevel="0" collapsed="false">
      <c r="A74" s="421" t="s">
        <v>637</v>
      </c>
      <c r="B74" s="416" t="n">
        <v>0.1126</v>
      </c>
      <c r="C74" s="396"/>
      <c r="D74" s="415" t="s">
        <v>637</v>
      </c>
      <c r="E74" s="416" t="n">
        <v>0.0195</v>
      </c>
      <c r="F74" s="396"/>
      <c r="G74" s="474"/>
      <c r="H74" s="474"/>
      <c r="I74" s="396"/>
    </row>
    <row r="75" customFormat="false" ht="12.75" hidden="false" customHeight="false" outlineLevel="0" collapsed="false">
      <c r="A75" s="421" t="s">
        <v>119</v>
      </c>
      <c r="B75" s="416" t="n">
        <f aca="false">0.0022+0.0072</f>
        <v>0.0094</v>
      </c>
      <c r="C75" s="396"/>
      <c r="D75" s="415" t="s">
        <v>119</v>
      </c>
      <c r="E75" s="416" t="n">
        <f aca="false">0.0022</f>
        <v>0.0022</v>
      </c>
      <c r="F75" s="396"/>
      <c r="G75" s="477"/>
      <c r="H75" s="477"/>
      <c r="I75" s="396"/>
    </row>
    <row r="76" customFormat="false" ht="12.75" hidden="false" customHeight="false" outlineLevel="0" collapsed="false">
      <c r="A76" s="421" t="s">
        <v>901</v>
      </c>
      <c r="B76" s="511" t="n">
        <f aca="false">(B4)/(1-0.0699)-B4</f>
        <v>0.247629824750027</v>
      </c>
      <c r="C76" s="422"/>
      <c r="D76" s="415" t="s">
        <v>902</v>
      </c>
      <c r="E76" s="427" t="n">
        <f aca="false">(E3)/(1-0.0263)-E3</f>
        <v>0.0675259320119133</v>
      </c>
      <c r="F76" s="422"/>
      <c r="G76" s="473"/>
      <c r="H76" s="473"/>
      <c r="I76" s="422"/>
    </row>
    <row r="77" customFormat="false" ht="12.75" hidden="false" customHeight="false" outlineLevel="0" collapsed="false">
      <c r="A77" s="440"/>
      <c r="B77" s="436" t="n">
        <f aca="false">SUM(B74:B76)</f>
        <v>0.369629824750027</v>
      </c>
      <c r="C77" s="424"/>
      <c r="D77" s="415"/>
      <c r="E77" s="436" t="n">
        <f aca="false">SUM(E74:E76)</f>
        <v>0.0892259320119133</v>
      </c>
      <c r="F77" s="424"/>
      <c r="G77" s="473"/>
      <c r="H77" s="473"/>
      <c r="I77" s="424"/>
    </row>
    <row r="78" customFormat="false" ht="12.75" hidden="false" customHeight="false" outlineLevel="0" collapsed="false">
      <c r="A78" s="506" t="s">
        <v>616</v>
      </c>
      <c r="B78" s="507" t="s">
        <v>730</v>
      </c>
      <c r="C78" s="389"/>
      <c r="D78" s="401" t="s">
        <v>618</v>
      </c>
      <c r="E78" s="402" t="s">
        <v>803</v>
      </c>
      <c r="F78" s="389"/>
      <c r="G78" s="475"/>
      <c r="H78" s="475"/>
      <c r="I78" s="389"/>
    </row>
    <row r="79" customFormat="false" ht="12.75" hidden="false" customHeight="false" outlineLevel="0" collapsed="false">
      <c r="A79" s="421" t="s">
        <v>637</v>
      </c>
      <c r="B79" s="416" t="n">
        <v>0.1504</v>
      </c>
      <c r="C79" s="396"/>
      <c r="D79" s="415" t="s">
        <v>637</v>
      </c>
      <c r="E79" s="416" t="n">
        <v>0.0177</v>
      </c>
      <c r="F79" s="396"/>
      <c r="G79" s="475"/>
      <c r="H79" s="475"/>
      <c r="I79" s="396"/>
    </row>
    <row r="80" customFormat="false" ht="12.75" hidden="false" customHeight="false" outlineLevel="0" collapsed="false">
      <c r="A80" s="421" t="s">
        <v>119</v>
      </c>
      <c r="B80" s="416" t="n">
        <f aca="false">0.0022+0.0072</f>
        <v>0.0094</v>
      </c>
      <c r="C80" s="396"/>
      <c r="D80" s="415" t="s">
        <v>119</v>
      </c>
      <c r="E80" s="416" t="n">
        <f aca="false">0.0022+0.0072</f>
        <v>0.0094</v>
      </c>
      <c r="F80" s="396"/>
      <c r="G80" s="475"/>
      <c r="H80" s="475"/>
      <c r="I80" s="396"/>
    </row>
    <row r="81" customFormat="false" ht="12.75" hidden="false" customHeight="false" outlineLevel="0" collapsed="false">
      <c r="A81" s="421" t="s">
        <v>903</v>
      </c>
      <c r="B81" s="505" t="n">
        <f aca="false">(B4)/(1-0.0782)-B4</f>
        <v>0.279528097201129</v>
      </c>
      <c r="C81" s="422"/>
      <c r="D81" s="415" t="s">
        <v>902</v>
      </c>
      <c r="E81" s="427" t="n">
        <f aca="false">(E3)/(1-0.0263)-E3</f>
        <v>0.0675259320119133</v>
      </c>
      <c r="F81" s="422"/>
      <c r="G81" s="477"/>
      <c r="H81" s="477"/>
      <c r="I81" s="422"/>
    </row>
    <row r="82" customFormat="false" ht="12.75" hidden="false" customHeight="false" outlineLevel="0" collapsed="false">
      <c r="A82" s="440"/>
      <c r="B82" s="436" t="n">
        <f aca="false">SUM(B79:B81)</f>
        <v>0.439328097201129</v>
      </c>
      <c r="C82" s="424"/>
      <c r="D82" s="415"/>
      <c r="E82" s="436" t="n">
        <f aca="false">SUM(E79:E81)</f>
        <v>0.0946259320119133</v>
      </c>
      <c r="F82" s="424"/>
      <c r="G82" s="473"/>
      <c r="H82" s="473"/>
      <c r="I82" s="424"/>
    </row>
    <row r="83" customFormat="false" ht="12.75" hidden="false" customHeight="false" outlineLevel="0" collapsed="false">
      <c r="A83" s="506" t="s">
        <v>616</v>
      </c>
      <c r="B83" s="507" t="s">
        <v>773</v>
      </c>
      <c r="C83" s="389"/>
      <c r="D83" s="401" t="s">
        <v>618</v>
      </c>
      <c r="E83" s="402" t="s">
        <v>809</v>
      </c>
      <c r="F83" s="389"/>
      <c r="G83" s="478"/>
      <c r="H83" s="478"/>
      <c r="I83" s="389"/>
    </row>
    <row r="84" customFormat="false" ht="12.75" hidden="false" customHeight="false" outlineLevel="0" collapsed="false">
      <c r="A84" s="421" t="s">
        <v>637</v>
      </c>
      <c r="B84" s="416" t="n">
        <v>0.0783</v>
      </c>
      <c r="C84" s="396"/>
      <c r="D84" s="415" t="s">
        <v>637</v>
      </c>
      <c r="E84" s="416" t="n">
        <v>0.0177</v>
      </c>
      <c r="F84" s="396"/>
      <c r="G84" s="474"/>
      <c r="H84" s="474"/>
      <c r="I84" s="396"/>
    </row>
    <row r="85" customFormat="false" ht="12.75" hidden="false" customHeight="false" outlineLevel="0" collapsed="false">
      <c r="A85" s="421" t="s">
        <v>119</v>
      </c>
      <c r="B85" s="416" t="n">
        <f aca="false">0.0022+0.0072</f>
        <v>0.0094</v>
      </c>
      <c r="C85" s="396"/>
      <c r="D85" s="415" t="s">
        <v>119</v>
      </c>
      <c r="E85" s="416" t="n">
        <f aca="false">0.0022+0.0072</f>
        <v>0.0094</v>
      </c>
      <c r="F85" s="396"/>
      <c r="G85" s="474"/>
      <c r="H85" s="474"/>
      <c r="I85" s="396"/>
    </row>
    <row r="86" customFormat="false" ht="12.75" hidden="false" customHeight="false" outlineLevel="0" collapsed="false">
      <c r="A86" s="421" t="s">
        <v>904</v>
      </c>
      <c r="B86" s="505" t="n">
        <f aca="false">(B4)/(1-0.0415)-B4</f>
        <v>0.142663015127804</v>
      </c>
      <c r="C86" s="422"/>
      <c r="D86" s="415" t="s">
        <v>902</v>
      </c>
      <c r="E86" s="427" t="n">
        <f aca="false">(E4)/(1-0.0263)-E4</f>
        <v>0.0584774571223168</v>
      </c>
      <c r="F86" s="422"/>
      <c r="G86" s="477"/>
      <c r="H86" s="477"/>
      <c r="I86" s="422"/>
    </row>
    <row r="87" customFormat="false" ht="12.75" hidden="false" customHeight="false" outlineLevel="0" collapsed="false">
      <c r="A87" s="440"/>
      <c r="B87" s="436" t="n">
        <f aca="false">SUM(B84:B86)</f>
        <v>0.230363015127804</v>
      </c>
      <c r="C87" s="424"/>
      <c r="D87" s="415"/>
      <c r="E87" s="436" t="n">
        <f aca="false">SUM(E84:E86)</f>
        <v>0.0855774571223168</v>
      </c>
      <c r="F87" s="424"/>
      <c r="G87" s="473"/>
      <c r="H87" s="473"/>
      <c r="I87" s="424"/>
    </row>
    <row r="88" customFormat="false" ht="12.75" hidden="false" customHeight="false" outlineLevel="0" collapsed="false">
      <c r="A88" s="506" t="s">
        <v>616</v>
      </c>
      <c r="B88" s="507" t="s">
        <v>848</v>
      </c>
      <c r="C88" s="389"/>
      <c r="D88" s="401" t="s">
        <v>618</v>
      </c>
      <c r="E88" s="402" t="s">
        <v>813</v>
      </c>
      <c r="F88" s="389"/>
      <c r="I88" s="389"/>
    </row>
    <row r="89" customFormat="false" ht="12.75" hidden="false" customHeight="false" outlineLevel="0" collapsed="false">
      <c r="A89" s="421" t="s">
        <v>637</v>
      </c>
      <c r="B89" s="416" t="n">
        <f aca="false">0.0511-0.0022-0.0088</f>
        <v>0.0401</v>
      </c>
      <c r="C89" s="396"/>
      <c r="D89" s="415" t="s">
        <v>637</v>
      </c>
      <c r="E89" s="416" t="n">
        <v>0.0177</v>
      </c>
      <c r="F89" s="396"/>
      <c r="G89" s="478"/>
      <c r="H89" s="478"/>
      <c r="I89" s="396"/>
    </row>
    <row r="90" customFormat="false" ht="12.75" hidden="false" customHeight="false" outlineLevel="0" collapsed="false">
      <c r="A90" s="421" t="s">
        <v>119</v>
      </c>
      <c r="B90" s="416" t="n">
        <f aca="false">0.0022+0.0072</f>
        <v>0.0094</v>
      </c>
      <c r="C90" s="396"/>
      <c r="D90" s="415" t="s">
        <v>119</v>
      </c>
      <c r="E90" s="416" t="n">
        <f aca="false">0.0022+0.0072</f>
        <v>0.0094</v>
      </c>
      <c r="F90" s="396"/>
      <c r="G90" s="474"/>
      <c r="H90" s="474"/>
      <c r="I90" s="396"/>
    </row>
    <row r="91" customFormat="false" ht="12.75" hidden="false" customHeight="false" outlineLevel="0" collapsed="false">
      <c r="A91" s="421" t="s">
        <v>905</v>
      </c>
      <c r="B91" s="427" t="n">
        <f aca="false">(B5)/(1-0.0109)-B5</f>
        <v>0.038625518147811</v>
      </c>
      <c r="C91" s="422"/>
      <c r="D91" s="415" t="s">
        <v>902</v>
      </c>
      <c r="E91" s="427" t="n">
        <f aca="false">(E3)/(1-0.0263)-E3</f>
        <v>0.0675259320119133</v>
      </c>
      <c r="F91" s="422"/>
      <c r="G91" s="474"/>
      <c r="H91" s="474"/>
      <c r="I91" s="422"/>
    </row>
    <row r="92" customFormat="false" ht="12.75" hidden="false" customHeight="false" outlineLevel="0" collapsed="false">
      <c r="A92" s="440"/>
      <c r="B92" s="436" t="n">
        <f aca="false">SUM(B89:B91)</f>
        <v>0.088125518147811</v>
      </c>
      <c r="C92" s="424"/>
      <c r="D92" s="415"/>
      <c r="E92" s="436" t="n">
        <f aca="false">SUM(E89:E91)</f>
        <v>0.0946259320119133</v>
      </c>
      <c r="F92" s="424"/>
      <c r="G92" s="477"/>
      <c r="H92" s="477"/>
      <c r="I92" s="424"/>
    </row>
    <row r="93" customFormat="false" ht="12.75" hidden="false" customHeight="false" outlineLevel="0" collapsed="false">
      <c r="A93" s="506" t="s">
        <v>616</v>
      </c>
      <c r="B93" s="507" t="s">
        <v>906</v>
      </c>
      <c r="C93" s="424"/>
      <c r="D93" s="401" t="s">
        <v>618</v>
      </c>
      <c r="E93" s="402" t="s">
        <v>817</v>
      </c>
      <c r="F93" s="424"/>
      <c r="G93" s="473"/>
      <c r="H93" s="473"/>
      <c r="I93" s="424"/>
    </row>
    <row r="94" customFormat="false" ht="12.75" hidden="false" customHeight="false" outlineLevel="0" collapsed="false">
      <c r="A94" s="421" t="s">
        <v>637</v>
      </c>
      <c r="B94" s="416" t="n">
        <f aca="false">0.0945-0.0022-0.0088</f>
        <v>0.0835</v>
      </c>
      <c r="C94" s="452"/>
      <c r="D94" s="415" t="s">
        <v>637</v>
      </c>
      <c r="E94" s="416" t="n">
        <v>0.0649</v>
      </c>
      <c r="F94" s="452"/>
      <c r="G94" s="478"/>
      <c r="H94" s="478"/>
      <c r="I94" s="452"/>
    </row>
    <row r="95" customFormat="false" ht="12.75" hidden="false" customHeight="false" outlineLevel="0" collapsed="false">
      <c r="A95" s="421" t="s">
        <v>119</v>
      </c>
      <c r="B95" s="416" t="n">
        <f aca="false">0.0022+0.0072</f>
        <v>0.0094</v>
      </c>
      <c r="C95" s="452" t="s">
        <v>1</v>
      </c>
      <c r="D95" s="415" t="s">
        <v>119</v>
      </c>
      <c r="E95" s="416" t="n">
        <f aca="false">0.0022+0.0072</f>
        <v>0.0094</v>
      </c>
      <c r="F95" s="452"/>
      <c r="G95" s="474"/>
      <c r="H95" s="474"/>
      <c r="I95" s="452"/>
    </row>
    <row r="96" customFormat="false" ht="12.75" hidden="false" customHeight="false" outlineLevel="0" collapsed="false">
      <c r="A96" s="421" t="s">
        <v>907</v>
      </c>
      <c r="B96" s="427" t="n">
        <f aca="false">(B5)/(1-0.0217)-B5</f>
        <v>0.0777455790657267</v>
      </c>
      <c r="C96" s="422"/>
      <c r="D96" s="415" t="s">
        <v>908</v>
      </c>
      <c r="E96" s="427" t="n">
        <f aca="false">(E3)/(1-0.0512)-E3</f>
        <v>0.134907251264755</v>
      </c>
      <c r="F96" s="422"/>
      <c r="G96" s="474"/>
      <c r="H96" s="474"/>
      <c r="I96" s="422"/>
    </row>
    <row r="97" customFormat="false" ht="12.75" hidden="false" customHeight="false" outlineLevel="0" collapsed="false">
      <c r="A97" s="440"/>
      <c r="B97" s="436" t="n">
        <f aca="false">SUM(B94:B96)</f>
        <v>0.170645579065727</v>
      </c>
      <c r="C97" s="424"/>
      <c r="D97" s="415"/>
      <c r="E97" s="436" t="n">
        <f aca="false">SUM(E94:E96)</f>
        <v>0.209207251264755</v>
      </c>
      <c r="F97" s="424"/>
      <c r="G97" s="477"/>
      <c r="H97" s="477"/>
      <c r="I97" s="424"/>
    </row>
    <row r="98" customFormat="false" ht="12.75" hidden="false" customHeight="false" outlineLevel="0" collapsed="false">
      <c r="A98" s="506" t="s">
        <v>616</v>
      </c>
      <c r="B98" s="510" t="s">
        <v>828</v>
      </c>
      <c r="C98" s="389"/>
      <c r="D98" s="401" t="s">
        <v>618</v>
      </c>
      <c r="E98" s="402" t="s">
        <v>719</v>
      </c>
      <c r="F98" s="389"/>
      <c r="G98" s="473"/>
      <c r="H98" s="473"/>
      <c r="I98" s="389"/>
    </row>
    <row r="99" customFormat="false" ht="12.75" hidden="false" customHeight="false" outlineLevel="0" collapsed="false">
      <c r="A99" s="440" t="s">
        <v>637</v>
      </c>
      <c r="B99" s="416" t="n">
        <v>0.0427</v>
      </c>
      <c r="C99" s="396"/>
      <c r="D99" s="415" t="s">
        <v>637</v>
      </c>
      <c r="E99" s="416" t="n">
        <v>0.0863</v>
      </c>
      <c r="F99" s="396"/>
      <c r="I99" s="396"/>
    </row>
    <row r="100" customFormat="false" ht="12.75" hidden="false" customHeight="false" outlineLevel="0" collapsed="false">
      <c r="A100" s="440" t="s">
        <v>119</v>
      </c>
      <c r="B100" s="416" t="n">
        <f aca="false">0.0022+0.0072</f>
        <v>0.0094</v>
      </c>
      <c r="C100" s="396"/>
      <c r="D100" s="415" t="s">
        <v>119</v>
      </c>
      <c r="E100" s="416" t="n">
        <f aca="false">0.0022+0.0072</f>
        <v>0.0094</v>
      </c>
      <c r="F100" s="396"/>
      <c r="I100" s="396"/>
    </row>
    <row r="101" customFormat="false" ht="12.75" hidden="false" customHeight="false" outlineLevel="0" collapsed="false">
      <c r="A101" s="440" t="s">
        <v>909</v>
      </c>
      <c r="B101" s="427" t="n">
        <f aca="false">(+B5)/(1-0.0128)-B5</f>
        <v>0.0454457050243113</v>
      </c>
      <c r="C101" s="396"/>
      <c r="D101" s="415" t="s">
        <v>885</v>
      </c>
      <c r="E101" s="427" t="n">
        <f aca="false">(E3)/(1-0.0761)-E3</f>
        <v>0.20592055417253</v>
      </c>
      <c r="F101" s="396"/>
      <c r="I101" s="396"/>
    </row>
    <row r="102" customFormat="false" ht="12.75" hidden="false" customHeight="false" outlineLevel="0" collapsed="false">
      <c r="A102" s="440"/>
      <c r="B102" s="436" t="n">
        <f aca="false">SUM(B99:B101)</f>
        <v>0.0975457050243113</v>
      </c>
      <c r="C102" s="422"/>
      <c r="D102" s="415"/>
      <c r="E102" s="436" t="n">
        <f aca="false">SUM(E99:E101)</f>
        <v>0.30162055417253</v>
      </c>
      <c r="F102" s="422"/>
      <c r="I102" s="422"/>
    </row>
    <row r="103" customFormat="false" ht="12.75" hidden="false" customHeight="false" outlineLevel="0" collapsed="false">
      <c r="A103" s="506" t="s">
        <v>616</v>
      </c>
      <c r="B103" s="510" t="s">
        <v>910</v>
      </c>
      <c r="C103" s="424"/>
      <c r="D103" s="401" t="s">
        <v>618</v>
      </c>
      <c r="E103" s="402" t="s">
        <v>733</v>
      </c>
      <c r="F103" s="424"/>
      <c r="I103" s="424"/>
    </row>
    <row r="104" customFormat="false" ht="12.75" hidden="false" customHeight="false" outlineLevel="0" collapsed="false">
      <c r="A104" s="440" t="s">
        <v>637</v>
      </c>
      <c r="B104" s="416" t="n">
        <v>0.0766</v>
      </c>
      <c r="D104" s="415" t="s">
        <v>637</v>
      </c>
      <c r="E104" s="416" t="n">
        <v>0.1012</v>
      </c>
    </row>
    <row r="105" customFormat="false" ht="12.75" hidden="false" customHeight="false" outlineLevel="0" collapsed="false">
      <c r="A105" s="440" t="s">
        <v>119</v>
      </c>
      <c r="B105" s="416" t="n">
        <f aca="false">0.0022+0.0072</f>
        <v>0.0094</v>
      </c>
      <c r="C105" s="389"/>
      <c r="D105" s="415" t="s">
        <v>119</v>
      </c>
      <c r="E105" s="416" t="n">
        <f aca="false">0.0022+0.0072</f>
        <v>0.0094</v>
      </c>
      <c r="F105" s="389"/>
      <c r="I105" s="389"/>
    </row>
    <row r="106" customFormat="false" ht="12.75" hidden="false" customHeight="false" outlineLevel="0" collapsed="false">
      <c r="A106" s="440" t="s">
        <v>911</v>
      </c>
      <c r="B106" s="427" t="n">
        <f aca="false">(+B5)/(1-0.0209)-B5</f>
        <v>0.0748182003881115</v>
      </c>
      <c r="C106" s="396"/>
      <c r="D106" s="415" t="s">
        <v>888</v>
      </c>
      <c r="E106" s="427" t="n">
        <f aca="false">(E3)/(1-0.0924)-E3</f>
        <v>0.254517408550022</v>
      </c>
      <c r="F106" s="396"/>
      <c r="I106" s="396"/>
    </row>
    <row r="107" customFormat="false" ht="12.75" hidden="false" customHeight="false" outlineLevel="0" collapsed="false">
      <c r="A107" s="440"/>
      <c r="B107" s="436" t="n">
        <f aca="false">SUM(B104:B106)</f>
        <v>0.160818200388112</v>
      </c>
      <c r="C107" s="396"/>
      <c r="D107" s="415"/>
      <c r="E107" s="436" t="n">
        <f aca="false">SUM(E104:E106)</f>
        <v>0.365117408550022</v>
      </c>
      <c r="F107" s="396"/>
      <c r="I107" s="396"/>
    </row>
    <row r="108" customFormat="false" ht="12.75" hidden="false" customHeight="false" outlineLevel="0" collapsed="false">
      <c r="A108" s="506" t="s">
        <v>616</v>
      </c>
      <c r="B108" s="507" t="s">
        <v>842</v>
      </c>
      <c r="C108" s="422"/>
      <c r="D108" s="401" t="s">
        <v>618</v>
      </c>
      <c r="E108" s="402" t="s">
        <v>830</v>
      </c>
      <c r="F108" s="422"/>
      <c r="I108" s="422"/>
    </row>
    <row r="109" customFormat="false" ht="12.75" hidden="false" customHeight="false" outlineLevel="0" collapsed="false">
      <c r="A109" s="421" t="s">
        <v>637</v>
      </c>
      <c r="B109" s="416" t="n">
        <v>0.0459</v>
      </c>
      <c r="C109" s="424"/>
      <c r="D109" s="415" t="s">
        <v>637</v>
      </c>
      <c r="E109" s="416" t="n">
        <v>0.0472</v>
      </c>
      <c r="F109" s="424"/>
      <c r="I109" s="424"/>
    </row>
    <row r="110" customFormat="false" ht="12.75" hidden="false" customHeight="false" outlineLevel="0" collapsed="false">
      <c r="A110" s="421" t="s">
        <v>119</v>
      </c>
      <c r="B110" s="416" t="n">
        <f aca="false">0.0022+0.0072</f>
        <v>0.0094</v>
      </c>
      <c r="C110" s="389"/>
      <c r="D110" s="415" t="s">
        <v>119</v>
      </c>
      <c r="E110" s="416" t="n">
        <f aca="false">0.0022+0.0072</f>
        <v>0.0094</v>
      </c>
      <c r="F110" s="389"/>
      <c r="I110" s="389"/>
    </row>
    <row r="111" customFormat="false" ht="12.75" hidden="false" customHeight="false" outlineLevel="0" collapsed="false">
      <c r="A111" s="421" t="s">
        <v>912</v>
      </c>
      <c r="B111" s="427" t="n">
        <f aca="false">(+B$5)/(1-0.0116)-B$5</f>
        <v>0.0411351679481995</v>
      </c>
      <c r="C111" s="396"/>
      <c r="D111" s="415" t="s">
        <v>913</v>
      </c>
      <c r="E111" s="427" t="n">
        <f aca="false">(E6)/(1-0.0249)-(E6)</f>
        <v>0.0663931904420059</v>
      </c>
      <c r="F111" s="396"/>
      <c r="I111" s="396"/>
    </row>
    <row r="112" customFormat="false" ht="12.75" hidden="false" customHeight="false" outlineLevel="0" collapsed="false">
      <c r="A112" s="440"/>
      <c r="B112" s="436" t="n">
        <f aca="false">SUM(B109:B111)</f>
        <v>0.0964351679481995</v>
      </c>
      <c r="C112" s="396"/>
      <c r="D112" s="415"/>
      <c r="E112" s="436" t="n">
        <f aca="false">SUM(E109:E111)</f>
        <v>0.122993190442006</v>
      </c>
      <c r="F112" s="396"/>
      <c r="I112" s="396"/>
    </row>
    <row r="113" customFormat="false" ht="12.75" hidden="false" customHeight="false" outlineLevel="0" collapsed="false">
      <c r="A113" s="506" t="s">
        <v>914</v>
      </c>
      <c r="B113" s="507"/>
      <c r="C113" s="422"/>
      <c r="D113" s="401" t="s">
        <v>618</v>
      </c>
      <c r="E113" s="402" t="s">
        <v>744</v>
      </c>
      <c r="F113" s="422"/>
      <c r="I113" s="422"/>
    </row>
    <row r="114" customFormat="false" ht="12.75" hidden="false" customHeight="false" outlineLevel="0" collapsed="false">
      <c r="A114" s="421" t="s">
        <v>637</v>
      </c>
      <c r="B114" s="416" t="n">
        <v>0</v>
      </c>
      <c r="C114" s="424"/>
      <c r="D114" s="415" t="s">
        <v>637</v>
      </c>
      <c r="E114" s="416" t="n">
        <v>0.0686</v>
      </c>
      <c r="F114" s="424"/>
      <c r="I114" s="424"/>
    </row>
    <row r="115" customFormat="false" ht="12.75" hidden="false" customHeight="false" outlineLevel="0" collapsed="false">
      <c r="A115" s="421" t="s">
        <v>119</v>
      </c>
      <c r="B115" s="416" t="n">
        <f aca="false">0.0022+0.0072</f>
        <v>0.0094</v>
      </c>
      <c r="D115" s="415" t="s">
        <v>119</v>
      </c>
      <c r="E115" s="416" t="n">
        <f aca="false">0.0022+0.0072</f>
        <v>0.0094</v>
      </c>
    </row>
    <row r="116" customFormat="false" ht="12.75" hidden="false" customHeight="false" outlineLevel="0" collapsed="false">
      <c r="A116" s="421" t="s">
        <v>840</v>
      </c>
      <c r="B116" s="427" t="n">
        <f aca="false">((+V$3+V$17-0.0072)/(1-0.0131)-(+V$3+V$17-0.0072))</f>
        <v>-9.55719931097377E-005</v>
      </c>
      <c r="D116" s="415" t="s">
        <v>892</v>
      </c>
      <c r="E116" s="427" t="n">
        <f aca="false">(E6)/(1-0.0498)-(E6)</f>
        <v>0.136266049252789</v>
      </c>
    </row>
    <row r="117" customFormat="false" ht="12.75" hidden="false" customHeight="false" outlineLevel="0" collapsed="false">
      <c r="A117" s="440"/>
      <c r="B117" s="436" t="n">
        <f aca="false">SUM(B114:B116)</f>
        <v>0.00930442800689026</v>
      </c>
      <c r="D117" s="415"/>
      <c r="E117" s="436" t="n">
        <f aca="false">SUM(E114:E116)</f>
        <v>0.214266049252789</v>
      </c>
    </row>
    <row r="118" customFormat="false" ht="12.75" hidden="false" customHeight="false" outlineLevel="0" collapsed="false">
      <c r="A118" s="506" t="s">
        <v>616</v>
      </c>
      <c r="B118" s="507" t="s">
        <v>849</v>
      </c>
      <c r="D118" s="401" t="s">
        <v>618</v>
      </c>
      <c r="E118" s="402" t="s">
        <v>757</v>
      </c>
    </row>
    <row r="119" customFormat="false" ht="12.75" hidden="false" customHeight="false" outlineLevel="0" collapsed="false">
      <c r="A119" s="421" t="s">
        <v>637</v>
      </c>
      <c r="B119" s="416" t="n">
        <v>0.1618</v>
      </c>
      <c r="D119" s="415" t="s">
        <v>637</v>
      </c>
      <c r="E119" s="416" t="n">
        <v>0.0835</v>
      </c>
    </row>
    <row r="120" customFormat="false" ht="12.75" hidden="false" customHeight="false" outlineLevel="0" collapsed="false">
      <c r="A120" s="421" t="s">
        <v>119</v>
      </c>
      <c r="B120" s="416" t="n">
        <f aca="false">0.0022+0+0.0225+0.0072</f>
        <v>0.0319</v>
      </c>
      <c r="D120" s="415" t="s">
        <v>119</v>
      </c>
      <c r="E120" s="416" t="n">
        <f aca="false">0.0022+0.0072</f>
        <v>0.0094</v>
      </c>
    </row>
    <row r="121" customFormat="false" ht="12.75" hidden="false" customHeight="false" outlineLevel="0" collapsed="false">
      <c r="A121" s="421" t="s">
        <v>814</v>
      </c>
      <c r="B121" s="505" t="n">
        <f aca="false">(B4)/(1-0.0101)-B4</f>
        <v>0.0336190524295383</v>
      </c>
      <c r="D121" s="415" t="s">
        <v>895</v>
      </c>
      <c r="E121" s="427" t="n">
        <f aca="false">(E6)/(1-0.0661)-(E6)</f>
        <v>0.184023985437413</v>
      </c>
    </row>
    <row r="122" customFormat="false" ht="12.75" hidden="false" customHeight="false" outlineLevel="0" collapsed="false">
      <c r="A122" s="440"/>
      <c r="B122" s="436" t="n">
        <f aca="false">SUM(B119:B121)</f>
        <v>0.227319052429538</v>
      </c>
      <c r="D122" s="415"/>
      <c r="E122" s="436" t="n">
        <f aca="false">SUM(E119:E121)</f>
        <v>0.276923985437413</v>
      </c>
    </row>
    <row r="123" customFormat="false" ht="12.75" hidden="false" customHeight="false" outlineLevel="0" collapsed="false">
      <c r="A123" s="506" t="s">
        <v>616</v>
      </c>
      <c r="B123" s="507" t="s">
        <v>850</v>
      </c>
      <c r="D123" s="401" t="s">
        <v>618</v>
      </c>
      <c r="E123" s="436" t="s">
        <v>843</v>
      </c>
    </row>
    <row r="124" customFormat="false" ht="12.75" hidden="false" customHeight="false" outlineLevel="0" collapsed="false">
      <c r="A124" s="421" t="s">
        <v>637</v>
      </c>
      <c r="B124" s="416" t="n">
        <v>0.3288</v>
      </c>
      <c r="D124" s="415" t="s">
        <v>637</v>
      </c>
      <c r="E124" s="471" t="n">
        <v>0.0583</v>
      </c>
    </row>
    <row r="125" customFormat="false" ht="12.75" hidden="false" customHeight="false" outlineLevel="0" collapsed="false">
      <c r="A125" s="421" t="s">
        <v>119</v>
      </c>
      <c r="B125" s="416" t="n">
        <f aca="false">0.0022+0+0.0225+0.0072</f>
        <v>0.0319</v>
      </c>
      <c r="D125" s="415" t="s">
        <v>119</v>
      </c>
      <c r="E125" s="416" t="n">
        <f aca="false">0.0022</f>
        <v>0.0022</v>
      </c>
    </row>
    <row r="126" customFormat="false" ht="12.75" hidden="false" customHeight="false" outlineLevel="0" collapsed="false">
      <c r="A126" s="421" t="s">
        <v>872</v>
      </c>
      <c r="B126" s="505" t="n">
        <f aca="false">(B3)/(1-0.0279)-B3</f>
        <v>0.0934209443472893</v>
      </c>
      <c r="D126" s="415" t="s">
        <v>915</v>
      </c>
      <c r="E126" s="427" t="n">
        <f aca="false">(E6)/(1-0.0378)-E6</f>
        <v>0.102140927042195</v>
      </c>
    </row>
    <row r="127" customFormat="false" ht="12.75" hidden="false" customHeight="false" outlineLevel="0" collapsed="false">
      <c r="A127" s="440"/>
      <c r="B127" s="436" t="n">
        <f aca="false">SUM(B124:B126)</f>
        <v>0.454120944347289</v>
      </c>
      <c r="D127" s="415"/>
      <c r="E127" s="436" t="n">
        <f aca="false">SUM(E124:E126)</f>
        <v>0.162640927042195</v>
      </c>
    </row>
    <row r="128" customFormat="false" ht="12.75" hidden="false" customHeight="false" outlineLevel="0" collapsed="false">
      <c r="A128" s="506" t="s">
        <v>616</v>
      </c>
      <c r="B128" s="507" t="s">
        <v>853</v>
      </c>
      <c r="D128" s="401" t="s">
        <v>618</v>
      </c>
      <c r="E128" s="436" t="s">
        <v>768</v>
      </c>
    </row>
    <row r="129" customFormat="false" ht="12.75" hidden="false" customHeight="false" outlineLevel="0" collapsed="false">
      <c r="A129" s="421" t="s">
        <v>637</v>
      </c>
      <c r="B129" s="416" t="n">
        <v>0.3786</v>
      </c>
      <c r="D129" s="415" t="s">
        <v>637</v>
      </c>
      <c r="E129" s="471" t="n">
        <v>0.0731</v>
      </c>
    </row>
    <row r="130" customFormat="false" ht="12.75" hidden="false" customHeight="false" outlineLevel="0" collapsed="false">
      <c r="A130" s="421" t="s">
        <v>119</v>
      </c>
      <c r="B130" s="416" t="n">
        <f aca="false">0.0022+0+0.0225+0.0072</f>
        <v>0.0319</v>
      </c>
      <c r="D130" s="415" t="s">
        <v>119</v>
      </c>
      <c r="E130" s="416" t="n">
        <f aca="false">0.0022+0.0072</f>
        <v>0.0094</v>
      </c>
    </row>
    <row r="131" customFormat="false" ht="12.75" hidden="false" customHeight="false" outlineLevel="0" collapsed="false">
      <c r="A131" s="421" t="s">
        <v>877</v>
      </c>
      <c r="B131" s="505" t="n">
        <f aca="false">(B4)/(1-0.0428)-B4</f>
        <v>0.147331801086502</v>
      </c>
      <c r="D131" s="415" t="s">
        <v>897</v>
      </c>
      <c r="E131" s="427" t="n">
        <f aca="false">(E6)/(1-0.0545)-E6</f>
        <v>0.149867794817557</v>
      </c>
    </row>
    <row r="132" customFormat="false" ht="12.75" hidden="false" customHeight="false" outlineLevel="0" collapsed="false">
      <c r="A132" s="440"/>
      <c r="B132" s="436" t="n">
        <f aca="false">SUM(B129:B131)</f>
        <v>0.557831801086502</v>
      </c>
      <c r="D132" s="415"/>
      <c r="E132" s="436" t="n">
        <f aca="false">SUM(E129:E131)</f>
        <v>0.232367794817557</v>
      </c>
    </row>
    <row r="133" customFormat="false" ht="12.75" hidden="false" customHeight="false" outlineLevel="0" collapsed="false">
      <c r="A133" s="421" t="s">
        <v>1</v>
      </c>
      <c r="B133" s="416" t="s">
        <v>1</v>
      </c>
      <c r="D133" s="401" t="s">
        <v>618</v>
      </c>
      <c r="E133" s="436" t="s">
        <v>776</v>
      </c>
    </row>
    <row r="134" customFormat="false" ht="12.75" hidden="false" customHeight="false" outlineLevel="0" collapsed="false">
      <c r="A134" s="506" t="s">
        <v>616</v>
      </c>
      <c r="B134" s="510" t="s">
        <v>857</v>
      </c>
      <c r="D134" s="415" t="s">
        <v>637</v>
      </c>
      <c r="E134" s="471" t="n">
        <v>0.0515</v>
      </c>
    </row>
    <row r="135" customFormat="false" ht="12.75" hidden="false" customHeight="false" outlineLevel="0" collapsed="false">
      <c r="A135" s="440" t="s">
        <v>637</v>
      </c>
      <c r="B135" s="416" t="n">
        <v>0.1826</v>
      </c>
      <c r="D135" s="415" t="s">
        <v>119</v>
      </c>
      <c r="E135" s="416" t="n">
        <f aca="false">0.0022+0.0072</f>
        <v>0.0094</v>
      </c>
    </row>
    <row r="136" customFormat="false" ht="12.75" hidden="false" customHeight="false" outlineLevel="0" collapsed="false">
      <c r="A136" s="440" t="s">
        <v>119</v>
      </c>
      <c r="B136" s="416" t="n">
        <f aca="false">0.0022+0.0072</f>
        <v>0.0094</v>
      </c>
      <c r="D136" s="415" t="s">
        <v>898</v>
      </c>
      <c r="E136" s="427" t="n">
        <f aca="false">(E7)/(1-0.0299)-E7</f>
        <v>0.0944680960725699</v>
      </c>
    </row>
    <row r="137" customFormat="false" ht="12.75" hidden="false" customHeight="false" outlineLevel="0" collapsed="false">
      <c r="A137" s="440" t="s">
        <v>909</v>
      </c>
      <c r="B137" s="427" t="n">
        <f aca="false">(B5)/(1-0.0128)-B5</f>
        <v>0.0454457050243113</v>
      </c>
      <c r="D137" s="512"/>
      <c r="E137" s="513" t="n">
        <f aca="false">SUM(E134:E136)</f>
        <v>0.15536809607257</v>
      </c>
    </row>
    <row r="138" customFormat="false" ht="12.75" hidden="false" customHeight="false" outlineLevel="0" collapsed="false">
      <c r="A138" s="440"/>
      <c r="B138" s="436" t="n">
        <f aca="false">SUM(B135:B137)</f>
        <v>0.237445705024311</v>
      </c>
      <c r="D138" s="401"/>
      <c r="E138" s="436"/>
    </row>
    <row r="139" customFormat="false" ht="12.75" hidden="false" customHeight="false" outlineLevel="0" collapsed="false">
      <c r="D139" s="489"/>
      <c r="E139" s="489"/>
    </row>
    <row r="140" customFormat="false" ht="12.75" hidden="false" customHeight="false" outlineLevel="0" collapsed="false">
      <c r="D140" s="514"/>
      <c r="E140" s="514"/>
    </row>
    <row r="141" customFormat="false" ht="12.75" hidden="false" customHeight="false" outlineLevel="0" collapsed="false">
      <c r="D141" s="515"/>
      <c r="E141" s="515"/>
    </row>
    <row r="142" customFormat="false" ht="12.75" hidden="false" customHeight="false" outlineLevel="0" collapsed="false">
      <c r="D142" s="516"/>
      <c r="E142" s="516"/>
    </row>
    <row r="143" customFormat="false" ht="12.75" hidden="false" customHeight="false" outlineLevel="0" collapsed="false">
      <c r="D143" s="489"/>
      <c r="E143" s="489"/>
    </row>
    <row r="144" customFormat="false" ht="12.75" hidden="false" customHeight="false" outlineLevel="0" collapsed="false">
      <c r="D144" s="489"/>
      <c r="E144" s="489"/>
    </row>
    <row r="145" customFormat="false" ht="12.75" hidden="false" customHeight="false" outlineLevel="0" collapsed="false">
      <c r="D145" s="514"/>
      <c r="E145" s="514"/>
    </row>
    <row r="146" customFormat="false" ht="12.75" hidden="false" customHeight="false" outlineLevel="0" collapsed="false">
      <c r="D146" s="515"/>
      <c r="E146" s="515"/>
    </row>
    <row r="147" customFormat="false" ht="12.75" hidden="false" customHeight="false" outlineLevel="0" collapsed="false">
      <c r="D147" s="516"/>
      <c r="E147" s="516"/>
    </row>
    <row r="148" customFormat="false" ht="12.75" hidden="false" customHeight="false" outlineLevel="0" collapsed="false">
      <c r="D148" s="489"/>
      <c r="E148" s="489"/>
    </row>
    <row r="149" customFormat="false" ht="12.75" hidden="false" customHeight="false" outlineLevel="0" collapsed="false">
      <c r="D149" s="489"/>
      <c r="E149" s="489"/>
    </row>
    <row r="150" customFormat="false" ht="12.75" hidden="false" customHeight="false" outlineLevel="0" collapsed="false">
      <c r="D150" s="514"/>
      <c r="E150" s="514"/>
    </row>
    <row r="151" customFormat="false" ht="12.75" hidden="false" customHeight="false" outlineLevel="0" collapsed="false">
      <c r="D151" s="515"/>
      <c r="E151" s="515"/>
    </row>
    <row r="152" customFormat="false" ht="12.75" hidden="false" customHeight="false" outlineLevel="0" collapsed="false">
      <c r="D152" s="515"/>
      <c r="E152" s="515"/>
    </row>
    <row r="153" customFormat="false" ht="12.75" hidden="false" customHeight="false" outlineLevel="0" collapsed="false">
      <c r="D153" s="517"/>
      <c r="E153" s="517"/>
    </row>
    <row r="154" customFormat="false" ht="12.75" hidden="false" customHeight="false" outlineLevel="0" collapsed="false">
      <c r="D154" s="517"/>
      <c r="E154" s="517"/>
    </row>
    <row r="155" customFormat="false" ht="12.75" hidden="false" customHeight="false" outlineLevel="0" collapsed="false">
      <c r="D155" s="517"/>
      <c r="E155" s="517"/>
    </row>
    <row r="156" customFormat="false" ht="12.75" hidden="false" customHeight="false" outlineLevel="0" collapsed="false">
      <c r="D156" s="514"/>
      <c r="E156" s="514"/>
    </row>
    <row r="157" customFormat="false" ht="12.75" hidden="false" customHeight="false" outlineLevel="0" collapsed="false">
      <c r="D157" s="515"/>
      <c r="E157" s="515"/>
    </row>
    <row r="158" customFormat="false" ht="12.75" hidden="false" customHeight="false" outlineLevel="0" collapsed="false">
      <c r="D158" s="516"/>
      <c r="E158" s="516"/>
    </row>
    <row r="159" customFormat="false" ht="12.75" hidden="false" customHeight="false" outlineLevel="0" collapsed="false">
      <c r="D159" s="489"/>
      <c r="E159" s="489"/>
    </row>
    <row r="160" customFormat="false" ht="12.75" hidden="false" customHeight="false" outlineLevel="0" collapsed="false">
      <c r="D160" s="489"/>
      <c r="E160" s="489"/>
    </row>
    <row r="161" customFormat="false" ht="12.75" hidden="false" customHeight="false" outlineLevel="0" collapsed="false">
      <c r="D161" s="514"/>
      <c r="E161" s="514"/>
    </row>
    <row r="162" customFormat="false" ht="12.75" hidden="false" customHeight="false" outlineLevel="0" collapsed="false">
      <c r="D162" s="515"/>
      <c r="E162" s="515"/>
    </row>
    <row r="164" customFormat="false" ht="12.75" hidden="false" customHeight="false" outlineLevel="0" collapsed="false">
      <c r="D164" s="516"/>
      <c r="E164" s="516"/>
    </row>
    <row r="165" customFormat="false" ht="12.75" hidden="false" customHeight="false" outlineLevel="0" collapsed="false">
      <c r="D165" s="489"/>
      <c r="E165" s="489"/>
    </row>
    <row r="166" customFormat="false" ht="12.75" hidden="false" customHeight="false" outlineLevel="0" collapsed="false">
      <c r="D166" s="489"/>
      <c r="E166" s="489"/>
    </row>
    <row r="167" customFormat="false" ht="12.75" hidden="false" customHeight="false" outlineLevel="0" collapsed="false">
      <c r="D167" s="514"/>
      <c r="E167" s="514"/>
    </row>
    <row r="168" customFormat="false" ht="12.75" hidden="false" customHeight="false" outlineLevel="0" collapsed="false">
      <c r="D168" s="515"/>
      <c r="E168" s="515"/>
    </row>
    <row r="169" customFormat="false" ht="12.75" hidden="false" customHeight="false" outlineLevel="0" collapsed="false">
      <c r="D169" s="516"/>
      <c r="E169" s="516"/>
    </row>
    <row r="170" customFormat="false" ht="12.75" hidden="false" customHeight="false" outlineLevel="0" collapsed="false">
      <c r="D170" s="489"/>
      <c r="E170" s="489"/>
    </row>
    <row r="171" customFormat="false" ht="12.75" hidden="false" customHeight="false" outlineLevel="0" collapsed="false">
      <c r="D171" s="489"/>
      <c r="E171" s="489"/>
    </row>
    <row r="172" customFormat="false" ht="12.75" hidden="false" customHeight="false" outlineLevel="0" collapsed="false">
      <c r="D172" s="514"/>
      <c r="E172" s="514"/>
    </row>
    <row r="173" customFormat="false" ht="12.75" hidden="false" customHeight="false" outlineLevel="0" collapsed="false">
      <c r="D173" s="515"/>
      <c r="E173" s="515"/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7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85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518" t="s">
        <v>93</v>
      </c>
      <c r="C1" s="518"/>
    </row>
    <row r="3" customFormat="false" ht="12.75" hidden="false" customHeight="false" outlineLevel="0" collapsed="false">
      <c r="B3" s="0" t="s">
        <v>5</v>
      </c>
      <c r="G3" s="519"/>
    </row>
    <row r="5" customFormat="false" ht="12.75" hidden="false" customHeight="false" outlineLevel="0" collapsed="false">
      <c r="B5" s="0" t="s">
        <v>916</v>
      </c>
    </row>
    <row r="7" customFormat="false" ht="12.75" hidden="false" customHeight="false" outlineLevel="0" collapsed="false">
      <c r="C7" s="0" t="s">
        <v>917</v>
      </c>
    </row>
    <row r="8" customFormat="false" ht="12.75" hidden="false" customHeight="false" outlineLevel="0" collapsed="false">
      <c r="D8" s="0" t="s">
        <v>918</v>
      </c>
      <c r="E8" s="0" t="s">
        <v>368</v>
      </c>
      <c r="F8" s="392" t="n">
        <v>3.88</v>
      </c>
    </row>
    <row r="9" customFormat="false" ht="12.75" hidden="false" customHeight="false" outlineLevel="0" collapsed="false">
      <c r="D9" s="0" t="s">
        <v>917</v>
      </c>
      <c r="F9" s="520" t="n">
        <v>0.0333</v>
      </c>
    </row>
    <row r="10" customFormat="false" ht="12.75" hidden="false" customHeight="false" outlineLevel="0" collapsed="false">
      <c r="D10" s="0" t="s">
        <v>919</v>
      </c>
      <c r="F10" s="521" t="n">
        <v>0.0474045</v>
      </c>
      <c r="G10" s="0" t="s">
        <v>920</v>
      </c>
    </row>
    <row r="11" customFormat="false" ht="12.75" hidden="false" customHeight="false" outlineLevel="0" collapsed="false">
      <c r="D11" s="0" t="s">
        <v>921</v>
      </c>
      <c r="F11" s="448" t="n">
        <f aca="false">+F8/(1-F10)-F8</f>
        <v>0.193082436354151</v>
      </c>
    </row>
    <row r="12" customFormat="false" ht="13.5" hidden="false" customHeight="false" outlineLevel="0" collapsed="false">
      <c r="D12" s="0" t="s">
        <v>922</v>
      </c>
      <c r="F12" s="450" t="n">
        <f aca="false">+F11+F9</f>
        <v>0.226382436354151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0" t="s">
        <v>923</v>
      </c>
    </row>
    <row r="15" customFormat="false" ht="12.75" hidden="false" customHeight="false" outlineLevel="0" collapsed="false">
      <c r="D15" s="0" t="s">
        <v>918</v>
      </c>
      <c r="E15" s="0" t="s">
        <v>368</v>
      </c>
      <c r="F15" s="392" t="n">
        <v>3.88</v>
      </c>
    </row>
    <row r="16" customFormat="false" ht="12.75" hidden="false" customHeight="false" outlineLevel="0" collapsed="false">
      <c r="D16" s="0" t="s">
        <v>923</v>
      </c>
      <c r="F16" s="520" t="n">
        <v>0.0325</v>
      </c>
    </row>
    <row r="17" customFormat="false" ht="12.75" hidden="false" customHeight="false" outlineLevel="0" collapsed="false">
      <c r="D17" s="0" t="s">
        <v>924</v>
      </c>
      <c r="F17" s="521" t="n">
        <v>0</v>
      </c>
    </row>
    <row r="18" customFormat="false" ht="12.75" hidden="false" customHeight="false" outlineLevel="0" collapsed="false">
      <c r="D18" s="0" t="s">
        <v>921</v>
      </c>
      <c r="F18" s="448" t="n">
        <f aca="false">+F15/(1-F17)-F15</f>
        <v>0</v>
      </c>
    </row>
    <row r="19" customFormat="false" ht="13.5" hidden="false" customHeight="false" outlineLevel="0" collapsed="false">
      <c r="D19" s="0" t="s">
        <v>922</v>
      </c>
      <c r="F19" s="450" t="n">
        <f aca="false">+F18+F16</f>
        <v>0.0325</v>
      </c>
    </row>
    <row r="20" customFormat="false" ht="13.5" hidden="false" customHeight="false" outlineLevel="0" collapsed="false"/>
    <row r="22" customFormat="false" ht="12.75" hidden="false" customHeight="false" outlineLevel="0" collapsed="false">
      <c r="B22" s="0" t="s">
        <v>925</v>
      </c>
    </row>
    <row r="24" customFormat="false" ht="12.75" hidden="false" customHeight="false" outlineLevel="0" collapsed="false">
      <c r="C24" s="0" t="s">
        <v>917</v>
      </c>
    </row>
    <row r="25" customFormat="false" ht="12.75" hidden="false" customHeight="false" outlineLevel="0" collapsed="false">
      <c r="D25" s="0" t="s">
        <v>918</v>
      </c>
      <c r="E25" s="0" t="s">
        <v>368</v>
      </c>
      <c r="F25" s="392" t="n">
        <v>2.2</v>
      </c>
    </row>
    <row r="26" customFormat="false" ht="12.75" hidden="false" customHeight="false" outlineLevel="0" collapsed="false">
      <c r="D26" s="0" t="s">
        <v>917</v>
      </c>
      <c r="F26" s="520" t="n">
        <v>0.0054</v>
      </c>
    </row>
    <row r="27" customFormat="false" ht="12.75" hidden="false" customHeight="false" outlineLevel="0" collapsed="false">
      <c r="D27" s="0" t="s">
        <v>919</v>
      </c>
      <c r="F27" s="521" t="n">
        <v>0.0198</v>
      </c>
    </row>
    <row r="28" customFormat="false" ht="12.75" hidden="false" customHeight="false" outlineLevel="0" collapsed="false">
      <c r="D28" s="0" t="s">
        <v>921</v>
      </c>
      <c r="F28" s="448" t="n">
        <f aca="false">+F25/(1-F27)-F25</f>
        <v>0.0444399102224038</v>
      </c>
    </row>
    <row r="29" customFormat="false" ht="13.5" hidden="false" customHeight="false" outlineLevel="0" collapsed="false">
      <c r="D29" s="0" t="s">
        <v>922</v>
      </c>
      <c r="F29" s="450" t="n">
        <f aca="false">+F28+F26</f>
        <v>0.0498399102224038</v>
      </c>
    </row>
    <row r="30" customFormat="false" ht="13.5" hidden="false" customHeight="false" outlineLevel="0" collapsed="false"/>
    <row r="31" customFormat="false" ht="12.75" hidden="false" customHeight="false" outlineLevel="0" collapsed="false">
      <c r="C31" s="0" t="s">
        <v>923</v>
      </c>
    </row>
    <row r="32" customFormat="false" ht="12.75" hidden="false" customHeight="false" outlineLevel="0" collapsed="false">
      <c r="D32" s="0" t="s">
        <v>918</v>
      </c>
      <c r="E32" s="0" t="s">
        <v>368</v>
      </c>
      <c r="F32" s="392" t="n">
        <v>1.95</v>
      </c>
    </row>
    <row r="33" customFormat="false" ht="12.75" hidden="false" customHeight="false" outlineLevel="0" collapsed="false">
      <c r="D33" s="0" t="s">
        <v>923</v>
      </c>
      <c r="F33" s="520" t="n">
        <v>0.0054</v>
      </c>
    </row>
    <row r="34" customFormat="false" ht="12.75" hidden="false" customHeight="false" outlineLevel="0" collapsed="false">
      <c r="D34" s="0" t="s">
        <v>924</v>
      </c>
      <c r="F34" s="521" t="n">
        <v>0</v>
      </c>
    </row>
    <row r="35" customFormat="false" ht="12.75" hidden="false" customHeight="false" outlineLevel="0" collapsed="false">
      <c r="D35" s="0" t="s">
        <v>921</v>
      </c>
      <c r="F35" s="448" t="n">
        <f aca="false">+F32/(1-F34)-F32</f>
        <v>0</v>
      </c>
    </row>
    <row r="36" customFormat="false" ht="13.5" hidden="false" customHeight="false" outlineLevel="0" collapsed="false">
      <c r="D36" s="0" t="s">
        <v>922</v>
      </c>
      <c r="F36" s="450" t="n">
        <f aca="false">+F35+F33</f>
        <v>0.0054</v>
      </c>
    </row>
    <row r="37" customFormat="false" ht="13.5" hidden="false" customHeight="false" outlineLevel="0" collapsed="false"/>
    <row r="39" customFormat="false" ht="12.75" hidden="false" customHeight="false" outlineLevel="0" collapsed="false">
      <c r="B39" s="0" t="s">
        <v>926</v>
      </c>
    </row>
    <row r="41" customFormat="false" ht="12.75" hidden="false" customHeight="false" outlineLevel="0" collapsed="false">
      <c r="C41" s="0" t="s">
        <v>917</v>
      </c>
    </row>
    <row r="42" customFormat="false" ht="12.75" hidden="false" customHeight="false" outlineLevel="0" collapsed="false">
      <c r="D42" s="0" t="s">
        <v>918</v>
      </c>
      <c r="E42" s="0" t="s">
        <v>368</v>
      </c>
      <c r="F42" s="392" t="n">
        <v>2.2</v>
      </c>
    </row>
    <row r="43" customFormat="false" ht="12.75" hidden="false" customHeight="false" outlineLevel="0" collapsed="false">
      <c r="D43" s="0" t="s">
        <v>917</v>
      </c>
      <c r="F43" s="520" t="n">
        <v>0.0219</v>
      </c>
    </row>
    <row r="44" customFormat="false" ht="12.75" hidden="false" customHeight="false" outlineLevel="0" collapsed="false">
      <c r="D44" s="0" t="s">
        <v>919</v>
      </c>
      <c r="F44" s="521" t="n">
        <v>0.02375</v>
      </c>
      <c r="G44" s="0" t="s">
        <v>927</v>
      </c>
    </row>
    <row r="45" customFormat="false" ht="12.75" hidden="false" customHeight="false" outlineLevel="0" collapsed="false">
      <c r="D45" s="0" t="s">
        <v>921</v>
      </c>
      <c r="F45" s="448" t="n">
        <f aca="false">+F42/(1-F44)-F42</f>
        <v>0.0535211267605633</v>
      </c>
    </row>
    <row r="46" customFormat="false" ht="13.5" hidden="false" customHeight="false" outlineLevel="0" collapsed="false">
      <c r="D46" s="0" t="s">
        <v>922</v>
      </c>
      <c r="F46" s="450" t="n">
        <f aca="false">+F45+F43</f>
        <v>0.0754211267605633</v>
      </c>
    </row>
    <row r="47" customFormat="false" ht="13.5" hidden="false" customHeight="false" outlineLevel="0" collapsed="false"/>
    <row r="48" customFormat="false" ht="12.75" hidden="false" customHeight="false" outlineLevel="0" collapsed="false">
      <c r="C48" s="0" t="s">
        <v>923</v>
      </c>
    </row>
    <row r="49" customFormat="false" ht="12.75" hidden="false" customHeight="false" outlineLevel="0" collapsed="false">
      <c r="D49" s="0" t="s">
        <v>918</v>
      </c>
      <c r="E49" s="0" t="s">
        <v>368</v>
      </c>
      <c r="F49" s="392" t="n">
        <v>1.95</v>
      </c>
    </row>
    <row r="50" customFormat="false" ht="12.75" hidden="false" customHeight="false" outlineLevel="0" collapsed="false">
      <c r="D50" s="0" t="s">
        <v>923</v>
      </c>
      <c r="F50" s="520" t="n">
        <v>0.0209</v>
      </c>
    </row>
    <row r="51" customFormat="false" ht="12.75" hidden="false" customHeight="false" outlineLevel="0" collapsed="false">
      <c r="D51" s="0" t="s">
        <v>924</v>
      </c>
      <c r="F51" s="521" t="n">
        <v>0.0047</v>
      </c>
    </row>
    <row r="52" customFormat="false" ht="12.75" hidden="false" customHeight="false" outlineLevel="0" collapsed="false">
      <c r="D52" s="0" t="s">
        <v>921</v>
      </c>
      <c r="F52" s="448" t="n">
        <f aca="false">+F49/(1-F51)-F49</f>
        <v>0.00920827891088116</v>
      </c>
    </row>
    <row r="53" customFormat="false" ht="13.5" hidden="false" customHeight="false" outlineLevel="0" collapsed="false">
      <c r="D53" s="0" t="s">
        <v>922</v>
      </c>
      <c r="F53" s="450" t="n">
        <f aca="false">+F52+F50</f>
        <v>0.0301082789108812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0" t="s">
        <v>928</v>
      </c>
    </row>
    <row r="57" customFormat="false" ht="12.75" hidden="false" customHeight="false" outlineLevel="0" collapsed="false">
      <c r="C57" s="0" t="s">
        <v>917</v>
      </c>
    </row>
    <row r="58" customFormat="false" ht="12.75" hidden="false" customHeight="false" outlineLevel="0" collapsed="false">
      <c r="D58" s="0" t="s">
        <v>918</v>
      </c>
      <c r="E58" s="0" t="s">
        <v>368</v>
      </c>
      <c r="F58" s="392" t="n">
        <v>2.2</v>
      </c>
    </row>
    <row r="59" customFormat="false" ht="12.75" hidden="false" customHeight="false" outlineLevel="0" collapsed="false">
      <c r="D59" s="0" t="s">
        <v>917</v>
      </c>
      <c r="F59" s="520" t="n">
        <v>0.0334</v>
      </c>
      <c r="G59" s="0" t="s">
        <v>929</v>
      </c>
    </row>
    <row r="60" customFormat="false" ht="12.75" hidden="false" customHeight="false" outlineLevel="0" collapsed="false">
      <c r="D60" s="0" t="s">
        <v>930</v>
      </c>
      <c r="F60" s="520" t="n">
        <v>0.0727</v>
      </c>
      <c r="G60" s="0" t="s">
        <v>931</v>
      </c>
    </row>
    <row r="61" customFormat="false" ht="12.75" hidden="false" customHeight="false" outlineLevel="0" collapsed="false">
      <c r="D61" s="0" t="s">
        <v>919</v>
      </c>
      <c r="F61" s="521" t="n">
        <v>0</v>
      </c>
    </row>
    <row r="62" customFormat="false" ht="12.75" hidden="false" customHeight="false" outlineLevel="0" collapsed="false">
      <c r="D62" s="0" t="s">
        <v>921</v>
      </c>
      <c r="F62" s="448" t="n">
        <f aca="false">+F58/(1-F61)-F58</f>
        <v>0</v>
      </c>
    </row>
    <row r="63" customFormat="false" ht="13.5" hidden="false" customHeight="false" outlineLevel="0" collapsed="false">
      <c r="D63" s="0" t="s">
        <v>922</v>
      </c>
      <c r="F63" s="450" t="n">
        <f aca="false">SUM(F59:F60,F62)</f>
        <v>0.1061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C65" s="0" t="s">
        <v>923</v>
      </c>
    </row>
    <row r="66" customFormat="false" ht="12.75" hidden="false" customHeight="false" outlineLevel="0" collapsed="false">
      <c r="D66" s="0" t="s">
        <v>918</v>
      </c>
      <c r="E66" s="0" t="s">
        <v>368</v>
      </c>
      <c r="F66" s="392" t="n">
        <v>1.95</v>
      </c>
    </row>
    <row r="67" customFormat="false" ht="12.75" hidden="false" customHeight="false" outlineLevel="0" collapsed="false">
      <c r="D67" s="0" t="s">
        <v>930</v>
      </c>
      <c r="F67" s="520" t="n">
        <v>0.0727</v>
      </c>
      <c r="G67" s="0" t="s">
        <v>932</v>
      </c>
    </row>
    <row r="68" customFormat="false" ht="12.75" hidden="false" customHeight="false" outlineLevel="0" collapsed="false">
      <c r="D68" s="0" t="s">
        <v>923</v>
      </c>
      <c r="F68" s="520" t="n">
        <v>0.0264</v>
      </c>
      <c r="G68" s="0" t="s">
        <v>933</v>
      </c>
    </row>
    <row r="69" customFormat="false" ht="12.75" hidden="false" customHeight="false" outlineLevel="0" collapsed="false">
      <c r="D69" s="0" t="s">
        <v>924</v>
      </c>
      <c r="F69" s="521" t="n">
        <v>0</v>
      </c>
    </row>
    <row r="70" customFormat="false" ht="12.75" hidden="false" customHeight="false" outlineLevel="0" collapsed="false">
      <c r="D70" s="0" t="s">
        <v>921</v>
      </c>
      <c r="F70" s="448" t="n">
        <f aca="false">+F66/(1-F69)-F66</f>
        <v>0</v>
      </c>
    </row>
    <row r="71" customFormat="false" ht="13.5" hidden="false" customHeight="false" outlineLevel="0" collapsed="false">
      <c r="D71" s="0" t="s">
        <v>922</v>
      </c>
      <c r="F71" s="450" t="n">
        <f aca="false">SUM(F67:F68,F70)</f>
        <v>0.0991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B74" s="518" t="s">
        <v>934</v>
      </c>
    </row>
    <row r="76" customFormat="false" ht="12.75" hidden="false" customHeight="false" outlineLevel="0" collapsed="false">
      <c r="D76" s="0" t="s">
        <v>918</v>
      </c>
      <c r="E76" s="0" t="s">
        <v>368</v>
      </c>
      <c r="F76" s="392" t="n">
        <v>2.8</v>
      </c>
    </row>
    <row r="77" customFormat="false" ht="12.75" hidden="false" customHeight="false" outlineLevel="0" collapsed="false">
      <c r="D77" s="0" t="s">
        <v>638</v>
      </c>
      <c r="F77" s="520" t="n">
        <v>0.0057</v>
      </c>
    </row>
    <row r="78" customFormat="false" ht="12.75" hidden="false" customHeight="false" outlineLevel="0" collapsed="false">
      <c r="D78" s="0" t="s">
        <v>935</v>
      </c>
      <c r="F78" s="520" t="n">
        <f aca="false">0.0022+0.0075</f>
        <v>0.0097</v>
      </c>
      <c r="G78" s="0" t="s">
        <v>936</v>
      </c>
    </row>
    <row r="79" customFormat="false" ht="12.75" hidden="false" customHeight="false" outlineLevel="0" collapsed="false">
      <c r="D79" s="0" t="s">
        <v>481</v>
      </c>
      <c r="F79" s="521" t="n">
        <v>0.0072</v>
      </c>
    </row>
    <row r="80" customFormat="false" ht="12.75" hidden="false" customHeight="false" outlineLevel="0" collapsed="false">
      <c r="D80" s="0" t="s">
        <v>921</v>
      </c>
      <c r="F80" s="448" t="n">
        <f aca="false">+F76/(1-F79)-F76</f>
        <v>0.0203062046736502</v>
      </c>
    </row>
    <row r="81" customFormat="false" ht="13.5" hidden="false" customHeight="false" outlineLevel="0" collapsed="false">
      <c r="D81" s="0" t="s">
        <v>922</v>
      </c>
      <c r="F81" s="450" t="n">
        <f aca="false">SUM(F80,F78,F77)</f>
        <v>0.0357062046736502</v>
      </c>
    </row>
    <row r="82" customFormat="false" ht="13.5" hidden="false" customHeight="false" outlineLevel="0" collapsed="false"/>
    <row r="96" customFormat="false" ht="12.75" hidden="false" customHeight="false" outlineLevel="0" collapsed="false">
      <c r="A96" s="518" t="s">
        <v>48</v>
      </c>
    </row>
    <row r="98" customFormat="false" ht="12.75" hidden="false" customHeight="false" outlineLevel="0" collapsed="false">
      <c r="B98" s="0" t="s">
        <v>5</v>
      </c>
    </row>
    <row r="100" customFormat="false" ht="12.75" hidden="false" customHeight="false" outlineLevel="0" collapsed="false">
      <c r="B100" s="0" t="s">
        <v>937</v>
      </c>
    </row>
    <row r="101" customFormat="false" ht="12.75" hidden="false" customHeight="false" outlineLevel="0" collapsed="false">
      <c r="C101" s="0" t="s">
        <v>917</v>
      </c>
    </row>
    <row r="102" customFormat="false" ht="12.75" hidden="false" customHeight="false" outlineLevel="0" collapsed="false">
      <c r="D102" s="0" t="s">
        <v>918</v>
      </c>
      <c r="E102" s="0" t="s">
        <v>938</v>
      </c>
      <c r="F102" s="392" t="n">
        <f aca="false">0.18+2.27</f>
        <v>2.45</v>
      </c>
    </row>
    <row r="103" customFormat="false" ht="12.75" hidden="false" customHeight="false" outlineLevel="0" collapsed="false">
      <c r="D103" s="0" t="s">
        <v>917</v>
      </c>
      <c r="F103" s="520" t="n">
        <v>0.0162</v>
      </c>
    </row>
    <row r="104" customFormat="false" ht="12.75" hidden="false" customHeight="false" outlineLevel="0" collapsed="false">
      <c r="D104" s="0" t="s">
        <v>919</v>
      </c>
      <c r="F104" s="521" t="n">
        <v>0.0278</v>
      </c>
    </row>
    <row r="105" customFormat="false" ht="12.75" hidden="false" customHeight="false" outlineLevel="0" collapsed="false">
      <c r="D105" s="0" t="s">
        <v>921</v>
      </c>
      <c r="F105" s="448" t="n">
        <f aca="false">+F102/(1-F104)-F102</f>
        <v>0.0700576013166017</v>
      </c>
    </row>
    <row r="106" customFormat="false" ht="13.5" hidden="false" customHeight="false" outlineLevel="0" collapsed="false">
      <c r="D106" s="0" t="s">
        <v>922</v>
      </c>
      <c r="F106" s="450" t="n">
        <f aca="false">+F105+F103</f>
        <v>0.0862576013166017</v>
      </c>
    </row>
    <row r="107" customFormat="false" ht="13.5" hidden="false" customHeight="false" outlineLevel="0" collapsed="false"/>
    <row r="108" customFormat="false" ht="12.75" hidden="false" customHeight="false" outlineLevel="0" collapsed="false">
      <c r="C108" s="0" t="s">
        <v>923</v>
      </c>
    </row>
    <row r="109" customFormat="false" ht="12.75" hidden="false" customHeight="false" outlineLevel="0" collapsed="false">
      <c r="D109" s="0" t="s">
        <v>918</v>
      </c>
      <c r="E109" s="0" t="s">
        <v>938</v>
      </c>
      <c r="F109" s="392" t="n">
        <v>1.95</v>
      </c>
    </row>
    <row r="110" customFormat="false" ht="12.75" hidden="false" customHeight="false" outlineLevel="0" collapsed="false">
      <c r="D110" s="0" t="s">
        <v>923</v>
      </c>
      <c r="F110" s="520" t="n">
        <v>0.0147</v>
      </c>
    </row>
    <row r="111" customFormat="false" ht="12.75" hidden="false" customHeight="false" outlineLevel="0" collapsed="false">
      <c r="D111" s="0" t="s">
        <v>939</v>
      </c>
      <c r="F111" s="520" t="n">
        <v>-0.0006</v>
      </c>
    </row>
    <row r="112" customFormat="false" ht="12.75" hidden="false" customHeight="false" outlineLevel="0" collapsed="false">
      <c r="D112" s="0" t="s">
        <v>924</v>
      </c>
      <c r="F112" s="521" t="n">
        <v>0</v>
      </c>
    </row>
    <row r="113" customFormat="false" ht="12.75" hidden="false" customHeight="false" outlineLevel="0" collapsed="false">
      <c r="D113" s="0" t="s">
        <v>921</v>
      </c>
      <c r="F113" s="448" t="n">
        <f aca="false">+F109/(1-F112)-F109</f>
        <v>0</v>
      </c>
    </row>
    <row r="114" customFormat="false" ht="13.5" hidden="false" customHeight="false" outlineLevel="0" collapsed="false">
      <c r="D114" s="0" t="s">
        <v>922</v>
      </c>
      <c r="F114" s="450" t="n">
        <f aca="false">SUM(F110:F111,F113)</f>
        <v>0.0141</v>
      </c>
    </row>
    <row r="115" customFormat="false" ht="13.5" hidden="false" customHeight="false" outlineLevel="0" collapsed="false"/>
    <row r="116" customFormat="false" ht="12.75" hidden="false" customHeight="false" outlineLevel="0" collapsed="false">
      <c r="C116" s="0" t="s">
        <v>940</v>
      </c>
    </row>
    <row r="117" customFormat="false" ht="12.75" hidden="false" customHeight="false" outlineLevel="0" collapsed="false">
      <c r="C117" s="0" t="s">
        <v>941</v>
      </c>
    </row>
    <row r="121" customFormat="false" ht="12.75" hidden="false" customHeight="false" outlineLevel="0" collapsed="false">
      <c r="B121" s="518" t="s">
        <v>140</v>
      </c>
    </row>
    <row r="123" customFormat="false" ht="12.75" hidden="false" customHeight="false" outlineLevel="0" collapsed="false">
      <c r="B123" s="0" t="s">
        <v>5</v>
      </c>
    </row>
    <row r="125" customFormat="false" ht="12.75" hidden="false" customHeight="false" outlineLevel="0" collapsed="false">
      <c r="B125" s="0" t="s">
        <v>942</v>
      </c>
    </row>
    <row r="126" customFormat="false" ht="12.75" hidden="false" customHeight="false" outlineLevel="0" collapsed="false">
      <c r="C126" s="0" t="s">
        <v>917</v>
      </c>
    </row>
    <row r="127" customFormat="false" ht="12.75" hidden="false" customHeight="false" outlineLevel="0" collapsed="false">
      <c r="D127" s="0" t="s">
        <v>918</v>
      </c>
      <c r="E127" s="0" t="s">
        <v>938</v>
      </c>
      <c r="F127" s="392" t="n">
        <v>2.48</v>
      </c>
    </row>
    <row r="128" customFormat="false" ht="12.75" hidden="false" customHeight="false" outlineLevel="0" collapsed="false">
      <c r="D128" s="0" t="s">
        <v>917</v>
      </c>
      <c r="F128" s="520" t="n">
        <v>0.0089</v>
      </c>
    </row>
    <row r="129" customFormat="false" ht="12.75" hidden="false" customHeight="false" outlineLevel="0" collapsed="false">
      <c r="D129" s="0" t="s">
        <v>919</v>
      </c>
      <c r="F129" s="521" t="n">
        <v>0.0065</v>
      </c>
    </row>
    <row r="130" customFormat="false" ht="12.75" hidden="false" customHeight="false" outlineLevel="0" collapsed="false">
      <c r="D130" s="0" t="s">
        <v>921</v>
      </c>
      <c r="F130" s="448" t="n">
        <f aca="false">+F127/(1-F129)-F127</f>
        <v>0.0162254655259182</v>
      </c>
    </row>
    <row r="131" customFormat="false" ht="13.5" hidden="false" customHeight="false" outlineLevel="0" collapsed="false">
      <c r="D131" s="0" t="s">
        <v>922</v>
      </c>
      <c r="F131" s="450" t="n">
        <f aca="false">+F130+F128</f>
        <v>0.0251254655259182</v>
      </c>
    </row>
    <row r="132" customFormat="false" ht="13.5" hidden="false" customHeight="false" outlineLevel="0" collapsed="false"/>
    <row r="133" customFormat="false" ht="12.75" hidden="false" customHeight="false" outlineLevel="0" collapsed="false">
      <c r="B133" s="0" t="s">
        <v>943</v>
      </c>
    </row>
    <row r="134" customFormat="false" ht="12.75" hidden="false" customHeight="false" outlineLevel="0" collapsed="false">
      <c r="C134" s="0" t="s">
        <v>917</v>
      </c>
    </row>
    <row r="135" customFormat="false" ht="12.75" hidden="false" customHeight="false" outlineLevel="0" collapsed="false">
      <c r="D135" s="0" t="s">
        <v>918</v>
      </c>
      <c r="E135" s="0" t="s">
        <v>938</v>
      </c>
      <c r="F135" s="392" t="n">
        <v>2.48</v>
      </c>
    </row>
    <row r="136" customFormat="false" ht="12.75" hidden="false" customHeight="false" outlineLevel="0" collapsed="false">
      <c r="D136" s="0" t="s">
        <v>944</v>
      </c>
      <c r="F136" s="520" t="n">
        <v>0.0079</v>
      </c>
    </row>
    <row r="137" customFormat="false" ht="12.75" hidden="false" customHeight="false" outlineLevel="0" collapsed="false">
      <c r="D137" s="0" t="s">
        <v>639</v>
      </c>
      <c r="F137" s="520" t="n">
        <v>0.0022</v>
      </c>
    </row>
    <row r="138" customFormat="false" ht="12.75" hidden="false" customHeight="false" outlineLevel="0" collapsed="false">
      <c r="D138" s="0" t="s">
        <v>919</v>
      </c>
      <c r="F138" s="521" t="n">
        <v>0.0325</v>
      </c>
    </row>
    <row r="139" customFormat="false" ht="12.75" hidden="false" customHeight="false" outlineLevel="0" collapsed="false">
      <c r="D139" s="0" t="s">
        <v>921</v>
      </c>
      <c r="F139" s="522" t="n">
        <f aca="false">+F135/(1-F138)-F135</f>
        <v>0.0833074935400515</v>
      </c>
    </row>
    <row r="140" customFormat="false" ht="13.5" hidden="false" customHeight="false" outlineLevel="0" collapsed="false">
      <c r="D140" s="0" t="s">
        <v>922</v>
      </c>
      <c r="F140" s="450" t="n">
        <f aca="false">SUM(F136:F137,F139)</f>
        <v>0.0934074935400515</v>
      </c>
    </row>
    <row r="141" customFormat="false" ht="13.5" hidden="false" customHeight="false" outlineLevel="0" collapsed="false">
      <c r="F141" s="392"/>
    </row>
    <row r="142" customFormat="false" ht="12.75" hidden="false" customHeight="false" outlineLevel="0" collapsed="false">
      <c r="F142" s="392"/>
    </row>
    <row r="143" customFormat="false" ht="12.75" hidden="false" customHeight="false" outlineLevel="0" collapsed="false">
      <c r="B143" s="0" t="s">
        <v>942</v>
      </c>
    </row>
    <row r="144" customFormat="false" ht="12.75" hidden="false" customHeight="false" outlineLevel="0" collapsed="false">
      <c r="C144" s="0" t="s">
        <v>923</v>
      </c>
    </row>
    <row r="145" customFormat="false" ht="12.75" hidden="false" customHeight="false" outlineLevel="0" collapsed="false">
      <c r="D145" s="0" t="s">
        <v>918</v>
      </c>
      <c r="E145" s="0" t="s">
        <v>938</v>
      </c>
      <c r="F145" s="392" t="n">
        <v>1.95</v>
      </c>
    </row>
    <row r="146" customFormat="false" ht="12.75" hidden="false" customHeight="false" outlineLevel="0" collapsed="false">
      <c r="D146" s="0" t="s">
        <v>923</v>
      </c>
      <c r="F146" s="520" t="n">
        <v>0.0089</v>
      </c>
    </row>
    <row r="147" customFormat="false" ht="12.75" hidden="false" customHeight="false" outlineLevel="0" collapsed="false">
      <c r="D147" s="0" t="s">
        <v>924</v>
      </c>
      <c r="F147" s="521" t="n">
        <v>0</v>
      </c>
    </row>
    <row r="148" customFormat="false" ht="12.75" hidden="false" customHeight="false" outlineLevel="0" collapsed="false">
      <c r="D148" s="0" t="s">
        <v>921</v>
      </c>
      <c r="F148" s="448" t="n">
        <f aca="false">+F145/(1-F147)-F145</f>
        <v>0</v>
      </c>
    </row>
    <row r="149" customFormat="false" ht="13.5" hidden="false" customHeight="false" outlineLevel="0" collapsed="false">
      <c r="D149" s="0" t="s">
        <v>922</v>
      </c>
      <c r="F149" s="450" t="n">
        <f aca="false">SUM(F146,F148)</f>
        <v>0.0089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B151" s="0" t="s">
        <v>943</v>
      </c>
    </row>
    <row r="152" customFormat="false" ht="12.75" hidden="false" customHeight="false" outlineLevel="0" collapsed="false">
      <c r="C152" s="0" t="s">
        <v>923</v>
      </c>
    </row>
    <row r="153" customFormat="false" ht="12.75" hidden="false" customHeight="false" outlineLevel="0" collapsed="false">
      <c r="D153" s="0" t="s">
        <v>918</v>
      </c>
      <c r="E153" s="0" t="s">
        <v>938</v>
      </c>
      <c r="F153" s="392" t="n">
        <v>2.48</v>
      </c>
    </row>
    <row r="154" customFormat="false" ht="12.75" hidden="false" customHeight="false" outlineLevel="0" collapsed="false">
      <c r="D154" s="0" t="s">
        <v>944</v>
      </c>
      <c r="F154" s="520" t="n">
        <v>0.0079</v>
      </c>
    </row>
    <row r="155" customFormat="false" ht="12.75" hidden="false" customHeight="false" outlineLevel="0" collapsed="false">
      <c r="D155" s="0" t="s">
        <v>639</v>
      </c>
      <c r="F155" s="520" t="n">
        <v>0.0022</v>
      </c>
    </row>
    <row r="156" customFormat="false" ht="12.75" hidden="false" customHeight="false" outlineLevel="0" collapsed="false">
      <c r="D156" s="0" t="s">
        <v>924</v>
      </c>
      <c r="F156" s="521" t="n">
        <v>0</v>
      </c>
    </row>
    <row r="157" customFormat="false" ht="12.75" hidden="false" customHeight="false" outlineLevel="0" collapsed="false">
      <c r="D157" s="0" t="s">
        <v>921</v>
      </c>
      <c r="F157" s="522" t="n">
        <f aca="false">+F153/(1-F156)-F153</f>
        <v>0</v>
      </c>
    </row>
    <row r="158" customFormat="false" ht="13.5" hidden="false" customHeight="false" outlineLevel="0" collapsed="false">
      <c r="D158" s="0" t="s">
        <v>922</v>
      </c>
      <c r="F158" s="450" t="n">
        <f aca="false">SUM(F154:F155,F157)</f>
        <v>0.0101</v>
      </c>
    </row>
    <row r="159" customFormat="false" ht="13.5" hidden="false" customHeight="false" outlineLevel="0" collapsed="false"/>
    <row r="161" customFormat="false" ht="12.75" hidden="false" customHeight="false" outlineLevel="0" collapsed="false">
      <c r="C161" s="523"/>
      <c r="D161" s="523"/>
      <c r="E161" s="523"/>
      <c r="F161" s="523"/>
      <c r="G161" s="523"/>
    </row>
    <row r="162" customFormat="false" ht="12.75" hidden="false" customHeight="false" outlineLevel="0" collapsed="false">
      <c r="C162" s="523"/>
      <c r="D162" s="523"/>
      <c r="E162" s="523"/>
      <c r="F162" s="392"/>
      <c r="G162" s="523"/>
    </row>
    <row r="163" customFormat="false" ht="12.75" hidden="false" customHeight="false" outlineLevel="0" collapsed="false">
      <c r="C163" s="523"/>
      <c r="D163" s="523"/>
      <c r="E163" s="523"/>
      <c r="F163" s="520"/>
      <c r="G163" s="523"/>
    </row>
    <row r="164" customFormat="false" ht="12.75" hidden="false" customHeight="false" outlineLevel="0" collapsed="false">
      <c r="C164" s="523"/>
      <c r="D164" s="523"/>
      <c r="E164" s="523"/>
      <c r="F164" s="521"/>
      <c r="G164" s="523"/>
    </row>
    <row r="165" customFormat="false" ht="12.75" hidden="false" customHeight="false" outlineLevel="0" collapsed="false">
      <c r="C165" s="523"/>
      <c r="D165" s="523"/>
      <c r="E165" s="523"/>
      <c r="F165" s="392"/>
      <c r="G165" s="523"/>
    </row>
    <row r="166" customFormat="false" ht="12.75" hidden="false" customHeight="false" outlineLevel="0" collapsed="false">
      <c r="C166" s="523"/>
      <c r="D166" s="523"/>
      <c r="E166" s="523"/>
      <c r="F166" s="392"/>
      <c r="G166" s="523"/>
    </row>
    <row r="167" customFormat="false" ht="12.75" hidden="false" customHeight="false" outlineLevel="0" collapsed="false">
      <c r="C167" s="523"/>
      <c r="D167" s="523"/>
      <c r="E167" s="523"/>
      <c r="F167" s="523"/>
      <c r="G167" s="5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L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27" width="9.14"/>
    <col collapsed="false" customWidth="true" hidden="false" outlineLevel="0" max="6" min="6" style="27" width="11.13"/>
    <col collapsed="false" customWidth="false" hidden="false" outlineLevel="0" max="257" min="7" style="27" width="9.14"/>
  </cols>
  <sheetData>
    <row r="4" customFormat="false" ht="12.75" hidden="false" customHeight="false" outlineLevel="0" collapsed="false">
      <c r="A4" s="524" t="s">
        <v>945</v>
      </c>
      <c r="B4" s="524"/>
      <c r="C4" s="524"/>
      <c r="D4" s="524"/>
      <c r="E4" s="524"/>
      <c r="F4" s="524"/>
      <c r="G4" s="524"/>
      <c r="H4" s="524"/>
    </row>
    <row r="5" customFormat="false" ht="12.75" hidden="false" customHeight="false" outlineLevel="0" collapsed="false">
      <c r="A5" s="524"/>
      <c r="B5" s="524"/>
      <c r="C5" s="524"/>
      <c r="D5" s="524"/>
      <c r="E5" s="524"/>
      <c r="F5" s="524"/>
      <c r="G5" s="524"/>
      <c r="H5" s="524"/>
    </row>
    <row r="6" customFormat="false" ht="12.75" hidden="false" customHeight="false" outlineLevel="0" collapsed="false">
      <c r="A6" s="524" t="s">
        <v>25</v>
      </c>
      <c r="B6" s="524"/>
      <c r="C6" s="524"/>
      <c r="D6" s="524"/>
      <c r="E6" s="524"/>
      <c r="F6" s="524"/>
      <c r="G6" s="524"/>
      <c r="H6" s="524"/>
    </row>
    <row r="7" customFormat="false" ht="12.75" hidden="false" customHeight="false" outlineLevel="0" collapsed="false">
      <c r="A7" s="524"/>
      <c r="C7" s="524" t="s">
        <v>946</v>
      </c>
      <c r="D7" s="524" t="n">
        <f aca="false">(12/365)*'ECT Trans'!I1</f>
        <v>1.01917808219178</v>
      </c>
      <c r="E7" s="524" t="s">
        <v>947</v>
      </c>
      <c r="F7" s="524"/>
      <c r="G7" s="524"/>
      <c r="H7" s="524"/>
    </row>
    <row r="8" customFormat="false" ht="12.75" hidden="false" customHeight="false" outlineLevel="0" collapsed="false">
      <c r="A8" s="524"/>
      <c r="B8" s="524"/>
      <c r="C8" s="524"/>
      <c r="D8" s="524"/>
      <c r="E8" s="524"/>
      <c r="F8" s="524"/>
      <c r="G8" s="524"/>
      <c r="H8" s="524"/>
    </row>
    <row r="9" customFormat="false" ht="12.75" hidden="false" customHeight="false" outlineLevel="0" collapsed="false">
      <c r="A9" s="524"/>
      <c r="B9" s="524"/>
      <c r="C9" s="524"/>
      <c r="D9" s="524"/>
      <c r="E9" s="524"/>
      <c r="F9" s="524"/>
      <c r="G9" s="524"/>
      <c r="H9" s="524"/>
    </row>
    <row r="10" customFormat="false" ht="12.75" hidden="false" customHeight="false" outlineLevel="0" collapsed="false">
      <c r="A10" s="525" t="s">
        <v>948</v>
      </c>
      <c r="B10" s="525" t="n">
        <v>889108</v>
      </c>
      <c r="C10" s="525"/>
      <c r="D10" s="524"/>
      <c r="E10" s="524"/>
      <c r="F10" s="524"/>
      <c r="G10" s="524"/>
      <c r="H10" s="524"/>
    </row>
    <row r="11" customFormat="false" ht="12.75" hidden="false" customHeight="false" outlineLevel="0" collapsed="false">
      <c r="A11" s="525" t="s">
        <v>242</v>
      </c>
      <c r="B11" s="525" t="s">
        <v>262</v>
      </c>
      <c r="F11" s="524"/>
      <c r="G11" s="524"/>
      <c r="H11" s="524"/>
    </row>
    <row r="12" customFormat="false" ht="12.75" hidden="false" customHeight="false" outlineLevel="0" collapsed="false">
      <c r="A12" s="524"/>
      <c r="B12" s="524" t="s">
        <v>949</v>
      </c>
      <c r="C12" s="524" t="s">
        <v>950</v>
      </c>
      <c r="D12" s="524" t="s">
        <v>946</v>
      </c>
      <c r="E12" s="524" t="s">
        <v>951</v>
      </c>
      <c r="F12" s="524"/>
      <c r="G12" s="524"/>
    </row>
    <row r="13" customFormat="false" ht="12.75" hidden="false" customHeight="false" outlineLevel="0" collapsed="false">
      <c r="A13" s="524" t="s">
        <v>347</v>
      </c>
      <c r="B13" s="526" t="n">
        <v>3.41</v>
      </c>
      <c r="C13" s="524" t="n">
        <v>108</v>
      </c>
      <c r="D13" s="524" t="n">
        <f aca="false">+D$7</f>
        <v>1.01917808219178</v>
      </c>
      <c r="E13" s="527" t="n">
        <f aca="false">(+C13)*B13*D13</f>
        <v>375.342904109589</v>
      </c>
      <c r="F13" s="524"/>
      <c r="G13" s="524"/>
      <c r="I13" s="526"/>
      <c r="J13" s="524"/>
      <c r="K13" s="524"/>
      <c r="L13" s="527"/>
    </row>
    <row r="14" customFormat="false" ht="12.75" hidden="false" customHeight="false" outlineLevel="0" collapsed="false">
      <c r="A14" s="524" t="s">
        <v>952</v>
      </c>
      <c r="B14" s="526" t="n">
        <v>3.217</v>
      </c>
      <c r="C14" s="524" t="n">
        <v>29</v>
      </c>
      <c r="D14" s="524" t="n">
        <f aca="false">+D$7</f>
        <v>1.01917808219178</v>
      </c>
      <c r="E14" s="527" t="n">
        <f aca="false">(+C14)*B14*D14</f>
        <v>95.0821808219178</v>
      </c>
      <c r="F14" s="524"/>
      <c r="G14" s="524"/>
      <c r="I14" s="526"/>
      <c r="J14" s="524"/>
      <c r="K14" s="524"/>
      <c r="L14" s="527"/>
    </row>
    <row r="15" customFormat="false" ht="12.75" hidden="false" customHeight="false" outlineLevel="0" collapsed="false">
      <c r="A15" s="524" t="s">
        <v>340</v>
      </c>
      <c r="B15" s="526" t="n">
        <v>6.965</v>
      </c>
      <c r="C15" s="524" t="n">
        <v>46</v>
      </c>
      <c r="D15" s="524" t="n">
        <f aca="false">+D$7</f>
        <v>1.01917808219178</v>
      </c>
      <c r="E15" s="527" t="n">
        <f aca="false">(+C15)*B15*D15</f>
        <v>326.534465753425</v>
      </c>
      <c r="F15" s="524"/>
      <c r="G15" s="524"/>
      <c r="I15" s="526"/>
      <c r="J15" s="524"/>
      <c r="K15" s="524"/>
      <c r="L15" s="527"/>
    </row>
    <row r="16" customFormat="false" ht="12.75" hidden="false" customHeight="false" outlineLevel="0" collapsed="false">
      <c r="A16" s="524" t="s">
        <v>540</v>
      </c>
      <c r="B16" s="526" t="n">
        <v>2.922</v>
      </c>
      <c r="C16" s="524" t="n">
        <v>70</v>
      </c>
      <c r="D16" s="524" t="n">
        <f aca="false">+D$7</f>
        <v>1.01917808219178</v>
      </c>
      <c r="E16" s="527" t="n">
        <f aca="false">(+C16)*B16*D16</f>
        <v>208.462684931507</v>
      </c>
      <c r="F16" s="524"/>
      <c r="G16" s="524"/>
      <c r="I16" s="526"/>
      <c r="J16" s="524"/>
      <c r="K16" s="524"/>
      <c r="L16" s="527"/>
    </row>
    <row r="17" customFormat="false" ht="12.75" hidden="false" customHeight="false" outlineLevel="0" collapsed="false">
      <c r="A17" s="528" t="s">
        <v>953</v>
      </c>
      <c r="B17" s="526" t="n">
        <v>1.912</v>
      </c>
      <c r="C17" s="524" t="n">
        <v>170</v>
      </c>
      <c r="D17" s="524" t="n">
        <f aca="false">+D$7</f>
        <v>1.01917808219178</v>
      </c>
      <c r="E17" s="527" t="n">
        <f aca="false">(+C17)*B17*D17</f>
        <v>331.273643835616</v>
      </c>
      <c r="F17" s="524"/>
      <c r="G17" s="524"/>
      <c r="I17" s="526"/>
      <c r="J17" s="524"/>
      <c r="K17" s="524"/>
      <c r="L17" s="527"/>
    </row>
    <row r="18" customFormat="false" ht="12.75" hidden="false" customHeight="false" outlineLevel="0" collapsed="false">
      <c r="A18" s="524" t="s">
        <v>954</v>
      </c>
      <c r="B18" s="526" t="n">
        <v>3.942</v>
      </c>
      <c r="C18" s="524" t="n">
        <v>170</v>
      </c>
      <c r="D18" s="524" t="n">
        <f aca="false">+D$7</f>
        <v>1.01917808219178</v>
      </c>
      <c r="E18" s="527" t="n">
        <f aca="false">(+C18)*B18*D18</f>
        <v>682.992</v>
      </c>
      <c r="F18" s="524"/>
      <c r="G18" s="524"/>
      <c r="I18" s="526"/>
      <c r="J18" s="524"/>
      <c r="K18" s="524"/>
      <c r="L18" s="527"/>
    </row>
    <row r="19" customFormat="false" ht="12.75" hidden="false" customHeight="false" outlineLevel="0" collapsed="false">
      <c r="A19" s="524" t="s">
        <v>955</v>
      </c>
      <c r="B19" s="526" t="n">
        <v>2.691</v>
      </c>
      <c r="C19" s="524" t="n">
        <v>168</v>
      </c>
      <c r="D19" s="524" t="n">
        <f aca="false">+D$7</f>
        <v>1.01917808219178</v>
      </c>
      <c r="E19" s="527" t="n">
        <f aca="false">(+C19)*B19*D19</f>
        <v>460.758180821918</v>
      </c>
      <c r="F19" s="524"/>
      <c r="G19" s="524"/>
      <c r="I19" s="526"/>
      <c r="J19" s="524"/>
      <c r="K19" s="524"/>
      <c r="L19" s="527"/>
    </row>
    <row r="20" customFormat="false" ht="12.75" hidden="false" customHeight="false" outlineLevel="0" collapsed="false">
      <c r="A20" s="524" t="s">
        <v>956</v>
      </c>
      <c r="B20" s="526" t="n">
        <v>3.853</v>
      </c>
      <c r="C20" s="524" t="n">
        <v>170</v>
      </c>
      <c r="D20" s="524" t="n">
        <f aca="false">+D$7</f>
        <v>1.01917808219178</v>
      </c>
      <c r="E20" s="527" t="n">
        <f aca="false">(+C20)*B20*D20</f>
        <v>667.571835616438</v>
      </c>
      <c r="F20" s="524"/>
      <c r="G20" s="524"/>
      <c r="I20" s="526"/>
      <c r="J20" s="524"/>
      <c r="K20" s="524"/>
      <c r="L20" s="527"/>
    </row>
    <row r="21" customFormat="false" ht="12.75" hidden="false" customHeight="false" outlineLevel="0" collapsed="false">
      <c r="A21" s="524" t="s">
        <v>957</v>
      </c>
      <c r="B21" s="526" t="n">
        <v>5.3279</v>
      </c>
      <c r="C21" s="524" t="n">
        <v>170</v>
      </c>
      <c r="D21" s="524" t="n">
        <f aca="false">+D$7</f>
        <v>1.01917808219178</v>
      </c>
      <c r="E21" s="527" t="n">
        <f aca="false">(+C21)*B21*D21</f>
        <v>923.11341369863</v>
      </c>
      <c r="F21" s="524"/>
      <c r="G21" s="524"/>
      <c r="I21" s="526"/>
      <c r="J21" s="524"/>
      <c r="K21" s="524"/>
      <c r="L21" s="527"/>
    </row>
    <row r="22" customFormat="false" ht="13.5" hidden="false" customHeight="false" outlineLevel="0" collapsed="false">
      <c r="A22" s="524"/>
      <c r="B22" s="524"/>
      <c r="C22" s="524"/>
      <c r="D22" s="524"/>
      <c r="E22" s="529" t="n">
        <f aca="false">SUM(E13:E21)</f>
        <v>4071.13130958904</v>
      </c>
      <c r="F22" s="524"/>
      <c r="G22" s="524"/>
      <c r="L22" s="530"/>
    </row>
    <row r="23" customFormat="false" ht="13.5" hidden="false" customHeight="false" outlineLevel="0" collapsed="false">
      <c r="A23" s="524"/>
      <c r="B23" s="524"/>
      <c r="C23" s="524"/>
      <c r="D23" s="524" t="s">
        <v>958</v>
      </c>
      <c r="E23" s="524" t="n">
        <f aca="false">+C19</f>
        <v>168</v>
      </c>
      <c r="F23" s="524"/>
      <c r="G23" s="524"/>
    </row>
    <row r="24" customFormat="false" ht="12.75" hidden="false" customHeight="false" outlineLevel="0" collapsed="false">
      <c r="A24" s="524"/>
      <c r="B24" s="524"/>
      <c r="C24" s="524"/>
      <c r="D24" s="524" t="s">
        <v>98</v>
      </c>
      <c r="E24" s="531" t="n">
        <f aca="false">+'ECT Trans'!I1</f>
        <v>31</v>
      </c>
      <c r="F24" s="524"/>
      <c r="G24" s="524"/>
    </row>
    <row r="25" customFormat="false" ht="13.5" hidden="false" customHeight="false" outlineLevel="0" collapsed="false">
      <c r="A25" s="524"/>
      <c r="B25" s="524"/>
      <c r="C25" s="524"/>
      <c r="D25" s="524" t="s">
        <v>959</v>
      </c>
      <c r="E25" s="532" t="n">
        <f aca="false">ROUND(+E22/E23/E24,4)</f>
        <v>0.7817</v>
      </c>
      <c r="F25" s="524"/>
      <c r="G25" s="524"/>
      <c r="L25" s="533"/>
    </row>
    <row r="26" customFormat="false" ht="13.5" hidden="false" customHeight="false" outlineLevel="0" collapsed="false">
      <c r="A26" s="524"/>
      <c r="B26" s="524"/>
      <c r="C26" s="524"/>
      <c r="D26" s="524"/>
      <c r="E26" s="524"/>
      <c r="F26" s="524"/>
      <c r="G26" s="524"/>
      <c r="H26" s="524"/>
    </row>
    <row r="27" customFormat="false" ht="12.75" hidden="false" customHeight="false" outlineLevel="0" collapsed="false">
      <c r="A27" s="525" t="s">
        <v>948</v>
      </c>
      <c r="B27" s="525" t="n">
        <v>889088</v>
      </c>
      <c r="F27" s="524"/>
      <c r="G27" s="524"/>
      <c r="H27" s="524"/>
    </row>
    <row r="28" customFormat="false" ht="12.75" hidden="false" customHeight="false" outlineLevel="0" collapsed="false">
      <c r="A28" s="525" t="s">
        <v>960</v>
      </c>
      <c r="B28" s="525" t="s">
        <v>262</v>
      </c>
      <c r="C28" s="525" t="s">
        <v>961</v>
      </c>
      <c r="D28" s="525"/>
      <c r="E28" s="525"/>
      <c r="F28" s="524"/>
      <c r="G28" s="524"/>
      <c r="H28" s="524"/>
    </row>
    <row r="29" customFormat="false" ht="12.75" hidden="false" customHeight="false" outlineLevel="0" collapsed="false">
      <c r="A29" s="524"/>
      <c r="B29" s="524" t="s">
        <v>949</v>
      </c>
      <c r="C29" s="524" t="s">
        <v>962</v>
      </c>
      <c r="D29" s="524" t="s">
        <v>963</v>
      </c>
      <c r="E29" s="524" t="s">
        <v>946</v>
      </c>
      <c r="F29" s="524" t="s">
        <v>951</v>
      </c>
      <c r="G29" s="524"/>
      <c r="H29" s="524"/>
    </row>
    <row r="30" customFormat="false" ht="12.75" hidden="false" customHeight="false" outlineLevel="0" collapsed="false">
      <c r="A30" s="524" t="s">
        <v>347</v>
      </c>
      <c r="B30" s="526" t="n">
        <v>3.633</v>
      </c>
      <c r="C30" s="524" t="n">
        <v>62</v>
      </c>
      <c r="D30" s="524" t="n">
        <v>32</v>
      </c>
      <c r="E30" s="524" t="n">
        <f aca="false">+D$7</f>
        <v>1.01917808219178</v>
      </c>
      <c r="F30" s="527" t="n">
        <f aca="false">(+C30+D30)*B30*E30</f>
        <v>348.051353424657</v>
      </c>
      <c r="G30" s="524"/>
      <c r="H30" s="524"/>
    </row>
    <row r="31" customFormat="false" ht="12.75" hidden="false" customHeight="false" outlineLevel="0" collapsed="false">
      <c r="A31" s="524" t="s">
        <v>952</v>
      </c>
      <c r="B31" s="526" t="n">
        <v>3.44</v>
      </c>
      <c r="C31" s="524" t="n">
        <v>17</v>
      </c>
      <c r="D31" s="524" t="n">
        <v>8</v>
      </c>
      <c r="E31" s="524" t="n">
        <f aca="false">+D$7</f>
        <v>1.01917808219178</v>
      </c>
      <c r="F31" s="527" t="n">
        <f aca="false">(+C31+D31)*B31*E31</f>
        <v>87.6493150684931</v>
      </c>
      <c r="G31" s="524"/>
      <c r="H31" s="524"/>
    </row>
    <row r="32" customFormat="false" ht="12.75" hidden="false" customHeight="false" outlineLevel="0" collapsed="false">
      <c r="A32" s="524" t="s">
        <v>340</v>
      </c>
      <c r="B32" s="526" t="n">
        <v>7.188</v>
      </c>
      <c r="C32" s="524" t="n">
        <v>28</v>
      </c>
      <c r="D32" s="524" t="n">
        <v>14</v>
      </c>
      <c r="E32" s="524" t="n">
        <f aca="false">+D$7</f>
        <v>1.01917808219178</v>
      </c>
      <c r="F32" s="527" t="n">
        <f aca="false">(+C32+D32)*B32*E32</f>
        <v>307.68578630137</v>
      </c>
      <c r="G32" s="524"/>
      <c r="H32" s="524"/>
    </row>
    <row r="33" customFormat="false" ht="12.75" hidden="false" customHeight="false" outlineLevel="0" collapsed="false">
      <c r="A33" s="524" t="s">
        <v>540</v>
      </c>
      <c r="B33" s="526" t="n">
        <v>3.145</v>
      </c>
      <c r="C33" s="524" t="n">
        <v>41</v>
      </c>
      <c r="D33" s="524" t="n">
        <v>21</v>
      </c>
      <c r="E33" s="524" t="n">
        <f aca="false">+D$7</f>
        <v>1.01917808219178</v>
      </c>
      <c r="F33" s="527" t="n">
        <f aca="false">(+C33+D33)*B33*E33</f>
        <v>198.729534246575</v>
      </c>
      <c r="G33" s="524"/>
      <c r="H33" s="524"/>
    </row>
    <row r="34" customFormat="false" ht="12.75" hidden="false" customHeight="false" outlineLevel="0" collapsed="false">
      <c r="A34" s="528" t="s">
        <v>953</v>
      </c>
      <c r="B34" s="526" t="n">
        <v>1.912</v>
      </c>
      <c r="C34" s="524" t="n">
        <v>102</v>
      </c>
      <c r="D34" s="524" t="n">
        <v>52</v>
      </c>
      <c r="E34" s="524" t="n">
        <f aca="false">+D$7</f>
        <v>1.01917808219178</v>
      </c>
      <c r="F34" s="527" t="n">
        <f aca="false">(+C34+D34)*B34*E34</f>
        <v>300.094947945205</v>
      </c>
      <c r="G34" s="524"/>
      <c r="H34" s="524"/>
    </row>
    <row r="35" customFormat="false" ht="12.75" hidden="false" customHeight="false" outlineLevel="0" collapsed="false">
      <c r="A35" s="524" t="s">
        <v>954</v>
      </c>
      <c r="B35" s="526" t="n">
        <v>3.942</v>
      </c>
      <c r="C35" s="524" t="n">
        <v>102</v>
      </c>
      <c r="D35" s="524" t="n">
        <v>51</v>
      </c>
      <c r="E35" s="524" t="n">
        <f aca="false">+D$7</f>
        <v>1.01917808219178</v>
      </c>
      <c r="F35" s="527" t="n">
        <f aca="false">(+C35+D35)*B35*E35</f>
        <v>614.6928</v>
      </c>
      <c r="G35" s="524"/>
      <c r="H35" s="524"/>
    </row>
    <row r="36" customFormat="false" ht="12.75" hidden="false" customHeight="false" outlineLevel="0" collapsed="false">
      <c r="A36" s="524" t="s">
        <v>955</v>
      </c>
      <c r="B36" s="526" t="n">
        <v>2.691</v>
      </c>
      <c r="C36" s="524" t="n">
        <v>100</v>
      </c>
      <c r="D36" s="524" t="n">
        <v>51</v>
      </c>
      <c r="E36" s="524" t="n">
        <f aca="false">+D$7</f>
        <v>1.01917808219178</v>
      </c>
      <c r="F36" s="527" t="n">
        <f aca="false">(+C36+D36)*B36*E36</f>
        <v>414.13384109589</v>
      </c>
      <c r="G36" s="524"/>
      <c r="H36" s="524"/>
    </row>
    <row r="37" customFormat="false" ht="12.75" hidden="false" customHeight="false" outlineLevel="0" collapsed="false">
      <c r="A37" s="524" t="s">
        <v>956</v>
      </c>
      <c r="B37" s="526" t="n">
        <v>4.076</v>
      </c>
      <c r="C37" s="524" t="n">
        <v>102</v>
      </c>
      <c r="D37" s="524" t="n">
        <v>52</v>
      </c>
      <c r="E37" s="524" t="n">
        <f aca="false">+D$7</f>
        <v>1.01917808219178</v>
      </c>
      <c r="F37" s="527" t="n">
        <f aca="false">(+C37+D37)*B37*E37</f>
        <v>639.742158904109</v>
      </c>
      <c r="G37" s="524"/>
      <c r="H37" s="524"/>
    </row>
    <row r="38" customFormat="false" ht="13.5" hidden="false" customHeight="false" outlineLevel="0" collapsed="false">
      <c r="A38" s="524"/>
      <c r="B38" s="524"/>
      <c r="C38" s="524"/>
      <c r="E38" s="524"/>
      <c r="F38" s="529" t="n">
        <f aca="false">SUM(F30:F37)</f>
        <v>2910.7797369863</v>
      </c>
      <c r="G38" s="524"/>
      <c r="H38" s="524"/>
    </row>
    <row r="39" customFormat="false" ht="13.5" hidden="false" customHeight="false" outlineLevel="0" collapsed="false">
      <c r="A39" s="524"/>
      <c r="B39" s="524"/>
      <c r="C39" s="524"/>
      <c r="E39" s="524" t="s">
        <v>958</v>
      </c>
      <c r="F39" s="524" t="n">
        <f aca="false">+D37+C37</f>
        <v>154</v>
      </c>
      <c r="G39" s="524"/>
      <c r="H39" s="524"/>
    </row>
    <row r="40" customFormat="false" ht="12.75" hidden="false" customHeight="false" outlineLevel="0" collapsed="false">
      <c r="A40" s="524"/>
      <c r="B40" s="524"/>
      <c r="C40" s="524"/>
      <c r="E40" s="524" t="s">
        <v>98</v>
      </c>
      <c r="F40" s="531" t="e">
        <f aca="false">+#REF!</f>
        <v>#REF!</v>
      </c>
      <c r="G40" s="524"/>
      <c r="H40" s="524"/>
    </row>
    <row r="41" customFormat="false" ht="13.5" hidden="false" customHeight="false" outlineLevel="0" collapsed="false">
      <c r="A41" s="524"/>
      <c r="B41" s="524"/>
      <c r="C41" s="524"/>
      <c r="E41" s="524" t="s">
        <v>959</v>
      </c>
      <c r="F41" s="532" t="e">
        <f aca="false">ROUND(+F38/F39/F40,4)</f>
        <v>#REF!</v>
      </c>
      <c r="G41" s="524"/>
      <c r="H41" s="524"/>
    </row>
    <row r="42" customFormat="false" ht="13.5" hidden="false" customHeight="false" outlineLevel="0" collapsed="false">
      <c r="A42" s="524"/>
      <c r="B42" s="524"/>
      <c r="C42" s="524"/>
      <c r="D42" s="524"/>
      <c r="E42" s="524"/>
      <c r="F42" s="524"/>
      <c r="G42" s="524"/>
      <c r="H42" s="524"/>
    </row>
    <row r="43" customFormat="false" ht="12.75" hidden="false" customHeight="false" outlineLevel="0" collapsed="false">
      <c r="A43" s="524"/>
      <c r="B43" s="524"/>
      <c r="C43" s="524"/>
      <c r="D43" s="524"/>
      <c r="E43" s="524"/>
      <c r="F43" s="524"/>
      <c r="G43" s="524"/>
      <c r="H43" s="524"/>
    </row>
    <row r="44" customFormat="false" ht="12.75" hidden="false" customHeight="false" outlineLevel="0" collapsed="false">
      <c r="A44" s="525" t="s">
        <v>948</v>
      </c>
      <c r="B44" s="525" t="n">
        <v>889110</v>
      </c>
      <c r="F44" s="524"/>
      <c r="G44" s="524"/>
      <c r="H44" s="524"/>
    </row>
    <row r="45" customFormat="false" ht="12.75" hidden="false" customHeight="false" outlineLevel="0" collapsed="false">
      <c r="A45" s="525" t="s">
        <v>242</v>
      </c>
      <c r="B45" s="525" t="s">
        <v>262</v>
      </c>
      <c r="C45" s="525"/>
      <c r="D45" s="525"/>
      <c r="E45" s="525"/>
      <c r="F45" s="524"/>
      <c r="G45" s="524"/>
      <c r="H45" s="524"/>
    </row>
    <row r="46" customFormat="false" ht="12.75" hidden="false" customHeight="false" outlineLevel="0" collapsed="false">
      <c r="A46" s="524"/>
      <c r="B46" s="524" t="s">
        <v>949</v>
      </c>
      <c r="C46" s="524" t="s">
        <v>964</v>
      </c>
      <c r="D46" s="524" t="s">
        <v>965</v>
      </c>
      <c r="E46" s="524" t="s">
        <v>946</v>
      </c>
      <c r="F46" s="524" t="s">
        <v>951</v>
      </c>
      <c r="G46" s="524"/>
      <c r="H46" s="524"/>
    </row>
    <row r="47" customFormat="false" ht="12.75" hidden="false" customHeight="false" outlineLevel="0" collapsed="false">
      <c r="A47" s="524" t="s">
        <v>347</v>
      </c>
      <c r="B47" s="526" t="n">
        <v>3.41</v>
      </c>
      <c r="C47" s="524" t="n">
        <v>13</v>
      </c>
      <c r="D47" s="524" t="n">
        <v>0</v>
      </c>
      <c r="E47" s="524" t="n">
        <f aca="false">+D$7</f>
        <v>1.01917808219178</v>
      </c>
      <c r="F47" s="527" t="n">
        <f aca="false">(+C47+D47)*B47*E47</f>
        <v>45.1801643835616</v>
      </c>
      <c r="G47" s="524"/>
      <c r="H47" s="524"/>
    </row>
    <row r="48" customFormat="false" ht="12.75" hidden="false" customHeight="false" outlineLevel="0" collapsed="false">
      <c r="A48" s="524" t="s">
        <v>952</v>
      </c>
      <c r="B48" s="526" t="n">
        <v>3.217</v>
      </c>
      <c r="C48" s="524" t="n">
        <v>4</v>
      </c>
      <c r="D48" s="524" t="n">
        <v>0</v>
      </c>
      <c r="E48" s="524" t="n">
        <f aca="false">+D$7</f>
        <v>1.01917808219178</v>
      </c>
      <c r="F48" s="527" t="n">
        <f aca="false">(+C48+D48)*B48*E48</f>
        <v>13.1147835616438</v>
      </c>
      <c r="G48" s="524"/>
      <c r="H48" s="524"/>
    </row>
    <row r="49" customFormat="false" ht="12.75" hidden="false" customHeight="false" outlineLevel="0" collapsed="false">
      <c r="A49" s="524" t="s">
        <v>340</v>
      </c>
      <c r="B49" s="526" t="n">
        <v>6.965</v>
      </c>
      <c r="C49" s="524" t="n">
        <v>6</v>
      </c>
      <c r="D49" s="524" t="n">
        <v>0</v>
      </c>
      <c r="E49" s="524" t="n">
        <f aca="false">+D$7</f>
        <v>1.01917808219178</v>
      </c>
      <c r="F49" s="527" t="n">
        <f aca="false">(+C49+D49)*B49*E49</f>
        <v>42.5914520547945</v>
      </c>
      <c r="G49" s="524"/>
      <c r="H49" s="524"/>
    </row>
    <row r="50" customFormat="false" ht="12.75" hidden="false" customHeight="false" outlineLevel="0" collapsed="false">
      <c r="A50" s="524" t="s">
        <v>540</v>
      </c>
      <c r="B50" s="526" t="n">
        <v>2.922</v>
      </c>
      <c r="C50" s="524" t="n">
        <v>9</v>
      </c>
      <c r="D50" s="524" t="n">
        <v>0</v>
      </c>
      <c r="E50" s="524" t="n">
        <f aca="false">+D$7</f>
        <v>1.01917808219178</v>
      </c>
      <c r="F50" s="527" t="n">
        <f aca="false">(+C50+D50)*B50*E50</f>
        <v>26.8023452054794</v>
      </c>
      <c r="G50" s="524"/>
      <c r="H50" s="524"/>
    </row>
    <row r="51" customFormat="false" ht="12.75" hidden="false" customHeight="false" outlineLevel="0" collapsed="false">
      <c r="A51" s="528" t="s">
        <v>953</v>
      </c>
      <c r="B51" s="526" t="n">
        <v>1.912</v>
      </c>
      <c r="C51" s="524" t="n">
        <v>21</v>
      </c>
      <c r="D51" s="524" t="n">
        <v>0</v>
      </c>
      <c r="E51" s="524" t="n">
        <f aca="false">+D$7</f>
        <v>1.01917808219178</v>
      </c>
      <c r="F51" s="527" t="n">
        <f aca="false">(+C51+D51)*B51*E51</f>
        <v>40.9220383561644</v>
      </c>
      <c r="G51" s="524"/>
      <c r="H51" s="524"/>
    </row>
    <row r="52" customFormat="false" ht="12.75" hidden="false" customHeight="false" outlineLevel="0" collapsed="false">
      <c r="A52" s="524" t="s">
        <v>954</v>
      </c>
      <c r="B52" s="526" t="n">
        <v>3.942</v>
      </c>
      <c r="C52" s="524" t="n">
        <v>21</v>
      </c>
      <c r="D52" s="524" t="n">
        <v>0</v>
      </c>
      <c r="E52" s="524" t="n">
        <f aca="false">+D$7</f>
        <v>1.01917808219178</v>
      </c>
      <c r="F52" s="527" t="n">
        <f aca="false">(+C52+D52)*B52*E52</f>
        <v>84.3696</v>
      </c>
      <c r="G52" s="524"/>
      <c r="H52" s="524"/>
    </row>
    <row r="53" customFormat="false" ht="12.75" hidden="false" customHeight="false" outlineLevel="0" collapsed="false">
      <c r="A53" s="524" t="s">
        <v>966</v>
      </c>
      <c r="B53" s="526" t="n">
        <v>3.796</v>
      </c>
      <c r="C53" s="524" t="n">
        <v>21</v>
      </c>
      <c r="D53" s="524" t="n">
        <v>0</v>
      </c>
      <c r="E53" s="524" t="n">
        <f aca="false">+D$7</f>
        <v>1.01917808219178</v>
      </c>
      <c r="F53" s="527" t="n">
        <f aca="false">(+C53+D53)*B53*E53</f>
        <v>81.2448</v>
      </c>
      <c r="G53" s="524"/>
      <c r="H53" s="524"/>
    </row>
    <row r="54" customFormat="false" ht="13.5" hidden="false" customHeight="false" outlineLevel="0" collapsed="false">
      <c r="A54" s="524"/>
      <c r="B54" s="524"/>
      <c r="C54" s="524"/>
      <c r="E54" s="524"/>
      <c r="F54" s="529" t="n">
        <f aca="false">SUM(F47:F53)</f>
        <v>334.225183561644</v>
      </c>
      <c r="G54" s="524"/>
      <c r="H54" s="524"/>
    </row>
    <row r="55" customFormat="false" ht="13.5" hidden="false" customHeight="false" outlineLevel="0" collapsed="false">
      <c r="A55" s="524"/>
      <c r="B55" s="524"/>
      <c r="C55" s="524"/>
      <c r="E55" s="524" t="s">
        <v>958</v>
      </c>
      <c r="F55" s="524" t="n">
        <f aca="false">+C52+D52</f>
        <v>21</v>
      </c>
      <c r="G55" s="524"/>
      <c r="H55" s="524"/>
    </row>
    <row r="56" customFormat="false" ht="12.75" hidden="false" customHeight="false" outlineLevel="0" collapsed="false">
      <c r="A56" s="524"/>
      <c r="B56" s="524"/>
      <c r="C56" s="524"/>
      <c r="E56" s="524" t="s">
        <v>98</v>
      </c>
      <c r="F56" s="531" t="n">
        <f aca="false">+'ECT Trans'!I1</f>
        <v>31</v>
      </c>
      <c r="G56" s="524"/>
      <c r="H56" s="524"/>
    </row>
    <row r="57" customFormat="false" ht="13.5" hidden="false" customHeight="false" outlineLevel="0" collapsed="false">
      <c r="A57" s="524"/>
      <c r="B57" s="524"/>
      <c r="C57" s="524"/>
      <c r="E57" s="524" t="s">
        <v>959</v>
      </c>
      <c r="F57" s="532" t="n">
        <f aca="false">ROUND(+F54/F55/F56,4)</f>
        <v>0.5134</v>
      </c>
      <c r="G57" s="524"/>
      <c r="H57" s="524"/>
    </row>
    <row r="58" customFormat="false" ht="13.5" hidden="false" customHeight="false" outlineLevel="0" collapsed="false">
      <c r="A58" s="524"/>
      <c r="B58" s="524"/>
      <c r="C58" s="524"/>
      <c r="D58" s="524"/>
      <c r="E58" s="524"/>
      <c r="F58" s="524"/>
      <c r="G58" s="524"/>
      <c r="H58" s="524"/>
    </row>
    <row r="59" customFormat="false" ht="12.75" hidden="false" customHeight="false" outlineLevel="0" collapsed="false">
      <c r="A59" s="524"/>
      <c r="B59" s="524"/>
      <c r="C59" s="524"/>
      <c r="D59" s="524"/>
      <c r="E59" s="524"/>
      <c r="F59" s="524"/>
      <c r="G59" s="524"/>
      <c r="H59" s="524"/>
    </row>
    <row r="60" customFormat="false" ht="12.75" hidden="false" customHeight="false" outlineLevel="0" collapsed="false">
      <c r="A60" s="525" t="s">
        <v>948</v>
      </c>
      <c r="B60" s="525" t="n">
        <v>889111</v>
      </c>
      <c r="F60" s="524"/>
      <c r="G60" s="524"/>
      <c r="H60" s="524"/>
    </row>
    <row r="61" customFormat="false" ht="12.75" hidden="false" customHeight="false" outlineLevel="0" collapsed="false">
      <c r="A61" s="525" t="s">
        <v>960</v>
      </c>
      <c r="B61" s="525" t="s">
        <v>262</v>
      </c>
      <c r="C61" s="525"/>
      <c r="D61" s="525"/>
      <c r="E61" s="525"/>
      <c r="F61" s="524"/>
      <c r="G61" s="524"/>
      <c r="H61" s="524"/>
    </row>
    <row r="62" customFormat="false" ht="12.75" hidden="false" customHeight="false" outlineLevel="0" collapsed="false">
      <c r="A62" s="524"/>
      <c r="B62" s="524" t="s">
        <v>949</v>
      </c>
      <c r="C62" s="524" t="s">
        <v>967</v>
      </c>
      <c r="D62" s="524" t="s">
        <v>965</v>
      </c>
      <c r="E62" s="524" t="s">
        <v>946</v>
      </c>
      <c r="F62" s="524" t="s">
        <v>951</v>
      </c>
      <c r="G62" s="524"/>
      <c r="H62" s="524"/>
    </row>
    <row r="63" customFormat="false" ht="12.75" hidden="false" customHeight="false" outlineLevel="0" collapsed="false">
      <c r="A63" s="524" t="s">
        <v>347</v>
      </c>
      <c r="B63" s="526" t="n">
        <v>3.637</v>
      </c>
      <c r="C63" s="524" t="n">
        <v>88</v>
      </c>
      <c r="D63" s="524" t="n">
        <v>0</v>
      </c>
      <c r="E63" s="524" t="n">
        <f aca="false">+D$7</f>
        <v>1.01917808219178</v>
      </c>
      <c r="F63" s="527" t="n">
        <f aca="false">(+C63+D63)*B63*E63</f>
        <v>326.194060273973</v>
      </c>
      <c r="G63" s="524"/>
      <c r="H63" s="524"/>
    </row>
    <row r="64" customFormat="false" ht="12.75" hidden="false" customHeight="false" outlineLevel="0" collapsed="false">
      <c r="A64" s="524" t="s">
        <v>952</v>
      </c>
      <c r="B64" s="526" t="n">
        <v>3.444</v>
      </c>
      <c r="C64" s="524" t="n">
        <v>24</v>
      </c>
      <c r="D64" s="524" t="n">
        <v>0</v>
      </c>
      <c r="E64" s="524" t="n">
        <f aca="false">+D$7</f>
        <v>1.01917808219178</v>
      </c>
      <c r="F64" s="527" t="n">
        <f aca="false">(+C64+D64)*B64*E64</f>
        <v>84.2411835616438</v>
      </c>
      <c r="G64" s="524"/>
      <c r="H64" s="524"/>
    </row>
    <row r="65" customFormat="false" ht="12.75" hidden="false" customHeight="false" outlineLevel="0" collapsed="false">
      <c r="A65" s="524" t="s">
        <v>340</v>
      </c>
      <c r="B65" s="526" t="n">
        <v>7.192</v>
      </c>
      <c r="C65" s="524" t="n">
        <v>39</v>
      </c>
      <c r="D65" s="524" t="n">
        <v>0</v>
      </c>
      <c r="E65" s="524" t="n">
        <f aca="false">+D$7</f>
        <v>1.01917808219178</v>
      </c>
      <c r="F65" s="527" t="n">
        <f aca="false">(+C65+D65)*B65*E65</f>
        <v>285.867221917808</v>
      </c>
      <c r="G65" s="524"/>
      <c r="H65" s="524"/>
    </row>
    <row r="66" customFormat="false" ht="12.75" hidden="false" customHeight="false" outlineLevel="0" collapsed="false">
      <c r="A66" s="524" t="s">
        <v>540</v>
      </c>
      <c r="B66" s="526" t="n">
        <v>3.156</v>
      </c>
      <c r="C66" s="524" t="n">
        <v>58</v>
      </c>
      <c r="D66" s="524" t="n">
        <v>0</v>
      </c>
      <c r="E66" s="524" t="n">
        <f aca="false">+D$7</f>
        <v>1.01917808219178</v>
      </c>
      <c r="F66" s="527" t="n">
        <f aca="false">(+C66+D66)*B66*E66</f>
        <v>186.558509589041</v>
      </c>
      <c r="G66" s="524"/>
      <c r="H66" s="524"/>
    </row>
    <row r="67" customFormat="false" ht="12.75" hidden="false" customHeight="false" outlineLevel="0" collapsed="false">
      <c r="A67" s="528" t="s">
        <v>953</v>
      </c>
      <c r="B67" s="526" t="n">
        <v>1.912</v>
      </c>
      <c r="C67" s="524" t="n">
        <v>141</v>
      </c>
      <c r="D67" s="524" t="n">
        <v>0</v>
      </c>
      <c r="E67" s="524" t="n">
        <f aca="false">+D$7</f>
        <v>1.01917808219178</v>
      </c>
      <c r="F67" s="527" t="n">
        <f aca="false">(+C67+D67)*B67*E67</f>
        <v>274.762257534247</v>
      </c>
      <c r="G67" s="524"/>
      <c r="H67" s="524"/>
    </row>
    <row r="68" customFormat="false" ht="12.75" hidden="false" customHeight="false" outlineLevel="0" collapsed="false">
      <c r="A68" s="524" t="s">
        <v>954</v>
      </c>
      <c r="B68" s="526" t="n">
        <v>3.942</v>
      </c>
      <c r="C68" s="524" t="n">
        <v>141</v>
      </c>
      <c r="D68" s="524" t="n">
        <v>0</v>
      </c>
      <c r="E68" s="524" t="n">
        <f aca="false">+D$7</f>
        <v>1.01917808219178</v>
      </c>
      <c r="F68" s="527" t="n">
        <f aca="false">(+C68+D68)*B68*E68</f>
        <v>566.4816</v>
      </c>
      <c r="G68" s="524"/>
      <c r="H68" s="524"/>
    </row>
    <row r="69" customFormat="false" ht="12.75" hidden="false" customHeight="false" outlineLevel="0" collapsed="false">
      <c r="A69" s="524" t="s">
        <v>955</v>
      </c>
      <c r="B69" s="526" t="n">
        <v>2.691</v>
      </c>
      <c r="C69" s="524" t="n">
        <v>138</v>
      </c>
      <c r="D69" s="524" t="n">
        <v>0</v>
      </c>
      <c r="E69" s="524" t="n">
        <f aca="false">+D$7</f>
        <v>1.01917808219178</v>
      </c>
      <c r="F69" s="527" t="n">
        <f aca="false">(+C69+D69)*B69*E69</f>
        <v>378.479934246575</v>
      </c>
      <c r="G69" s="524"/>
      <c r="H69" s="524"/>
    </row>
    <row r="70" customFormat="false" ht="12.75" hidden="false" customHeight="false" outlineLevel="0" collapsed="false">
      <c r="A70" s="524" t="s">
        <v>956</v>
      </c>
      <c r="B70" s="526" t="n">
        <v>4.066</v>
      </c>
      <c r="C70" s="524" t="n">
        <v>141</v>
      </c>
      <c r="D70" s="524" t="n">
        <v>0</v>
      </c>
      <c r="E70" s="524" t="n">
        <f aca="false">+D$7</f>
        <v>1.01917808219178</v>
      </c>
      <c r="F70" s="527" t="n">
        <f aca="false">(+C70+D70)*B70*E70</f>
        <v>584.300909589041</v>
      </c>
      <c r="G70" s="524"/>
      <c r="H70" s="524"/>
    </row>
    <row r="71" customFormat="false" ht="13.5" hidden="false" customHeight="false" outlineLevel="0" collapsed="false">
      <c r="A71" s="524"/>
      <c r="B71" s="524"/>
      <c r="C71" s="524"/>
      <c r="E71" s="524"/>
      <c r="F71" s="529" t="n">
        <f aca="false">SUM(F63:F70)</f>
        <v>2686.88567671233</v>
      </c>
      <c r="G71" s="524"/>
      <c r="H71" s="524"/>
    </row>
    <row r="72" customFormat="false" ht="13.5" hidden="false" customHeight="false" outlineLevel="0" collapsed="false">
      <c r="A72" s="524"/>
      <c r="B72" s="524"/>
      <c r="C72" s="524"/>
      <c r="E72" s="524" t="s">
        <v>958</v>
      </c>
      <c r="F72" s="524" t="n">
        <f aca="false">+C69+D69</f>
        <v>138</v>
      </c>
      <c r="G72" s="524"/>
      <c r="H72" s="524"/>
    </row>
    <row r="73" customFormat="false" ht="12.75" hidden="false" customHeight="false" outlineLevel="0" collapsed="false">
      <c r="A73" s="524"/>
      <c r="B73" s="524"/>
      <c r="C73" s="524"/>
      <c r="E73" s="524" t="s">
        <v>98</v>
      </c>
      <c r="F73" s="531" t="n">
        <f aca="false">+'ECT Trans'!I1</f>
        <v>31</v>
      </c>
      <c r="G73" s="524"/>
      <c r="H73" s="524"/>
    </row>
    <row r="74" customFormat="false" ht="13.5" hidden="false" customHeight="false" outlineLevel="0" collapsed="false">
      <c r="A74" s="524"/>
      <c r="B74" s="524"/>
      <c r="C74" s="524"/>
      <c r="E74" s="524" t="s">
        <v>959</v>
      </c>
      <c r="F74" s="532" t="n">
        <f aca="false">ROUND(+F71/F72/F73,4)</f>
        <v>0.6281</v>
      </c>
      <c r="G74" s="524"/>
      <c r="H74" s="524"/>
    </row>
    <row r="75" customFormat="false" ht="13.5" hidden="false" customHeight="false" outlineLevel="0" collapsed="false">
      <c r="A75" s="524"/>
      <c r="C75" s="524"/>
      <c r="D75" s="524"/>
      <c r="E75" s="524"/>
      <c r="F75" s="524"/>
      <c r="G75" s="524"/>
      <c r="H75" s="524"/>
      <c r="L75" s="73"/>
    </row>
    <row r="76" customFormat="false" ht="12.75" hidden="false" customHeight="false" outlineLevel="0" collapsed="false">
      <c r="A76" s="525" t="s">
        <v>948</v>
      </c>
      <c r="B76" s="525" t="n">
        <v>889112</v>
      </c>
      <c r="F76" s="524"/>
      <c r="G76" s="524"/>
      <c r="H76" s="524"/>
    </row>
    <row r="77" customFormat="false" ht="12.75" hidden="false" customHeight="false" outlineLevel="0" collapsed="false">
      <c r="A77" s="525" t="s">
        <v>242</v>
      </c>
      <c r="B77" s="525" t="s">
        <v>262</v>
      </c>
      <c r="C77" s="525"/>
      <c r="D77" s="525"/>
      <c r="E77" s="525"/>
      <c r="F77" s="524"/>
      <c r="G77" s="524"/>
      <c r="H77" s="524"/>
    </row>
    <row r="78" customFormat="false" ht="12.75" hidden="false" customHeight="false" outlineLevel="0" collapsed="false">
      <c r="A78" s="524"/>
      <c r="B78" s="524" t="s">
        <v>949</v>
      </c>
      <c r="C78" s="524" t="s">
        <v>968</v>
      </c>
      <c r="D78" s="524" t="s">
        <v>946</v>
      </c>
      <c r="E78" s="524" t="s">
        <v>951</v>
      </c>
      <c r="F78" s="524"/>
      <c r="G78" s="524"/>
    </row>
    <row r="79" customFormat="false" ht="12.75" hidden="false" customHeight="false" outlineLevel="0" collapsed="false">
      <c r="A79" s="524" t="s">
        <v>347</v>
      </c>
      <c r="B79" s="526" t="n">
        <v>3.41</v>
      </c>
      <c r="C79" s="524" t="n">
        <v>224</v>
      </c>
      <c r="D79" s="524" t="n">
        <f aca="false">+D$7</f>
        <v>1.01917808219178</v>
      </c>
      <c r="E79" s="527" t="n">
        <f aca="false">(+C79)*B79*D79</f>
        <v>778.48898630137</v>
      </c>
      <c r="F79" s="524"/>
      <c r="G79" s="524"/>
    </row>
    <row r="80" customFormat="false" ht="12.75" hidden="false" customHeight="false" outlineLevel="0" collapsed="false">
      <c r="A80" s="524" t="s">
        <v>952</v>
      </c>
      <c r="B80" s="526" t="n">
        <v>3.217</v>
      </c>
      <c r="C80" s="524" t="n">
        <v>60</v>
      </c>
      <c r="D80" s="524" t="n">
        <f aca="false">+D$7</f>
        <v>1.01917808219178</v>
      </c>
      <c r="E80" s="527" t="n">
        <f aca="false">(+C80)*B80*D80</f>
        <v>196.721753424658</v>
      </c>
      <c r="F80" s="524"/>
      <c r="G80" s="524"/>
    </row>
    <row r="81" customFormat="false" ht="12.75" hidden="false" customHeight="false" outlineLevel="0" collapsed="false">
      <c r="A81" s="524" t="s">
        <v>340</v>
      </c>
      <c r="B81" s="526" t="n">
        <v>6.965</v>
      </c>
      <c r="C81" s="524" t="n">
        <v>98</v>
      </c>
      <c r="D81" s="524" t="n">
        <f aca="false">+D$7</f>
        <v>1.01917808219178</v>
      </c>
      <c r="E81" s="527" t="n">
        <f aca="false">(+C81)*B81*D81</f>
        <v>695.660383561644</v>
      </c>
      <c r="F81" s="524"/>
      <c r="G81" s="524"/>
    </row>
    <row r="82" customFormat="false" ht="12.75" hidden="false" customHeight="false" outlineLevel="0" collapsed="false">
      <c r="A82" s="524" t="s">
        <v>540</v>
      </c>
      <c r="B82" s="526" t="n">
        <v>2.922</v>
      </c>
      <c r="C82" s="524" t="n">
        <v>145</v>
      </c>
      <c r="D82" s="524" t="n">
        <f aca="false">+D$7</f>
        <v>1.01917808219178</v>
      </c>
      <c r="E82" s="527" t="n">
        <f aca="false">(+C82)*B82*D82</f>
        <v>431.815561643836</v>
      </c>
      <c r="F82" s="524"/>
      <c r="G82" s="524"/>
    </row>
    <row r="83" customFormat="false" ht="12.75" hidden="false" customHeight="false" outlineLevel="0" collapsed="false">
      <c r="A83" s="528" t="s">
        <v>953</v>
      </c>
      <c r="B83" s="526" t="n">
        <v>1.912</v>
      </c>
      <c r="C83" s="524" t="n">
        <v>361</v>
      </c>
      <c r="D83" s="524" t="n">
        <f aca="false">+D$7</f>
        <v>1.01917808219178</v>
      </c>
      <c r="E83" s="527" t="n">
        <f aca="false">(+C83)*B83*D83</f>
        <v>703.469326027397</v>
      </c>
      <c r="F83" s="524"/>
      <c r="G83" s="524"/>
    </row>
    <row r="84" customFormat="false" ht="12.75" hidden="false" customHeight="false" outlineLevel="0" collapsed="false">
      <c r="A84" s="524" t="s">
        <v>954</v>
      </c>
      <c r="B84" s="526" t="n">
        <v>3.942</v>
      </c>
      <c r="C84" s="524" t="n">
        <v>358</v>
      </c>
      <c r="D84" s="524" t="n">
        <f aca="false">+D$7</f>
        <v>1.01917808219178</v>
      </c>
      <c r="E84" s="527" t="n">
        <f aca="false">(+C84)*B84*D84</f>
        <v>1438.3008</v>
      </c>
      <c r="F84" s="524"/>
      <c r="G84" s="524"/>
    </row>
    <row r="85" customFormat="false" ht="12.75" hidden="false" customHeight="false" outlineLevel="0" collapsed="false">
      <c r="A85" s="524" t="s">
        <v>955</v>
      </c>
      <c r="B85" s="526" t="n">
        <v>2.691</v>
      </c>
      <c r="C85" s="524" t="n">
        <v>352</v>
      </c>
      <c r="D85" s="524" t="n">
        <f aca="false">+D$7</f>
        <v>1.01917808219178</v>
      </c>
      <c r="E85" s="527" t="n">
        <f aca="false">(+C85)*B85*D85</f>
        <v>965.398093150685</v>
      </c>
      <c r="F85" s="524"/>
      <c r="G85" s="524"/>
    </row>
    <row r="86" customFormat="false" ht="12.75" hidden="false" customHeight="false" outlineLevel="0" collapsed="false">
      <c r="A86" s="524" t="s">
        <v>956</v>
      </c>
      <c r="B86" s="526" t="n">
        <v>3.853</v>
      </c>
      <c r="C86" s="524" t="n">
        <v>361</v>
      </c>
      <c r="D86" s="524" t="n">
        <f aca="false">+D$7</f>
        <v>1.01917808219178</v>
      </c>
      <c r="E86" s="527" t="n">
        <f aca="false">(+C86)*B86*D86</f>
        <v>1417.60842739726</v>
      </c>
      <c r="F86" s="524"/>
      <c r="G86" s="524"/>
    </row>
    <row r="87" customFormat="false" ht="13.5" hidden="false" customHeight="false" outlineLevel="0" collapsed="false">
      <c r="A87" s="524"/>
      <c r="B87" s="524"/>
      <c r="C87" s="524"/>
      <c r="D87" s="524"/>
      <c r="E87" s="529" t="n">
        <f aca="false">SUM(E79:E86)</f>
        <v>6627.46333150685</v>
      </c>
      <c r="F87" s="524"/>
      <c r="G87" s="524"/>
    </row>
    <row r="88" customFormat="false" ht="13.5" hidden="false" customHeight="false" outlineLevel="0" collapsed="false">
      <c r="A88" s="524"/>
      <c r="B88" s="524"/>
      <c r="C88" s="524"/>
      <c r="D88" s="524" t="s">
        <v>958</v>
      </c>
      <c r="E88" s="524" t="n">
        <f aca="false">+C85</f>
        <v>352</v>
      </c>
      <c r="F88" s="524"/>
      <c r="G88" s="524"/>
    </row>
    <row r="89" customFormat="false" ht="12.75" hidden="false" customHeight="false" outlineLevel="0" collapsed="false">
      <c r="A89" s="524"/>
      <c r="B89" s="524"/>
      <c r="C89" s="524"/>
      <c r="D89" s="524" t="s">
        <v>98</v>
      </c>
      <c r="E89" s="531" t="n">
        <f aca="false">+'ECT Trans'!I1</f>
        <v>31</v>
      </c>
      <c r="F89" s="524"/>
      <c r="G89" s="524"/>
    </row>
    <row r="90" customFormat="false" ht="13.5" hidden="false" customHeight="false" outlineLevel="0" collapsed="false">
      <c r="A90" s="524"/>
      <c r="B90" s="524"/>
      <c r="C90" s="524"/>
      <c r="D90" s="524" t="s">
        <v>959</v>
      </c>
      <c r="E90" s="532" t="n">
        <f aca="false">ROUND(+E87/E88/E89,4)</f>
        <v>0.6074</v>
      </c>
      <c r="F90" s="524"/>
      <c r="G90" s="524"/>
    </row>
    <row r="91" customFormat="false" ht="13.5" hidden="false" customHeight="false" outlineLevel="0" collapsed="false">
      <c r="A91" s="524"/>
      <c r="B91" s="524"/>
      <c r="C91" s="524"/>
      <c r="D91" s="524"/>
      <c r="E91" s="524"/>
      <c r="F91" s="524"/>
      <c r="G91" s="524"/>
      <c r="H91" s="524"/>
    </row>
    <row r="92" customFormat="false" ht="12.75" hidden="false" customHeight="false" outlineLevel="0" collapsed="false">
      <c r="A92" s="525" t="s">
        <v>948</v>
      </c>
      <c r="B92" s="525" t="n">
        <v>889090</v>
      </c>
      <c r="F92" s="524"/>
      <c r="G92" s="524"/>
      <c r="H92" s="524"/>
    </row>
    <row r="93" customFormat="false" ht="12.75" hidden="false" customHeight="false" outlineLevel="0" collapsed="false">
      <c r="A93" s="525" t="s">
        <v>242</v>
      </c>
      <c r="B93" s="525" t="s">
        <v>262</v>
      </c>
      <c r="C93" s="525"/>
      <c r="D93" s="525"/>
      <c r="E93" s="525"/>
      <c r="F93" s="524"/>
      <c r="G93" s="524"/>
      <c r="H93" s="524"/>
    </row>
    <row r="94" customFormat="false" ht="12.75" hidden="false" customHeight="false" outlineLevel="0" collapsed="false">
      <c r="A94" s="524"/>
      <c r="B94" s="524" t="s">
        <v>949</v>
      </c>
      <c r="C94" s="524" t="s">
        <v>969</v>
      </c>
      <c r="D94" s="524" t="s">
        <v>970</v>
      </c>
      <c r="E94" s="524" t="s">
        <v>946</v>
      </c>
      <c r="F94" s="524" t="s">
        <v>951</v>
      </c>
      <c r="G94" s="524"/>
      <c r="H94" s="524"/>
    </row>
    <row r="95" customFormat="false" ht="12.75" hidden="false" customHeight="false" outlineLevel="0" collapsed="false">
      <c r="A95" s="524" t="s">
        <v>347</v>
      </c>
      <c r="B95" s="526" t="n">
        <v>3.41</v>
      </c>
      <c r="C95" s="524" t="n">
        <v>9</v>
      </c>
      <c r="D95" s="524" t="n">
        <v>4</v>
      </c>
      <c r="E95" s="524" t="n">
        <f aca="false">+D$7</f>
        <v>1.01917808219178</v>
      </c>
      <c r="F95" s="527" t="n">
        <f aca="false">(+C95+D95)*B95*E95</f>
        <v>45.1801643835616</v>
      </c>
      <c r="G95" s="524"/>
      <c r="H95" s="524"/>
    </row>
    <row r="96" customFormat="false" ht="12.75" hidden="false" customHeight="false" outlineLevel="0" collapsed="false">
      <c r="A96" s="524" t="s">
        <v>952</v>
      </c>
      <c r="B96" s="526" t="n">
        <v>3.217</v>
      </c>
      <c r="C96" s="524" t="n">
        <v>2</v>
      </c>
      <c r="D96" s="524" t="n">
        <v>1</v>
      </c>
      <c r="E96" s="524" t="n">
        <f aca="false">+D$7</f>
        <v>1.01917808219178</v>
      </c>
      <c r="F96" s="527" t="n">
        <f aca="false">(+C96+D96)*B96*E96</f>
        <v>9.83608767123288</v>
      </c>
      <c r="G96" s="524"/>
      <c r="H96" s="524"/>
    </row>
    <row r="97" customFormat="false" ht="12.75" hidden="false" customHeight="false" outlineLevel="0" collapsed="false">
      <c r="A97" s="524" t="s">
        <v>340</v>
      </c>
      <c r="B97" s="526" t="n">
        <v>6.965</v>
      </c>
      <c r="C97" s="524" t="n">
        <v>3</v>
      </c>
      <c r="D97" s="524" t="n">
        <v>2</v>
      </c>
      <c r="E97" s="524" t="n">
        <f aca="false">+D$7</f>
        <v>1.01917808219178</v>
      </c>
      <c r="F97" s="527" t="n">
        <f aca="false">(+C97+D97)*B97*E97</f>
        <v>35.4928767123288</v>
      </c>
      <c r="G97" s="524"/>
      <c r="H97" s="524"/>
    </row>
    <row r="98" customFormat="false" ht="12.75" hidden="false" customHeight="false" outlineLevel="0" collapsed="false">
      <c r="A98" s="524" t="s">
        <v>540</v>
      </c>
      <c r="B98" s="526" t="n">
        <v>2.922</v>
      </c>
      <c r="C98" s="524" t="n">
        <v>5</v>
      </c>
      <c r="D98" s="524" t="n">
        <v>2</v>
      </c>
      <c r="E98" s="524" t="n">
        <f aca="false">+D$7</f>
        <v>1.01917808219178</v>
      </c>
      <c r="F98" s="527" t="n">
        <f aca="false">(+C98+D98)*B98*E98</f>
        <v>20.8462684931507</v>
      </c>
      <c r="G98" s="524"/>
      <c r="H98" s="524"/>
    </row>
    <row r="99" customFormat="false" ht="12.75" hidden="false" customHeight="false" outlineLevel="0" collapsed="false">
      <c r="A99" s="528" t="s">
        <v>953</v>
      </c>
      <c r="B99" s="526" t="n">
        <v>1.912</v>
      </c>
      <c r="C99" s="524" t="n">
        <v>16</v>
      </c>
      <c r="D99" s="524" t="n">
        <v>7</v>
      </c>
      <c r="E99" s="524" t="n">
        <f aca="false">+D$7</f>
        <v>1.01917808219178</v>
      </c>
      <c r="F99" s="527" t="n">
        <f aca="false">(+C99+D99)*B99*E99</f>
        <v>44.8193753424658</v>
      </c>
      <c r="G99" s="524"/>
      <c r="H99" s="524"/>
    </row>
    <row r="100" customFormat="false" ht="12.75" hidden="false" customHeight="false" outlineLevel="0" collapsed="false">
      <c r="A100" s="524" t="s">
        <v>954</v>
      </c>
      <c r="B100" s="526" t="n">
        <v>3.942</v>
      </c>
      <c r="C100" s="524" t="n">
        <v>16</v>
      </c>
      <c r="D100" s="524" t="n">
        <v>7</v>
      </c>
      <c r="E100" s="524" t="n">
        <f aca="false">+D$7</f>
        <v>1.01917808219178</v>
      </c>
      <c r="F100" s="527" t="n">
        <f aca="false">(+C100+D100)*B100*E100</f>
        <v>92.4048</v>
      </c>
      <c r="G100" s="524"/>
      <c r="H100" s="524"/>
    </row>
    <row r="101" customFormat="false" ht="12.75" hidden="false" customHeight="false" outlineLevel="0" collapsed="false">
      <c r="A101" s="524" t="s">
        <v>966</v>
      </c>
      <c r="B101" s="526" t="n">
        <v>3.796</v>
      </c>
      <c r="C101" s="524" t="n">
        <v>16</v>
      </c>
      <c r="D101" s="524" t="n">
        <v>7</v>
      </c>
      <c r="E101" s="524" t="n">
        <f aca="false">+D$7</f>
        <v>1.01917808219178</v>
      </c>
      <c r="F101" s="527" t="n">
        <f aca="false">(+C101+D101)*B101*E101</f>
        <v>88.9824</v>
      </c>
      <c r="G101" s="524"/>
      <c r="H101" s="524"/>
    </row>
    <row r="102" customFormat="false" ht="13.5" hidden="false" customHeight="false" outlineLevel="0" collapsed="false">
      <c r="A102" s="524"/>
      <c r="B102" s="526"/>
      <c r="C102" s="524"/>
      <c r="E102" s="524"/>
      <c r="F102" s="529" t="n">
        <f aca="false">SUM(F95:F101)</f>
        <v>337.56197260274</v>
      </c>
      <c r="G102" s="524"/>
      <c r="H102" s="524"/>
    </row>
    <row r="103" customFormat="false" ht="13.5" hidden="false" customHeight="false" outlineLevel="0" collapsed="false">
      <c r="A103" s="524"/>
      <c r="B103" s="524"/>
      <c r="C103" s="524"/>
      <c r="E103" s="524" t="s">
        <v>971</v>
      </c>
      <c r="F103" s="524" t="n">
        <f aca="false">+C101+D101</f>
        <v>23</v>
      </c>
      <c r="G103" s="524"/>
      <c r="H103" s="524"/>
    </row>
    <row r="104" customFormat="false" ht="12.75" hidden="false" customHeight="false" outlineLevel="0" collapsed="false">
      <c r="A104" s="524"/>
      <c r="B104" s="524"/>
      <c r="C104" s="524"/>
      <c r="E104" s="524" t="s">
        <v>98</v>
      </c>
      <c r="F104" s="531" t="n">
        <f aca="false">+'ECT Trans'!I1</f>
        <v>31</v>
      </c>
      <c r="G104" s="524"/>
      <c r="H104" s="524"/>
    </row>
    <row r="105" customFormat="false" ht="13.5" hidden="false" customHeight="false" outlineLevel="0" collapsed="false">
      <c r="A105" s="524"/>
      <c r="B105" s="524"/>
      <c r="C105" s="524"/>
      <c r="E105" s="524" t="s">
        <v>959</v>
      </c>
      <c r="F105" s="534" t="n">
        <f aca="false">ROUND(+F102/F103/F104,4)</f>
        <v>0.4734</v>
      </c>
      <c r="G105" s="524"/>
      <c r="H105" s="524"/>
    </row>
    <row r="106" customFormat="false" ht="13.5" hidden="false" customHeight="false" outlineLevel="0" collapsed="false">
      <c r="A106" s="524"/>
      <c r="B106" s="524"/>
      <c r="C106" s="524"/>
      <c r="D106" s="524"/>
      <c r="E106" s="535"/>
      <c r="F106" s="524"/>
      <c r="G106" s="524"/>
      <c r="H106" s="524"/>
    </row>
    <row r="107" customFormat="false" ht="12.75" hidden="false" customHeight="false" outlineLevel="0" collapsed="false">
      <c r="A107" s="524"/>
      <c r="B107" s="524"/>
      <c r="C107" s="524"/>
      <c r="D107" s="524"/>
      <c r="E107" s="535"/>
      <c r="F107" s="524"/>
      <c r="G107" s="524"/>
      <c r="H107" s="524"/>
    </row>
    <row r="108" customFormat="false" ht="12.75" hidden="false" customHeight="false" outlineLevel="0" collapsed="false">
      <c r="A108" s="524"/>
      <c r="B108" s="524"/>
      <c r="C108" s="524"/>
      <c r="D108" s="524"/>
      <c r="E108" s="535"/>
      <c r="F108" s="524"/>
      <c r="G108" s="524"/>
      <c r="H108" s="524"/>
    </row>
    <row r="109" customFormat="false" ht="12.75" hidden="false" customHeight="false" outlineLevel="0" collapsed="false">
      <c r="A109" s="525" t="s">
        <v>948</v>
      </c>
      <c r="B109" s="525" t="n">
        <v>888476</v>
      </c>
      <c r="F109" s="524"/>
      <c r="G109" s="524"/>
      <c r="H109" s="524"/>
    </row>
    <row r="110" customFormat="false" ht="12.75" hidden="false" customHeight="false" outlineLevel="0" collapsed="false">
      <c r="A110" s="525" t="s">
        <v>242</v>
      </c>
      <c r="B110" s="525" t="s">
        <v>972</v>
      </c>
      <c r="C110" s="525"/>
      <c r="D110" s="525"/>
      <c r="E110" s="525"/>
      <c r="F110" s="524"/>
      <c r="G110" s="524"/>
      <c r="H110" s="524"/>
    </row>
    <row r="111" customFormat="false" ht="12.75" hidden="false" customHeight="false" outlineLevel="0" collapsed="false">
      <c r="A111" s="524"/>
      <c r="B111" s="524" t="s">
        <v>949</v>
      </c>
      <c r="C111" s="524" t="s">
        <v>950</v>
      </c>
      <c r="D111" s="524"/>
      <c r="E111" s="524" t="s">
        <v>946</v>
      </c>
      <c r="F111" s="524" t="s">
        <v>951</v>
      </c>
      <c r="G111" s="524"/>
      <c r="H111" s="524"/>
    </row>
    <row r="112" customFormat="false" ht="12.75" hidden="false" customHeight="false" outlineLevel="0" collapsed="false">
      <c r="A112" s="524" t="s">
        <v>347</v>
      </c>
      <c r="B112" s="526" t="n">
        <v>3.414</v>
      </c>
      <c r="C112" s="524" t="n">
        <v>24</v>
      </c>
      <c r="D112" s="524"/>
      <c r="E112" s="524" t="n">
        <f aca="false">+D$7</f>
        <v>1.01917808219178</v>
      </c>
      <c r="F112" s="527" t="n">
        <f aca="false">(+C112+D112)*B112*E112</f>
        <v>83.5073753424658</v>
      </c>
      <c r="G112" s="524"/>
      <c r="H112" s="524"/>
    </row>
    <row r="113" customFormat="false" ht="12.75" hidden="false" customHeight="false" outlineLevel="0" collapsed="false">
      <c r="A113" s="524" t="s">
        <v>952</v>
      </c>
      <c r="B113" s="526" t="n">
        <v>3.221</v>
      </c>
      <c r="C113" s="524" t="n">
        <v>2</v>
      </c>
      <c r="D113" s="524"/>
      <c r="E113" s="524" t="n">
        <f aca="false">+D$7</f>
        <v>1.01917808219178</v>
      </c>
      <c r="F113" s="527" t="n">
        <f aca="false">(+C113+D113)*B113*E113</f>
        <v>6.56554520547945</v>
      </c>
      <c r="G113" s="536"/>
      <c r="H113" s="524"/>
    </row>
    <row r="114" customFormat="false" ht="12.75" hidden="false" customHeight="false" outlineLevel="0" collapsed="false">
      <c r="A114" s="524" t="s">
        <v>340</v>
      </c>
      <c r="B114" s="526" t="n">
        <v>6.969</v>
      </c>
      <c r="C114" s="524" t="n">
        <v>10</v>
      </c>
      <c r="D114" s="524"/>
      <c r="E114" s="524" t="n">
        <f aca="false">+D$7</f>
        <v>1.01917808219178</v>
      </c>
      <c r="F114" s="527" t="n">
        <f aca="false">(+C114+D114)*B114*E114</f>
        <v>71.0265205479452</v>
      </c>
      <c r="G114" s="537"/>
      <c r="H114" s="524"/>
    </row>
    <row r="115" customFormat="false" ht="12.75" hidden="false" customHeight="false" outlineLevel="0" collapsed="false">
      <c r="A115" s="524" t="s">
        <v>540</v>
      </c>
      <c r="B115" s="526" t="n">
        <v>2.933</v>
      </c>
      <c r="C115" s="524" t="n">
        <v>17</v>
      </c>
      <c r="D115" s="524"/>
      <c r="E115" s="524" t="n">
        <f aca="false">+D$7</f>
        <v>1.01917808219178</v>
      </c>
      <c r="F115" s="527" t="n">
        <f aca="false">(+C115+D115)*B115*E115</f>
        <v>50.8172383561644</v>
      </c>
      <c r="G115" s="537"/>
      <c r="H115" s="524"/>
    </row>
    <row r="116" customFormat="false" ht="12.75" hidden="false" customHeight="false" outlineLevel="0" collapsed="false">
      <c r="A116" s="528" t="s">
        <v>953</v>
      </c>
      <c r="B116" s="526" t="n">
        <v>1.891</v>
      </c>
      <c r="C116" s="524" t="n">
        <v>31</v>
      </c>
      <c r="D116" s="524"/>
      <c r="E116" s="524" t="n">
        <f aca="false">+D$7</f>
        <v>1.01917808219178</v>
      </c>
      <c r="F116" s="527" t="n">
        <f aca="false">(+C116+D116)*B116*E116</f>
        <v>59.7452383561644</v>
      </c>
      <c r="G116" s="538"/>
      <c r="H116" s="524"/>
    </row>
    <row r="117" customFormat="false" ht="12.75" hidden="false" customHeight="false" outlineLevel="0" collapsed="false">
      <c r="A117" s="524" t="s">
        <v>954</v>
      </c>
      <c r="B117" s="526" t="n">
        <v>3.9</v>
      </c>
      <c r="C117" s="524" t="n">
        <v>31</v>
      </c>
      <c r="D117" s="524"/>
      <c r="E117" s="524" t="n">
        <f aca="false">+D$7</f>
        <v>1.01917808219178</v>
      </c>
      <c r="F117" s="527" t="n">
        <f aca="false">(+C117+D117)*B117*E117</f>
        <v>123.218630136986</v>
      </c>
      <c r="G117" s="537"/>
      <c r="H117" s="524"/>
    </row>
    <row r="118" customFormat="false" ht="12.75" hidden="false" customHeight="false" outlineLevel="0" collapsed="false">
      <c r="A118" s="524" t="s">
        <v>966</v>
      </c>
      <c r="B118" s="526" t="n">
        <v>3.789</v>
      </c>
      <c r="C118" s="524" t="n">
        <v>31</v>
      </c>
      <c r="D118" s="524"/>
      <c r="E118" s="524" t="n">
        <f aca="false">+D$7</f>
        <v>1.01917808219178</v>
      </c>
      <c r="F118" s="527" t="n">
        <f aca="false">(+C118+D118)*B118*E118</f>
        <v>119.711638356164</v>
      </c>
      <c r="G118" s="533"/>
      <c r="H118" s="524"/>
    </row>
    <row r="119" customFormat="false" ht="13.5" hidden="false" customHeight="false" outlineLevel="0" collapsed="false">
      <c r="A119" s="524"/>
      <c r="B119" s="526"/>
      <c r="C119" s="524"/>
      <c r="E119" s="524"/>
      <c r="F119" s="529" t="n">
        <f aca="false">SUM(F112:F118)</f>
        <v>514.59218630137</v>
      </c>
      <c r="G119" s="533"/>
      <c r="H119" s="524"/>
    </row>
    <row r="120" customFormat="false" ht="13.5" hidden="false" customHeight="false" outlineLevel="0" collapsed="false">
      <c r="A120" s="524"/>
      <c r="B120" s="524"/>
      <c r="C120" s="524"/>
      <c r="E120" s="524" t="s">
        <v>971</v>
      </c>
      <c r="F120" s="524" t="n">
        <f aca="false">+C118+D118</f>
        <v>31</v>
      </c>
      <c r="G120" s="73"/>
    </row>
    <row r="121" customFormat="false" ht="12.75" hidden="false" customHeight="false" outlineLevel="0" collapsed="false">
      <c r="A121" s="524"/>
      <c r="B121" s="524"/>
      <c r="C121" s="524"/>
      <c r="E121" s="524" t="s">
        <v>98</v>
      </c>
      <c r="F121" s="531" t="n">
        <f aca="false">+'ECT Trans'!I1</f>
        <v>31</v>
      </c>
    </row>
    <row r="122" customFormat="false" ht="13.5" hidden="false" customHeight="false" outlineLevel="0" collapsed="false">
      <c r="A122" s="524"/>
      <c r="B122" s="524"/>
      <c r="C122" s="524"/>
      <c r="E122" s="524" t="s">
        <v>959</v>
      </c>
      <c r="F122" s="534" t="n">
        <f aca="false">ROUND(+F119/F120/F121,4)</f>
        <v>0.5355</v>
      </c>
    </row>
    <row r="123" customFormat="false" ht="13.5" hidden="false" customHeight="false" outlineLevel="0" collapsed="false"/>
    <row r="124" customFormat="false" ht="12.75" hidden="false" customHeight="false" outlineLevel="0" collapsed="false">
      <c r="A124" s="525" t="s">
        <v>948</v>
      </c>
      <c r="B124" s="525"/>
      <c r="F124" s="524"/>
    </row>
    <row r="125" customFormat="false" ht="12.75" hidden="false" customHeight="false" outlineLevel="0" collapsed="false">
      <c r="A125" s="525" t="s">
        <v>960</v>
      </c>
      <c r="B125" s="525"/>
      <c r="D125" s="525"/>
      <c r="E125" s="525"/>
      <c r="F125" s="524"/>
    </row>
    <row r="126" customFormat="false" ht="12.75" hidden="false" customHeight="false" outlineLevel="0" collapsed="false">
      <c r="A126" s="524"/>
      <c r="B126" s="524" t="s">
        <v>949</v>
      </c>
      <c r="C126" s="524" t="s">
        <v>968</v>
      </c>
      <c r="D126" s="524" t="s">
        <v>946</v>
      </c>
      <c r="E126" s="524" t="s">
        <v>951</v>
      </c>
    </row>
    <row r="127" customFormat="false" ht="12.75" hidden="false" customHeight="false" outlineLevel="0" collapsed="false">
      <c r="A127" s="524" t="s">
        <v>347</v>
      </c>
      <c r="B127" s="526" t="n">
        <v>3.633</v>
      </c>
      <c r="C127" s="524" t="n">
        <v>62</v>
      </c>
      <c r="D127" s="524" t="n">
        <f aca="false">+D$7</f>
        <v>1.01917808219178</v>
      </c>
      <c r="E127" s="527" t="n">
        <f aca="false">(+C127)*B127*D127</f>
        <v>229.56578630137</v>
      </c>
    </row>
    <row r="128" customFormat="false" ht="12.75" hidden="false" customHeight="false" outlineLevel="0" collapsed="false">
      <c r="A128" s="524" t="s">
        <v>952</v>
      </c>
      <c r="B128" s="526" t="n">
        <v>3.44</v>
      </c>
      <c r="C128" s="524" t="n">
        <v>17</v>
      </c>
      <c r="D128" s="524" t="n">
        <f aca="false">+D$7</f>
        <v>1.01917808219178</v>
      </c>
      <c r="E128" s="527" t="n">
        <f aca="false">(+C128)*B128*D128</f>
        <v>59.6015342465753</v>
      </c>
    </row>
    <row r="129" customFormat="false" ht="12.75" hidden="false" customHeight="false" outlineLevel="0" collapsed="false">
      <c r="A129" s="524" t="s">
        <v>340</v>
      </c>
      <c r="B129" s="526" t="n">
        <v>7.188</v>
      </c>
      <c r="C129" s="524" t="n">
        <v>28</v>
      </c>
      <c r="D129" s="524" t="n">
        <f aca="false">+D$7</f>
        <v>1.01917808219178</v>
      </c>
      <c r="E129" s="527" t="n">
        <f aca="false">(+C129)*B129*D129</f>
        <v>205.123857534247</v>
      </c>
    </row>
    <row r="130" customFormat="false" ht="12.75" hidden="false" customHeight="false" outlineLevel="0" collapsed="false">
      <c r="A130" s="524" t="s">
        <v>540</v>
      </c>
      <c r="B130" s="526" t="n">
        <v>3.145</v>
      </c>
      <c r="C130" s="524" t="n">
        <v>41</v>
      </c>
      <c r="D130" s="524" t="n">
        <f aca="false">+D$7</f>
        <v>1.01917808219178</v>
      </c>
      <c r="E130" s="527" t="n">
        <f aca="false">(+C130)*B130*D130</f>
        <v>131.417917808219</v>
      </c>
    </row>
    <row r="131" customFormat="false" ht="12.75" hidden="false" customHeight="false" outlineLevel="0" collapsed="false">
      <c r="A131" s="528" t="s">
        <v>953</v>
      </c>
      <c r="B131" s="526" t="n">
        <v>1.912</v>
      </c>
      <c r="C131" s="524" t="n">
        <v>102</v>
      </c>
      <c r="D131" s="524" t="n">
        <f aca="false">+D$7</f>
        <v>1.01917808219178</v>
      </c>
      <c r="E131" s="527" t="n">
        <f aca="false">(+C131)*B131*D131</f>
        <v>198.76418630137</v>
      </c>
    </row>
    <row r="132" customFormat="false" ht="12.75" hidden="false" customHeight="false" outlineLevel="0" collapsed="false">
      <c r="A132" s="524" t="s">
        <v>954</v>
      </c>
      <c r="B132" s="526" t="n">
        <v>3.942</v>
      </c>
      <c r="C132" s="524" t="n">
        <v>102</v>
      </c>
      <c r="D132" s="524" t="n">
        <f aca="false">+D$7</f>
        <v>1.01917808219178</v>
      </c>
      <c r="E132" s="527" t="n">
        <f aca="false">(+C132)*B132*D132</f>
        <v>409.7952</v>
      </c>
    </row>
    <row r="133" customFormat="false" ht="12.75" hidden="false" customHeight="false" outlineLevel="0" collapsed="false">
      <c r="A133" s="524" t="s">
        <v>955</v>
      </c>
      <c r="B133" s="526" t="n">
        <v>2.691</v>
      </c>
      <c r="C133" s="524" t="n">
        <v>100</v>
      </c>
      <c r="D133" s="524" t="n">
        <f aca="false">+D$7</f>
        <v>1.01917808219178</v>
      </c>
      <c r="E133" s="527" t="n">
        <f aca="false">(+C133)*B133*D133</f>
        <v>274.260821917808</v>
      </c>
    </row>
    <row r="134" customFormat="false" ht="12.75" hidden="false" customHeight="false" outlineLevel="0" collapsed="false">
      <c r="A134" s="524" t="s">
        <v>956</v>
      </c>
      <c r="B134" s="526" t="n">
        <v>4.076</v>
      </c>
      <c r="C134" s="524" t="n">
        <v>102</v>
      </c>
      <c r="D134" s="524" t="n">
        <f aca="false">+D$7</f>
        <v>1.01917808219178</v>
      </c>
      <c r="E134" s="527" t="n">
        <f aca="false">(+C134)*B134*D134</f>
        <v>423.725326027397</v>
      </c>
    </row>
    <row r="135" customFormat="false" ht="13.5" hidden="false" customHeight="false" outlineLevel="0" collapsed="false">
      <c r="A135" s="524"/>
      <c r="B135" s="524"/>
      <c r="C135" s="524"/>
      <c r="D135" s="524"/>
      <c r="E135" s="529" t="n">
        <f aca="false">SUM(E127:E134)</f>
        <v>1932.25463013699</v>
      </c>
    </row>
    <row r="136" customFormat="false" ht="13.5" hidden="false" customHeight="false" outlineLevel="0" collapsed="false">
      <c r="A136" s="524"/>
      <c r="B136" s="524"/>
      <c r="C136" s="524"/>
      <c r="D136" s="524" t="s">
        <v>958</v>
      </c>
      <c r="E136" s="524" t="e">
        <f aca="false">+#REF!+C134</f>
        <v>#REF!</v>
      </c>
    </row>
    <row r="137" customFormat="false" ht="12.75" hidden="false" customHeight="false" outlineLevel="0" collapsed="false">
      <c r="A137" s="524"/>
      <c r="B137" s="524"/>
      <c r="C137" s="524"/>
      <c r="D137" s="524" t="s">
        <v>98</v>
      </c>
      <c r="E137" s="531" t="e">
        <f aca="false">+#REF!</f>
        <v>#REF!</v>
      </c>
    </row>
    <row r="138" customFormat="false" ht="13.5" hidden="false" customHeight="false" outlineLevel="0" collapsed="false">
      <c r="A138" s="524"/>
      <c r="B138" s="524"/>
      <c r="C138" s="524"/>
      <c r="D138" s="524" t="s">
        <v>959</v>
      </c>
      <c r="E138" s="532" t="e">
        <f aca="false">ROUND(+E135/E136/E137,4)</f>
        <v>#REF!</v>
      </c>
    </row>
    <row r="13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2000-05-12T18:03:01Z</cp:lastPrinted>
  <cp:revision>0</cp:revision>
  <dc:subject/>
  <dc:title/>
</cp:coreProperties>
</file>