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&amp; Pooling" sheetId="1" state="visible" r:id="rId3"/>
    <sheet name="CES IT" sheetId="2" state="visible" r:id="rId4"/>
    <sheet name="CES Wholesale" sheetId="3" state="visible" r:id="rId5"/>
    <sheet name="ECT Trans" sheetId="4" state="visible" r:id="rId6"/>
    <sheet name="Matrix Apr" sheetId="5" state="visible" r:id="rId7"/>
    <sheet name="Rates" sheetId="6" state="visible" r:id="rId8"/>
    <sheet name="Offseason Rate" sheetId="7" state="visible" r:id="rId9"/>
    <sheet name="Special Rates" sheetId="8" state="visible" r:id="rId10"/>
    <sheet name="Dmd Chrg Calc" sheetId="9" state="visible" r:id="rId11"/>
    <sheet name="Basis" sheetId="10" state="visible" r:id="rId12"/>
    <sheet name="Production" sheetId="11" state="visible" r:id="rId13"/>
    <sheet name="Cashout" sheetId="12" state="visible" r:id="rId14"/>
    <sheet name="Sheet2" sheetId="13" state="visible" r:id="rId15"/>
    <sheet name="Transport Deal Tickets" sheetId="14" state="visible" r:id="rId16"/>
  </sheets>
  <definedNames>
    <definedName function="false" hidden="false" localSheetId="9" name="_xlnm.Print_Area" vbProcedure="false">Basis!$A$33:$I$42</definedName>
    <definedName function="false" hidden="false" localSheetId="3" name="_xlnm.Print_Area" vbProcedure="false">'ECT Trans'!$A$1:$W$170</definedName>
    <definedName function="false" hidden="false" localSheetId="4" name="_xlnm.Print_Area" vbProcedure="false">'Matrix Apr'!$A$3:$M$74</definedName>
    <definedName function="false" hidden="false" localSheetId="5" name="_xlnm.Print_Area" vbProcedure="false">Rates!$S$1:$X$72</definedName>
    <definedName function="false" hidden="false" localSheetId="13" name="_xlnm.Print_Area" vbProcedure="false">'Transport Deal Tickets'!$A$13:$I$50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<sst xmlns="http://schemas.openxmlformats.org/spreadsheetml/2006/main" count="3928" uniqueCount="1087">
  <si>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</si>
  <si>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</si>
  <si>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</si>
  <si>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</si>
  <si>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</si>
  <si>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</si>
  <si>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</si>
  <si>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</si>
  <si>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</si>
  <si>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</si>
  <si>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</si>
  <si>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</si>
  <si>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</si>
  <si>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</si>
  <si>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</si>
  <si>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</si>
  <si>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</si>
  <si>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</si>
  <si>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</si>
  <si>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</si>
  <si>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</si>
  <si>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</si>
  <si>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</si>
  <si>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</si>
  <si>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</si>
  <si>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</si>
  <si>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</si>
  <si>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</si>
  <si>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</si>
  <si>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</si>
  <si>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</si>
  <si>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</si>
  <si>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</si>
  <si>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</si>
  <si>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</si>
  <si>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</si>
  <si>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</si>
  <si>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</si>
  <si>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</si>
  <si>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</si>
  <si>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</si>
  <si>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</si>
  <si>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</si>
  <si>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</si>
  <si>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</si>
  <si>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</si>
  <si>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</si>
  <si>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</si>
  <si>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</si>
  <si>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</si>
  <si>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</si>
  <si>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</si>
  <si>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buy</t>
  </si>
  <si>
    <t xml:space="preserve">1/1/2000 Evergreen</t>
  </si>
  <si>
    <t xml:space="preserve">G0010</t>
  </si>
  <si>
    <t xml:space="preserve">8G0010</t>
  </si>
  <si>
    <t xml:space="preserve">G0011</t>
  </si>
  <si>
    <t xml:space="preserve">8G0011</t>
  </si>
  <si>
    <t xml:space="preserve">G0012</t>
  </si>
  <si>
    <t xml:space="preserve">8G0012</t>
  </si>
  <si>
    <t xml:space="preserve">G0013</t>
  </si>
  <si>
    <t xml:space="preserve">8G0013</t>
  </si>
  <si>
    <t xml:space="preserve">G0014</t>
  </si>
  <si>
    <t xml:space="preserve">8G0014</t>
  </si>
  <si>
    <t xml:space="preserve">T0010</t>
  </si>
  <si>
    <t xml:space="preserve">8T0010</t>
  </si>
  <si>
    <t xml:space="preserve">T0011</t>
  </si>
  <si>
    <t xml:space="preserve">8T0011</t>
  </si>
  <si>
    <t xml:space="preserve">T0012</t>
  </si>
  <si>
    <t xml:space="preserve">8T0012</t>
  </si>
  <si>
    <t xml:space="preserve">T0013</t>
  </si>
  <si>
    <t xml:space="preserve">8T0013</t>
  </si>
  <si>
    <t xml:space="preserve">T0014</t>
  </si>
  <si>
    <t xml:space="preserve">8T0014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</si>
  <si>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</si>
  <si>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</si>
  <si>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</si>
  <si>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</si>
  <si>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</si>
  <si>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</si>
  <si>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</si>
  <si>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</si>
  <si>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</si>
  <si>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</si>
  <si>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</si>
  <si>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</si>
  <si>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</si>
  <si>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</si>
  <si>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</si>
  <si>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</si>
  <si>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</si>
  <si>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</si>
  <si>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</si>
  <si>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</si>
  <si>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</si>
  <si>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</si>
  <si>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</si>
  <si>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</si>
  <si>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</si>
  <si>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</si>
  <si>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</si>
  <si>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</si>
  <si>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</si>
  <si>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</si>
  <si>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</si>
  <si>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</si>
  <si>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</si>
  <si>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</si>
  <si>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</si>
  <si>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</si>
  <si>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</si>
  <si>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</si>
  <si>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</si>
  <si>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</si>
  <si>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</si>
  <si>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</si>
  <si>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</si>
  <si>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</si>
  <si>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</si>
  <si>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</si>
  <si>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</si>
  <si>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</si>
  <si>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</si>
  <si>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</si>
  <si>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</si>
  <si>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</si>
  <si>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</si>
  <si>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</si>
  <si>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</si>
  <si>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</si>
  <si>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</si>
  <si>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</si>
  <si>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</si>
  <si>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</si>
  <si>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</si>
  <si>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</si>
  <si>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</si>
  <si>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</si>
  <si>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</si>
  <si>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</si>
  <si>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</si>
  <si>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</si>
  <si>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</si>
  <si>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</si>
  <si>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</si>
  <si>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</si>
  <si>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CES Wholesale East Desk Transportation Capacity for Apr, 2000</t>
  </si>
  <si>
    <t xml:space="preserve">New K#</t>
  </si>
  <si>
    <t xml:space="preserve">Old K#</t>
  </si>
  <si>
    <t xml:space="preserve">New Sitara</t>
  </si>
  <si>
    <t xml:space="preserve">Old Sitara</t>
  </si>
  <si>
    <t xml:space="preserve">ENA</t>
  </si>
  <si>
    <t xml:space="preserve">50004 Finnefrock</t>
  </si>
  <si>
    <t xml:space="preserve">20500 NIMO</t>
  </si>
  <si>
    <t xml:space="preserve">FTNN</t>
  </si>
  <si>
    <t xml:space="preserve">60004 Finnefrock</t>
  </si>
  <si>
    <t xml:space="preserve">MARQ</t>
  </si>
  <si>
    <t xml:space="preserve">Venice</t>
  </si>
  <si>
    <t xml:space="preserve">Onshore capacity - 20,000 day Venice receipt, CES has exclusive right of termination.</t>
  </si>
  <si>
    <t xml:space="preserve">Leach</t>
  </si>
  <si>
    <t xml:space="preserve">Mainline capacity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</si>
  <si>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</si>
  <si>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</si>
  <si>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</si>
  <si>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</si>
  <si>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Onshore capacity - 5,395 venice capacity.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</si>
  <si>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</si>
  <si>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</si>
  <si>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</si>
  <si>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140440/155261</t>
  </si>
  <si>
    <t xml:space="preserve">3/24/2000 Veronica with CGLF will try to find the contract terms for this deal.</t>
  </si>
  <si>
    <t xml:space="preserve">Penn Fuel</t>
  </si>
  <si>
    <t xml:space="preserve">270010 Rayne</t>
  </si>
  <si>
    <t xml:space="preserve">801 Leach</t>
  </si>
  <si>
    <t xml:space="preserve">#26785, Penn Fuel</t>
  </si>
  <si>
    <t xml:space="preserve">Release to NUI Energy Brokers</t>
  </si>
  <si>
    <t xml:space="preserve">Release to UGI Energy Services</t>
  </si>
  <si>
    <t xml:space="preserve">56-25 PFG-04 Lancaster</t>
  </si>
  <si>
    <t xml:space="preserve">#26782, Penn Fuel asset management capacity</t>
  </si>
  <si>
    <t xml:space="preserve">56-29 PFG-04 Downington</t>
  </si>
  <si>
    <t xml:space="preserve">56W PFG-08 Olean</t>
  </si>
  <si>
    <t xml:space="preserve">NUI Energy Brokers</t>
  </si>
  <si>
    <t xml:space="preserve">UGI Energy Services</t>
  </si>
  <si>
    <t xml:space="preserve">CES/CALP</t>
  </si>
  <si>
    <t xml:space="preserve">Broad run</t>
  </si>
  <si>
    <t xml:space="preserve">CALP</t>
  </si>
  <si>
    <t xml:space="preserve">Primary delivery to constrained area on TCO 5-7.  For Retail needs.</t>
  </si>
  <si>
    <t xml:space="preserve">Type</t>
  </si>
  <si>
    <t xml:space="preserve">CES </t>
  </si>
  <si>
    <t xml:space="preserve">Egan Hub Partners, LP</t>
  </si>
  <si>
    <t xml:space="preserve">Strg</t>
  </si>
  <si>
    <t xml:space="preserve">FSS</t>
  </si>
  <si>
    <t xml:space="preserve">FSS-001</t>
  </si>
  <si>
    <t xml:space="preserve">Egan storage, John Hodge is the dealmaker, interconnects with Trunk, Tenn, TGT, CGLF, TGT, ANR.  No withdrawal charges, Injection = $.005 and 1.5% fuel</t>
  </si>
  <si>
    <t xml:space="preserve">FTS</t>
  </si>
  <si>
    <t xml:space="preserve">Environgas</t>
  </si>
  <si>
    <t xml:space="preserve">Tetco</t>
  </si>
  <si>
    <t xml:space="preserve">Access</t>
  </si>
  <si>
    <t xml:space="preserve">M3</t>
  </si>
  <si>
    <t xml:space="preserve">FT-1</t>
  </si>
  <si>
    <t xml:space="preserve">Killed deal 155389 setup as FTS.</t>
  </si>
  <si>
    <t xml:space="preserve">158412  232999</t>
  </si>
  <si>
    <t xml:space="preserve">155385  233003</t>
  </si>
  <si>
    <t xml:space="preserve">Stingray</t>
  </si>
  <si>
    <t xml:space="preserve">Devon</t>
  </si>
  <si>
    <t xml:space="preserve">Total Demand</t>
  </si>
  <si>
    <t xml:space="preserve">Penn Fuel Reimbursements</t>
  </si>
  <si>
    <t xml:space="preserve">Net East Desk Demand</t>
  </si>
  <si>
    <t xml:space="preserve">East Desk Transportation Capacity for Apr, 2000</t>
  </si>
  <si>
    <t xml:space="preserve">Unsusal Items</t>
  </si>
  <si>
    <t xml:space="preserve">Sitara </t>
  </si>
  <si>
    <t xml:space="preserve">fuel $</t>
  </si>
  <si>
    <t xml:space="preserve">Est demand</t>
  </si>
  <si>
    <t xml:space="preserve">Act demand</t>
  </si>
  <si>
    <t xml:space="preserve">Algo</t>
  </si>
  <si>
    <t xml:space="preserve">Bay State</t>
  </si>
  <si>
    <t xml:space="preserve">???</t>
  </si>
  <si>
    <t xml:space="preserve">Lambertville</t>
  </si>
  <si>
    <t xml:space="preserve">Brockton</t>
  </si>
  <si>
    <t xml:space="preserve">y</t>
  </si>
  <si>
    <t xml:space="preserve">#</t>
  </si>
  <si>
    <t xml:space="preserve">Tauton</t>
  </si>
  <si>
    <t xml:space="preserve">Y</t>
  </si>
  <si>
    <t xml:space="preserve">#3664</t>
  </si>
  <si>
    <t xml:space="preserve">Centerville</t>
  </si>
  <si>
    <t xml:space="preserve">#3665</t>
  </si>
  <si>
    <t xml:space="preserve">Change eff 5/1/2000</t>
  </si>
  <si>
    <t xml:space="preserve">#3676</t>
  </si>
  <si>
    <t xml:space="preserve">Trco</t>
  </si>
  <si>
    <t xml:space="preserve">Z6</t>
  </si>
  <si>
    <t xml:space="preserve">Z1</t>
  </si>
  <si>
    <t xml:space="preserve">n</t>
  </si>
  <si>
    <t xml:space="preserve">Purchased from Transco, demand and commodity will be billed on k#3.4115</t>
  </si>
  <si>
    <t xml:space="preserve">Con ED</t>
  </si>
  <si>
    <t xml:space="preserve">Station 62</t>
  </si>
  <si>
    <t xml:space="preserve">6571 Con Ed</t>
  </si>
  <si>
    <t xml:space="preserve">N</t>
  </si>
  <si>
    <t xml:space="preserve">3.4144 / .7537</t>
  </si>
  <si>
    <t xml:space="preserve">#18908, Released Month to Month thru October</t>
  </si>
  <si>
    <t xml:space="preserve">Station 65</t>
  </si>
  <si>
    <t xml:space="preserve">3.4358 / .7537</t>
  </si>
  <si>
    <t xml:space="preserve">#18972</t>
  </si>
  <si>
    <t xml:space="preserve">BG&amp;E</t>
  </si>
  <si>
    <t xml:space="preserve">Utos</t>
  </si>
  <si>
    <t xml:space="preserve">St 65</t>
  </si>
  <si>
    <t xml:space="preserve">3.4271 / .7537</t>
  </si>
  <si>
    <t xml:space="preserve">#18944</t>
  </si>
  <si>
    <t xml:space="preserve">PSE&amp;G</t>
  </si>
  <si>
    <t xml:space="preserve">6161 Leidy</t>
  </si>
  <si>
    <t xml:space="preserve">3.4367/3.4366</t>
  </si>
  <si>
    <t xml:space="preserve">#019121</t>
  </si>
  <si>
    <t xml:space="preserve">231754/231748</t>
  </si>
  <si>
    <t xml:space="preserve">Segment</t>
  </si>
  <si>
    <t xml:space="preserve">4123 T-Bone</t>
  </si>
  <si>
    <t xml:space="preserve">6677 St James</t>
  </si>
  <si>
    <t xml:space="preserve">3.4371/.7537</t>
  </si>
  <si>
    <t xml:space="preserve">#019092</t>
  </si>
  <si>
    <t xml:space="preserve">No Sitara/Segment</t>
  </si>
  <si>
    <t xml:space="preserve">6268 -St. James Faust</t>
  </si>
  <si>
    <t xml:space="preserve">3.4372/.7537</t>
  </si>
  <si>
    <t xml:space="preserve">#019093</t>
  </si>
  <si>
    <t xml:space="preserve">6268-St James Faust</t>
  </si>
  <si>
    <t xml:space="preserve">7164 Zen</t>
  </si>
  <si>
    <t xml:space="preserve">3.4373/.7537</t>
  </si>
  <si>
    <t xml:space="preserve">#019094</t>
  </si>
  <si>
    <t xml:space="preserve">CVPT</t>
  </si>
  <si>
    <t xml:space="preserve">FPS1024</t>
  </si>
  <si>
    <t xml:space="preserve">10 day peaking service from Cove Point, max daily withdrawal is 36,000/day.</t>
  </si>
  <si>
    <t xml:space="preserve">Agency</t>
  </si>
  <si>
    <t xml:space="preserve">tennessee</t>
  </si>
  <si>
    <t xml:space="preserve">Reliant - Entex</t>
  </si>
  <si>
    <t xml:space="preserve">zone 1</t>
  </si>
  <si>
    <t xml:space="preserve">3996/4004</t>
  </si>
  <si>
    <t xml:space="preserve">reimbursed</t>
  </si>
  <si>
    <t xml:space="preserve">FS-MA</t>
  </si>
  <si>
    <t xml:space="preserve">entex strg</t>
  </si>
  <si>
    <t xml:space="preserve">Louisiana Gas Service. Co</t>
  </si>
  <si>
    <t xml:space="preserve">LGS strg</t>
  </si>
  <si>
    <t xml:space="preserve">LGS </t>
  </si>
  <si>
    <t xml:space="preserve">Boston Gas</t>
  </si>
  <si>
    <t xml:space="preserve">zone 1/0</t>
  </si>
  <si>
    <t xml:space="preserve">zn 3</t>
  </si>
  <si>
    <t xml:space="preserve">Conn Natural</t>
  </si>
  <si>
    <t xml:space="preserve">zone/0</t>
  </si>
  <si>
    <t xml:space="preserve">Z5 - Wright</t>
  </si>
  <si>
    <t xml:space="preserve">Z6 - Various</t>
  </si>
  <si>
    <t xml:space="preserve">                                                                                                                                                                       </t>
  </si>
  <si>
    <t xml:space="preserve">z4 Northern Strg</t>
  </si>
  <si>
    <t xml:space="preserve">Z0</t>
  </si>
  <si>
    <t xml:space="preserve">MGT - Portland</t>
  </si>
  <si>
    <t xml:space="preserve">Nicor</t>
  </si>
  <si>
    <t xml:space="preserve">Zone l 800</t>
  </si>
  <si>
    <t xml:space="preserve">Segment from 32715</t>
  </si>
  <si>
    <t xml:space="preserve">ConED</t>
  </si>
  <si>
    <t xml:space="preserve">TGP</t>
  </si>
  <si>
    <t xml:space="preserve">0/1</t>
  </si>
  <si>
    <t xml:space="preserve">Energynorth</t>
  </si>
  <si>
    <t xml:space="preserve">Park/Loan</t>
  </si>
  <si>
    <t xml:space="preserve">zl-800/ZL-500</t>
  </si>
  <si>
    <t xml:space="preserve">BUG</t>
  </si>
  <si>
    <t xml:space="preserve">Zone L</t>
  </si>
  <si>
    <t xml:space="preserve">Zone 6</t>
  </si>
  <si>
    <t xml:space="preserve">Zone 5</t>
  </si>
  <si>
    <t xml:space="preserve">zl  800 leg</t>
  </si>
  <si>
    <t xml:space="preserve">Fixed Rate</t>
  </si>
  <si>
    <t xml:space="preserve">33139/33137/33138</t>
  </si>
  <si>
    <t xml:space="preserve">500 leg</t>
  </si>
  <si>
    <t xml:space="preserve">z2</t>
  </si>
  <si>
    <t xml:space="preserve">Discount</t>
  </si>
  <si>
    <t xml:space="preserve">Sheffield</t>
  </si>
  <si>
    <t xml:space="preserve">Midcoast</t>
  </si>
  <si>
    <t xml:space="preserve">Russelvile</t>
  </si>
  <si>
    <t xml:space="preserve">FT-G </t>
  </si>
  <si>
    <t xml:space="preserve">Rel. to Proliance</t>
  </si>
  <si>
    <t xml:space="preserve">Cherokee</t>
  </si>
  <si>
    <t xml:space="preserve">FT-GS</t>
  </si>
  <si>
    <t xml:space="preserve">Decatur</t>
  </si>
  <si>
    <t xml:space="preserve">Huntsville</t>
  </si>
  <si>
    <t xml:space="preserve">col gas</t>
  </si>
  <si>
    <t xml:space="preserve">Midwestern</t>
  </si>
  <si>
    <t xml:space="preserve">NGPL</t>
  </si>
  <si>
    <t xml:space="preserve">FGT, Trco, &amp; Lig</t>
  </si>
  <si>
    <t xml:space="preserve">Portland</t>
  </si>
  <si>
    <t xml:space="preserve">Discount to Tco</t>
  </si>
  <si>
    <t xml:space="preserve">  </t>
  </si>
  <si>
    <t xml:space="preserve">Con Ed</t>
  </si>
  <si>
    <t xml:space="preserve">Stx</t>
  </si>
  <si>
    <t xml:space="preserve">#16179</t>
  </si>
  <si>
    <t xml:space="preserve">229611 / 229628</t>
  </si>
  <si>
    <t xml:space="preserve">Nyseg</t>
  </si>
  <si>
    <t xml:space="preserve">M2</t>
  </si>
  <si>
    <t xml:space="preserve">#16168</t>
  </si>
  <si>
    <t xml:space="preserve">229644 / 229715</t>
  </si>
  <si>
    <t xml:space="preserve">Interstate Gas Supply</t>
  </si>
  <si>
    <t xml:space="preserve">Ela Tabs</t>
  </si>
  <si>
    <t xml:space="preserve">#16351, (made a mistake on offer 16334)</t>
  </si>
  <si>
    <t xml:space="preserve">Reliant</t>
  </si>
  <si>
    <t xml:space="preserve">WLA</t>
  </si>
  <si>
    <t xml:space="preserve">#16426</t>
  </si>
  <si>
    <t xml:space="preserve">#16427</t>
  </si>
  <si>
    <t xml:space="preserve">STX</t>
  </si>
  <si>
    <t xml:space="preserve">#016481</t>
  </si>
  <si>
    <t xml:space="preserve">#016484</t>
  </si>
  <si>
    <t xml:space="preserve">#016485</t>
  </si>
  <si>
    <t xml:space="preserve">#016487</t>
  </si>
  <si>
    <t xml:space="preserve">discount</t>
  </si>
  <si>
    <t xml:space="preserve">tetco</t>
  </si>
  <si>
    <t xml:space="preserve">ECT</t>
  </si>
  <si>
    <t xml:space="preserve">GSU #72604</t>
  </si>
  <si>
    <t xml:space="preserve">B10581</t>
  </si>
  <si>
    <t xml:space="preserve">Backhaul IT discount</t>
  </si>
  <si>
    <t xml:space="preserve">col gulf</t>
  </si>
  <si>
    <t xml:space="preserve">cglf trans</t>
  </si>
  <si>
    <t xml:space="preserve">onshore</t>
  </si>
  <si>
    <t xml:space="preserve">mainline</t>
  </si>
  <si>
    <t xml:space="preserve">Term=yr to yr, evergreen with 6 month termination notice.</t>
  </si>
  <si>
    <t xml:space="preserve">onshore-Authorized Overrun</t>
  </si>
  <si>
    <t xml:space="preserve">Brazos 105</t>
  </si>
  <si>
    <t xml:space="preserve">TRCO Sta 30</t>
  </si>
  <si>
    <t xml:space="preserve">Central Texas</t>
  </si>
  <si>
    <t xml:space="preserve">leach</t>
  </si>
  <si>
    <t xml:space="preserve">gathering &amp; processing</t>
  </si>
  <si>
    <t xml:space="preserve">various</t>
  </si>
  <si>
    <t xml:space="preserve">Updated 6/25/99</t>
  </si>
  <si>
    <t xml:space="preserve">801-Leach</t>
  </si>
  <si>
    <t xml:space="preserve">no</t>
  </si>
  <si>
    <t xml:space="preserve">Dick Jenkins Firm</t>
  </si>
  <si>
    <t xml:space="preserve">30RV-Richmond</t>
  </si>
  <si>
    <t xml:space="preserve">Dynegy</t>
  </si>
  <si>
    <t xml:space="preserve">23n-7</t>
  </si>
  <si>
    <t xml:space="preserve">Cap Auction</t>
  </si>
  <si>
    <t xml:space="preserve">Stow</t>
  </si>
  <si>
    <t xml:space="preserve">30CS-33</t>
  </si>
  <si>
    <t xml:space="preserve">NO</t>
  </si>
  <si>
    <t xml:space="preserve">CGV Transport</t>
  </si>
  <si>
    <t xml:space="preserve">19E</t>
  </si>
  <si>
    <t xml:space="preserve">No</t>
  </si>
  <si>
    <t xml:space="preserve">Capacity Auction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</si>
  <si>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</si>
  <si>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</si>
  <si>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</si>
  <si>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</si>
  <si>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</si>
  <si>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</si>
  <si>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</si>
  <si>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Oakford</t>
  </si>
  <si>
    <t xml:space="preserve">5A2500</t>
  </si>
  <si>
    <t xml:space="preserve">#13343</t>
  </si>
  <si>
    <t xml:space="preserve">Cornwell</t>
  </si>
  <si>
    <t xml:space="preserve">5A2551</t>
  </si>
  <si>
    <t xml:space="preserve">#13420</t>
  </si>
  <si>
    <t xml:space="preserve">Lebanon</t>
  </si>
  <si>
    <t xml:space="preserve">Commonwealth</t>
  </si>
  <si>
    <t xml:space="preserve">Leidy</t>
  </si>
  <si>
    <t xml:space="preserve">5A2526</t>
  </si>
  <si>
    <t xml:space="preserve">#13336</t>
  </si>
  <si>
    <t xml:space="preserve">CNG Sp</t>
  </si>
  <si>
    <t xml:space="preserve">Trco/Leidy</t>
  </si>
  <si>
    <t xml:space="preserve">D29000</t>
  </si>
  <si>
    <t xml:space="preserve">My flow up to 12,000 day as long as it will flow South to North.</t>
  </si>
  <si>
    <t xml:space="preserve">Nat Fuel</t>
  </si>
  <si>
    <t xml:space="preserve">Niagara</t>
  </si>
  <si>
    <t xml:space="preserve">F01978</t>
  </si>
  <si>
    <t xml:space="preserve">Demand charge billed on receipt volume of 117 DT's.  </t>
  </si>
  <si>
    <t xml:space="preserve">B00693-026471</t>
  </si>
  <si>
    <t xml:space="preserve">Northern Natural</t>
  </si>
  <si>
    <t xml:space="preserve">Brazos Blk133b</t>
  </si>
  <si>
    <t xml:space="preserve">St 30</t>
  </si>
  <si>
    <t xml:space="preserve">CTGS Capacity</t>
  </si>
  <si>
    <t xml:space="preserve">MidCoast</t>
  </si>
  <si>
    <t xml:space="preserve">Russelville</t>
  </si>
  <si>
    <t xml:space="preserve">Reimbursements CES MUNICIPLES</t>
  </si>
  <si>
    <t xml:space="preserve">Reimbursements COMM(CGAS)</t>
  </si>
  <si>
    <t xml:space="preserve">Reimbursements(CGAS)</t>
  </si>
  <si>
    <t xml:space="preserve">Reimbursements( TENN)Entex demand</t>
  </si>
  <si>
    <t xml:space="preserve">Reimbursements(TENN)LGS</t>
  </si>
  <si>
    <t xml:space="preserve">Reimbursements IROQ( BOSTON)</t>
  </si>
  <si>
    <t xml:space="preserve">Reimbursements IROQ( CANADA)</t>
  </si>
  <si>
    <t xml:space="preserve">Reimbursements TENN( BOSTON)</t>
  </si>
  <si>
    <t xml:space="preserve">Reimbursements TENN( CANADA)</t>
  </si>
  <si>
    <t xml:space="preserve">Total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</si>
  <si>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</si>
  <si>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</si>
  <si>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</si>
  <si>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</si>
  <si>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</si>
  <si>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</si>
  <si>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Tenn Net 284</t>
  </si>
  <si>
    <t xml:space="preserve">INCLUDES GRI ($0.0072) and Great Plains Surcharge ($0.0131)</t>
  </si>
  <si>
    <t xml:space="preserve">Iroq -GRI</t>
  </si>
  <si>
    <t xml:space="preserve">Tenn +GRI</t>
  </si>
  <si>
    <t xml:space="preserve">Tenn FT Commodity</t>
  </si>
  <si>
    <t xml:space="preserve">Toca/Patt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</si>
  <si>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</si>
  <si>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</si>
  <si>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</si>
  <si>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</si>
  <si>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</si>
  <si>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</si>
  <si>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</si>
  <si>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</si>
  <si>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3</t>
  </si>
  <si>
    <t xml:space="preserve">Zone 4</t>
  </si>
  <si>
    <t xml:space="preserve">0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</si>
  <si>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</si>
  <si>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</si>
  <si>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</si>
  <si>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</si>
  <si>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</si>
  <si>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</si>
  <si>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</si>
  <si>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</si>
  <si>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</si>
  <si>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</si>
  <si>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</si>
  <si>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</si>
  <si>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Tetco Storage</t>
  </si>
  <si>
    <t xml:space="preserve">It to M2</t>
  </si>
  <si>
    <t xml:space="preserve">It to M3</t>
  </si>
  <si>
    <t xml:space="preserve">ETX</t>
  </si>
  <si>
    <t xml:space="preserve">ELA</t>
  </si>
  <si>
    <t xml:space="preserve">M1</t>
  </si>
  <si>
    <t xml:space="preserve">             Texas Gas FT Commodity</t>
  </si>
  <si>
    <t xml:space="preserve">Sonat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</si>
  <si>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</si>
  <si>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</si>
  <si>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</si>
  <si>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</si>
  <si>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</si>
  <si>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</si>
  <si>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</si>
  <si>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</si>
  <si>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</si>
  <si>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                   CNG April Fuel Waivers</t>
  </si>
  <si>
    <t xml:space="preserve">Gulf Onshore IT-Mainline FT</t>
  </si>
  <si>
    <t xml:space="preserve">Receipt</t>
  </si>
  <si>
    <t xml:space="preserve">Delivery</t>
  </si>
  <si>
    <t xml:space="preserve">Off</t>
  </si>
  <si>
    <t xml:space="preserve">On</t>
  </si>
  <si>
    <t xml:space="preserve">Canajoharie</t>
  </si>
  <si>
    <t xml:space="preserve">Nimo West</t>
  </si>
  <si>
    <t xml:space="preserve">Nimo East</t>
  </si>
  <si>
    <t xml:space="preserve">RG&amp;E</t>
  </si>
  <si>
    <t xml:space="preserve">ML</t>
  </si>
  <si>
    <t xml:space="preserve">NYSEG</t>
  </si>
  <si>
    <t xml:space="preserve">Offshore and Onshore are IT rates</t>
  </si>
  <si>
    <t xml:space="preserve">Hanley &amp; Bird</t>
  </si>
  <si>
    <t xml:space="preserve">TET / Leidy</t>
  </si>
  <si>
    <t xml:space="preserve">TGPL / Leidy</t>
  </si>
  <si>
    <t xml:space="preserve">Transport expense using Prices shown below</t>
  </si>
  <si>
    <t xml:space="preserve">Trco Z1</t>
  </si>
  <si>
    <t xml:space="preserve">CGLF On</t>
  </si>
  <si>
    <t xml:space="preserve">Sabinsville</t>
  </si>
  <si>
    <t xml:space="preserve">Trco Z2</t>
  </si>
  <si>
    <t xml:space="preserve">M/L</t>
  </si>
  <si>
    <t xml:space="preserve">East Ohio</t>
  </si>
  <si>
    <t xml:space="preserve">Trco Z3</t>
  </si>
  <si>
    <t xml:space="preserve">TGT Sl</t>
  </si>
  <si>
    <t xml:space="preserve">Trco Z4</t>
  </si>
  <si>
    <t xml:space="preserve">Tenn 800</t>
  </si>
  <si>
    <t xml:space="preserve">TGP / Brookview</t>
  </si>
  <si>
    <t xml:space="preserve">Trco Z6</t>
  </si>
  <si>
    <t xml:space="preserve">Tenn Niagara</t>
  </si>
  <si>
    <t xml:space="preserve">CNG SP</t>
  </si>
  <si>
    <t xml:space="preserve">Wla</t>
  </si>
  <si>
    <t xml:space="preserve">Ela</t>
  </si>
  <si>
    <t xml:space="preserve">Peoples</t>
  </si>
  <si>
    <t xml:space="preserve">TGP / Morrisville</t>
  </si>
  <si>
    <t xml:space="preserve">                                                                                                                                               </t>
  </si>
  <si>
    <t xml:space="preserve">Gas Daily </t>
  </si>
  <si>
    <t xml:space="preserve">Even</t>
  </si>
  <si>
    <t xml:space="preserve">formulas</t>
  </si>
  <si>
    <t xml:space="preserve">Formula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</si>
  <si>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</si>
  <si>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</si>
  <si>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</si>
  <si>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</si>
  <si>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</si>
  <si>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cng south</t>
  </si>
  <si>
    <t xml:space="preserve">TGT</t>
  </si>
  <si>
    <t xml:space="preserve">Wadd</t>
  </si>
  <si>
    <t xml:space="preserve">Tenn Z0</t>
  </si>
  <si>
    <t xml:space="preserve">st 65</t>
  </si>
  <si>
    <t xml:space="preserve">zn 1 800</t>
  </si>
  <si>
    <t xml:space="preserve">wla</t>
  </si>
  <si>
    <t xml:space="preserve">m/l</t>
  </si>
  <si>
    <t xml:space="preserve">Winter</t>
  </si>
  <si>
    <t xml:space="preserve">Summer</t>
  </si>
  <si>
    <t xml:space="preserve">st 45</t>
  </si>
  <si>
    <t xml:space="preserve">stx</t>
  </si>
  <si>
    <t xml:space="preserve">st 30</t>
  </si>
  <si>
    <t xml:space="preserve">m1</t>
  </si>
  <si>
    <t xml:space="preserve">Z6 NY</t>
  </si>
  <si>
    <t xml:space="preserve">Rates No 37.02</t>
  </si>
  <si>
    <t xml:space="preserve">Spring Fuel Apr - Oct</t>
  </si>
  <si>
    <t xml:space="preserve">Spring Fuel Apr-Nov</t>
  </si>
  <si>
    <t xml:space="preserve">Winter Fuel Dec-Mar</t>
  </si>
  <si>
    <t xml:space="preserve">Rates 25 &amp; 28</t>
  </si>
  <si>
    <t xml:space="preserve">Rates 32</t>
  </si>
  <si>
    <t xml:space="preserve">Winter Fuel</t>
  </si>
  <si>
    <t xml:space="preserve">Summer Fuel</t>
  </si>
  <si>
    <t xml:space="preserve">Rates No 4</t>
  </si>
  <si>
    <t xml:space="preserve">Rates No 5</t>
  </si>
  <si>
    <t xml:space="preserve">Fuel No 44</t>
  </si>
  <si>
    <t xml:space="preserve">Rates No 23A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</si>
  <si>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</si>
  <si>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</si>
  <si>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</si>
  <si>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</si>
  <si>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Dec - Mar</t>
  </si>
  <si>
    <t xml:space="preserve">Apr 1 - Oct 31</t>
  </si>
  <si>
    <t xml:space="preserve">Fuel changes each month</t>
  </si>
  <si>
    <t xml:space="preserve">Fuel No. 10</t>
  </si>
  <si>
    <t xml:space="preserve">Fuel No 29</t>
  </si>
  <si>
    <t xml:space="preserve">Fuel No 127,128, &amp; 129</t>
  </si>
  <si>
    <t xml:space="preserve">Fuel No 15</t>
  </si>
  <si>
    <t xml:space="preserve">EFFECTIVE 4/1/99</t>
  </si>
  <si>
    <t xml:space="preserve">PENDING Rates &amp; Fuel</t>
  </si>
  <si>
    <t xml:space="preserve">Updated 3/1/2000</t>
  </si>
  <si>
    <t xml:space="preserve">Rates 21</t>
  </si>
  <si>
    <t xml:space="preserve">Rates 11A</t>
  </si>
  <si>
    <t xml:space="preserve">Rates update 1/1/2000</t>
  </si>
  <si>
    <t xml:space="preserve">Rates Eff 5/1/99</t>
  </si>
  <si>
    <t xml:space="preserve">Updtd Rates 2/1/2000</t>
  </si>
  <si>
    <t xml:space="preserve">Updtd Rates 2/1/00</t>
  </si>
  <si>
    <t xml:space="preserve">Updtd Rates 3/1/00</t>
  </si>
  <si>
    <t xml:space="preserve">Eff 4/1/99</t>
  </si>
  <si>
    <t xml:space="preserve">Fuel No 40</t>
  </si>
  <si>
    <t xml:space="preserve">Fuel 14</t>
  </si>
  <si>
    <t xml:space="preserve">Updated rates 4/1/2000</t>
  </si>
  <si>
    <t xml:space="preserve">IT Rates No 22</t>
  </si>
  <si>
    <t xml:space="preserve">Updtd Fuel 12/1/1999</t>
  </si>
  <si>
    <t xml:space="preserve">Need to check GSR &amp; SCRM</t>
  </si>
  <si>
    <t xml:space="preserve">Updated eff 3/1/2000</t>
  </si>
  <si>
    <t xml:space="preserve">Fuel Rev 8/1/99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</si>
  <si>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</si>
  <si>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</si>
  <si>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</si>
  <si>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</si>
  <si>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</si>
  <si>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</si>
  <si>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</si>
  <si>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(stx-m2)</t>
  </si>
  <si>
    <t xml:space="preserve">(0-0)FT</t>
  </si>
  <si>
    <t xml:space="preserve">Gulf</t>
  </si>
  <si>
    <t xml:space="preserve">(off-off)fts2</t>
  </si>
  <si>
    <t xml:space="preserve">TCO</t>
  </si>
  <si>
    <t xml:space="preserve">(fts)</t>
  </si>
  <si>
    <t xml:space="preserve">ft</t>
  </si>
  <si>
    <t xml:space="preserve">AFT-1</t>
  </si>
  <si>
    <t xml:space="preserve">tgt sl-sl</t>
  </si>
  <si>
    <t xml:space="preserve">IROQ</t>
  </si>
  <si>
    <t xml:space="preserve">FT 1-1</t>
  </si>
  <si>
    <t xml:space="preserve">EQTR</t>
  </si>
  <si>
    <t xml:space="preserve">ITS</t>
  </si>
  <si>
    <t xml:space="preserve">UTOS</t>
  </si>
  <si>
    <t xml:space="preserve">Generic</t>
  </si>
  <si>
    <t xml:space="preserve">comm</t>
  </si>
  <si>
    <t xml:space="preserve">Comm</t>
  </si>
  <si>
    <t xml:space="preserve">ACA</t>
  </si>
  <si>
    <t xml:space="preserve">fuel(.35)</t>
  </si>
  <si>
    <t xml:space="preserve">fuel(0.84)</t>
  </si>
  <si>
    <t xml:space="preserve">fuel(2.42)</t>
  </si>
  <si>
    <t xml:space="preserve">fuel(7.04)</t>
  </si>
  <si>
    <t xml:space="preserve">fuel(1.50)</t>
  </si>
  <si>
    <t xml:space="preserve">fuel(.507)</t>
  </si>
  <si>
    <t xml:space="preserve">fuel(2.28)</t>
  </si>
  <si>
    <t xml:space="preserve">fuel(1.11)</t>
  </si>
  <si>
    <t xml:space="preserve">fuel(.22)</t>
  </si>
  <si>
    <t xml:space="preserve">fuel(.4)</t>
  </si>
  <si>
    <t xml:space="preserve">fuel(3.00)</t>
  </si>
  <si>
    <t xml:space="preserve">fuel(0.0)</t>
  </si>
  <si>
    <t xml:space="preserve">GRI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</si>
  <si>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</si>
  <si>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</si>
  <si>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</si>
  <si>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</si>
  <si>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</si>
  <si>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(stx-m3)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</si>
  <si>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</si>
  <si>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</si>
  <si>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</si>
  <si>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</si>
  <si>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</si>
  <si>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</si>
  <si>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tgt sl-4</t>
  </si>
  <si>
    <t xml:space="preserve">FT 1-2</t>
  </si>
  <si>
    <t xml:space="preserve">Variable</t>
  </si>
  <si>
    <t xml:space="preserve">Delivered</t>
  </si>
  <si>
    <t xml:space="preserve">.</t>
  </si>
  <si>
    <t xml:space="preserve">fuel(.81)</t>
  </si>
  <si>
    <t xml:space="preserve">fuel(2.44)</t>
  </si>
  <si>
    <t xml:space="preserve">fuel(2.57)</t>
  </si>
  <si>
    <t xml:space="preserve">fuel(7.97)</t>
  </si>
  <si>
    <t xml:space="preserve">fuel(.593)</t>
  </si>
  <si>
    <t xml:space="preserve">fuel(2.184)</t>
  </si>
  <si>
    <t xml:space="preserve">fuel(2.68)</t>
  </si>
  <si>
    <t xml:space="preserve">fuel(0.80)</t>
  </si>
  <si>
    <t xml:space="preserve">(1-3)</t>
  </si>
  <si>
    <t xml:space="preserve">(1-3)IT</t>
  </si>
  <si>
    <t xml:space="preserve">(0-2) FT</t>
  </si>
  <si>
    <t xml:space="preserve">(stx-ela)</t>
  </si>
  <si>
    <t xml:space="preserve">(wla-m2)</t>
  </si>
  <si>
    <t xml:space="preserve">(0-2)FT</t>
  </si>
  <si>
    <t xml:space="preserve">(ml-ml)fts1</t>
  </si>
  <si>
    <t xml:space="preserve">(winter)it</t>
  </si>
  <si>
    <t xml:space="preserve">Disc It</t>
  </si>
  <si>
    <t xml:space="preserve">tgt 1-4</t>
  </si>
  <si>
    <t xml:space="preserve">IT 1-2</t>
  </si>
  <si>
    <t xml:space="preserve">fuel(1.26)</t>
  </si>
  <si>
    <t xml:space="preserve">fuel(4.43)</t>
  </si>
  <si>
    <t xml:space="preserve">fuel(3.32)</t>
  </si>
  <si>
    <t xml:space="preserve">fuel(6.40)</t>
  </si>
  <si>
    <t xml:space="preserve">fuel(2.30)</t>
  </si>
  <si>
    <t xml:space="preserve">fuel(2.988)</t>
  </si>
  <si>
    <t xml:space="preserve">(1-4)</t>
  </si>
  <si>
    <t xml:space="preserve">(1-4) it</t>
  </si>
  <si>
    <t xml:space="preserve">(0-3) FT</t>
  </si>
  <si>
    <t xml:space="preserve">(stx-m1)</t>
  </si>
  <si>
    <t xml:space="preserve">(wla-m3)</t>
  </si>
  <si>
    <t xml:space="preserve">(0-3)FT</t>
  </si>
  <si>
    <t xml:space="preserve">(off-off)its2</t>
  </si>
  <si>
    <t xml:space="preserve">(gath)it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</si>
  <si>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</si>
  <si>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fuel(3.16)</t>
  </si>
  <si>
    <t xml:space="preserve">fuel(5.04)</t>
  </si>
  <si>
    <t xml:space="preserve">fuel(5.64)</t>
  </si>
  <si>
    <t xml:space="preserve">fuel(7.33)</t>
  </si>
  <si>
    <t xml:space="preserve">fuel(2.60)</t>
  </si>
  <si>
    <t xml:space="preserve">tgt SL-1</t>
  </si>
  <si>
    <t xml:space="preserve">Disc 1-2</t>
  </si>
  <si>
    <t xml:space="preserve">(1-5)</t>
  </si>
  <si>
    <t xml:space="preserve">(2-2) it</t>
  </si>
  <si>
    <t xml:space="preserve">(0-4) FT</t>
  </si>
  <si>
    <t xml:space="preserve">(ela-m2)</t>
  </si>
  <si>
    <t xml:space="preserve">(on-on)its2</t>
  </si>
  <si>
    <t xml:space="preserve">Disc IT</t>
  </si>
  <si>
    <t xml:space="preserve">fuel(1.69)</t>
  </si>
  <si>
    <t xml:space="preserve">fuel(4.69)</t>
  </si>
  <si>
    <t xml:space="preserve">fuel(.46)</t>
  </si>
  <si>
    <t xml:space="preserve">fuel(5.8)</t>
  </si>
  <si>
    <t xml:space="preserve">fuel(6.12)</t>
  </si>
  <si>
    <t xml:space="preserve">tgt 1-SL (Backhaul)</t>
  </si>
  <si>
    <t xml:space="preserve">Disc 1-1</t>
  </si>
  <si>
    <t xml:space="preserve">(1-6)</t>
  </si>
  <si>
    <t xml:space="preserve">(2-3)IT</t>
  </si>
  <si>
    <t xml:space="preserve">(0-5) FT</t>
  </si>
  <si>
    <t xml:space="preserve">(ela-m3)</t>
  </si>
  <si>
    <t xml:space="preserve">(ml-ml)its1</t>
  </si>
  <si>
    <t xml:space="preserve">fuel(5.53)</t>
  </si>
  <si>
    <t xml:space="preserve">fuel(0.91)</t>
  </si>
  <si>
    <t xml:space="preserve">fuel(6.72)</t>
  </si>
  <si>
    <t xml:space="preserve">fuel(7.05)</t>
  </si>
  <si>
    <t xml:space="preserve">(2-2)</t>
  </si>
  <si>
    <t xml:space="preserve">(2-4) it</t>
  </si>
  <si>
    <t xml:space="preserve">(0-6) FT</t>
  </si>
  <si>
    <t xml:space="preserve">(wla-wla)</t>
  </si>
  <si>
    <t xml:space="preserve">(m1-m2)</t>
  </si>
  <si>
    <t xml:space="preserve">Iroq Fuel</t>
  </si>
  <si>
    <t xml:space="preserve">(on-on)DISC</t>
  </si>
  <si>
    <t xml:space="preserve">fuel(2.81)</t>
  </si>
  <si>
    <t xml:space="preserve">fuel(7.42)</t>
  </si>
  <si>
    <t xml:space="preserve">fuel(1.91)</t>
  </si>
  <si>
    <t xml:space="preserve">fuel(3.72)</t>
  </si>
  <si>
    <t xml:space="preserve">Z1 - Z1</t>
  </si>
  <si>
    <t xml:space="preserve">fuel(..593)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</si>
  <si>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</si>
  <si>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</si>
  <si>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</si>
  <si>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</si>
  <si>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</si>
  <si>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(m1-m3)</t>
  </si>
  <si>
    <t xml:space="preserve">Z2 - Z2</t>
  </si>
  <si>
    <t xml:space="preserve">(rn-lch)Disc</t>
  </si>
  <si>
    <t xml:space="preserve">fuel(.91)</t>
  </si>
  <si>
    <t xml:space="preserve">fuel(0.45)</t>
  </si>
  <si>
    <t xml:space="preserve">fuel(.95)</t>
  </si>
  <si>
    <t xml:space="preserve">fuel(4.65)</t>
  </si>
  <si>
    <t xml:space="preserve">(2-4)</t>
  </si>
  <si>
    <t xml:space="preserve">(3-4) it</t>
  </si>
  <si>
    <t xml:space="preserve">(1-1) FT</t>
  </si>
  <si>
    <t xml:space="preserve">(wla-m1)</t>
  </si>
  <si>
    <t xml:space="preserve">(m2-m3)</t>
  </si>
  <si>
    <t xml:space="preserve">fuel(2.35)</t>
  </si>
  <si>
    <t xml:space="preserve">fuel(1.70)</t>
  </si>
  <si>
    <t xml:space="preserve">fuel(5.00)</t>
  </si>
  <si>
    <t xml:space="preserve">fuel(3.99)</t>
  </si>
  <si>
    <t xml:space="preserve">(2-5)</t>
  </si>
  <si>
    <t xml:space="preserve">(3-6) it</t>
  </si>
  <si>
    <t xml:space="preserve">(1-2) FT</t>
  </si>
  <si>
    <t xml:space="preserve">(m3-m3)</t>
  </si>
  <si>
    <t xml:space="preserve">fuel(4.34)</t>
  </si>
  <si>
    <t xml:space="preserve">fuel(4.72)</t>
  </si>
  <si>
    <t xml:space="preserve">fuel(3.69)</t>
  </si>
  <si>
    <t xml:space="preserve">(2-6)</t>
  </si>
  <si>
    <t xml:space="preserve">(4-4) it</t>
  </si>
  <si>
    <t xml:space="preserve">(1-3) FT</t>
  </si>
  <si>
    <t xml:space="preserve">fuel(5.18)</t>
  </si>
  <si>
    <t xml:space="preserve">fuel(1.90)</t>
  </si>
  <si>
    <t xml:space="preserve">fuel(4.29)</t>
  </si>
  <si>
    <t xml:space="preserve">(3-3)</t>
  </si>
  <si>
    <t xml:space="preserve">Transco  </t>
  </si>
  <si>
    <t xml:space="preserve">(4a-4a) it</t>
  </si>
  <si>
    <t xml:space="preserve">(1-4) FT</t>
  </si>
  <si>
    <t xml:space="preserve">(etx-stx)</t>
  </si>
  <si>
    <t xml:space="preserve">fuel (.45)</t>
  </si>
  <si>
    <t xml:space="preserve">fuel(0.59)</t>
  </si>
  <si>
    <t xml:space="preserve">fuel(5.06)</t>
  </si>
  <si>
    <t xml:space="preserve">(3-4) </t>
  </si>
  <si>
    <t xml:space="preserve">(1-5) FT</t>
  </si>
  <si>
    <t xml:space="preserve">(etx-wla)</t>
  </si>
  <si>
    <t xml:space="preserve">Transco it</t>
  </si>
  <si>
    <t xml:space="preserve">(6-6) it</t>
  </si>
  <si>
    <t xml:space="preserve">fuel(5.97)</t>
  </si>
  <si>
    <t xml:space="preserve">fuel(2.40)</t>
  </si>
  <si>
    <t xml:space="preserve">(3-5)</t>
  </si>
  <si>
    <t xml:space="preserve">(1-6) FT</t>
  </si>
  <si>
    <t xml:space="preserve">(etx-etx)</t>
  </si>
  <si>
    <t xml:space="preserve">Transco IT Backhaul</t>
  </si>
  <si>
    <t xml:space="preserve">fuel(3.88)</t>
  </si>
  <si>
    <t xml:space="preserve">fuel(6.67)</t>
  </si>
  <si>
    <t xml:space="preserve">(3-6)</t>
  </si>
  <si>
    <t xml:space="preserve">(2-5) FT</t>
  </si>
  <si>
    <t xml:space="preserve">(etx-ela )</t>
  </si>
  <si>
    <t xml:space="preserve">fuel(3.58)</t>
  </si>
  <si>
    <t xml:space="preserve">(4-4) </t>
  </si>
  <si>
    <t xml:space="preserve">(4-4) FT</t>
  </si>
  <si>
    <t xml:space="preserve">(ela-ela)</t>
  </si>
  <si>
    <t xml:space="preserve">fuel(1.01)</t>
  </si>
  <si>
    <t xml:space="preserve">(4-5) </t>
  </si>
  <si>
    <t xml:space="preserve">(4-6) FT</t>
  </si>
  <si>
    <t xml:space="preserve">(ela-m1)</t>
  </si>
  <si>
    <t xml:space="preserve">fuel(3.43)</t>
  </si>
  <si>
    <t xml:space="preserve">fuel(1.92)</t>
  </si>
  <si>
    <t xml:space="preserve">(4-6) </t>
  </si>
  <si>
    <t xml:space="preserve">(5-5) FT</t>
  </si>
  <si>
    <t xml:space="preserve">fuel(4.27)</t>
  </si>
  <si>
    <t xml:space="preserve">fuel(1.17)</t>
  </si>
  <si>
    <t xml:space="preserve">(4a-4a)</t>
  </si>
  <si>
    <t xml:space="preserve">(5-6)  FT</t>
  </si>
  <si>
    <t xml:space="preserve">fuel(1.86)</t>
  </si>
  <si>
    <t xml:space="preserve">(5-5)</t>
  </si>
  <si>
    <t xml:space="preserve">Tenn NET 284</t>
  </si>
  <si>
    <t xml:space="preserve">(m1-m1)</t>
  </si>
  <si>
    <t xml:space="preserve">fuel(1.53)</t>
  </si>
  <si>
    <t xml:space="preserve">fuel(1.31)</t>
  </si>
  <si>
    <t xml:space="preserve">fuel(2.32)</t>
  </si>
  <si>
    <t xml:space="preserve">(5-6)</t>
  </si>
  <si>
    <t xml:space="preserve">(5-4) FT</t>
  </si>
  <si>
    <t xml:space="preserve">fuel(2.37)</t>
  </si>
  <si>
    <t xml:space="preserve">fuel(1.07)</t>
  </si>
  <si>
    <t xml:space="preserve">(6-6)</t>
  </si>
  <si>
    <t xml:space="preserve">(L-L)  IT</t>
  </si>
  <si>
    <t xml:space="preserve">Need to Check rates for the following, fuel has been updated</t>
  </si>
  <si>
    <t xml:space="preserve">(0-l)  IT</t>
  </si>
  <si>
    <t xml:space="preserve">(m2-m2)</t>
  </si>
  <si>
    <t xml:space="preserve">Cherokee Expansion</t>
  </si>
  <si>
    <t xml:space="preserve">Sheet No. 37M</t>
  </si>
  <si>
    <t xml:space="preserve">fuel(3.04)</t>
  </si>
  <si>
    <t xml:space="preserve">(4-4)</t>
  </si>
  <si>
    <t xml:space="preserve">(l-2)  IT</t>
  </si>
  <si>
    <t xml:space="preserve">Z6 to Z6 FTA K# 2.2173</t>
  </si>
  <si>
    <t xml:space="preserve">(5-5) IT</t>
  </si>
  <si>
    <t xml:space="preserve">Sheet No. 37E</t>
  </si>
  <si>
    <t xml:space="preserve">fuel(.84)</t>
  </si>
  <si>
    <t xml:space="preserve">Transco FT-NT</t>
  </si>
  <si>
    <t xml:space="preserve">Sheet 50 Summer Apr-Oct</t>
  </si>
  <si>
    <t xml:space="preserve">Fuel (7.06)</t>
  </si>
  <si>
    <t xml:space="preserve">Incremental Leidy 2.239</t>
  </si>
  <si>
    <t xml:space="preserve">Sheet No. 37A</t>
  </si>
  <si>
    <t xml:space="preserve">Formula ==&gt;</t>
  </si>
  <si>
    <t xml:space="preserve">Winter Fuel Nov - Mar</t>
  </si>
  <si>
    <t xml:space="preserve">Summer Apr-Nov</t>
  </si>
  <si>
    <t xml:space="preserve">Updtd Rates 12/1/99</t>
  </si>
  <si>
    <t xml:space="preserve">CDS and FT-1</t>
  </si>
  <si>
    <t xml:space="preserve">Updtd Fuel 12/1/2000</t>
  </si>
  <si>
    <t xml:space="preserve">(0-0)</t>
  </si>
  <si>
    <t xml:space="preserve">fuel(0.89)</t>
  </si>
  <si>
    <t xml:space="preserve">fuel(9.26)</t>
  </si>
  <si>
    <t xml:space="preserve">fuel(.58)</t>
  </si>
  <si>
    <t xml:space="preserve">(0-1)</t>
  </si>
  <si>
    <t xml:space="preserve">fuel(2.79)</t>
  </si>
  <si>
    <t xml:space="preserve">fuel(2.93)</t>
  </si>
  <si>
    <t xml:space="preserve">fuel(10.89)</t>
  </si>
  <si>
    <t xml:space="preserve">(0-2)</t>
  </si>
  <si>
    <t xml:space="preserve">fuel(5.16)</t>
  </si>
  <si>
    <t xml:space="preserve">fuel(4.28)</t>
  </si>
  <si>
    <t xml:space="preserve">fuel(8.12)</t>
  </si>
  <si>
    <t xml:space="preserve">(0-3)</t>
  </si>
  <si>
    <t xml:space="preserve">fuel(5.88)</t>
  </si>
  <si>
    <t xml:space="preserve">fuel(6.77)</t>
  </si>
  <si>
    <t xml:space="preserve">fuel(9.75)</t>
  </si>
  <si>
    <t xml:space="preserve">(0-4)</t>
  </si>
  <si>
    <t xml:space="preserve">fuel(6.79)</t>
  </si>
  <si>
    <t xml:space="preserve">fuel(7.61)</t>
  </si>
  <si>
    <t xml:space="preserve">(0-5)</t>
  </si>
  <si>
    <t xml:space="preserve">fuel(7.88)</t>
  </si>
  <si>
    <t xml:space="preserve">fuel(9.24)</t>
  </si>
  <si>
    <t xml:space="preserve">(0-6)</t>
  </si>
  <si>
    <t xml:space="preserve">fuel(8.71)</t>
  </si>
  <si>
    <t xml:space="preserve">fuel(1.75)</t>
  </si>
  <si>
    <t xml:space="preserve">fuel(4.98)</t>
  </si>
  <si>
    <t xml:space="preserve">(L-L)</t>
  </si>
  <si>
    <t xml:space="preserve">fuel(3.14)</t>
  </si>
  <si>
    <t xml:space="preserve">fuel(6.61)</t>
  </si>
  <si>
    <t xml:space="preserve">fuel(5.63)</t>
  </si>
  <si>
    <t xml:space="preserve">fuel(5.45)</t>
  </si>
  <si>
    <t xml:space="preserve">fuel(2.99)</t>
  </si>
  <si>
    <t xml:space="preserve">fuel(4.99)</t>
  </si>
  <si>
    <t xml:space="preserve">fuel(5.96)</t>
  </si>
  <si>
    <t xml:space="preserve">fuel(6.99)</t>
  </si>
  <si>
    <t xml:space="preserve">fuel(2.63)</t>
  </si>
  <si>
    <t xml:space="preserve">fuel(7.82)</t>
  </si>
  <si>
    <t xml:space="preserve">fuel(4.15)</t>
  </si>
  <si>
    <t xml:space="preserve">fuel(1.09)</t>
  </si>
  <si>
    <t xml:space="preserve">(4-6)</t>
  </si>
  <si>
    <t xml:space="preserve">fuel(2.17)</t>
  </si>
  <si>
    <t xml:space="preserve">fuel(5.12)</t>
  </si>
  <si>
    <t xml:space="preserve">fuel(1.28)</t>
  </si>
  <si>
    <t xml:space="preserve">(5-6) </t>
  </si>
  <si>
    <t xml:space="preserve">fuel(2.09)</t>
  </si>
  <si>
    <t xml:space="preserve">fuel(1.16)</t>
  </si>
  <si>
    <t xml:space="preserve">fuel(2.49)</t>
  </si>
  <si>
    <t xml:space="preserve">Tenn (Z5 &amp; Z6 Net 284)</t>
  </si>
  <si>
    <t xml:space="preserve">fuel(3.78)</t>
  </si>
  <si>
    <t xml:space="preserve">Storage GSS Sheet 27</t>
  </si>
  <si>
    <t xml:space="preserve">Injection</t>
  </si>
  <si>
    <t xml:space="preserve">Index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</si>
  <si>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</si>
  <si>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</si>
  <si>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</si>
  <si>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</si>
  <si>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</si>
  <si>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</si>
  <si>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</si>
  <si>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</si>
  <si>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</si>
  <si>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</si>
  <si>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</si>
  <si>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</si>
  <si>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</si>
  <si>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</si>
  <si>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</si>
  <si>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</si>
  <si>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</si>
  <si>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</si>
  <si>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</si>
  <si>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</si>
  <si>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</si>
  <si>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</si>
  <si>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</si>
  <si>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</si>
  <si>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</si>
  <si>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Commodity</t>
  </si>
  <si>
    <t xml:space="preserve">January 1999 Demand Calculations</t>
  </si>
  <si>
    <t xml:space="preserve">Factor</t>
  </si>
  <si>
    <t xml:space="preserve">[Factor = (12/365) x # days in Month]</t>
  </si>
  <si>
    <t xml:space="preserve">Contract</t>
  </si>
  <si>
    <t xml:space="preserve">Rate</t>
  </si>
  <si>
    <t xml:space="preserve">Vol </t>
  </si>
  <si>
    <t xml:space="preserve">Amount</t>
  </si>
  <si>
    <t xml:space="preserve">Etx</t>
  </si>
  <si>
    <t xml:space="preserve">1-1</t>
  </si>
  <si>
    <t xml:space="preserve">2-2</t>
  </si>
  <si>
    <t xml:space="preserve">3-3</t>
  </si>
  <si>
    <t xml:space="preserve">1-3</t>
  </si>
  <si>
    <t xml:space="preserve">Surcharge</t>
  </si>
  <si>
    <t xml:space="preserve">M3 Vol</t>
  </si>
  <si>
    <t xml:space="preserve">Unit Rate</t>
  </si>
  <si>
    <t xml:space="preserve">CDS</t>
  </si>
  <si>
    <t xml:space="preserve">Demand charges effective 8/1/98</t>
  </si>
  <si>
    <t xml:space="preserve">Vol #8939</t>
  </si>
  <si>
    <t xml:space="preserve">Vol #9504</t>
  </si>
  <si>
    <t xml:space="preserve">Vol #11677</t>
  </si>
  <si>
    <t xml:space="preserve">Vol #</t>
  </si>
  <si>
    <t xml:space="preserve">1-2</t>
  </si>
  <si>
    <t xml:space="preserve">Vol #11671</t>
  </si>
  <si>
    <t xml:space="preserve">Vol</t>
  </si>
  <si>
    <t xml:space="preserve">Vol #8943</t>
  </si>
  <si>
    <t xml:space="preserve">Vol #9509</t>
  </si>
  <si>
    <t xml:space="preserve">M2 Vol</t>
  </si>
  <si>
    <t xml:space="preserve">Peoples Natural Gas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</si>
  <si>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</si>
  <si>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</si>
  <si>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</si>
  <si>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</si>
  <si>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</si>
  <si>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</si>
  <si>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</si>
  <si>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</si>
  <si>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</si>
  <si>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</si>
  <si>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</si>
  <si>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</si>
  <si>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</si>
  <si>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</si>
  <si>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</si>
  <si>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</si>
  <si>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</si>
  <si>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</si>
  <si>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</si>
  <si>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</si>
  <si>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</si>
  <si>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</si>
  <si>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</si>
  <si>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</si>
  <si>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</si>
  <si>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</si>
  <si>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Onshore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</si>
  <si>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</si>
  <si>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</si>
  <si>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</si>
  <si>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</si>
  <si>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</si>
  <si>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</si>
  <si>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</si>
  <si>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</si>
  <si>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</si>
  <si>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</si>
  <si>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</si>
  <si>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</si>
  <si>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STX - ELA</t>
  </si>
  <si>
    <t xml:space="preserve">ELA BID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</si>
  <si>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</si>
  <si>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</si>
  <si>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</si>
  <si>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</si>
  <si>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</si>
  <si>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</si>
  <si>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</si>
  <si>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</si>
  <si>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</si>
  <si>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</si>
  <si>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</si>
  <si>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</si>
  <si>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</si>
  <si>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</si>
  <si>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</si>
  <si>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</si>
  <si>
    <t xml:space="preserve">DEAL #</t>
  </si>
  <si>
    <t xml:space="preserve">PIPELINE</t>
  </si>
  <si>
    <t xml:space="preserve">POINT</t>
  </si>
  <si>
    <t xml:space="preserve">PRODUCER</t>
  </si>
  <si>
    <t xml:space="preserve">COMMODITY </t>
  </si>
  <si>
    <t xml:space="preserve">FUEL %</t>
  </si>
  <si>
    <t xml:space="preserve">INDEX</t>
  </si>
  <si>
    <t xml:space="preserve">TRANSCO</t>
  </si>
  <si>
    <t xml:space="preserve">Z1 WH</t>
  </si>
  <si>
    <t xml:space="preserve">AMERICAN EXPLORATION</t>
  </si>
  <si>
    <t xml:space="preserve">DOMINION RESERVES</t>
  </si>
  <si>
    <t xml:space="preserve">ZILKHA ENERGY</t>
  </si>
  <si>
    <t xml:space="preserve">Z2 WH</t>
  </si>
  <si>
    <t xml:space="preserve">ENRON OIL &amp; GAS</t>
  </si>
  <si>
    <t xml:space="preserve">Z3 WH</t>
  </si>
  <si>
    <t xml:space="preserve">MARINER ENERGY</t>
  </si>
  <si>
    <t xml:space="preserve">NEWFIELD EXPLORATION</t>
  </si>
  <si>
    <t xml:space="preserve">HALLWOOD PETROLEUM</t>
  </si>
  <si>
    <t xml:space="preserve">OCEAN ENERGY</t>
  </si>
  <si>
    <t xml:space="preserve">Z4 WH</t>
  </si>
  <si>
    <t xml:space="preserve">OEDC EXPLORATION</t>
  </si>
  <si>
    <t xml:space="preserve">VENICE</t>
  </si>
  <si>
    <t xml:space="preserve">S PELTO 5</t>
  </si>
  <si>
    <t xml:space="preserve">UP TO 30,000</t>
  </si>
  <si>
    <t xml:space="preserve">S TIM 37</t>
  </si>
  <si>
    <t xml:space="preserve">Mariner Energy</t>
  </si>
  <si>
    <t xml:space="preserve">6/23/98 CG</t>
  </si>
  <si>
    <t xml:space="preserve">CNR</t>
  </si>
  <si>
    <t xml:space="preserve">ECT deducts processing of $.06 and gathering of $.26 until of February of 1999.</t>
  </si>
  <si>
    <t xml:space="preserve">The following producers pay their own gathering and processing invoices:</t>
  </si>
  <si>
    <t xml:space="preserve">Deal #</t>
  </si>
  <si>
    <t xml:space="preserve">Producer</t>
  </si>
  <si>
    <t xml:space="preserve">Dry Creek Oil &amp; Gas</t>
  </si>
  <si>
    <t xml:space="preserve">Elliott, We Jr., Trustee</t>
  </si>
  <si>
    <t xml:space="preserve">Jacks Creek Oil &amp; Gas</t>
  </si>
  <si>
    <t xml:space="preserve">Lindsey &amp; Elliott Perry/Fletcher</t>
  </si>
  <si>
    <t xml:space="preserve">Lindsey Enterprises</t>
  </si>
  <si>
    <t xml:space="preserve">Gatherco</t>
  </si>
  <si>
    <t xml:space="preserve">ECT pays $.25 gathering for all producers.</t>
  </si>
  <si>
    <t xml:space="preserve">Gathering fees are $.30 if index goes above $3.49</t>
  </si>
  <si>
    <t xml:space="preserve">All producers on Gatherco receive the gathering deduct.</t>
  </si>
  <si>
    <t xml:space="preserve">Cashout Deal Tickets</t>
  </si>
  <si>
    <t xml:space="preserve">Deal</t>
  </si>
  <si>
    <t xml:space="preserve">Tenn 500 L Sale</t>
  </si>
  <si>
    <t xml:space="preserve">Tetco Transport </t>
  </si>
  <si>
    <t xml:space="preserve">Supply</t>
  </si>
  <si>
    <t xml:space="preserve">Market</t>
  </si>
  <si>
    <t xml:space="preserve">Stx - M2</t>
  </si>
  <si>
    <t xml:space="preserve">Stx - Wla</t>
  </si>
  <si>
    <t xml:space="preserve">Stx - Ela</t>
  </si>
  <si>
    <t xml:space="preserve">Stx - Stx</t>
  </si>
  <si>
    <t xml:space="preserve">Wla - M2</t>
  </si>
  <si>
    <t xml:space="preserve">Wla - M3</t>
  </si>
  <si>
    <t xml:space="preserve">Wla - Wla</t>
  </si>
  <si>
    <t xml:space="preserve">Entergy</t>
  </si>
  <si>
    <t xml:space="preserve">Acadian</t>
  </si>
  <si>
    <t xml:space="preserve">Wla - Ela</t>
  </si>
  <si>
    <t xml:space="preserve">Wla - Transco</t>
  </si>
  <si>
    <t xml:space="preserve">Venice - Ela</t>
  </si>
  <si>
    <t xml:space="preserve">Ela - Ela</t>
  </si>
  <si>
    <t xml:space="preserve">Acadian Desk</t>
  </si>
  <si>
    <t xml:space="preserve">Iberville</t>
  </si>
  <si>
    <t xml:space="preserve">Capacity Summary for April 2000</t>
  </si>
  <si>
    <t xml:space="preserve">MDQ</t>
  </si>
  <si>
    <t xml:space="preserve">Receipt Point</t>
  </si>
  <si>
    <t xml:space="preserve">Delivery Point</t>
  </si>
  <si>
    <t xml:space="preserve">Term</t>
  </si>
  <si>
    <t xml:space="preserve">Comments</t>
  </si>
  <si>
    <t xml:space="preserve">Algon</t>
  </si>
  <si>
    <t xml:space="preserve">N/A</t>
  </si>
  <si>
    <t xml:space="preserve">4/1 - 10/31</t>
  </si>
  <si>
    <t xml:space="preserve">Non - recallable</t>
  </si>
  <si>
    <t xml:space="preserve">4/1 - 4/30</t>
  </si>
  <si>
    <t xml:space="preserve">ENA's portion of Penn Fuel capacity for April</t>
  </si>
  <si>
    <t xml:space="preserve">Broad Run</t>
  </si>
  <si>
    <t xml:space="preserve">CALP capacity</t>
  </si>
  <si>
    <t xml:space="preserve">Various</t>
  </si>
  <si>
    <t xml:space="preserve">CES Retail  capacity, includes 54,000 of SST</t>
  </si>
  <si>
    <t xml:space="preserve">&lt;== MDQ fluctuates on daily basis.  "Doggone near baseload for April"</t>
  </si>
  <si>
    <t xml:space="preserve">DP&amp;L SST capacity.</t>
  </si>
  <si>
    <t xml:space="preserve">Mainline</t>
  </si>
  <si>
    <t xml:space="preserve">11/1/93 - 10/31/09</t>
  </si>
  <si>
    <t xml:space="preserve">Access Energy capacity</t>
  </si>
  <si>
    <t xml:space="preserve">2/1/00 - 3/31/05</t>
  </si>
  <si>
    <t xml:space="preserve">CES wholesale capacity</t>
  </si>
  <si>
    <t xml:space="preserve">2/1/00 - 3/31/02</t>
  </si>
  <si>
    <t xml:space="preserve">11/1/93 - 5/31/01</t>
  </si>
  <si>
    <t xml:space="preserve">500 L deliveries to LIG (500 L)</t>
  </si>
  <si>
    <t xml:space="preserve">800 L to HPL Sabine (800 L)</t>
  </si>
  <si>
    <t xml:space="preserve">500 L to Hattiesburg (500 Z1) - need to include take-or-pay surcharge</t>
  </si>
  <si>
    <t xml:space="preserve">800 L to Varibus (500 L)</t>
  </si>
  <si>
    <t xml:space="preserve">800 L to Trco/Kinder (800 L)</t>
  </si>
  <si>
    <t xml:space="preserve">500 L to FGT (500 L)</t>
  </si>
  <si>
    <t xml:space="preserve">500 L to Trco/Kinder (500 L)</t>
  </si>
  <si>
    <t xml:space="preserve">Z0 to Z6</t>
  </si>
  <si>
    <t xml:space="preserve">Z5 to Z4</t>
  </si>
  <si>
    <t xml:space="preserve">Z5 to Z5</t>
  </si>
  <si>
    <t xml:space="preserve">Mr. Tim Brennan</t>
  </si>
  <si>
    <t xml:space="preserve">Williams Field Services</t>
  </si>
  <si>
    <t xml:space="preserve">P.O. Box 1396</t>
  </si>
  <si>
    <t xml:space="preserve">Houston, TX  77251-1396</t>
  </si>
  <si>
    <t xml:space="preserve">Re:  Egan C Receipts for October, 1998</t>
  </si>
  <si>
    <t xml:space="preserve">Dear Tim:</t>
  </si>
  <si>
    <t xml:space="preserve">Following is a  schedule of receipts at Transco/Columbia Gulf Egan C for October 1998.  The volumes</t>
  </si>
  <si>
    <t xml:space="preserve">flowed on the discounted rate of $.03 from Egan C to Station 65.</t>
  </si>
  <si>
    <t xml:space="preserve">Date</t>
  </si>
  <si>
    <t xml:space="preserve">Please call me with any questions.  </t>
  </si>
  <si>
    <t xml:space="preserve">   </t>
  </si>
</sst>
</file>

<file path=xl/styles.xml><?xml version="1.0" encoding="utf-8"?>
<styleSheet xmlns="http://schemas.openxmlformats.org/spreadsheetml/2006/main">
  <numFmts count="42">
    <numFmt numFmtId="164" formatCode="General"/>
    <numFmt numFmtId="165" formatCode="[$-409]#,##0_);[RED]\(#,##0\)"/>
    <numFmt numFmtId="166" formatCode="[$-409]m/d/yyyy"/>
    <numFmt numFmtId="167" formatCode="@"/>
    <numFmt numFmtId="168" formatCode="[$-409]d\-mmm"/>
    <numFmt numFmtId="169" formatCode="#,##0.00000"/>
    <numFmt numFmtId="170" formatCode="\$#,##0.0000_);[RED]&quot;($&quot;#,##0.0000\)"/>
    <numFmt numFmtId="171" formatCode="0.00%"/>
    <numFmt numFmtId="172" formatCode="0"/>
    <numFmt numFmtId="173" formatCode="0.000%"/>
    <numFmt numFmtId="174" formatCode="#,##0"/>
    <numFmt numFmtId="175" formatCode="_(\$* #,##0.00_);_(\$* \(#,##0.00\);_(\$* \-??_);_(@_)"/>
    <numFmt numFmtId="176" formatCode="_(\$* #,##0.000_);_(\$* \(#,##0.000\);_(\$* \-??_);_(@_)"/>
    <numFmt numFmtId="177" formatCode="#,##0.0000_);[RED]\(#,##0.0000\)"/>
    <numFmt numFmtId="178" formatCode="_(\$* #,##0_);_(\$* \(#,##0\);_(\$* \-??_);_(@_)"/>
    <numFmt numFmtId="179" formatCode="_(\$* #,##0.0000_);_(\$* \(#,##0.0000\);_(\$* \-??_);_(@_)"/>
    <numFmt numFmtId="180" formatCode="[$-409]#,##0.00_);[RED]\(#,##0.00\)"/>
    <numFmt numFmtId="181" formatCode="0.0000"/>
    <numFmt numFmtId="182" formatCode="#,##0.00"/>
    <numFmt numFmtId="183" formatCode="_(* #,##0.00_);_(* \(#,##0.00\);_(* \-??_);_(@_)"/>
    <numFmt numFmtId="184" formatCode="_(* #,##0.000_);_(* \(#,##0.000\);_(* \-??_);_(@_)"/>
    <numFmt numFmtId="185" formatCode="_(* #,##0_);_(* \(#,##0\);_(* \-??_);_(@_)"/>
    <numFmt numFmtId="186" formatCode="_(* #,##0.0000_);_(* \(#,##0.0000\);_(* \-??_);_(@_)"/>
    <numFmt numFmtId="187" formatCode="0.000"/>
    <numFmt numFmtId="188" formatCode="[$-409]d\-mmm\-yy"/>
    <numFmt numFmtId="189" formatCode="\$#,##0.0000_);&quot;($&quot;#,##0.0000\)"/>
    <numFmt numFmtId="190" formatCode="\$#,##0.00_);&quot;($&quot;#,##0.00\)"/>
    <numFmt numFmtId="191" formatCode="\$#,##0.000_);[RED]&quot;($&quot;#,##0.000\)"/>
    <numFmt numFmtId="192" formatCode="\$#,##0.00_);[RED]&quot;($&quot;#,##0.00\)"/>
    <numFmt numFmtId="193" formatCode="0%"/>
    <numFmt numFmtId="194" formatCode="0.0000%"/>
    <numFmt numFmtId="195" formatCode="[$-409]mmm\-yy"/>
    <numFmt numFmtId="196" formatCode="\$#,##0.00000_);[RED]&quot;($&quot;#,##0.00000\)"/>
    <numFmt numFmtId="197" formatCode="0.00"/>
    <numFmt numFmtId="198" formatCode="_(\$* #,##0.00000_);_(\$* \(#,##0.00000\);_(\$* \-??_);_(@_)"/>
    <numFmt numFmtId="199" formatCode="\$#,##0.0000"/>
    <numFmt numFmtId="200" formatCode="\$#,##0.00"/>
    <numFmt numFmtId="201" formatCode="#,##0.000"/>
    <numFmt numFmtId="202" formatCode="\$#,##0.000_);&quot;($&quot;#,##0.000\)"/>
    <numFmt numFmtId="203" formatCode="# ?/?"/>
    <numFmt numFmtId="204" formatCode="m/d"/>
    <numFmt numFmtId="205" formatCode="_(* #,##0_);_(* \(#,##0\);_(* \-_);_(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8"/>
      <color rgb="FF000000"/>
      <name val="Arial"/>
      <family val="2"/>
    </font>
    <font>
      <b val="true"/>
      <sz val="10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0"/>
    </font>
    <font>
      <u val="single"/>
      <sz val="10"/>
      <name val="Arial"/>
      <family val="0"/>
    </font>
    <font>
      <u val="single"/>
      <sz val="9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FF8080"/>
        <bgColor rgb="FFFF99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>
        <color rgb="FFFF0000"/>
      </left>
      <right style="thick">
        <color rgb="FFFF0000"/>
      </right>
      <top/>
      <bottom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93" fontId="0" fillId="0" borderId="0" applyFont="true" applyBorder="false" applyAlignment="false" applyProtection="false"/>
  </cellStyleXfs>
  <cellXfs count="5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7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6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1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1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1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6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6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5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8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8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2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99"/>
    <col collapsed="false" customWidth="true" hidden="false" outlineLevel="0" max="3" min="3" style="2" width="11.28"/>
    <col collapsed="false" customWidth="true" hidden="false" outlineLevel="0" max="4" min="4" style="3" width="14.41"/>
    <col collapsed="false" customWidth="true" hidden="false" outlineLevel="0" max="5" min="5" style="3" width="3.7"/>
    <col collapsed="false" customWidth="true" hidden="false" outlineLevel="0" max="6" min="6" style="1" width="11.28"/>
    <col collapsed="false" customWidth="true" hidden="false" outlineLevel="0" max="7" min="7" style="4" width="15.56"/>
    <col collapsed="false" customWidth="true" hidden="false" outlineLevel="0" max="8" min="8" style="4" width="13.99"/>
    <col collapsed="false" customWidth="false" hidden="false" outlineLevel="0" max="9" min="9" style="1" width="9.14"/>
    <col collapsed="false" customWidth="true" hidden="false" outlineLevel="0" max="10" min="10" style="1" width="13.7"/>
    <col collapsed="false" customWidth="false" hidden="false" outlineLevel="0" max="11" min="11" style="1" width="9.14"/>
    <col collapsed="false" customWidth="true" hidden="false" outlineLevel="0" max="12" min="12" style="1" width="12.42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5" t="s">
        <v>0</v>
      </c>
      <c r="D1" s="2"/>
      <c r="E1" s="2"/>
      <c r="F1" s="6"/>
      <c r="G1" s="5"/>
      <c r="H1" s="5"/>
      <c r="I1" s="7"/>
      <c r="J1" s="8"/>
    </row>
    <row r="2" customFormat="false" ht="12.75" hidden="false" customHeight="false" outlineLevel="0" collapsed="false">
      <c r="A2" s="5"/>
      <c r="D2" s="9"/>
      <c r="E2" s="9"/>
      <c r="F2" s="6"/>
      <c r="G2" s="5"/>
      <c r="H2" s="5"/>
      <c r="I2" s="7"/>
      <c r="J2" s="8"/>
    </row>
    <row r="3" customFormat="false" ht="12.75" hidden="false" customHeight="false" outlineLevel="0" collapsed="false">
      <c r="A3" s="5"/>
      <c r="D3" s="9"/>
      <c r="E3" s="9"/>
      <c r="F3" s="6"/>
      <c r="G3" s="5" t="s">
        <v>1</v>
      </c>
      <c r="H3" s="5" t="s">
        <v>1</v>
      </c>
      <c r="I3" s="7"/>
      <c r="J3" s="8"/>
    </row>
    <row r="4" customFormat="false" ht="12.75" hidden="false" customHeight="false" outlineLevel="0" collapsed="false">
      <c r="A4" s="7"/>
      <c r="D4" s="2"/>
      <c r="E4" s="2"/>
      <c r="F4" s="6"/>
      <c r="G4" s="10"/>
      <c r="H4" s="5"/>
      <c r="I4" s="7"/>
      <c r="J4" s="8"/>
    </row>
    <row r="5" customFormat="false" ht="12.75" hidden="false" customHeight="false" outlineLevel="0" collapsed="false">
      <c r="A5" s="11" t="s">
        <v>2</v>
      </c>
      <c r="B5" s="12" t="s">
        <v>3</v>
      </c>
      <c r="C5" s="12" t="s">
        <v>4</v>
      </c>
      <c r="D5" s="12" t="s">
        <v>5</v>
      </c>
      <c r="E5" s="12"/>
      <c r="F5" s="13" t="s">
        <v>6</v>
      </c>
      <c r="G5" s="14" t="s">
        <v>7</v>
      </c>
      <c r="H5" s="14" t="s">
        <v>8</v>
      </c>
      <c r="I5" s="11" t="s">
        <v>6</v>
      </c>
      <c r="J5" s="14" t="s">
        <v>9</v>
      </c>
    </row>
    <row r="6" customFormat="false" ht="12.75" hidden="false" customHeight="false" outlineLevel="0" collapsed="false">
      <c r="A6" s="7" t="s">
        <v>10</v>
      </c>
      <c r="B6" s="2" t="n">
        <v>0.3051</v>
      </c>
      <c r="C6" s="2" t="n">
        <v>77177</v>
      </c>
      <c r="D6" s="2" t="s">
        <v>11</v>
      </c>
      <c r="E6" s="2"/>
      <c r="F6" s="6"/>
      <c r="G6" s="5" t="s">
        <v>12</v>
      </c>
      <c r="H6" s="5" t="s">
        <v>12</v>
      </c>
      <c r="I6" s="7" t="s">
        <v>13</v>
      </c>
      <c r="J6" s="5" t="s">
        <v>14</v>
      </c>
    </row>
    <row r="7" customFormat="false" ht="12.75" hidden="false" customHeight="false" outlineLevel="0" collapsed="false">
      <c r="A7" s="7" t="s">
        <v>10</v>
      </c>
      <c r="B7" s="2" t="n">
        <v>0.4983</v>
      </c>
      <c r="C7" s="2" t="n">
        <v>77169</v>
      </c>
      <c r="D7" s="2" t="s">
        <v>11</v>
      </c>
      <c r="E7" s="2"/>
      <c r="F7" s="6"/>
      <c r="G7" s="5" t="s">
        <v>12</v>
      </c>
      <c r="H7" s="5" t="s">
        <v>12</v>
      </c>
      <c r="I7" s="7" t="s">
        <v>13</v>
      </c>
      <c r="J7" s="5" t="s">
        <v>15</v>
      </c>
    </row>
    <row r="8" customFormat="false" ht="12.75" hidden="false" customHeight="false" outlineLevel="0" collapsed="false">
      <c r="A8" s="7" t="s">
        <v>10</v>
      </c>
      <c r="B8" s="2" t="n">
        <v>0.2999</v>
      </c>
      <c r="D8" s="2" t="s">
        <v>11</v>
      </c>
      <c r="E8" s="2"/>
      <c r="F8" s="6"/>
      <c r="G8" s="5" t="s">
        <v>12</v>
      </c>
      <c r="H8" s="5" t="s">
        <v>12</v>
      </c>
      <c r="I8" s="7" t="s">
        <v>13</v>
      </c>
      <c r="J8" s="5" t="s">
        <v>15</v>
      </c>
    </row>
    <row r="9" customFormat="false" ht="12.75" hidden="false" customHeight="false" outlineLevel="0" collapsed="false">
      <c r="A9" s="7" t="s">
        <v>10</v>
      </c>
      <c r="B9" s="2" t="n">
        <v>0.2774</v>
      </c>
      <c r="C9" s="2" t="n">
        <v>77175</v>
      </c>
      <c r="D9" s="2" t="s">
        <v>11</v>
      </c>
      <c r="E9" s="2"/>
      <c r="F9" s="6"/>
      <c r="G9" s="5" t="s">
        <v>12</v>
      </c>
      <c r="H9" s="5" t="s">
        <v>12</v>
      </c>
      <c r="I9" s="7" t="s">
        <v>13</v>
      </c>
      <c r="J9" s="5" t="s">
        <v>15</v>
      </c>
    </row>
    <row r="10" customFormat="false" ht="12.75" hidden="false" customHeight="false" outlineLevel="0" collapsed="false">
      <c r="A10" s="7" t="s">
        <v>10</v>
      </c>
      <c r="B10" s="2" t="n">
        <v>0.7537</v>
      </c>
      <c r="C10" s="2" t="n">
        <v>82420</v>
      </c>
      <c r="D10" s="2" t="s">
        <v>16</v>
      </c>
      <c r="E10" s="2"/>
      <c r="F10" s="6"/>
      <c r="G10" s="5" t="s">
        <v>12</v>
      </c>
      <c r="H10" s="5" t="s">
        <v>12</v>
      </c>
      <c r="I10" s="7" t="s">
        <v>13</v>
      </c>
      <c r="J10" s="5" t="s">
        <v>17</v>
      </c>
    </row>
    <row r="11" customFormat="false" ht="12.75" hidden="false" customHeight="false" outlineLevel="0" collapsed="false">
      <c r="A11" s="7" t="s">
        <v>10</v>
      </c>
      <c r="B11" s="2" t="n">
        <v>3.073</v>
      </c>
      <c r="C11" s="2" t="n">
        <v>96503</v>
      </c>
      <c r="D11" s="2" t="s">
        <v>18</v>
      </c>
      <c r="E11" s="2"/>
      <c r="F11" s="6"/>
      <c r="G11" s="5" t="s">
        <v>12</v>
      </c>
      <c r="H11" s="5" t="s">
        <v>12</v>
      </c>
      <c r="I11" s="7" t="s">
        <v>13</v>
      </c>
      <c r="J11" s="5" t="s">
        <v>19</v>
      </c>
    </row>
    <row r="12" customFormat="false" ht="12.75" hidden="false" customHeight="false" outlineLevel="0" collapsed="false">
      <c r="A12" s="7" t="s">
        <v>10</v>
      </c>
      <c r="B12" s="2" t="n">
        <v>1.8793</v>
      </c>
      <c r="C12" s="2" t="n">
        <v>104783</v>
      </c>
      <c r="D12" s="2" t="s">
        <v>20</v>
      </c>
      <c r="E12" s="2"/>
      <c r="F12" s="6"/>
      <c r="G12" s="5" t="s">
        <v>12</v>
      </c>
      <c r="H12" s="5" t="s">
        <v>12</v>
      </c>
      <c r="I12" s="7" t="s">
        <v>13</v>
      </c>
      <c r="J12" s="5" t="s">
        <v>21</v>
      </c>
    </row>
    <row r="13" customFormat="false" ht="12.75" hidden="false" customHeight="false" outlineLevel="0" collapsed="false">
      <c r="A13" s="7" t="s">
        <v>10</v>
      </c>
      <c r="B13" s="2" t="n">
        <v>0.9047</v>
      </c>
      <c r="C13" s="2" t="n">
        <v>168466</v>
      </c>
      <c r="D13" s="2" t="s">
        <v>22</v>
      </c>
      <c r="E13" s="2"/>
      <c r="F13" s="6"/>
      <c r="G13" s="5" t="s">
        <v>12</v>
      </c>
      <c r="H13" s="5" t="s">
        <v>12</v>
      </c>
      <c r="I13" s="7" t="s">
        <v>13</v>
      </c>
      <c r="J13" s="5" t="s">
        <v>23</v>
      </c>
    </row>
    <row r="15" customFormat="false" ht="12.75" hidden="false" customHeight="false" outlineLevel="0" collapsed="false">
      <c r="A15" s="1" t="s">
        <v>24</v>
      </c>
      <c r="B15" s="2" t="n">
        <v>2891</v>
      </c>
      <c r="D15" s="3" t="s">
        <v>11</v>
      </c>
      <c r="G15" s="4" t="s">
        <v>12</v>
      </c>
      <c r="H15" s="4" t="s">
        <v>12</v>
      </c>
    </row>
    <row r="16" customFormat="false" ht="12.75" hidden="false" customHeight="false" outlineLevel="0" collapsed="false">
      <c r="A16" s="1" t="s">
        <v>24</v>
      </c>
      <c r="B16" s="2" t="n">
        <v>80045</v>
      </c>
      <c r="D16" s="3" t="s">
        <v>13</v>
      </c>
    </row>
    <row r="18" customFormat="false" ht="12.75" hidden="false" customHeight="false" outlineLevel="0" collapsed="false">
      <c r="A18" s="1" t="s">
        <v>25</v>
      </c>
      <c r="B18" s="2" t="s">
        <v>26</v>
      </c>
      <c r="C18" s="2" t="n">
        <v>98243</v>
      </c>
      <c r="D18" s="3" t="s">
        <v>27</v>
      </c>
      <c r="G18" s="4" t="s">
        <v>12</v>
      </c>
      <c r="H18" s="4" t="s">
        <v>12</v>
      </c>
      <c r="J18" s="1" t="s">
        <v>28</v>
      </c>
    </row>
    <row r="19" customFormat="false" ht="12.75" hidden="false" customHeight="false" outlineLevel="0" collapsed="false">
      <c r="A19" s="1" t="s">
        <v>25</v>
      </c>
      <c r="B19" s="2" t="s">
        <v>26</v>
      </c>
      <c r="C19" s="2" t="n">
        <v>98567</v>
      </c>
      <c r="D19" s="3" t="s">
        <v>29</v>
      </c>
      <c r="G19" s="4" t="s">
        <v>12</v>
      </c>
      <c r="H19" s="4" t="s">
        <v>12</v>
      </c>
      <c r="J19" s="1" t="s">
        <v>30</v>
      </c>
    </row>
    <row r="20" customFormat="false" ht="12.75" hidden="false" customHeight="false" outlineLevel="0" collapsed="false">
      <c r="A20" s="1" t="s">
        <v>25</v>
      </c>
      <c r="B20" s="2" t="n">
        <v>600228</v>
      </c>
      <c r="C20" s="2" t="n">
        <v>77009</v>
      </c>
      <c r="D20" s="3" t="s">
        <v>31</v>
      </c>
      <c r="G20" s="4" t="s">
        <v>12</v>
      </c>
      <c r="H20" s="4" t="s">
        <v>12</v>
      </c>
      <c r="J20" s="1" t="s">
        <v>32</v>
      </c>
    </row>
    <row r="22" customFormat="false" ht="12.75" hidden="false" customHeight="false" outlineLevel="0" collapsed="false">
      <c r="A22" s="1" t="s">
        <v>33</v>
      </c>
      <c r="B22" s="2" t="s">
        <v>34</v>
      </c>
      <c r="C22" s="2" t="n">
        <v>168569</v>
      </c>
      <c r="D22" s="3" t="s">
        <v>35</v>
      </c>
      <c r="G22" s="4" t="s">
        <v>12</v>
      </c>
      <c r="H22" s="4" t="s">
        <v>12</v>
      </c>
      <c r="J22" s="1" t="s">
        <v>36</v>
      </c>
    </row>
    <row r="24" customFormat="false" ht="12.75" hidden="false" customHeight="false" outlineLevel="0" collapsed="false">
      <c r="A24" s="1" t="s">
        <v>37</v>
      </c>
      <c r="B24" s="2" t="n">
        <v>9310010</v>
      </c>
      <c r="D24" s="3" t="s">
        <v>38</v>
      </c>
    </row>
    <row r="26" customFormat="false" ht="12.75" hidden="false" customHeight="false" outlineLevel="0" collapsed="false">
      <c r="A26" s="1" t="s">
        <v>39</v>
      </c>
      <c r="B26" s="2" t="n">
        <v>38641</v>
      </c>
      <c r="C26" s="2" t="n">
        <v>93039</v>
      </c>
      <c r="D26" s="3" t="s">
        <v>40</v>
      </c>
      <c r="J26" s="1" t="s">
        <v>41</v>
      </c>
    </row>
    <row r="27" customFormat="false" ht="12.75" hidden="false" customHeight="false" outlineLevel="0" collapsed="false">
      <c r="A27" s="1" t="s">
        <v>39</v>
      </c>
      <c r="B27" s="2" t="n">
        <v>37556</v>
      </c>
      <c r="C27" s="2" t="n">
        <v>93037</v>
      </c>
      <c r="D27" s="3" t="s">
        <v>42</v>
      </c>
      <c r="J27" s="1" t="s">
        <v>43</v>
      </c>
    </row>
    <row r="28" customFormat="false" ht="12.75" hidden="false" customHeight="false" outlineLevel="0" collapsed="false">
      <c r="A28" s="1" t="s">
        <v>39</v>
      </c>
      <c r="B28" s="2" t="n">
        <v>39229</v>
      </c>
      <c r="C28" s="2" t="n">
        <v>93030</v>
      </c>
      <c r="D28" s="3" t="s">
        <v>44</v>
      </c>
      <c r="J28" s="1" t="s">
        <v>45</v>
      </c>
    </row>
    <row r="31" customFormat="false" ht="12.75" hidden="false" customHeight="false" outlineLevel="0" collapsed="false">
      <c r="A31" s="1" t="s">
        <v>46</v>
      </c>
      <c r="B31" s="2" t="n">
        <v>40998</v>
      </c>
      <c r="D31" s="3" t="s">
        <v>11</v>
      </c>
    </row>
    <row r="32" customFormat="false" ht="12.75" hidden="false" customHeight="false" outlineLevel="0" collapsed="false">
      <c r="A32" s="1" t="s">
        <v>46</v>
      </c>
      <c r="B32" s="2" t="n">
        <v>38021</v>
      </c>
      <c r="C32" s="2" t="n">
        <v>166118</v>
      </c>
      <c r="D32" s="3" t="s">
        <v>47</v>
      </c>
      <c r="G32" s="4" t="s">
        <v>12</v>
      </c>
      <c r="H32" s="4" t="s">
        <v>12</v>
      </c>
      <c r="J32" s="1" t="s">
        <v>36</v>
      </c>
    </row>
    <row r="34" customFormat="false" ht="12.75" hidden="false" customHeight="false" outlineLevel="0" collapsed="false">
      <c r="A34" s="1" t="s">
        <v>48</v>
      </c>
      <c r="B34" s="2" t="s">
        <v>49</v>
      </c>
      <c r="C34" s="2" t="n">
        <v>102637</v>
      </c>
      <c r="D34" s="3" t="s">
        <v>50</v>
      </c>
      <c r="F34" s="1" t="n">
        <v>60000</v>
      </c>
      <c r="J34" s="1" t="s">
        <v>51</v>
      </c>
    </row>
    <row r="35" customFormat="false" ht="13.5" hidden="false" customHeight="true" outlineLevel="0" collapsed="false">
      <c r="A35" s="15" t="s">
        <v>52</v>
      </c>
      <c r="B35" s="16" t="s">
        <v>48</v>
      </c>
      <c r="C35" s="16" t="s">
        <v>48</v>
      </c>
      <c r="D35" s="17" t="n">
        <v>35065</v>
      </c>
      <c r="E35" s="17"/>
      <c r="F35" s="17" t="s">
        <v>53</v>
      </c>
      <c r="G35" s="15" t="s">
        <v>54</v>
      </c>
      <c r="H35" s="18" t="n">
        <v>50000</v>
      </c>
      <c r="I35" s="16"/>
      <c r="J35" s="19" t="n">
        <f aca="false">0/'ECT Trans'!I$1</f>
        <v>0</v>
      </c>
      <c r="K35" s="20" t="n">
        <v>0.198</v>
      </c>
      <c r="L35" s="20" t="n">
        <v>0</v>
      </c>
      <c r="M35" s="20" t="n">
        <v>0</v>
      </c>
      <c r="N35" s="20" t="n">
        <v>0.02</v>
      </c>
      <c r="O35" s="20" t="n">
        <f aca="false">+P35*2.2</f>
        <v>0.05016</v>
      </c>
      <c r="P35" s="21" t="n">
        <v>0.0228</v>
      </c>
      <c r="Q35" s="20" t="n">
        <f aca="false">SUM(J35:O35)</f>
        <v>0.26816</v>
      </c>
      <c r="R35" s="22" t="s">
        <v>55</v>
      </c>
      <c r="S35" s="16" t="n">
        <v>85315</v>
      </c>
      <c r="T35" s="15"/>
      <c r="U35" s="23" t="n">
        <v>0</v>
      </c>
      <c r="V35" s="23" t="n">
        <v>0</v>
      </c>
      <c r="W35" s="24" t="n">
        <v>77853</v>
      </c>
      <c r="X35" s="24"/>
    </row>
    <row r="36" customFormat="false" ht="13.5" hidden="false" customHeight="true" outlineLevel="0" collapsed="false">
      <c r="A36" s="15" t="s">
        <v>52</v>
      </c>
      <c r="B36" s="16" t="s">
        <v>48</v>
      </c>
      <c r="C36" s="16" t="s">
        <v>48</v>
      </c>
      <c r="D36" s="17" t="n">
        <v>35065</v>
      </c>
      <c r="E36" s="17"/>
      <c r="F36" s="17" t="s">
        <v>53</v>
      </c>
      <c r="G36" s="15" t="s">
        <v>56</v>
      </c>
      <c r="H36" s="18" t="n">
        <v>50001</v>
      </c>
      <c r="I36" s="16"/>
      <c r="J36" s="19" t="n">
        <f aca="false">0/'ECT Trans'!I$1</f>
        <v>0</v>
      </c>
      <c r="K36" s="20" t="n">
        <v>0.198</v>
      </c>
      <c r="L36" s="20" t="n">
        <v>0</v>
      </c>
      <c r="M36" s="20" t="n">
        <v>0</v>
      </c>
      <c r="N36" s="20" t="n">
        <v>0.02</v>
      </c>
      <c r="O36" s="20" t="n">
        <f aca="false">+P36*2.2</f>
        <v>0.05016</v>
      </c>
      <c r="P36" s="21" t="n">
        <v>0.0228</v>
      </c>
      <c r="Q36" s="20" t="n">
        <f aca="false">SUM(J36:O36)</f>
        <v>0.26816</v>
      </c>
      <c r="R36" s="22" t="s">
        <v>57</v>
      </c>
      <c r="S36" s="16" t="n">
        <v>78123</v>
      </c>
      <c r="T36" s="15"/>
      <c r="U36" s="23" t="n">
        <v>0</v>
      </c>
      <c r="V36" s="23" t="n">
        <v>0</v>
      </c>
      <c r="W36" s="24" t="n">
        <v>77860</v>
      </c>
      <c r="X36" s="24"/>
    </row>
    <row r="37" customFormat="false" ht="13.5" hidden="false" customHeight="true" outlineLevel="0" collapsed="false">
      <c r="A37" s="15" t="s">
        <v>52</v>
      </c>
      <c r="B37" s="16" t="s">
        <v>48</v>
      </c>
      <c r="C37" s="16" t="s">
        <v>48</v>
      </c>
      <c r="D37" s="17" t="n">
        <v>35065</v>
      </c>
      <c r="E37" s="17"/>
      <c r="F37" s="17" t="s">
        <v>53</v>
      </c>
      <c r="G37" s="15" t="s">
        <v>58</v>
      </c>
      <c r="H37" s="18" t="n">
        <v>50002</v>
      </c>
      <c r="I37" s="16"/>
      <c r="J37" s="19" t="n">
        <f aca="false">0/'ECT Trans'!I$1</f>
        <v>0</v>
      </c>
      <c r="K37" s="20" t="n">
        <v>0.198</v>
      </c>
      <c r="L37" s="20" t="n">
        <v>0</v>
      </c>
      <c r="M37" s="20" t="n">
        <v>0</v>
      </c>
      <c r="N37" s="20" t="n">
        <v>0.02</v>
      </c>
      <c r="O37" s="20" t="n">
        <f aca="false">+P37*2.2</f>
        <v>0.05016</v>
      </c>
      <c r="P37" s="21" t="n">
        <v>0.0228</v>
      </c>
      <c r="Q37" s="20" t="n">
        <f aca="false">SUM(J37:O37)</f>
        <v>0.26816</v>
      </c>
      <c r="R37" s="22" t="s">
        <v>59</v>
      </c>
      <c r="S37" s="16" t="n">
        <v>77922</v>
      </c>
      <c r="T37" s="15"/>
      <c r="U37" s="23" t="n">
        <v>0</v>
      </c>
      <c r="V37" s="23" t="n">
        <v>0</v>
      </c>
      <c r="W37" s="24" t="n">
        <v>80517</v>
      </c>
      <c r="X37" s="24"/>
    </row>
    <row r="38" customFormat="false" ht="13.5" hidden="false" customHeight="true" outlineLevel="0" collapsed="false">
      <c r="A38" s="15" t="s">
        <v>52</v>
      </c>
      <c r="B38" s="16" t="s">
        <v>48</v>
      </c>
      <c r="C38" s="16" t="s">
        <v>48</v>
      </c>
      <c r="D38" s="17" t="n">
        <v>35065</v>
      </c>
      <c r="E38" s="17"/>
      <c r="F38" s="17" t="s">
        <v>53</v>
      </c>
      <c r="G38" s="15" t="s">
        <v>60</v>
      </c>
      <c r="H38" s="18" t="n">
        <v>50003</v>
      </c>
      <c r="I38" s="16"/>
      <c r="J38" s="19" t="n">
        <f aca="false">0/'ECT Trans'!I$1</f>
        <v>0</v>
      </c>
      <c r="K38" s="20" t="n">
        <v>0.198</v>
      </c>
      <c r="L38" s="20" t="n">
        <v>0</v>
      </c>
      <c r="M38" s="20" t="n">
        <v>0</v>
      </c>
      <c r="N38" s="20" t="n">
        <v>0.02</v>
      </c>
      <c r="O38" s="20" t="n">
        <f aca="false">+P38*2.2</f>
        <v>0.05016</v>
      </c>
      <c r="P38" s="21" t="n">
        <v>0.0228</v>
      </c>
      <c r="Q38" s="20" t="n">
        <f aca="false">SUM(J38:O38)</f>
        <v>0.26816</v>
      </c>
      <c r="R38" s="22" t="s">
        <v>61</v>
      </c>
      <c r="S38" s="16" t="n">
        <v>35087</v>
      </c>
      <c r="T38" s="15"/>
      <c r="U38" s="23" t="n">
        <v>0</v>
      </c>
      <c r="V38" s="23" t="n">
        <v>0</v>
      </c>
      <c r="W38" s="24" t="n">
        <v>80537</v>
      </c>
      <c r="X38" s="24"/>
    </row>
    <row r="39" customFormat="false" ht="13.5" hidden="false" customHeight="true" outlineLevel="0" collapsed="false">
      <c r="A39" s="15" t="s">
        <v>52</v>
      </c>
      <c r="B39" s="16" t="s">
        <v>48</v>
      </c>
      <c r="C39" s="16" t="s">
        <v>48</v>
      </c>
      <c r="D39" s="17" t="n">
        <v>35065</v>
      </c>
      <c r="E39" s="17"/>
      <c r="F39" s="17" t="s">
        <v>53</v>
      </c>
      <c r="G39" s="15" t="s">
        <v>62</v>
      </c>
      <c r="H39" s="18" t="n">
        <v>50004</v>
      </c>
      <c r="I39" s="16"/>
      <c r="J39" s="19" t="n">
        <f aca="false">0/'ECT Trans'!I$1</f>
        <v>0</v>
      </c>
      <c r="K39" s="20" t="n">
        <v>0.198</v>
      </c>
      <c r="L39" s="20" t="n">
        <v>0</v>
      </c>
      <c r="M39" s="20" t="n">
        <v>0</v>
      </c>
      <c r="N39" s="20" t="n">
        <v>0.02</v>
      </c>
      <c r="O39" s="20" t="n">
        <f aca="false">+P39*2.2</f>
        <v>0.05016</v>
      </c>
      <c r="P39" s="21" t="n">
        <v>0.0228</v>
      </c>
      <c r="Q39" s="20" t="n">
        <f aca="false">SUM(J39:O39)</f>
        <v>0.26816</v>
      </c>
      <c r="R39" s="22" t="s">
        <v>63</v>
      </c>
      <c r="S39" s="16" t="n">
        <v>39194</v>
      </c>
      <c r="T39" s="15"/>
      <c r="U39" s="23" t="n">
        <v>0</v>
      </c>
      <c r="V39" s="23" t="n">
        <v>0</v>
      </c>
      <c r="W39" s="24" t="n">
        <v>80538</v>
      </c>
      <c r="X39" s="24"/>
    </row>
    <row r="40" customFormat="false" ht="13.5" hidden="false" customHeight="true" outlineLevel="0" collapsed="false">
      <c r="A40" s="15" t="s">
        <v>52</v>
      </c>
      <c r="B40" s="16" t="s">
        <v>48</v>
      </c>
      <c r="C40" s="16" t="s">
        <v>48</v>
      </c>
      <c r="D40" s="17" t="n">
        <v>35065</v>
      </c>
      <c r="E40" s="17"/>
      <c r="F40" s="17" t="s">
        <v>53</v>
      </c>
      <c r="G40" s="15" t="s">
        <v>64</v>
      </c>
      <c r="H40" s="18" t="n">
        <v>50000</v>
      </c>
      <c r="I40" s="16"/>
      <c r="J40" s="19" t="n">
        <f aca="false">0/'ECT Trans'!I$1</f>
        <v>0</v>
      </c>
      <c r="K40" s="20" t="n">
        <v>0</v>
      </c>
      <c r="L40" s="20" t="n">
        <v>0</v>
      </c>
      <c r="M40" s="20" t="n">
        <v>0</v>
      </c>
      <c r="N40" s="20" t="n">
        <v>0.02</v>
      </c>
      <c r="O40" s="20" t="n">
        <f aca="false">+P40*2.2</f>
        <v>0</v>
      </c>
      <c r="P40" s="21" t="n">
        <v>0</v>
      </c>
      <c r="Q40" s="20" t="n">
        <f aca="false">SUM(J40:O40)</f>
        <v>0.02</v>
      </c>
      <c r="R40" s="22" t="s">
        <v>65</v>
      </c>
      <c r="S40" s="16" t="n">
        <v>9185</v>
      </c>
      <c r="T40" s="15"/>
      <c r="U40" s="23" t="n">
        <v>0</v>
      </c>
      <c r="V40" s="23" t="n">
        <v>0</v>
      </c>
      <c r="W40" s="24" t="n">
        <v>77852</v>
      </c>
      <c r="X40" s="24"/>
    </row>
    <row r="41" customFormat="false" ht="13.5" hidden="false" customHeight="true" outlineLevel="0" collapsed="false">
      <c r="A41" s="15" t="s">
        <v>52</v>
      </c>
      <c r="B41" s="16" t="s">
        <v>48</v>
      </c>
      <c r="C41" s="16" t="s">
        <v>48</v>
      </c>
      <c r="D41" s="17" t="n">
        <v>35065</v>
      </c>
      <c r="E41" s="17"/>
      <c r="F41" s="17" t="s">
        <v>53</v>
      </c>
      <c r="G41" s="15" t="s">
        <v>66</v>
      </c>
      <c r="H41" s="18" t="n">
        <v>50001</v>
      </c>
      <c r="I41" s="16"/>
      <c r="J41" s="19" t="n">
        <f aca="false">0/'ECT Trans'!I$1</f>
        <v>0</v>
      </c>
      <c r="K41" s="20" t="n">
        <v>0</v>
      </c>
      <c r="L41" s="20" t="n">
        <v>0</v>
      </c>
      <c r="M41" s="20" t="n">
        <v>0</v>
      </c>
      <c r="N41" s="20" t="n">
        <v>0.02</v>
      </c>
      <c r="O41" s="20" t="n">
        <f aca="false">+P41*2.2</f>
        <v>0</v>
      </c>
      <c r="P41" s="21" t="n">
        <v>0</v>
      </c>
      <c r="Q41" s="20" t="n">
        <f aca="false">SUM(J41:O41)</f>
        <v>0.02</v>
      </c>
      <c r="R41" s="22" t="s">
        <v>67</v>
      </c>
      <c r="S41" s="16" t="n">
        <v>16377</v>
      </c>
      <c r="T41" s="15"/>
      <c r="U41" s="23" t="n">
        <v>0</v>
      </c>
      <c r="V41" s="23" t="n">
        <v>0</v>
      </c>
      <c r="W41" s="24" t="n">
        <v>77858</v>
      </c>
      <c r="X41" s="24"/>
    </row>
    <row r="42" customFormat="false" ht="13.5" hidden="false" customHeight="true" outlineLevel="0" collapsed="false">
      <c r="A42" s="15" t="s">
        <v>52</v>
      </c>
      <c r="B42" s="16" t="s">
        <v>48</v>
      </c>
      <c r="C42" s="16" t="s">
        <v>48</v>
      </c>
      <c r="D42" s="17" t="n">
        <v>35065</v>
      </c>
      <c r="E42" s="17"/>
      <c r="F42" s="17" t="s">
        <v>53</v>
      </c>
      <c r="G42" s="15" t="s">
        <v>68</v>
      </c>
      <c r="H42" s="18" t="n">
        <v>50002</v>
      </c>
      <c r="I42" s="16"/>
      <c r="J42" s="19" t="n">
        <f aca="false">0/'ECT Trans'!I$1</f>
        <v>0</v>
      </c>
      <c r="K42" s="20" t="n">
        <v>0</v>
      </c>
      <c r="L42" s="20" t="n">
        <v>0</v>
      </c>
      <c r="M42" s="20" t="n">
        <v>0</v>
      </c>
      <c r="N42" s="20" t="n">
        <v>0.02</v>
      </c>
      <c r="O42" s="20" t="n">
        <f aca="false">+P42*2.2</f>
        <v>0</v>
      </c>
      <c r="P42" s="21" t="n">
        <v>0</v>
      </c>
      <c r="Q42" s="20" t="n">
        <f aca="false">SUM(J42:O42)</f>
        <v>0.02</v>
      </c>
      <c r="R42" s="22" t="s">
        <v>69</v>
      </c>
      <c r="S42" s="16" t="n">
        <v>3578</v>
      </c>
      <c r="T42" s="15"/>
      <c r="U42" s="23" t="n">
        <v>0</v>
      </c>
      <c r="V42" s="23" t="n">
        <v>0</v>
      </c>
      <c r="W42" s="24" t="n">
        <v>77845</v>
      </c>
      <c r="X42" s="24"/>
    </row>
    <row r="43" customFormat="false" ht="13.5" hidden="false" customHeight="true" outlineLevel="0" collapsed="false">
      <c r="A43" s="15" t="s">
        <v>52</v>
      </c>
      <c r="B43" s="16" t="s">
        <v>48</v>
      </c>
      <c r="C43" s="16" t="s">
        <v>48</v>
      </c>
      <c r="D43" s="17" t="n">
        <v>35065</v>
      </c>
      <c r="E43" s="17"/>
      <c r="F43" s="17" t="s">
        <v>53</v>
      </c>
      <c r="G43" s="15" t="s">
        <v>70</v>
      </c>
      <c r="H43" s="18" t="n">
        <v>50003</v>
      </c>
      <c r="I43" s="16"/>
      <c r="J43" s="19" t="n">
        <f aca="false">0/'ECT Trans'!I$1</f>
        <v>0</v>
      </c>
      <c r="K43" s="20" t="n">
        <v>0</v>
      </c>
      <c r="L43" s="20" t="n">
        <v>0</v>
      </c>
      <c r="M43" s="20" t="n">
        <v>0</v>
      </c>
      <c r="N43" s="20" t="n">
        <v>0.02</v>
      </c>
      <c r="O43" s="20" t="n">
        <f aca="false">+P43*2.2</f>
        <v>0</v>
      </c>
      <c r="P43" s="21" t="n">
        <v>0</v>
      </c>
      <c r="Q43" s="20" t="n">
        <f aca="false">SUM(J43:O43)</f>
        <v>0.02</v>
      </c>
      <c r="R43" s="22" t="s">
        <v>71</v>
      </c>
      <c r="S43" s="16" t="n">
        <v>6913</v>
      </c>
      <c r="T43" s="15"/>
      <c r="U43" s="23" t="n">
        <v>0</v>
      </c>
      <c r="V43" s="23" t="n">
        <v>0</v>
      </c>
      <c r="W43" s="24" t="n">
        <v>77848</v>
      </c>
      <c r="X43" s="24"/>
    </row>
    <row r="44" customFormat="false" ht="13.5" hidden="false" customHeight="true" outlineLevel="0" collapsed="false">
      <c r="A44" s="15" t="s">
        <v>52</v>
      </c>
      <c r="B44" s="16" t="s">
        <v>48</v>
      </c>
      <c r="C44" s="16" t="s">
        <v>48</v>
      </c>
      <c r="D44" s="17" t="n">
        <v>35065</v>
      </c>
      <c r="E44" s="17"/>
      <c r="F44" s="17" t="s">
        <v>53</v>
      </c>
      <c r="G44" s="15" t="s">
        <v>72</v>
      </c>
      <c r="H44" s="18" t="n">
        <v>50004</v>
      </c>
      <c r="I44" s="16"/>
      <c r="J44" s="19" t="n">
        <f aca="false">0/'ECT Trans'!I$1</f>
        <v>0</v>
      </c>
      <c r="K44" s="20" t="n">
        <v>0</v>
      </c>
      <c r="L44" s="20" t="n">
        <v>0</v>
      </c>
      <c r="M44" s="20" t="n">
        <v>0</v>
      </c>
      <c r="N44" s="20" t="n">
        <v>0.02</v>
      </c>
      <c r="O44" s="20" t="n">
        <f aca="false">+P44*2.2</f>
        <v>0</v>
      </c>
      <c r="P44" s="21" t="n">
        <v>0</v>
      </c>
      <c r="Q44" s="20" t="n">
        <f aca="false">SUM(J44:O44)</f>
        <v>0.02</v>
      </c>
      <c r="R44" s="22" t="s">
        <v>73</v>
      </c>
      <c r="S44" s="16" t="n">
        <v>18556</v>
      </c>
      <c r="T44" s="15"/>
      <c r="U44" s="23" t="n">
        <v>0</v>
      </c>
      <c r="V44" s="23" t="n">
        <v>0</v>
      </c>
      <c r="W44" s="24" t="n">
        <v>77850</v>
      </c>
      <c r="X44" s="24"/>
    </row>
    <row r="46" customFormat="false" ht="12.75" hidden="false" customHeight="false" outlineLevel="0" collapsed="false">
      <c r="A46" s="1" t="s">
        <v>74</v>
      </c>
      <c r="B46" s="2" t="s">
        <v>75</v>
      </c>
      <c r="C46" s="2" t="n">
        <v>104749</v>
      </c>
      <c r="D46" s="3" t="s">
        <v>76</v>
      </c>
      <c r="G46" s="4" t="s">
        <v>77</v>
      </c>
      <c r="J46" s="1" t="s">
        <v>78</v>
      </c>
    </row>
    <row r="47" customFormat="false" ht="12.75" hidden="false" customHeight="false" outlineLevel="0" collapsed="false">
      <c r="A47" s="1" t="s">
        <v>74</v>
      </c>
      <c r="B47" s="2" t="s">
        <v>79</v>
      </c>
      <c r="C47" s="2" t="n">
        <v>82026</v>
      </c>
      <c r="D47" s="3" t="s">
        <v>11</v>
      </c>
      <c r="G47" s="4" t="s">
        <v>12</v>
      </c>
      <c r="H47" s="4" t="s">
        <v>12</v>
      </c>
    </row>
    <row r="49" customFormat="false" ht="12.75" hidden="false" customHeight="false" outlineLevel="0" collapsed="false">
      <c r="A49" s="1" t="s">
        <v>80</v>
      </c>
      <c r="B49" s="2" t="s">
        <v>81</v>
      </c>
      <c r="C49" s="2" t="n">
        <v>117510</v>
      </c>
      <c r="D49" s="3" t="s">
        <v>11</v>
      </c>
      <c r="J49" s="1" t="s">
        <v>82</v>
      </c>
    </row>
    <row r="51" customFormat="false" ht="12.75" hidden="false" customHeight="false" outlineLevel="0" collapsed="false">
      <c r="A51" s="1" t="s">
        <v>83</v>
      </c>
      <c r="B51" s="2" t="n">
        <v>15</v>
      </c>
      <c r="C51" s="2" t="n">
        <v>125711</v>
      </c>
      <c r="D51" s="3" t="s">
        <v>11</v>
      </c>
    </row>
    <row r="53" customFormat="false" ht="12.75" hidden="false" customHeight="false" outlineLevel="0" collapsed="false">
      <c r="A53" s="1" t="s">
        <v>84</v>
      </c>
      <c r="B53" s="2" t="s">
        <v>85</v>
      </c>
      <c r="C53" s="2" t="n">
        <v>124109</v>
      </c>
      <c r="D53" s="3" t="s">
        <v>86</v>
      </c>
    </row>
    <row r="54" customFormat="false" ht="12.75" hidden="false" customHeight="false" outlineLevel="0" collapsed="false">
      <c r="A54" s="1" t="s">
        <v>84</v>
      </c>
      <c r="B54" s="2" t="s">
        <v>87</v>
      </c>
      <c r="C54" s="2" t="n">
        <v>77753</v>
      </c>
      <c r="D54" s="3" t="s">
        <v>11</v>
      </c>
    </row>
    <row r="56" customFormat="false" ht="12.75" hidden="false" customHeight="false" outlineLevel="0" collapsed="false">
      <c r="A56" s="1" t="s">
        <v>88</v>
      </c>
      <c r="B56" s="2" t="s">
        <v>89</v>
      </c>
      <c r="C56" s="2" t="n">
        <v>220796</v>
      </c>
      <c r="D56" s="3" t="s">
        <v>11</v>
      </c>
      <c r="F56" s="1" t="s">
        <v>90</v>
      </c>
      <c r="J56" s="1" t="s">
        <v>91</v>
      </c>
    </row>
    <row r="59" customFormat="false" ht="12.75" hidden="false" customHeight="false" outlineLevel="0" collapsed="false">
      <c r="A59" s="15" t="s">
        <v>92</v>
      </c>
      <c r="B59" s="16" t="s">
        <v>93</v>
      </c>
      <c r="C59" s="16" t="s">
        <v>93</v>
      </c>
      <c r="D59" s="17" t="s">
        <v>90</v>
      </c>
      <c r="E59" s="17" t="s">
        <v>90</v>
      </c>
      <c r="F59" s="15" t="s">
        <v>94</v>
      </c>
      <c r="G59" s="15" t="s">
        <v>94</v>
      </c>
      <c r="H59" s="16" t="s">
        <v>11</v>
      </c>
      <c r="I59" s="19" t="n">
        <v>0</v>
      </c>
      <c r="J59" s="20" t="n">
        <v>0</v>
      </c>
      <c r="K59" s="20" t="n">
        <v>0.0022</v>
      </c>
      <c r="L59" s="20" t="n">
        <v>0.0072</v>
      </c>
      <c r="M59" s="20" t="n">
        <v>0.0131</v>
      </c>
      <c r="N59" s="25" t="n">
        <v>0</v>
      </c>
      <c r="O59" s="20" t="n">
        <f aca="false">SUM(I59:M59)</f>
        <v>0.0225</v>
      </c>
      <c r="P59" s="22" t="s">
        <v>95</v>
      </c>
      <c r="Q59" s="22" t="s">
        <v>95</v>
      </c>
      <c r="R59" s="16" t="n">
        <v>0</v>
      </c>
      <c r="S59" s="15" t="s">
        <v>96</v>
      </c>
      <c r="T59" s="23" t="n">
        <f aca="false">I59*I$1*R59</f>
        <v>0</v>
      </c>
      <c r="U59" s="23"/>
      <c r="V59" s="26"/>
      <c r="W59" s="26" t="n">
        <v>145336</v>
      </c>
      <c r="X59" s="24"/>
      <c r="Y5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6" activeCellId="0" sqref="B36: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14" min="12" style="473" width="9.14"/>
  </cols>
  <sheetData>
    <row r="1" customFormat="false" ht="12.75" hidden="false" customHeight="false" outlineLevel="0" collapsed="false">
      <c r="A1" s="474"/>
      <c r="B1" s="474"/>
      <c r="C1" s="474"/>
      <c r="D1" s="474"/>
      <c r="E1" s="474"/>
      <c r="F1" s="474"/>
      <c r="G1" s="474"/>
      <c r="H1" s="474"/>
      <c r="I1" s="474"/>
      <c r="J1" s="474"/>
    </row>
    <row r="2" customFormat="false" ht="12.75" hidden="false" customHeight="false" outlineLevel="0" collapsed="false">
      <c r="A2" s="474"/>
      <c r="B2" s="474"/>
      <c r="C2" s="474"/>
      <c r="D2" s="474"/>
      <c r="E2" s="474"/>
      <c r="F2" s="474"/>
      <c r="G2" s="474"/>
      <c r="H2" s="474"/>
      <c r="I2" s="474"/>
      <c r="J2" s="474"/>
    </row>
    <row r="3" customFormat="false" ht="12.75" hidden="false" customHeight="false" outlineLevel="0" collapsed="false">
      <c r="A3" s="474"/>
      <c r="B3" s="474"/>
      <c r="C3" s="474"/>
      <c r="D3" s="474"/>
      <c r="E3" s="474"/>
      <c r="F3" s="474"/>
      <c r="G3" s="474"/>
      <c r="H3" s="474"/>
      <c r="I3" s="474"/>
      <c r="J3" s="474"/>
    </row>
    <row r="4" customFormat="false" ht="12.75" hidden="false" customHeight="false" outlineLevel="0" collapsed="false">
      <c r="A4" s="474"/>
      <c r="B4" s="474"/>
      <c r="C4" s="474"/>
      <c r="D4" s="474"/>
      <c r="E4" s="474"/>
      <c r="F4" s="474"/>
      <c r="G4" s="474"/>
      <c r="H4" s="474"/>
      <c r="I4" s="474"/>
      <c r="J4" s="474"/>
    </row>
    <row r="5" customFormat="false" ht="12.75" hidden="false" customHeight="false" outlineLevel="0" collapsed="false">
      <c r="A5" s="474"/>
      <c r="B5" s="474"/>
      <c r="C5" s="474"/>
      <c r="D5" s="474"/>
      <c r="E5" s="474"/>
      <c r="F5" s="474"/>
      <c r="G5" s="474"/>
      <c r="H5" s="474"/>
      <c r="I5" s="474"/>
      <c r="J5" s="474"/>
    </row>
    <row r="6" customFormat="false" ht="12.75" hidden="false" customHeight="false" outlineLevel="0" collapsed="false">
      <c r="A6" s="474"/>
      <c r="B6" s="474"/>
      <c r="C6" s="474"/>
      <c r="D6" s="474"/>
      <c r="E6" s="474"/>
      <c r="F6" s="474"/>
      <c r="G6" s="474"/>
      <c r="H6" s="474"/>
      <c r="I6" s="474"/>
      <c r="J6" s="474"/>
    </row>
    <row r="7" customFormat="false" ht="12.75" hidden="false" customHeight="false" outlineLevel="0" collapsed="false">
      <c r="A7" s="474"/>
      <c r="B7" s="474"/>
      <c r="C7" s="474"/>
      <c r="D7" s="474"/>
      <c r="E7" s="474"/>
      <c r="F7" s="474"/>
      <c r="G7" s="474"/>
      <c r="H7" s="474"/>
      <c r="I7" s="474"/>
      <c r="J7" s="474"/>
    </row>
    <row r="8" customFormat="false" ht="12.75" hidden="false" customHeight="false" outlineLevel="0" collapsed="false">
      <c r="A8" s="474"/>
      <c r="B8" s="474"/>
      <c r="C8" s="474"/>
      <c r="D8" s="474"/>
      <c r="E8" s="474"/>
      <c r="F8" s="474"/>
      <c r="G8" s="474"/>
      <c r="H8" s="474"/>
      <c r="I8" s="474"/>
      <c r="J8" s="474"/>
    </row>
    <row r="9" customFormat="false" ht="12.75" hidden="false" customHeight="false" outlineLevel="0" collapsed="false">
      <c r="A9" s="474"/>
      <c r="B9" s="474" t="s">
        <v>25</v>
      </c>
      <c r="C9" s="474"/>
      <c r="D9" s="474"/>
      <c r="E9" s="474"/>
      <c r="F9" s="474"/>
      <c r="G9" s="474"/>
      <c r="H9" s="474"/>
      <c r="I9" s="474"/>
      <c r="J9" s="474"/>
    </row>
    <row r="10" customFormat="false" ht="12.75" hidden="false" customHeight="false" outlineLevel="0" collapsed="false">
      <c r="A10" s="474"/>
      <c r="B10" s="474"/>
      <c r="C10" s="474"/>
      <c r="D10" s="474"/>
      <c r="E10" s="474" t="s">
        <v>922</v>
      </c>
      <c r="F10" s="474" t="s">
        <v>923</v>
      </c>
      <c r="G10" s="474"/>
      <c r="H10" s="474" t="s">
        <v>923</v>
      </c>
      <c r="I10" s="474"/>
      <c r="J10" s="474"/>
    </row>
    <row r="11" customFormat="false" ht="12.75" hidden="false" customHeight="false" outlineLevel="0" collapsed="false">
      <c r="A11" s="474"/>
      <c r="B11" s="475" t="s">
        <v>924</v>
      </c>
      <c r="C11" s="475" t="s">
        <v>925</v>
      </c>
      <c r="D11" s="475" t="s">
        <v>926</v>
      </c>
      <c r="E11" s="475" t="s">
        <v>927</v>
      </c>
      <c r="F11" s="475" t="s">
        <v>928</v>
      </c>
      <c r="G11" s="475" t="s">
        <v>929</v>
      </c>
      <c r="H11" s="475" t="s">
        <v>929</v>
      </c>
      <c r="I11" s="475" t="s">
        <v>930</v>
      </c>
      <c r="J11" s="474"/>
    </row>
    <row r="12" customFormat="false" ht="12.75" hidden="false" customHeight="false" outlineLevel="0" collapsed="false">
      <c r="A12" s="474"/>
      <c r="B12" s="476" t="s">
        <v>931</v>
      </c>
      <c r="C12" s="477" t="n">
        <v>5000</v>
      </c>
      <c r="D12" s="478" t="n">
        <f aca="false">+C12/C17</f>
        <v>0.333333333333333</v>
      </c>
      <c r="E12" s="478" t="n">
        <f aca="false">+'Offseason Rate'!E42</f>
        <v>0.452756705195825</v>
      </c>
      <c r="F12" s="478" t="n">
        <f aca="false">+D12*E12</f>
        <v>0.150918901731942</v>
      </c>
      <c r="G12" s="478" t="n">
        <v>-0.0825</v>
      </c>
      <c r="H12" s="478" t="n">
        <f aca="false">+G12*D12</f>
        <v>-0.0275</v>
      </c>
      <c r="I12" s="478" t="n">
        <f aca="false">+F12+H12</f>
        <v>0.123418901731942</v>
      </c>
      <c r="J12" s="474"/>
    </row>
    <row r="13" customFormat="false" ht="12.75" hidden="false" customHeight="false" outlineLevel="0" collapsed="false">
      <c r="A13" s="474"/>
      <c r="B13" s="476" t="s">
        <v>932</v>
      </c>
      <c r="C13" s="477" t="n">
        <v>5000</v>
      </c>
      <c r="D13" s="478" t="n">
        <f aca="false">+C13/C17</f>
        <v>0.333333333333333</v>
      </c>
      <c r="E13" s="478" t="n">
        <f aca="false">+'Offseason Rate'!E67</f>
        <v>0.346291966759003</v>
      </c>
      <c r="F13" s="478" t="n">
        <f aca="false">+D13*E13</f>
        <v>0.115430655586334</v>
      </c>
      <c r="G13" s="478" t="n">
        <v>-0.0575</v>
      </c>
      <c r="H13" s="478" t="n">
        <f aca="false">+G13*D13</f>
        <v>-0.0191666666666667</v>
      </c>
      <c r="I13" s="478" t="n">
        <f aca="false">+F13+H13</f>
        <v>0.0962639889196676</v>
      </c>
      <c r="J13" s="474"/>
    </row>
    <row r="14" customFormat="false" ht="12.75" hidden="false" customHeight="false" outlineLevel="0" collapsed="false">
      <c r="A14" s="474"/>
      <c r="B14" s="476" t="s">
        <v>933</v>
      </c>
      <c r="C14" s="477" t="n">
        <v>5000</v>
      </c>
      <c r="D14" s="478" t="n">
        <f aca="false">+C14/C17</f>
        <v>0.333333333333333</v>
      </c>
      <c r="E14" s="478" t="n">
        <f aca="false">+'Offseason Rate'!E107</f>
        <v>0.365117408550022</v>
      </c>
      <c r="F14" s="478" t="n">
        <f aca="false">+D14*E14</f>
        <v>0.121705802850007</v>
      </c>
      <c r="G14" s="478" t="n">
        <v>-0.045</v>
      </c>
      <c r="H14" s="478" t="n">
        <f aca="false">+G14*D14</f>
        <v>-0.015</v>
      </c>
      <c r="I14" s="478" t="n">
        <f aca="false">+F14+H14</f>
        <v>0.106705802850007</v>
      </c>
      <c r="J14" s="474"/>
    </row>
    <row r="15" customFormat="false" ht="12.75" hidden="false" customHeight="false" outlineLevel="0" collapsed="false">
      <c r="A15" s="474"/>
      <c r="B15" s="476" t="s">
        <v>934</v>
      </c>
      <c r="C15" s="477" t="n">
        <v>0</v>
      </c>
      <c r="D15" s="478" t="n">
        <f aca="false">+C15/C17</f>
        <v>0</v>
      </c>
      <c r="E15" s="478" t="n">
        <f aca="false">+'Offseason Rate'!E122</f>
        <v>0.276923985437413</v>
      </c>
      <c r="F15" s="478" t="n">
        <f aca="false">+D15*E15</f>
        <v>0</v>
      </c>
      <c r="G15" s="478" t="n">
        <v>0</v>
      </c>
      <c r="H15" s="478" t="n">
        <f aca="false">+G15*D15</f>
        <v>0</v>
      </c>
      <c r="I15" s="478" t="n">
        <f aca="false">+F15+H15</f>
        <v>0</v>
      </c>
      <c r="J15" s="474"/>
    </row>
    <row r="16" customFormat="false" ht="12.75" hidden="false" customHeight="false" outlineLevel="0" collapsed="false">
      <c r="A16" s="474"/>
      <c r="B16" s="476" t="s">
        <v>935</v>
      </c>
      <c r="C16" s="479" t="n">
        <v>0</v>
      </c>
      <c r="D16" s="480" t="n">
        <f aca="false">+C16/C17</f>
        <v>0</v>
      </c>
      <c r="E16" s="478" t="n">
        <f aca="false">+'Offseason Rate'!E107</f>
        <v>0.365117408550022</v>
      </c>
      <c r="F16" s="480" t="n">
        <f aca="false">+D16*E16</f>
        <v>0</v>
      </c>
      <c r="G16" s="478" t="n">
        <v>0</v>
      </c>
      <c r="H16" s="478" t="n">
        <f aca="false">+G16*D16</f>
        <v>0</v>
      </c>
      <c r="I16" s="480" t="n">
        <f aca="false">+F16+H16</f>
        <v>0</v>
      </c>
      <c r="J16" s="474"/>
    </row>
    <row r="17" customFormat="false" ht="12.75" hidden="false" customHeight="false" outlineLevel="0" collapsed="false">
      <c r="A17" s="474"/>
      <c r="B17" s="474"/>
      <c r="C17" s="477" t="n">
        <f aca="false">SUM(C12:C16)</f>
        <v>15000</v>
      </c>
      <c r="D17" s="478" t="n">
        <f aca="false">SUM(D12:D16)</f>
        <v>1</v>
      </c>
      <c r="E17" s="474"/>
      <c r="F17" s="478" t="n">
        <f aca="false">SUM(F12:F16)</f>
        <v>0.388055360168283</v>
      </c>
      <c r="G17" s="474"/>
      <c r="H17" s="474"/>
      <c r="I17" s="481" t="n">
        <f aca="false">SUM(I12:I16)</f>
        <v>0.326388693501617</v>
      </c>
      <c r="J17" s="474"/>
    </row>
    <row r="18" customFormat="false" ht="12.75" hidden="false" customHeight="false" outlineLevel="0" collapsed="false">
      <c r="A18" s="474"/>
      <c r="B18" s="474"/>
      <c r="C18" s="474"/>
      <c r="D18" s="474"/>
      <c r="E18" s="474"/>
      <c r="F18" s="474"/>
      <c r="G18" s="474"/>
      <c r="H18" s="474" t="s">
        <v>936</v>
      </c>
      <c r="I18" s="482" t="n">
        <v>0.215</v>
      </c>
      <c r="J18" s="474"/>
    </row>
    <row r="19" customFormat="false" ht="13.5" hidden="false" customHeight="false" outlineLevel="0" collapsed="false">
      <c r="A19" s="474"/>
      <c r="B19" s="474"/>
      <c r="C19" s="474"/>
      <c r="D19" s="474"/>
      <c r="E19" s="474"/>
      <c r="F19" s="474"/>
      <c r="G19" s="474"/>
      <c r="H19" s="483" t="s">
        <v>937</v>
      </c>
      <c r="I19" s="484" t="n">
        <f aca="false">+I18-I17</f>
        <v>-0.111388693501617</v>
      </c>
      <c r="J19" s="474"/>
    </row>
    <row r="20" customFormat="false" ht="13.5" hidden="false" customHeight="false" outlineLevel="0" collapsed="false">
      <c r="A20" s="474"/>
      <c r="B20" s="474"/>
      <c r="C20" s="474"/>
      <c r="D20" s="474"/>
      <c r="E20" s="474"/>
      <c r="F20" s="474"/>
      <c r="G20" s="474"/>
      <c r="H20" s="474"/>
      <c r="I20" s="478"/>
      <c r="J20" s="474"/>
    </row>
    <row r="21" customFormat="false" ht="12.75" hidden="false" customHeight="false" outlineLevel="0" collapsed="false">
      <c r="A21" s="474"/>
      <c r="B21" s="474"/>
      <c r="C21" s="474"/>
      <c r="D21" s="474"/>
      <c r="E21" s="474"/>
      <c r="F21" s="474"/>
      <c r="G21" s="474"/>
      <c r="H21" s="474"/>
      <c r="I21" s="474"/>
      <c r="J21" s="474"/>
    </row>
    <row r="22" customFormat="false" ht="12.75" hidden="false" customHeight="false" outlineLevel="0" collapsed="false">
      <c r="A22" s="474"/>
      <c r="B22" s="474"/>
      <c r="C22" s="474"/>
      <c r="D22" s="474"/>
      <c r="E22" s="474"/>
      <c r="F22" s="474"/>
      <c r="G22" s="474"/>
      <c r="H22" s="474"/>
      <c r="I22" s="474"/>
      <c r="J22" s="474"/>
    </row>
    <row r="23" customFormat="false" ht="12.75" hidden="false" customHeight="false" outlineLevel="0" collapsed="false">
      <c r="A23" s="474"/>
      <c r="B23" s="474"/>
      <c r="C23" s="474"/>
      <c r="D23" s="474"/>
      <c r="E23" s="474"/>
      <c r="F23" s="474" t="s">
        <v>923</v>
      </c>
      <c r="G23" s="474"/>
      <c r="H23" s="474" t="s">
        <v>923</v>
      </c>
      <c r="I23" s="474"/>
      <c r="J23" s="474"/>
    </row>
    <row r="24" customFormat="false" ht="12.75" hidden="false" customHeight="false" outlineLevel="0" collapsed="false">
      <c r="A24" s="474"/>
      <c r="B24" s="475" t="s">
        <v>924</v>
      </c>
      <c r="C24" s="475" t="s">
        <v>925</v>
      </c>
      <c r="D24" s="475" t="s">
        <v>926</v>
      </c>
      <c r="E24" s="475" t="s">
        <v>927</v>
      </c>
      <c r="F24" s="475" t="s">
        <v>928</v>
      </c>
      <c r="G24" s="475" t="s">
        <v>929</v>
      </c>
      <c r="H24" s="475" t="s">
        <v>929</v>
      </c>
      <c r="I24" s="475" t="s">
        <v>930</v>
      </c>
      <c r="J24" s="474"/>
    </row>
    <row r="25" customFormat="false" ht="12.75" hidden="false" customHeight="false" outlineLevel="0" collapsed="false">
      <c r="A25" s="474"/>
      <c r="B25" s="476" t="s">
        <v>938</v>
      </c>
      <c r="C25" s="477" t="n">
        <v>0</v>
      </c>
      <c r="D25" s="478" t="n">
        <f aca="false">+C25/C30</f>
        <v>0</v>
      </c>
      <c r="E25" s="478" t="e">
        <f aca="false">+#REF!</f>
        <v>#REF!</v>
      </c>
      <c r="F25" s="478" t="e">
        <f aca="false">+D25*E25</f>
        <v>#REF!</v>
      </c>
      <c r="G25" s="478" t="n">
        <v>-0.07</v>
      </c>
      <c r="H25" s="478" t="n">
        <f aca="false">+G25*D25</f>
        <v>-0</v>
      </c>
      <c r="I25" s="478" t="e">
        <f aca="false">+F25+H25</f>
        <v>#REF!</v>
      </c>
      <c r="J25" s="474"/>
    </row>
    <row r="26" customFormat="false" ht="12.75" hidden="false" customHeight="false" outlineLevel="0" collapsed="false">
      <c r="A26" s="474"/>
      <c r="B26" s="476" t="s">
        <v>939</v>
      </c>
      <c r="C26" s="477" t="n">
        <v>0</v>
      </c>
      <c r="D26" s="478" t="n">
        <f aca="false">+C26/C30</f>
        <v>0</v>
      </c>
      <c r="E26" s="478" t="e">
        <f aca="false">+#REF!</f>
        <v>#REF!</v>
      </c>
      <c r="F26" s="478" t="e">
        <f aca="false">+D26*E26</f>
        <v>#REF!</v>
      </c>
      <c r="G26" s="478" t="n">
        <v>-0.05</v>
      </c>
      <c r="H26" s="478" t="n">
        <f aca="false">+G26*D26</f>
        <v>-0</v>
      </c>
      <c r="I26" s="478" t="e">
        <f aca="false">+F26+H26</f>
        <v>#REF!</v>
      </c>
      <c r="J26" s="474"/>
    </row>
    <row r="27" customFormat="false" ht="12.75" hidden="false" customHeight="false" outlineLevel="0" collapsed="false">
      <c r="A27" s="474"/>
      <c r="B27" s="476" t="s">
        <v>940</v>
      </c>
      <c r="C27" s="477" t="n">
        <v>5000</v>
      </c>
      <c r="D27" s="478" t="n">
        <f aca="false">+C27/C30</f>
        <v>1</v>
      </c>
      <c r="E27" s="478" t="e">
        <f aca="false">+#REF!</f>
        <v>#REF!</v>
      </c>
      <c r="F27" s="478" t="e">
        <f aca="false">+D27*E27</f>
        <v>#REF!</v>
      </c>
      <c r="G27" s="478" t="n">
        <v>-0.035</v>
      </c>
      <c r="H27" s="478" t="n">
        <f aca="false">+G27*D27</f>
        <v>-0.035</v>
      </c>
      <c r="I27" s="478" t="e">
        <f aca="false">+F27+H27</f>
        <v>#REF!</v>
      </c>
      <c r="J27" s="474"/>
    </row>
    <row r="28" customFormat="false" ht="12.75" hidden="false" customHeight="false" outlineLevel="0" collapsed="false">
      <c r="A28" s="474"/>
      <c r="B28" s="476" t="s">
        <v>941</v>
      </c>
      <c r="C28" s="477" t="n">
        <v>0</v>
      </c>
      <c r="D28" s="478" t="n">
        <f aca="false">+C28/C30</f>
        <v>0</v>
      </c>
      <c r="E28" s="478" t="e">
        <f aca="false">+#REF!</f>
        <v>#REF!</v>
      </c>
      <c r="F28" s="478" t="e">
        <f aca="false">+D28*E28</f>
        <v>#REF!</v>
      </c>
      <c r="G28" s="478" t="n">
        <v>-0.01</v>
      </c>
      <c r="H28" s="478" t="n">
        <f aca="false">+G28*D28</f>
        <v>-0</v>
      </c>
      <c r="I28" s="478" t="e">
        <f aca="false">+F28+H28</f>
        <v>#REF!</v>
      </c>
      <c r="J28" s="474"/>
    </row>
    <row r="29" customFormat="false" ht="12.75" hidden="false" customHeight="false" outlineLevel="0" collapsed="false">
      <c r="A29" s="474"/>
      <c r="B29" s="476" t="s">
        <v>942</v>
      </c>
      <c r="C29" s="479" t="n">
        <v>0</v>
      </c>
      <c r="D29" s="480" t="n">
        <f aca="false">+C29/C30</f>
        <v>0</v>
      </c>
      <c r="E29" s="478" t="e">
        <f aca="false">+#REF!</f>
        <v>#REF!</v>
      </c>
      <c r="F29" s="480" t="e">
        <f aca="false">+D29*E29</f>
        <v>#REF!</v>
      </c>
      <c r="G29" s="478" t="n">
        <v>-0.0725</v>
      </c>
      <c r="H29" s="478" t="n">
        <f aca="false">+G29*D29</f>
        <v>-0</v>
      </c>
      <c r="I29" s="480" t="e">
        <f aca="false">+F29+H29</f>
        <v>#REF!</v>
      </c>
      <c r="J29" s="474"/>
    </row>
    <row r="30" customFormat="false" ht="12.75" hidden="false" customHeight="false" outlineLevel="0" collapsed="false">
      <c r="A30" s="474"/>
      <c r="B30" s="474"/>
      <c r="C30" s="477" t="n">
        <f aca="false">SUM(C25:C29)</f>
        <v>5000</v>
      </c>
      <c r="D30" s="478" t="n">
        <f aca="false">SUM(D25:D29)</f>
        <v>1</v>
      </c>
      <c r="E30" s="474"/>
      <c r="F30" s="478" t="e">
        <f aca="false">SUM(F25:F29)</f>
        <v>#REF!</v>
      </c>
      <c r="G30" s="474"/>
      <c r="H30" s="474"/>
      <c r="I30" s="481" t="e">
        <f aca="false">SUM(I25:I29)</f>
        <v>#REF!</v>
      </c>
      <c r="J30" s="474"/>
    </row>
    <row r="31" customFormat="false" ht="12.75" hidden="false" customHeight="false" outlineLevel="0" collapsed="false">
      <c r="A31" s="474"/>
      <c r="B31" s="474"/>
      <c r="C31" s="474"/>
      <c r="D31" s="474"/>
      <c r="E31" s="474"/>
      <c r="F31" s="474"/>
      <c r="G31" s="474"/>
      <c r="H31" s="485" t="s">
        <v>943</v>
      </c>
      <c r="I31" s="482" t="n">
        <v>0.1525</v>
      </c>
      <c r="J31" s="474"/>
    </row>
    <row r="32" customFormat="false" ht="13.5" hidden="false" customHeight="false" outlineLevel="0" collapsed="false">
      <c r="A32" s="474"/>
      <c r="B32" s="474"/>
      <c r="C32" s="474"/>
      <c r="D32" s="474"/>
      <c r="E32" s="474"/>
      <c r="F32" s="474"/>
      <c r="G32" s="474"/>
      <c r="H32" s="483" t="s">
        <v>937</v>
      </c>
      <c r="I32" s="486" t="e">
        <f aca="false">+I31-I30</f>
        <v>#REF!</v>
      </c>
      <c r="J32" s="474"/>
    </row>
    <row r="33" customFormat="false" ht="13.5" hidden="false" customHeight="false" outlineLevel="0" collapsed="false">
      <c r="A33" s="474"/>
      <c r="B33" s="474"/>
      <c r="C33" s="474"/>
      <c r="D33" s="474"/>
      <c r="E33" s="474"/>
      <c r="F33" s="474"/>
      <c r="G33" s="474"/>
      <c r="H33" s="474"/>
      <c r="I33" s="478"/>
      <c r="J33" s="474"/>
    </row>
    <row r="34" customFormat="false" ht="12.75" hidden="false" customHeight="false" outlineLevel="0" collapsed="false">
      <c r="A34" s="474"/>
      <c r="B34" s="483" t="s">
        <v>93</v>
      </c>
      <c r="C34" s="474"/>
      <c r="D34" s="474"/>
      <c r="E34" s="474"/>
      <c r="F34" s="474" t="s">
        <v>923</v>
      </c>
      <c r="G34" s="474"/>
      <c r="H34" s="474" t="s">
        <v>923</v>
      </c>
      <c r="I34" s="474"/>
      <c r="J34" s="474"/>
    </row>
    <row r="35" customFormat="false" ht="12.75" hidden="false" customHeight="false" outlineLevel="0" collapsed="false">
      <c r="A35" s="474"/>
      <c r="B35" s="475" t="s">
        <v>924</v>
      </c>
      <c r="C35" s="475" t="s">
        <v>925</v>
      </c>
      <c r="D35" s="475" t="s">
        <v>926</v>
      </c>
      <c r="E35" s="475" t="s">
        <v>927</v>
      </c>
      <c r="F35" s="475" t="s">
        <v>928</v>
      </c>
      <c r="G35" s="475" t="s">
        <v>929</v>
      </c>
      <c r="H35" s="475" t="s">
        <v>929</v>
      </c>
      <c r="I35" s="475" t="s">
        <v>930</v>
      </c>
      <c r="J35" s="474"/>
    </row>
    <row r="36" customFormat="false" ht="12.75" hidden="false" customHeight="false" outlineLevel="0" collapsed="false">
      <c r="A36" s="474"/>
      <c r="B36" s="474" t="s">
        <v>944</v>
      </c>
      <c r="C36" s="477" t="n">
        <v>17</v>
      </c>
      <c r="D36" s="478" t="n">
        <f aca="false">+C36/C39</f>
        <v>0.17</v>
      </c>
      <c r="E36" s="478" t="n">
        <f aca="false">+Rates!B42</f>
        <v>0.234208902297026</v>
      </c>
      <c r="F36" s="478" t="n">
        <f aca="false">+D36*E36</f>
        <v>0.0398155133904944</v>
      </c>
      <c r="G36" s="478" t="n">
        <v>-0.03</v>
      </c>
      <c r="H36" s="478" t="n">
        <f aca="false">+G36*D36</f>
        <v>-0.0051</v>
      </c>
      <c r="I36" s="478" t="n">
        <f aca="false">+F36+H36</f>
        <v>0.0347155133904944</v>
      </c>
      <c r="J36" s="474"/>
    </row>
    <row r="37" customFormat="false" ht="12.75" hidden="false" customHeight="false" outlineLevel="0" collapsed="false">
      <c r="A37" s="474"/>
      <c r="B37" s="474" t="s">
        <v>945</v>
      </c>
      <c r="C37" s="477" t="n">
        <v>25</v>
      </c>
      <c r="D37" s="478" t="n">
        <f aca="false">+C37/C39</f>
        <v>0.25</v>
      </c>
      <c r="E37" s="478" t="n">
        <f aca="false">+Rates!B67</f>
        <v>0.223218202910778</v>
      </c>
      <c r="F37" s="478" t="n">
        <f aca="false">+D37*E37</f>
        <v>0.0558045507276946</v>
      </c>
      <c r="G37" s="478" t="n">
        <v>-0.005</v>
      </c>
      <c r="H37" s="478" t="n">
        <f aca="false">+G37*D37</f>
        <v>-0.00125</v>
      </c>
      <c r="I37" s="478" t="n">
        <f aca="false">+F37+H37</f>
        <v>0.0545545507276946</v>
      </c>
      <c r="J37" s="474"/>
    </row>
    <row r="38" customFormat="false" ht="12.75" hidden="false" customHeight="false" outlineLevel="0" collapsed="false">
      <c r="A38" s="474"/>
      <c r="B38" s="474" t="s">
        <v>946</v>
      </c>
      <c r="C38" s="479" t="n">
        <v>58</v>
      </c>
      <c r="D38" s="480" t="n">
        <f aca="false">+C38/C39</f>
        <v>0.58</v>
      </c>
      <c r="E38" s="478" t="n">
        <f aca="false">+Rates!B87</f>
        <v>0.199009991603694</v>
      </c>
      <c r="F38" s="480" t="n">
        <f aca="false">+D38*E38</f>
        <v>0.115425795130143</v>
      </c>
      <c r="G38" s="478" t="n">
        <v>0.0175</v>
      </c>
      <c r="H38" s="478" t="n">
        <f aca="false">+G38*D38</f>
        <v>0.01015</v>
      </c>
      <c r="I38" s="478" t="n">
        <f aca="false">+F38+H38</f>
        <v>0.125575795130143</v>
      </c>
      <c r="J38" s="474"/>
    </row>
    <row r="39" customFormat="false" ht="12.75" hidden="false" customHeight="false" outlineLevel="0" collapsed="false">
      <c r="A39" s="474"/>
      <c r="B39" s="474"/>
      <c r="C39" s="477" t="n">
        <f aca="false">SUM(C36:C38)</f>
        <v>100</v>
      </c>
      <c r="D39" s="478" t="n">
        <f aca="false">SUM(D36:D38)</f>
        <v>1</v>
      </c>
      <c r="E39" s="474"/>
      <c r="F39" s="478" t="n">
        <f aca="false">SUM(F36:F38)</f>
        <v>0.211045859248332</v>
      </c>
      <c r="G39" s="474"/>
      <c r="H39" s="478" t="n">
        <f aca="false">SUM(H36:H38)</f>
        <v>0.0038</v>
      </c>
      <c r="I39" s="481" t="n">
        <f aca="false">SUM(I36:I38)</f>
        <v>0.214845859248332</v>
      </c>
      <c r="J39" s="474"/>
    </row>
    <row r="40" customFormat="false" ht="12.75" hidden="false" customHeight="false" outlineLevel="0" collapsed="false">
      <c r="A40" s="474"/>
      <c r="B40" s="474"/>
      <c r="C40" s="474"/>
      <c r="D40" s="474"/>
      <c r="E40" s="474"/>
      <c r="F40" s="474"/>
      <c r="G40" s="474"/>
      <c r="H40" s="474" t="s">
        <v>947</v>
      </c>
      <c r="I40" s="482" t="n">
        <v>0.62</v>
      </c>
      <c r="J40" s="474"/>
    </row>
    <row r="41" customFormat="false" ht="13.5" hidden="false" customHeight="false" outlineLevel="0" collapsed="false">
      <c r="A41" s="474"/>
      <c r="B41" s="474"/>
      <c r="C41" s="474"/>
      <c r="D41" s="474"/>
      <c r="E41" s="474"/>
      <c r="F41" s="474"/>
      <c r="G41" s="474"/>
      <c r="H41" s="483" t="s">
        <v>937</v>
      </c>
      <c r="I41" s="484" t="n">
        <f aca="false">+I40-I39</f>
        <v>0.405154140751668</v>
      </c>
      <c r="J41" s="474"/>
      <c r="K41" s="487"/>
    </row>
    <row r="42" customFormat="false" ht="13.5" hidden="false" customHeight="false" outlineLevel="0" collapsed="false">
      <c r="A42" s="474"/>
      <c r="B42" s="474"/>
      <c r="C42" s="474"/>
      <c r="D42" s="474"/>
      <c r="E42" s="474"/>
      <c r="F42" s="474"/>
      <c r="G42" s="474"/>
      <c r="H42" s="474"/>
      <c r="I42" s="474"/>
      <c r="J42" s="474"/>
      <c r="K42" s="487"/>
    </row>
    <row r="43" customFormat="false" ht="12.75" hidden="false" customHeight="false" outlineLevel="0" collapsed="false">
      <c r="A43" s="474"/>
      <c r="B43" s="474"/>
      <c r="C43" s="474"/>
      <c r="D43" s="474"/>
      <c r="E43" s="474"/>
      <c r="F43" s="474"/>
      <c r="G43" s="474"/>
      <c r="H43" s="474"/>
      <c r="I43" s="474"/>
      <c r="J43" s="474"/>
      <c r="K43" s="488"/>
    </row>
    <row r="44" customFormat="false" ht="12.75" hidden="false" customHeight="false" outlineLevel="0" collapsed="false">
      <c r="A44" s="474"/>
      <c r="B44" s="483" t="s">
        <v>39</v>
      </c>
      <c r="C44" s="474" t="s">
        <v>948</v>
      </c>
      <c r="D44" s="474" t="s">
        <v>494</v>
      </c>
      <c r="E44" s="474" t="s">
        <v>420</v>
      </c>
      <c r="F44" s="474" t="s">
        <v>949</v>
      </c>
      <c r="G44" s="474" t="s">
        <v>950</v>
      </c>
      <c r="H44" s="474" t="s">
        <v>951</v>
      </c>
      <c r="I44" s="483" t="s">
        <v>937</v>
      </c>
      <c r="J44" s="474"/>
    </row>
    <row r="45" customFormat="false" ht="12.75" hidden="false" customHeight="false" outlineLevel="0" collapsed="false">
      <c r="A45" s="474"/>
      <c r="B45" s="474" t="s">
        <v>952</v>
      </c>
      <c r="C45" s="482" t="e">
        <f aca="false">+#REF!</f>
        <v>#REF!</v>
      </c>
      <c r="D45" s="482" t="e">
        <f aca="false">+#REF!</f>
        <v>#REF!</v>
      </c>
      <c r="E45" s="482" t="e">
        <f aca="false">+D45+C45</f>
        <v>#REF!</v>
      </c>
      <c r="F45" s="482" t="n">
        <v>0</v>
      </c>
      <c r="G45" s="482" t="n">
        <v>-0.0225</v>
      </c>
      <c r="H45" s="482" t="n">
        <v>0.1325</v>
      </c>
      <c r="I45" s="482" t="e">
        <f aca="false">+H45-G45-F45-E45</f>
        <v>#REF!</v>
      </c>
      <c r="J45" s="474"/>
    </row>
    <row r="46" customFormat="false" ht="12.75" hidden="false" customHeight="false" outlineLevel="0" collapsed="false">
      <c r="A46" s="474"/>
      <c r="B46" s="474" t="s">
        <v>953</v>
      </c>
      <c r="C46" s="482" t="e">
        <f aca="false">+#REF!</f>
        <v>#REF!</v>
      </c>
      <c r="D46" s="482" t="e">
        <f aca="false">+#REF!</f>
        <v>#REF!</v>
      </c>
      <c r="E46" s="482" t="e">
        <f aca="false">+D46+C46</f>
        <v>#REF!</v>
      </c>
      <c r="F46" s="482" t="n">
        <v>0</v>
      </c>
      <c r="G46" s="482" t="n">
        <v>-0.0225</v>
      </c>
      <c r="H46" s="482" t="n">
        <v>0.1325</v>
      </c>
      <c r="I46" s="489" t="e">
        <f aca="false">+H46-G46-F46-E46</f>
        <v>#REF!</v>
      </c>
      <c r="J46" s="474"/>
    </row>
    <row r="47" customFormat="false" ht="12.75" hidden="false" customHeight="false" outlineLevel="0" collapsed="false">
      <c r="A47" s="474"/>
      <c r="B47" s="474"/>
      <c r="C47" s="474"/>
      <c r="D47" s="474"/>
      <c r="E47" s="474"/>
      <c r="F47" s="474"/>
      <c r="G47" s="474"/>
      <c r="H47" s="474"/>
      <c r="I47" s="474"/>
      <c r="J47" s="474"/>
    </row>
    <row r="48" customFormat="false" ht="12.75" hidden="false" customHeight="false" outlineLevel="0" collapsed="false">
      <c r="A48" s="474"/>
      <c r="B48" s="474"/>
      <c r="C48" s="474"/>
      <c r="D48" s="474"/>
      <c r="E48" s="474"/>
      <c r="F48" s="474"/>
      <c r="G48" s="474"/>
      <c r="H48" s="474"/>
      <c r="I48" s="474"/>
      <c r="J48" s="474"/>
    </row>
    <row r="49" customFormat="false" ht="12.75" hidden="false" customHeight="false" outlineLevel="0" collapsed="false">
      <c r="A49" s="474"/>
      <c r="B49" s="483" t="s">
        <v>578</v>
      </c>
      <c r="C49" s="474" t="s">
        <v>898</v>
      </c>
      <c r="D49" s="474" t="s">
        <v>954</v>
      </c>
      <c r="E49" s="474" t="s">
        <v>949</v>
      </c>
      <c r="F49" s="474" t="s">
        <v>955</v>
      </c>
      <c r="H49" s="474"/>
      <c r="I49" s="483" t="s">
        <v>937</v>
      </c>
      <c r="J49" s="474"/>
    </row>
    <row r="50" customFormat="false" ht="12.75" hidden="false" customHeight="false" outlineLevel="0" collapsed="false">
      <c r="A50" s="474"/>
      <c r="B50" s="474" t="s">
        <v>956</v>
      </c>
      <c r="C50" s="482" t="e">
        <f aca="false">+#REF!</f>
        <v>#REF!</v>
      </c>
      <c r="D50" s="490" t="n">
        <v>-0.0725</v>
      </c>
      <c r="E50" s="482" t="n">
        <v>0</v>
      </c>
      <c r="F50" s="482" t="n">
        <v>0.2175</v>
      </c>
      <c r="H50" s="474"/>
      <c r="I50" s="489" t="e">
        <f aca="false">+F50-D50-E50-C50</f>
        <v>#REF!</v>
      </c>
      <c r="J50" s="474"/>
    </row>
    <row r="51" customFormat="false" ht="12.75" hidden="false" customHeight="false" outlineLevel="0" collapsed="false">
      <c r="A51" s="474"/>
      <c r="B51" s="474" t="s">
        <v>957</v>
      </c>
      <c r="C51" s="482" t="e">
        <f aca="false">+#REF!</f>
        <v>#REF!</v>
      </c>
      <c r="D51" s="490" t="n">
        <v>-0.06</v>
      </c>
      <c r="E51" s="482" t="n">
        <v>0</v>
      </c>
      <c r="F51" s="482" t="n">
        <v>0.2175</v>
      </c>
      <c r="H51" s="474"/>
      <c r="I51" s="489" t="e">
        <f aca="false">+F51-D51-E51-C51</f>
        <v>#REF!</v>
      </c>
      <c r="J51" s="474"/>
    </row>
    <row r="52" customFormat="false" ht="12.75" hidden="false" customHeight="false" outlineLevel="0" collapsed="false">
      <c r="A52" s="474"/>
      <c r="B52" s="474"/>
      <c r="C52" s="482"/>
      <c r="D52" s="490"/>
      <c r="E52" s="482"/>
      <c r="F52" s="482"/>
      <c r="H52" s="474"/>
      <c r="I52" s="489"/>
      <c r="J52" s="474"/>
    </row>
    <row r="53" customFormat="false" ht="12.75" hidden="false" customHeight="false" outlineLevel="0" collapsed="false">
      <c r="A53" s="474"/>
      <c r="B53" s="474"/>
      <c r="C53" s="482"/>
      <c r="D53" s="490"/>
      <c r="E53" s="482"/>
      <c r="F53" s="482"/>
      <c r="H53" s="474"/>
      <c r="I53" s="489"/>
      <c r="J53" s="474"/>
    </row>
    <row r="54" customFormat="false" ht="12.75" hidden="false" customHeight="false" outlineLevel="0" collapsed="false">
      <c r="A54" s="474"/>
      <c r="B54" s="474"/>
      <c r="C54" s="482"/>
      <c r="D54" s="490"/>
      <c r="E54" s="482"/>
      <c r="F54" s="482"/>
      <c r="H54" s="474"/>
      <c r="I54" s="489"/>
      <c r="J54" s="474"/>
    </row>
    <row r="55" customFormat="false" ht="12.75" hidden="false" customHeight="false" outlineLevel="0" collapsed="false">
      <c r="A55" s="474"/>
      <c r="B55" s="474" t="s">
        <v>958</v>
      </c>
      <c r="C55" s="482" t="e">
        <f aca="false">+#REF!</f>
        <v>#REF!</v>
      </c>
      <c r="D55" s="490" t="n">
        <v>-0.0725</v>
      </c>
      <c r="E55" s="482" t="n">
        <v>0</v>
      </c>
      <c r="F55" s="482" t="n">
        <v>0.2525</v>
      </c>
      <c r="H55" s="474"/>
      <c r="I55" s="489" t="e">
        <f aca="false">+F55-D55-E55-C55</f>
        <v>#REF!</v>
      </c>
      <c r="J55" s="474"/>
    </row>
    <row r="56" customFormat="false" ht="12.75" hidden="false" customHeight="false" outlineLevel="0" collapsed="false">
      <c r="A56" s="474"/>
      <c r="B56" s="474" t="s">
        <v>959</v>
      </c>
      <c r="C56" s="482" t="e">
        <f aca="false">+#REF!</f>
        <v>#REF!</v>
      </c>
      <c r="D56" s="490" t="n">
        <v>-0.06</v>
      </c>
      <c r="E56" s="482" t="n">
        <v>0</v>
      </c>
      <c r="F56" s="482" t="n">
        <v>0.2525</v>
      </c>
      <c r="H56" s="474"/>
      <c r="I56" s="489" t="e">
        <f aca="false">+F56-D56-E56-C56</f>
        <v>#REF!</v>
      </c>
      <c r="J56" s="474"/>
    </row>
    <row r="57" customFormat="false" ht="12.75" hidden="false" customHeight="false" outlineLevel="0" collapsed="false">
      <c r="A57" s="474" t="s">
        <v>960</v>
      </c>
      <c r="B57" s="474" t="s">
        <v>959</v>
      </c>
      <c r="C57" s="482" t="e">
        <f aca="false">+#REF!</f>
        <v>#REF!</v>
      </c>
      <c r="D57" s="490" t="n">
        <v>-0.05</v>
      </c>
      <c r="E57" s="482" t="n">
        <v>0.021</v>
      </c>
      <c r="F57" s="482" t="n">
        <v>0</v>
      </c>
      <c r="H57" s="474"/>
      <c r="I57" s="489" t="e">
        <f aca="false">+F57-D57-E57-C57</f>
        <v>#REF!</v>
      </c>
      <c r="J57" s="474"/>
    </row>
    <row r="58" customFormat="false" ht="12.75" hidden="false" customHeight="false" outlineLevel="0" collapsed="false">
      <c r="A58" s="474"/>
      <c r="B58" s="474"/>
      <c r="C58" s="474"/>
      <c r="D58" s="474"/>
      <c r="E58" s="474"/>
      <c r="F58" s="474"/>
      <c r="G58" s="474"/>
      <c r="H58" s="474"/>
      <c r="I58" s="474"/>
      <c r="J58" s="474"/>
    </row>
    <row r="59" customFormat="false" ht="12.75" hidden="false" customHeight="false" outlineLevel="0" collapsed="false">
      <c r="A59" s="474"/>
      <c r="B59" s="474"/>
      <c r="C59" s="474"/>
      <c r="D59" s="474"/>
      <c r="E59" s="474"/>
      <c r="F59" s="474"/>
      <c r="G59" s="474"/>
      <c r="H59" s="474"/>
      <c r="I59" s="474"/>
      <c r="J59" s="474"/>
    </row>
    <row r="60" customFormat="false" ht="12.75" hidden="false" customHeight="false" outlineLevel="0" collapsed="false">
      <c r="A60" s="474"/>
      <c r="B60" s="474"/>
      <c r="C60" s="474"/>
      <c r="D60" s="474"/>
      <c r="E60" s="474"/>
      <c r="F60" s="474"/>
      <c r="G60" s="474"/>
      <c r="H60" s="474"/>
      <c r="I60" s="474"/>
      <c r="J60" s="474"/>
    </row>
    <row r="61" customFormat="false" ht="12.75" hidden="false" customHeight="false" outlineLevel="0" collapsed="false">
      <c r="A61" s="474"/>
      <c r="B61" s="483" t="s">
        <v>578</v>
      </c>
      <c r="C61" s="474" t="s">
        <v>898</v>
      </c>
      <c r="D61" s="474" t="s">
        <v>954</v>
      </c>
      <c r="E61" s="474" t="s">
        <v>949</v>
      </c>
      <c r="F61" s="474" t="s">
        <v>955</v>
      </c>
      <c r="H61" s="474"/>
      <c r="I61" s="483" t="s">
        <v>937</v>
      </c>
      <c r="J61" s="474"/>
    </row>
    <row r="62" customFormat="false" ht="12.75" hidden="false" customHeight="false" outlineLevel="0" collapsed="false">
      <c r="A62" s="474"/>
      <c r="B62" s="474" t="s">
        <v>956</v>
      </c>
      <c r="C62" s="482" t="n">
        <f aca="false">+Rates!H32</f>
        <v>0.260817186183656</v>
      </c>
      <c r="D62" s="490" t="n">
        <v>-0.0725</v>
      </c>
      <c r="E62" s="482" t="n">
        <v>0</v>
      </c>
      <c r="F62" s="482" t="n">
        <v>0.2175</v>
      </c>
      <c r="H62" s="474"/>
      <c r="I62" s="489" t="n">
        <f aca="false">+F62-D62-E62-C62</f>
        <v>0.0291828138163437</v>
      </c>
      <c r="J62" s="474"/>
    </row>
    <row r="63" customFormat="false" ht="12.75" hidden="false" customHeight="false" outlineLevel="0" collapsed="false">
      <c r="A63" s="474"/>
      <c r="B63" s="474" t="s">
        <v>957</v>
      </c>
      <c r="C63" s="482" t="n">
        <f aca="false">+Rates!H67</f>
        <v>0.228326883293282</v>
      </c>
      <c r="D63" s="490" t="n">
        <v>-0.06</v>
      </c>
      <c r="E63" s="482" t="n">
        <v>0</v>
      </c>
      <c r="F63" s="482" t="n">
        <v>0.2175</v>
      </c>
      <c r="H63" s="474"/>
      <c r="I63" s="489" t="n">
        <f aca="false">+F63-D63-E63-C63</f>
        <v>0.0491731167067182</v>
      </c>
      <c r="J63" s="474"/>
    </row>
    <row r="64" customFormat="false" ht="12.75" hidden="false" customHeight="false" outlineLevel="0" collapsed="false">
      <c r="A64" s="474"/>
      <c r="B64" s="474" t="s">
        <v>958</v>
      </c>
      <c r="C64" s="482" t="n">
        <f aca="false">+Rates!H37</f>
        <v>0.30776050955414</v>
      </c>
      <c r="D64" s="490" t="n">
        <v>-0.0725</v>
      </c>
      <c r="E64" s="482" t="n">
        <v>0</v>
      </c>
      <c r="F64" s="482" t="n">
        <v>0.2525</v>
      </c>
      <c r="H64" s="474"/>
      <c r="I64" s="489" t="n">
        <f aca="false">+F64-D64-E64-C64</f>
        <v>0.0172394904458598</v>
      </c>
      <c r="J64" s="474"/>
    </row>
    <row r="65" customFormat="false" ht="12.75" hidden="false" customHeight="false" outlineLevel="0" collapsed="false">
      <c r="A65" s="474"/>
      <c r="B65" s="474" t="s">
        <v>959</v>
      </c>
      <c r="C65" s="482" t="n">
        <f aca="false">+Rates!H72</f>
        <v>0.275753654939962</v>
      </c>
      <c r="D65" s="490" t="n">
        <v>-0.06</v>
      </c>
      <c r="E65" s="482" t="n">
        <v>0</v>
      </c>
      <c r="F65" s="482" t="n">
        <v>0.2525</v>
      </c>
      <c r="H65" s="474"/>
      <c r="I65" s="489" t="n">
        <f aca="false">+F65-D65-E65-C65</f>
        <v>0.036746345060038</v>
      </c>
      <c r="J65" s="474"/>
    </row>
    <row r="66" customFormat="false" ht="12.75" hidden="false" customHeight="false" outlineLevel="0" collapsed="false">
      <c r="A66" s="474"/>
      <c r="B66" s="474"/>
      <c r="C66" s="474"/>
      <c r="D66" s="474"/>
      <c r="E66" s="474"/>
      <c r="F66" s="474"/>
      <c r="G66" s="474"/>
      <c r="H66" s="474"/>
      <c r="I66" s="474"/>
      <c r="J66" s="474"/>
    </row>
    <row r="67" customFormat="false" ht="12.75" hidden="false" customHeight="false" outlineLevel="0" collapsed="false">
      <c r="A67" s="474"/>
      <c r="B67" s="474"/>
      <c r="C67" s="474"/>
      <c r="D67" s="474"/>
      <c r="E67" s="474"/>
      <c r="F67" s="474"/>
      <c r="G67" s="474"/>
      <c r="H67" s="474"/>
      <c r="I67" s="474"/>
      <c r="J67" s="474"/>
    </row>
    <row r="68" customFormat="false" ht="12.75" hidden="false" customHeight="false" outlineLevel="0" collapsed="false">
      <c r="A68" s="474"/>
      <c r="B68" s="474"/>
      <c r="C68" s="474"/>
      <c r="D68" s="474"/>
      <c r="E68" s="474"/>
      <c r="F68" s="474"/>
      <c r="G68" s="474"/>
      <c r="H68" s="474"/>
      <c r="I68" s="474"/>
      <c r="J68" s="474"/>
    </row>
    <row r="69" customFormat="false" ht="12.75" hidden="false" customHeight="false" outlineLevel="0" collapsed="false">
      <c r="A69" s="474"/>
      <c r="B69" s="474"/>
      <c r="C69" s="474"/>
      <c r="D69" s="474"/>
      <c r="E69" s="474"/>
      <c r="F69" s="474"/>
      <c r="G69" s="474"/>
      <c r="H69" s="474"/>
      <c r="I69" s="474"/>
      <c r="J69" s="474"/>
    </row>
    <row r="70" customFormat="false" ht="12.75" hidden="false" customHeight="false" outlineLevel="0" collapsed="false">
      <c r="A70" s="474"/>
      <c r="B70" s="474"/>
      <c r="C70" s="474"/>
      <c r="D70" s="474"/>
      <c r="E70" s="474"/>
      <c r="F70" s="474"/>
      <c r="G70" s="474"/>
      <c r="H70" s="474"/>
      <c r="I70" s="474"/>
      <c r="J70" s="474"/>
    </row>
    <row r="71" customFormat="false" ht="12.75" hidden="false" customHeight="false" outlineLevel="0" collapsed="false">
      <c r="A71" s="474"/>
      <c r="B71" s="474" t="s">
        <v>25</v>
      </c>
      <c r="C71" s="474"/>
      <c r="D71" s="474"/>
      <c r="E71" s="474"/>
      <c r="F71" s="474"/>
      <c r="G71" s="474"/>
      <c r="H71" s="474"/>
      <c r="I71" s="474"/>
      <c r="J71" s="474"/>
    </row>
    <row r="72" customFormat="false" ht="12.75" hidden="false" customHeight="false" outlineLevel="0" collapsed="false">
      <c r="A72" s="474"/>
      <c r="B72" s="474"/>
      <c r="C72" s="474"/>
      <c r="D72" s="474"/>
      <c r="E72" s="474"/>
      <c r="F72" s="474" t="s">
        <v>923</v>
      </c>
      <c r="G72" s="474"/>
      <c r="H72" s="474" t="s">
        <v>923</v>
      </c>
      <c r="I72" s="474"/>
      <c r="J72" s="474"/>
    </row>
    <row r="73" customFormat="false" ht="12.75" hidden="false" customHeight="false" outlineLevel="0" collapsed="false">
      <c r="A73" s="474"/>
      <c r="B73" s="475" t="s">
        <v>924</v>
      </c>
      <c r="C73" s="475" t="s">
        <v>925</v>
      </c>
      <c r="D73" s="475" t="s">
        <v>926</v>
      </c>
      <c r="E73" s="475" t="s">
        <v>927</v>
      </c>
      <c r="F73" s="475" t="s">
        <v>928</v>
      </c>
      <c r="G73" s="475" t="s">
        <v>929</v>
      </c>
      <c r="H73" s="475" t="s">
        <v>929</v>
      </c>
      <c r="I73" s="475" t="s">
        <v>930</v>
      </c>
      <c r="J73" s="474"/>
    </row>
    <row r="74" customFormat="false" ht="12.75" hidden="false" customHeight="false" outlineLevel="0" collapsed="false">
      <c r="A74" s="474"/>
      <c r="B74" s="476" t="s">
        <v>961</v>
      </c>
      <c r="C74" s="477" t="n">
        <v>5000</v>
      </c>
      <c r="D74" s="478" t="n">
        <f aca="false">+C74/C74</f>
        <v>1</v>
      </c>
      <c r="E74" s="478" t="e">
        <f aca="false">+#REF!</f>
        <v>#REF!</v>
      </c>
      <c r="F74" s="478" t="e">
        <f aca="false">+D74*E74</f>
        <v>#REF!</v>
      </c>
      <c r="G74" s="478" t="n">
        <v>-0.23</v>
      </c>
      <c r="H74" s="478" t="n">
        <f aca="false">+G74*D74</f>
        <v>-0.23</v>
      </c>
      <c r="I74" s="478" t="e">
        <f aca="false">+F74+H74</f>
        <v>#REF!</v>
      </c>
      <c r="J74" s="474"/>
    </row>
    <row r="75" customFormat="false" ht="12.75" hidden="false" customHeight="false" outlineLevel="0" collapsed="false">
      <c r="A75" s="474"/>
      <c r="B75" s="476" t="s">
        <v>962</v>
      </c>
      <c r="C75" s="477" t="s">
        <v>1</v>
      </c>
      <c r="D75" s="478" t="s">
        <v>1</v>
      </c>
      <c r="E75" s="478" t="s">
        <v>1</v>
      </c>
      <c r="F75" s="478" t="s">
        <v>324</v>
      </c>
      <c r="G75" s="478" t="s">
        <v>1</v>
      </c>
      <c r="H75" s="478" t="s">
        <v>1</v>
      </c>
      <c r="I75" s="478" t="n">
        <v>-0.05</v>
      </c>
      <c r="J75" s="474"/>
    </row>
    <row r="76" customFormat="false" ht="12.75" hidden="false" customHeight="false" outlineLevel="0" collapsed="false">
      <c r="A76" s="474"/>
      <c r="B76" s="474"/>
      <c r="C76" s="474"/>
      <c r="D76" s="474"/>
      <c r="E76" s="474"/>
      <c r="F76" s="474"/>
      <c r="G76" s="474"/>
      <c r="H76" s="474"/>
      <c r="I76" s="474"/>
      <c r="J76" s="474"/>
    </row>
    <row r="77" customFormat="false" ht="12.75" hidden="false" customHeight="false" outlineLevel="0" collapsed="false">
      <c r="A77" s="474"/>
      <c r="B77" s="474"/>
      <c r="C77" s="474"/>
      <c r="D77" s="474"/>
      <c r="E77" s="474"/>
      <c r="F77" s="474"/>
      <c r="G77" s="474"/>
      <c r="H77" s="474"/>
      <c r="I77" s="474"/>
      <c r="J77" s="474"/>
    </row>
    <row r="78" customFormat="false" ht="12.75" hidden="false" customHeight="false" outlineLevel="0" collapsed="false">
      <c r="A78" s="474"/>
      <c r="B78" s="476" t="s">
        <v>932</v>
      </c>
      <c r="C78" s="477" t="n">
        <v>0</v>
      </c>
      <c r="D78" s="478" t="e">
        <f aca="false">+C78/C82</f>
        <v>#DIV/0!</v>
      </c>
      <c r="E78" s="478" t="e">
        <f aca="false">+#REF!</f>
        <v>#REF!</v>
      </c>
      <c r="F78" s="478" t="e">
        <f aca="false">+D78*E78</f>
        <v>#REF!</v>
      </c>
      <c r="G78" s="478" t="n">
        <v>-0.07</v>
      </c>
      <c r="H78" s="478" t="e">
        <f aca="false">+G78*D78</f>
        <v>#DIV/0!</v>
      </c>
      <c r="I78" s="478" t="e">
        <f aca="false">+F78+H78</f>
        <v>#DIV/0!</v>
      </c>
      <c r="J78" s="474"/>
    </row>
    <row r="79" customFormat="false" ht="12.75" hidden="false" customHeight="false" outlineLevel="0" collapsed="false">
      <c r="A79" s="474"/>
      <c r="B79" s="474"/>
      <c r="C79" s="474"/>
      <c r="D79" s="474"/>
      <c r="E79" s="474"/>
      <c r="F79" s="474"/>
      <c r="G79" s="474"/>
      <c r="H79" s="474"/>
      <c r="I79" s="474"/>
      <c r="J79" s="474"/>
    </row>
    <row r="80" customFormat="false" ht="12.75" hidden="false" customHeight="false" outlineLevel="0" collapsed="false">
      <c r="A80" s="474"/>
      <c r="B80" s="474"/>
      <c r="C80" s="474"/>
      <c r="D80" s="474"/>
      <c r="E80" s="474"/>
      <c r="F80" s="474"/>
      <c r="G80" s="474"/>
      <c r="H80" s="474"/>
      <c r="I80" s="474"/>
      <c r="J80" s="474"/>
    </row>
    <row r="81" customFormat="false" ht="12.75" hidden="false" customHeight="false" outlineLevel="0" collapsed="false">
      <c r="A81" s="474"/>
      <c r="B81" s="474"/>
      <c r="C81" s="474"/>
      <c r="D81" s="474"/>
      <c r="E81" s="474"/>
      <c r="F81" s="474"/>
      <c r="G81" s="474"/>
      <c r="H81" s="474"/>
      <c r="I81" s="474"/>
      <c r="J81" s="474"/>
    </row>
    <row r="100" customFormat="false" ht="12.75" hidden="false" customHeight="false" outlineLevel="0" collapsed="false">
      <c r="M100" s="473" t="s">
        <v>963</v>
      </c>
      <c r="N100" s="473" t="s">
        <v>964</v>
      </c>
    </row>
    <row r="101" customFormat="false" ht="12.75" hidden="false" customHeight="false" outlineLevel="0" collapsed="false">
      <c r="B101" s="483" t="s">
        <v>578</v>
      </c>
      <c r="C101" s="475" t="s">
        <v>925</v>
      </c>
      <c r="D101" s="475" t="s">
        <v>926</v>
      </c>
      <c r="E101" s="474" t="s">
        <v>898</v>
      </c>
      <c r="F101" s="474" t="s">
        <v>954</v>
      </c>
      <c r="G101" s="474" t="s">
        <v>965</v>
      </c>
      <c r="H101" s="474" t="s">
        <v>966</v>
      </c>
      <c r="I101" s="474" t="s">
        <v>955</v>
      </c>
      <c r="J101" s="474"/>
      <c r="K101" s="483" t="s">
        <v>937</v>
      </c>
      <c r="L101" s="473" t="s">
        <v>967</v>
      </c>
      <c r="M101" s="473" t="s">
        <v>968</v>
      </c>
      <c r="N101" s="473" t="s">
        <v>969</v>
      </c>
    </row>
    <row r="102" customFormat="false" ht="12.75" hidden="false" customHeight="false" outlineLevel="0" collapsed="false">
      <c r="B102" s="474" t="s">
        <v>956</v>
      </c>
      <c r="C102" s="477" t="n">
        <v>1163</v>
      </c>
      <c r="D102" s="478" t="n">
        <f aca="false">+C102/C105</f>
        <v>0.358397534668721</v>
      </c>
      <c r="E102" s="482" t="e">
        <f aca="false">+#REF!</f>
        <v>#REF!</v>
      </c>
      <c r="F102" s="490" t="n">
        <v>-0.0725</v>
      </c>
      <c r="G102" s="491" t="e">
        <f aca="false">+D102*E102</f>
        <v>#REF!</v>
      </c>
      <c r="H102" s="482" t="n">
        <f aca="false">+F102*D102</f>
        <v>-0.0259838212634823</v>
      </c>
      <c r="I102" s="482" t="n">
        <v>0.2175</v>
      </c>
      <c r="J102" s="474"/>
      <c r="K102" s="492" t="e">
        <f aca="false">(+G102*H102)</f>
        <v>#REF!</v>
      </c>
      <c r="L102" s="473" t="n">
        <f aca="false">+I102-F102</f>
        <v>0.29</v>
      </c>
      <c r="M102" s="473" t="e">
        <f aca="false">+L102-E102</f>
        <v>#REF!</v>
      </c>
      <c r="N102" s="473" t="e">
        <f aca="false">+M102*5</f>
        <v>#REF!</v>
      </c>
      <c r="O102" s="0" t="e">
        <f aca="false">+N102*D102</f>
        <v>#REF!</v>
      </c>
    </row>
    <row r="103" customFormat="false" ht="12.75" hidden="false" customHeight="false" outlineLevel="0" collapsed="false">
      <c r="B103" s="474" t="s">
        <v>957</v>
      </c>
      <c r="C103" s="477" t="n">
        <v>2082</v>
      </c>
      <c r="D103" s="478" t="n">
        <f aca="false">+C103/C105</f>
        <v>0.641602465331279</v>
      </c>
      <c r="E103" s="482" t="e">
        <f aca="false">+#REF!</f>
        <v>#REF!</v>
      </c>
      <c r="F103" s="490" t="n">
        <v>-0.06</v>
      </c>
      <c r="G103" s="491" t="e">
        <f aca="false">+D103*E103</f>
        <v>#REF!</v>
      </c>
      <c r="H103" s="482" t="n">
        <f aca="false">+F103*D103</f>
        <v>-0.0384961479198767</v>
      </c>
      <c r="I103" s="482" t="n">
        <v>0.2175</v>
      </c>
      <c r="J103" s="474"/>
      <c r="K103" s="492" t="e">
        <f aca="false">(+G103*H103)</f>
        <v>#REF!</v>
      </c>
      <c r="L103" s="473" t="n">
        <f aca="false">+I103-F103</f>
        <v>0.2775</v>
      </c>
      <c r="M103" s="473" t="e">
        <f aca="false">+L103-E103</f>
        <v>#REF!</v>
      </c>
      <c r="N103" s="473" t="e">
        <f aca="false">+M103*5</f>
        <v>#REF!</v>
      </c>
      <c r="O103" s="0" t="e">
        <f aca="false">+N103*D103</f>
        <v>#REF!</v>
      </c>
    </row>
    <row r="104" customFormat="false" ht="12.75" hidden="false" customHeight="false" outlineLevel="0" collapsed="false">
      <c r="C104" s="479" t="n">
        <v>0</v>
      </c>
      <c r="D104" s="480" t="n">
        <f aca="false">+C104/C105</f>
        <v>0</v>
      </c>
      <c r="O104" s="0" t="e">
        <f aca="false">SUM(O102:O103)</f>
        <v>#REF!</v>
      </c>
    </row>
    <row r="105" customFormat="false" ht="12.75" hidden="false" customHeight="false" outlineLevel="0" collapsed="false">
      <c r="C105" s="477" t="n">
        <f aca="false">SUM(C102:C104)</f>
        <v>3245</v>
      </c>
      <c r="D105" s="478" t="n">
        <f aca="false">SUM(D102:D104)</f>
        <v>1</v>
      </c>
    </row>
    <row r="106" customFormat="false" ht="12.75" hidden="false" customHeight="false" outlineLevel="0" collapsed="false">
      <c r="C106" s="488" t="n">
        <f aca="false">+C102*F102</f>
        <v>-84.3175</v>
      </c>
    </row>
    <row r="107" customFormat="false" ht="12.75" hidden="false" customHeight="false" outlineLevel="0" collapsed="false">
      <c r="C107" s="488" t="n">
        <f aca="false">+C103*F103</f>
        <v>-124.92</v>
      </c>
    </row>
    <row r="108" customFormat="false" ht="12.75" hidden="false" customHeight="false" outlineLevel="0" collapsed="false">
      <c r="C108" s="488" t="n">
        <f aca="false">+C107+C106</f>
        <v>-209.2375</v>
      </c>
      <c r="D108" s="0" t="n">
        <f aca="false">+C108/C105</f>
        <v>-0.064479969183359</v>
      </c>
      <c r="I108" s="0" t="s">
        <v>1</v>
      </c>
    </row>
    <row r="109" customFormat="false" ht="12.75" hidden="false" customHeight="false" outlineLevel="0" collapsed="false">
      <c r="A109" s="474"/>
      <c r="B109" s="483" t="s">
        <v>578</v>
      </c>
      <c r="C109" s="474" t="s">
        <v>1</v>
      </c>
      <c r="D109" s="475" t="s">
        <v>926</v>
      </c>
      <c r="E109" s="474" t="s">
        <v>970</v>
      </c>
      <c r="F109" s="474" t="s">
        <v>971</v>
      </c>
      <c r="G109" s="0" t="s">
        <v>965</v>
      </c>
      <c r="H109" s="474" t="s">
        <v>966</v>
      </c>
      <c r="I109" s="474" t="s">
        <v>955</v>
      </c>
      <c r="J109" s="474"/>
      <c r="K109" s="483" t="s">
        <v>937</v>
      </c>
    </row>
    <row r="110" customFormat="false" ht="12.75" hidden="false" customHeight="false" outlineLevel="0" collapsed="false">
      <c r="A110" s="474"/>
      <c r="B110" s="474" t="s">
        <v>956</v>
      </c>
      <c r="C110" s="477" t="n">
        <v>1163</v>
      </c>
      <c r="D110" s="478" t="n">
        <f aca="false">+C110/C113</f>
        <v>0.358397534668721</v>
      </c>
      <c r="E110" s="482" t="n">
        <f aca="false">+Rates!H32</f>
        <v>0.260817186183656</v>
      </c>
      <c r="F110" s="490" t="n">
        <v>-0.0725</v>
      </c>
      <c r="G110" s="491" t="n">
        <f aca="false">+D110*E110</f>
        <v>0.0934762365274552</v>
      </c>
      <c r="H110" s="482" t="n">
        <f aca="false">+F110*D110</f>
        <v>-0.0259838212634823</v>
      </c>
      <c r="I110" s="482" t="n">
        <v>0.2175</v>
      </c>
      <c r="J110" s="474"/>
      <c r="K110" s="492" t="n">
        <f aca="false">(+G110*H110)</f>
        <v>-0.00242886982231239</v>
      </c>
      <c r="L110" s="473" t="n">
        <f aca="false">+I110-F110</f>
        <v>0.29</v>
      </c>
      <c r="M110" s="473" t="n">
        <f aca="false">+L110-E110</f>
        <v>0.0291828138163437</v>
      </c>
      <c r="N110" s="473" t="n">
        <f aca="false">+M110*7</f>
        <v>0.204279696714406</v>
      </c>
      <c r="O110" s="0" t="n">
        <f aca="false">+N110*D110</f>
        <v>0.0732133396853172</v>
      </c>
    </row>
    <row r="111" customFormat="false" ht="12.75" hidden="false" customHeight="false" outlineLevel="0" collapsed="false">
      <c r="A111" s="474"/>
      <c r="B111" s="474" t="s">
        <v>972</v>
      </c>
      <c r="C111" s="477" t="n">
        <v>2082</v>
      </c>
      <c r="D111" s="478" t="n">
        <f aca="false">+C111/C113</f>
        <v>0.641602465331279</v>
      </c>
      <c r="E111" s="482" t="n">
        <f aca="false">+Rates!H67</f>
        <v>0.228326883293282</v>
      </c>
      <c r="F111" s="482" t="n">
        <v>-0.06</v>
      </c>
      <c r="G111" s="491" t="n">
        <f aca="false">+D111*E111</f>
        <v>0.146495091222377</v>
      </c>
      <c r="H111" s="482" t="n">
        <f aca="false">+F111*D111</f>
        <v>-0.0384961479198767</v>
      </c>
      <c r="I111" s="482" t="n">
        <v>0.2175</v>
      </c>
      <c r="J111" s="474"/>
      <c r="K111" s="492" t="n">
        <f aca="false">(+G111*H111)</f>
        <v>-0.00563949670123245</v>
      </c>
      <c r="L111" s="473" t="n">
        <f aca="false">+I111-F111</f>
        <v>0.2775</v>
      </c>
      <c r="M111" s="473" t="n">
        <f aca="false">+L111-E111</f>
        <v>0.0491731167067182</v>
      </c>
      <c r="N111" s="473" t="n">
        <f aca="false">+M111*7</f>
        <v>0.344211816947027</v>
      </c>
      <c r="O111" s="0" t="n">
        <f aca="false">+N111*D111</f>
        <v>0.220847150349372</v>
      </c>
    </row>
    <row r="112" customFormat="false" ht="12.75" hidden="false" customHeight="false" outlineLevel="0" collapsed="false">
      <c r="A112" s="474"/>
      <c r="B112" s="474"/>
      <c r="C112" s="482" t="n">
        <v>0</v>
      </c>
      <c r="D112" s="480" t="n">
        <f aca="false">+C112/C113</f>
        <v>0</v>
      </c>
      <c r="E112" s="482"/>
      <c r="F112" s="482" t="s">
        <v>1</v>
      </c>
      <c r="H112" s="474"/>
      <c r="I112" s="489"/>
      <c r="J112" s="474"/>
      <c r="O112" s="0" t="n">
        <f aca="false">SUM(O110:O111)</f>
        <v>0.294060490034689</v>
      </c>
    </row>
    <row r="113" customFormat="false" ht="12.75" hidden="false" customHeight="false" outlineLevel="0" collapsed="false">
      <c r="C113" s="477" t="n">
        <f aca="false">SUM(C110:C112)</f>
        <v>3245</v>
      </c>
      <c r="D113" s="478" t="n">
        <f aca="false">SUM(D110:D112)</f>
        <v>1</v>
      </c>
      <c r="M113" s="473" t="n">
        <f aca="false">AVERAGE(M110:M111)</f>
        <v>0.039177965261531</v>
      </c>
    </row>
    <row r="114" customFormat="false" ht="12.75" hidden="false" customHeight="false" outlineLevel="0" collapsed="false">
      <c r="O114" s="0" t="e">
        <f aca="false">+O112+O104</f>
        <v>#REF!</v>
      </c>
    </row>
    <row r="115" customFormat="false" ht="12.75" hidden="false" customHeight="false" outlineLevel="0" collapsed="false">
      <c r="O115" s="0" t="e">
        <f aca="false">+O114/12</f>
        <v>#REF!</v>
      </c>
    </row>
    <row r="116" customFormat="false" ht="12.75" hidden="false" customHeight="false" outlineLevel="0" collapsed="false">
      <c r="M116" s="473" t="n">
        <f aca="false">+M113+M105</f>
        <v>0.039177965261531</v>
      </c>
    </row>
    <row r="131" customFormat="false" ht="12.75" hidden="false" customHeight="false" outlineLevel="0" collapsed="false">
      <c r="B131" s="483" t="s">
        <v>578</v>
      </c>
      <c r="C131" s="475" t="s">
        <v>925</v>
      </c>
      <c r="D131" s="475" t="s">
        <v>926</v>
      </c>
      <c r="E131" s="474" t="s">
        <v>898</v>
      </c>
      <c r="F131" s="474" t="s">
        <v>954</v>
      </c>
      <c r="G131" s="474" t="s">
        <v>965</v>
      </c>
      <c r="H131" s="474" t="s">
        <v>966</v>
      </c>
      <c r="I131" s="474" t="s">
        <v>973</v>
      </c>
      <c r="J131" s="474"/>
      <c r="K131" s="483" t="s">
        <v>1</v>
      </c>
      <c r="L131" s="473" t="s">
        <v>967</v>
      </c>
      <c r="M131" s="473" t="s">
        <v>968</v>
      </c>
      <c r="N131" s="473" t="s">
        <v>969</v>
      </c>
    </row>
    <row r="132" customFormat="false" ht="12.75" hidden="false" customHeight="false" outlineLevel="0" collapsed="false">
      <c r="B132" s="474" t="s">
        <v>958</v>
      </c>
      <c r="C132" s="477" t="n">
        <v>1163</v>
      </c>
      <c r="D132" s="478" t="n">
        <f aca="false">+C132/C135</f>
        <v>0.358397534668721</v>
      </c>
      <c r="E132" s="482" t="e">
        <f aca="false">+#REF!</f>
        <v>#REF!</v>
      </c>
      <c r="F132" s="490" t="n">
        <v>-0.0725</v>
      </c>
      <c r="G132" s="491" t="e">
        <f aca="false">+D132*E132</f>
        <v>#REF!</v>
      </c>
      <c r="H132" s="482" t="n">
        <f aca="false">+F132*D132</f>
        <v>-0.0259838212634823</v>
      </c>
      <c r="I132" s="482" t="n">
        <v>0.2525</v>
      </c>
      <c r="J132" s="474"/>
      <c r="K132" s="492" t="s">
        <v>1</v>
      </c>
      <c r="L132" s="473" t="n">
        <f aca="false">+I132-F132</f>
        <v>0.325</v>
      </c>
      <c r="M132" s="473" t="e">
        <f aca="false">+L132-E132</f>
        <v>#REF!</v>
      </c>
      <c r="N132" s="473" t="e">
        <f aca="false">+M132*5</f>
        <v>#REF!</v>
      </c>
      <c r="O132" s="0" t="e">
        <f aca="false">+N132*D132</f>
        <v>#REF!</v>
      </c>
    </row>
    <row r="133" customFormat="false" ht="12.75" hidden="false" customHeight="false" outlineLevel="0" collapsed="false">
      <c r="B133" s="474" t="s">
        <v>959</v>
      </c>
      <c r="C133" s="477" t="n">
        <v>2082</v>
      </c>
      <c r="D133" s="478" t="n">
        <f aca="false">+C133/C135</f>
        <v>0.641602465331279</v>
      </c>
      <c r="E133" s="482" t="e">
        <f aca="false">+#REF!</f>
        <v>#REF!</v>
      </c>
      <c r="F133" s="490" t="n">
        <v>-0.06</v>
      </c>
      <c r="G133" s="491" t="e">
        <f aca="false">+D133*E133</f>
        <v>#REF!</v>
      </c>
      <c r="H133" s="482" t="n">
        <f aca="false">+F133*D133</f>
        <v>-0.0384961479198767</v>
      </c>
      <c r="I133" s="482" t="n">
        <v>0.2525</v>
      </c>
      <c r="J133" s="474"/>
      <c r="K133" s="492" t="s">
        <v>1</v>
      </c>
      <c r="L133" s="473" t="n">
        <f aca="false">+I133-F133</f>
        <v>0.3125</v>
      </c>
      <c r="M133" s="473" t="e">
        <f aca="false">+L133-E133</f>
        <v>#REF!</v>
      </c>
      <c r="N133" s="473" t="e">
        <f aca="false">+M133*5</f>
        <v>#REF!</v>
      </c>
      <c r="O133" s="0" t="e">
        <f aca="false">+N133*D133</f>
        <v>#REF!</v>
      </c>
    </row>
    <row r="134" customFormat="false" ht="12.75" hidden="false" customHeight="false" outlineLevel="0" collapsed="false">
      <c r="C134" s="479" t="n">
        <v>0</v>
      </c>
      <c r="D134" s="480" t="n">
        <f aca="false">+C134/C135</f>
        <v>0</v>
      </c>
      <c r="O134" s="0" t="e">
        <f aca="false">SUM(O132:O133)</f>
        <v>#REF!</v>
      </c>
    </row>
    <row r="135" customFormat="false" ht="12.75" hidden="false" customHeight="false" outlineLevel="0" collapsed="false">
      <c r="C135" s="477" t="n">
        <f aca="false">SUM(C132:C134)</f>
        <v>3245</v>
      </c>
      <c r="D135" s="478" t="n">
        <f aca="false">SUM(D132:D134)</f>
        <v>1</v>
      </c>
    </row>
    <row r="136" customFormat="false" ht="12.75" hidden="false" customHeight="false" outlineLevel="0" collapsed="false">
      <c r="C136" s="488" t="n">
        <f aca="false">+C132*F132</f>
        <v>-84.3175</v>
      </c>
    </row>
    <row r="137" customFormat="false" ht="12.75" hidden="false" customHeight="false" outlineLevel="0" collapsed="false">
      <c r="C137" s="488" t="n">
        <f aca="false">+C133*F133</f>
        <v>-124.92</v>
      </c>
    </row>
    <row r="138" customFormat="false" ht="12.75" hidden="false" customHeight="false" outlineLevel="0" collapsed="false">
      <c r="C138" s="488" t="n">
        <f aca="false">+C137+C136</f>
        <v>-209.2375</v>
      </c>
      <c r="D138" s="0" t="n">
        <f aca="false">+C138/C135</f>
        <v>-0.064479969183359</v>
      </c>
      <c r="I138" s="0" t="s">
        <v>1</v>
      </c>
    </row>
    <row r="139" customFormat="false" ht="12.75" hidden="false" customHeight="false" outlineLevel="0" collapsed="false">
      <c r="A139" s="474"/>
      <c r="B139" s="483" t="s">
        <v>578</v>
      </c>
      <c r="C139" s="474" t="s">
        <v>1</v>
      </c>
      <c r="D139" s="475" t="s">
        <v>926</v>
      </c>
      <c r="E139" s="474" t="s">
        <v>970</v>
      </c>
      <c r="F139" s="474" t="s">
        <v>971</v>
      </c>
      <c r="G139" s="0" t="s">
        <v>965</v>
      </c>
      <c r="H139" s="474" t="s">
        <v>966</v>
      </c>
      <c r="I139" s="474" t="s">
        <v>955</v>
      </c>
      <c r="J139" s="474"/>
      <c r="K139" s="483" t="s">
        <v>1</v>
      </c>
    </row>
    <row r="140" customFormat="false" ht="12.75" hidden="false" customHeight="false" outlineLevel="0" collapsed="false">
      <c r="A140" s="474"/>
      <c r="B140" s="474" t="s">
        <v>958</v>
      </c>
      <c r="C140" s="477" t="n">
        <v>1163</v>
      </c>
      <c r="D140" s="478" t="n">
        <f aca="false">+C140/C143</f>
        <v>0.358397534668721</v>
      </c>
      <c r="E140" s="482" t="n">
        <f aca="false">+Rates!H37</f>
        <v>0.30776050955414</v>
      </c>
      <c r="F140" s="490" t="n">
        <v>-0.0725</v>
      </c>
      <c r="G140" s="491" t="n">
        <f aca="false">+D140*E140</f>
        <v>0.110300607892593</v>
      </c>
      <c r="H140" s="482" t="n">
        <f aca="false">+F140*D140</f>
        <v>-0.0259838212634823</v>
      </c>
      <c r="I140" s="482" t="n">
        <v>0.2525</v>
      </c>
      <c r="J140" s="474"/>
      <c r="K140" s="492" t="s">
        <v>1</v>
      </c>
      <c r="L140" s="473" t="n">
        <f aca="false">+I140-F140</f>
        <v>0.325</v>
      </c>
      <c r="M140" s="473" t="n">
        <f aca="false">+L140-E140</f>
        <v>0.0172394904458598</v>
      </c>
      <c r="N140" s="473" t="n">
        <f aca="false">+M140*7</f>
        <v>0.120676433121018</v>
      </c>
      <c r="O140" s="0" t="n">
        <f aca="false">+N140*D140</f>
        <v>0.0432501361231878</v>
      </c>
    </row>
    <row r="141" customFormat="false" ht="12.75" hidden="false" customHeight="false" outlineLevel="0" collapsed="false">
      <c r="A141" s="474"/>
      <c r="B141" s="474" t="s">
        <v>974</v>
      </c>
      <c r="C141" s="477" t="n">
        <v>2082</v>
      </c>
      <c r="D141" s="478" t="n">
        <f aca="false">+C141/C143</f>
        <v>0.641602465331279</v>
      </c>
      <c r="E141" s="482" t="n">
        <f aca="false">+Rates!H72</f>
        <v>0.275753654939962</v>
      </c>
      <c r="F141" s="482" t="n">
        <v>-0.06</v>
      </c>
      <c r="G141" s="491" t="n">
        <f aca="false">+D141*E141</f>
        <v>0.17692422483359</v>
      </c>
      <c r="H141" s="482" t="n">
        <f aca="false">+F141*D141</f>
        <v>-0.0384961479198767</v>
      </c>
      <c r="I141" s="482" t="n">
        <v>0.2525</v>
      </c>
      <c r="J141" s="474"/>
      <c r="K141" s="492" t="s">
        <v>1</v>
      </c>
      <c r="L141" s="473" t="n">
        <f aca="false">+I141-F141</f>
        <v>0.3125</v>
      </c>
      <c r="M141" s="473" t="n">
        <f aca="false">+L141-E141</f>
        <v>0.036746345060038</v>
      </c>
      <c r="N141" s="473" t="n">
        <f aca="false">+M141*7</f>
        <v>0.257224415420266</v>
      </c>
      <c r="O141" s="0" t="n">
        <f aca="false">+N141*D141</f>
        <v>0.16503581907704</v>
      </c>
    </row>
    <row r="142" customFormat="false" ht="12.75" hidden="false" customHeight="false" outlineLevel="0" collapsed="false">
      <c r="A142" s="474"/>
      <c r="B142" s="474"/>
      <c r="C142" s="482" t="n">
        <v>0</v>
      </c>
      <c r="D142" s="480" t="n">
        <f aca="false">+C142/C143</f>
        <v>0</v>
      </c>
      <c r="E142" s="482"/>
      <c r="F142" s="482" t="s">
        <v>1</v>
      </c>
      <c r="H142" s="474"/>
      <c r="I142" s="489"/>
      <c r="J142" s="474"/>
      <c r="O142" s="0" t="n">
        <f aca="false">SUM(O140:O141)</f>
        <v>0.208285955200228</v>
      </c>
    </row>
    <row r="143" customFormat="false" ht="12.75" hidden="false" customHeight="false" outlineLevel="0" collapsed="false">
      <c r="C143" s="477" t="n">
        <f aca="false">SUM(C140:C142)</f>
        <v>3245</v>
      </c>
      <c r="D143" s="478" t="n">
        <f aca="false">SUM(D140:D142)</f>
        <v>1</v>
      </c>
      <c r="M143" s="473" t="n">
        <f aca="false">AVERAGE(M140:M141)</f>
        <v>0.0269929177529489</v>
      </c>
    </row>
    <row r="144" customFormat="false" ht="12.75" hidden="false" customHeight="false" outlineLevel="0" collapsed="false">
      <c r="O144" s="0" t="e">
        <f aca="false">+O142+O134</f>
        <v>#REF!</v>
      </c>
    </row>
    <row r="145" customFormat="false" ht="12.75" hidden="false" customHeight="false" outlineLevel="0" collapsed="false">
      <c r="O145" s="0" t="e">
        <f aca="false">+O144/12</f>
        <v>#REF!</v>
      </c>
    </row>
    <row r="146" customFormat="false" ht="12.75" hidden="false" customHeight="false" outlineLevel="0" collapsed="false">
      <c r="M146" s="473" t="n">
        <f aca="false">+M143+M135</f>
        <v>0.0269929177529489</v>
      </c>
    </row>
    <row r="151" customFormat="false" ht="12.75" hidden="false" customHeight="false" outlineLevel="0" collapsed="false">
      <c r="B151" s="483" t="s">
        <v>578</v>
      </c>
      <c r="C151" s="475" t="s">
        <v>925</v>
      </c>
      <c r="D151" s="475" t="s">
        <v>926</v>
      </c>
      <c r="E151" s="474" t="s">
        <v>898</v>
      </c>
      <c r="F151" s="474" t="s">
        <v>954</v>
      </c>
      <c r="G151" s="474" t="s">
        <v>965</v>
      </c>
      <c r="H151" s="474" t="s">
        <v>966</v>
      </c>
      <c r="I151" s="474" t="s">
        <v>975</v>
      </c>
      <c r="J151" s="474"/>
      <c r="K151" s="483" t="s">
        <v>1</v>
      </c>
      <c r="L151" s="473" t="s">
        <v>967</v>
      </c>
      <c r="M151" s="473" t="s">
        <v>968</v>
      </c>
      <c r="N151" s="473" t="s">
        <v>969</v>
      </c>
    </row>
    <row r="152" customFormat="false" ht="12.75" hidden="false" customHeight="false" outlineLevel="0" collapsed="false">
      <c r="B152" s="474" t="s">
        <v>976</v>
      </c>
      <c r="C152" s="477" t="n">
        <v>1163</v>
      </c>
      <c r="D152" s="478" t="n">
        <f aca="false">+C152/C155</f>
        <v>0.358397534668721</v>
      </c>
      <c r="E152" s="482" t="e">
        <f aca="false">+#REF!</f>
        <v>#REF!</v>
      </c>
      <c r="F152" s="490" t="n">
        <v>-0.0725</v>
      </c>
      <c r="G152" s="491" t="e">
        <f aca="false">+D152*E152</f>
        <v>#REF!</v>
      </c>
      <c r="H152" s="482" t="n">
        <f aca="false">+F152*D152</f>
        <v>-0.0259838212634823</v>
      </c>
      <c r="I152" s="482" t="n">
        <v>0.285</v>
      </c>
      <c r="J152" s="474"/>
      <c r="K152" s="492" t="s">
        <v>1</v>
      </c>
      <c r="L152" s="473" t="n">
        <f aca="false">+I152-F152</f>
        <v>0.3575</v>
      </c>
      <c r="M152" s="473" t="e">
        <f aca="false">+L152-E152</f>
        <v>#REF!</v>
      </c>
      <c r="N152" s="473" t="e">
        <f aca="false">+M152*5</f>
        <v>#REF!</v>
      </c>
      <c r="O152" s="0" t="e">
        <f aca="false">+N152*D152</f>
        <v>#REF!</v>
      </c>
    </row>
    <row r="153" customFormat="false" ht="12.75" hidden="false" customHeight="false" outlineLevel="0" collapsed="false">
      <c r="B153" s="474" t="s">
        <v>977</v>
      </c>
      <c r="C153" s="477" t="n">
        <v>2082</v>
      </c>
      <c r="D153" s="478" t="n">
        <f aca="false">+C153/C155</f>
        <v>0.641602465331279</v>
      </c>
      <c r="E153" s="482" t="e">
        <f aca="false">+#REF!</f>
        <v>#REF!</v>
      </c>
      <c r="F153" s="490" t="n">
        <v>-0.06</v>
      </c>
      <c r="G153" s="491" t="e">
        <f aca="false">+D153*E153</f>
        <v>#REF!</v>
      </c>
      <c r="H153" s="482" t="n">
        <f aca="false">+F153*D153</f>
        <v>-0.0384961479198767</v>
      </c>
      <c r="I153" s="482" t="n">
        <v>0.285</v>
      </c>
      <c r="J153" s="474"/>
      <c r="K153" s="492" t="s">
        <v>1</v>
      </c>
      <c r="L153" s="473" t="n">
        <f aca="false">+I153-F153</f>
        <v>0.345</v>
      </c>
      <c r="M153" s="473" t="e">
        <f aca="false">+L153-E153</f>
        <v>#REF!</v>
      </c>
      <c r="N153" s="473" t="e">
        <f aca="false">+M153*5</f>
        <v>#REF!</v>
      </c>
      <c r="O153" s="0" t="e">
        <f aca="false">+N153*D153</f>
        <v>#REF!</v>
      </c>
    </row>
    <row r="154" customFormat="false" ht="12.75" hidden="false" customHeight="false" outlineLevel="0" collapsed="false">
      <c r="C154" s="479" t="n">
        <v>0</v>
      </c>
      <c r="D154" s="480" t="n">
        <f aca="false">+C154/C155</f>
        <v>0</v>
      </c>
      <c r="O154" s="0" t="e">
        <f aca="false">SUM(O152:O153)</f>
        <v>#REF!</v>
      </c>
    </row>
    <row r="155" customFormat="false" ht="12.75" hidden="false" customHeight="false" outlineLevel="0" collapsed="false">
      <c r="C155" s="477" t="n">
        <f aca="false">SUM(C152:C154)</f>
        <v>3245</v>
      </c>
      <c r="D155" s="478" t="n">
        <f aca="false">SUM(D152:D154)</f>
        <v>1</v>
      </c>
    </row>
    <row r="156" customFormat="false" ht="12.75" hidden="false" customHeight="false" outlineLevel="0" collapsed="false">
      <c r="C156" s="488" t="n">
        <f aca="false">+C152*F152</f>
        <v>-84.3175</v>
      </c>
    </row>
    <row r="157" customFormat="false" ht="12.75" hidden="false" customHeight="false" outlineLevel="0" collapsed="false">
      <c r="C157" s="488" t="n">
        <f aca="false">+C153*F153</f>
        <v>-124.92</v>
      </c>
    </row>
    <row r="158" customFormat="false" ht="12.75" hidden="false" customHeight="false" outlineLevel="0" collapsed="false">
      <c r="C158" s="488" t="n">
        <f aca="false">+C157+C156</f>
        <v>-209.2375</v>
      </c>
      <c r="D158" s="0" t="n">
        <f aca="false">+C158/C155</f>
        <v>-0.064479969183359</v>
      </c>
      <c r="I158" s="0" t="s">
        <v>1</v>
      </c>
    </row>
    <row r="159" customFormat="false" ht="12.75" hidden="false" customHeight="false" outlineLevel="0" collapsed="false">
      <c r="B159" s="483" t="s">
        <v>578</v>
      </c>
      <c r="C159" s="474" t="s">
        <v>1</v>
      </c>
      <c r="D159" s="475" t="s">
        <v>926</v>
      </c>
      <c r="E159" s="474" t="s">
        <v>970</v>
      </c>
      <c r="F159" s="474" t="s">
        <v>971</v>
      </c>
      <c r="G159" s="0" t="s">
        <v>965</v>
      </c>
      <c r="H159" s="474" t="s">
        <v>966</v>
      </c>
      <c r="I159" s="474" t="s">
        <v>975</v>
      </c>
      <c r="J159" s="474"/>
      <c r="K159" s="483" t="s">
        <v>1</v>
      </c>
    </row>
    <row r="160" customFormat="false" ht="12.75" hidden="false" customHeight="false" outlineLevel="0" collapsed="false">
      <c r="B160" s="474" t="s">
        <v>976</v>
      </c>
      <c r="C160" s="477" t="n">
        <v>1163</v>
      </c>
      <c r="D160" s="478" t="n">
        <f aca="false">+C160/C163</f>
        <v>0.358397534668721</v>
      </c>
      <c r="E160" s="482" t="n">
        <f aca="false">+Rates!H42</f>
        <v>0.350784734133791</v>
      </c>
      <c r="F160" s="490" t="n">
        <v>-0.0725</v>
      </c>
      <c r="G160" s="491" t="n">
        <f aca="false">+D160*E160</f>
        <v>0.125720383912973</v>
      </c>
      <c r="H160" s="482" t="n">
        <f aca="false">+F160*D160</f>
        <v>-0.0259838212634823</v>
      </c>
      <c r="I160" s="482" t="n">
        <v>0.285</v>
      </c>
      <c r="J160" s="474"/>
      <c r="K160" s="492" t="s">
        <v>1</v>
      </c>
      <c r="L160" s="473" t="n">
        <f aca="false">+I160-F160</f>
        <v>0.3575</v>
      </c>
      <c r="M160" s="473" t="n">
        <f aca="false">+L160-E160</f>
        <v>0.00671526586620919</v>
      </c>
      <c r="N160" s="473" t="n">
        <f aca="false">+M160*7</f>
        <v>0.0470068610634643</v>
      </c>
      <c r="O160" s="0" t="n">
        <f aca="false">+N160*D160</f>
        <v>0.0168471431176607</v>
      </c>
    </row>
    <row r="161" customFormat="false" ht="12.75" hidden="false" customHeight="false" outlineLevel="0" collapsed="false">
      <c r="B161" s="474" t="s">
        <v>978</v>
      </c>
      <c r="C161" s="477" t="n">
        <v>2082</v>
      </c>
      <c r="D161" s="478" t="n">
        <f aca="false">+C161/C163</f>
        <v>0.641602465331279</v>
      </c>
      <c r="E161" s="482" t="n">
        <f aca="false">+Rates!H77</f>
        <v>0.318502711900457</v>
      </c>
      <c r="F161" s="482" t="n">
        <v>-0.06</v>
      </c>
      <c r="G161" s="491" t="n">
        <f aca="false">+D161*E161</f>
        <v>0.204352125170032</v>
      </c>
      <c r="H161" s="482" t="n">
        <f aca="false">+F161*D161</f>
        <v>-0.0384961479198767</v>
      </c>
      <c r="I161" s="482" t="n">
        <v>0.285</v>
      </c>
      <c r="J161" s="474"/>
      <c r="K161" s="492" t="s">
        <v>1</v>
      </c>
      <c r="L161" s="473" t="n">
        <f aca="false">+I161-F161</f>
        <v>0.345</v>
      </c>
      <c r="M161" s="473" t="n">
        <f aca="false">+L161-E161</f>
        <v>0.0264972880995426</v>
      </c>
      <c r="N161" s="473" t="n">
        <f aca="false">+M161*7</f>
        <v>0.185481016696798</v>
      </c>
      <c r="O161" s="0" t="n">
        <f aca="false">+N161*D161</f>
        <v>0.119005077584818</v>
      </c>
    </row>
    <row r="162" customFormat="false" ht="12.75" hidden="false" customHeight="false" outlineLevel="0" collapsed="false">
      <c r="B162" s="474"/>
      <c r="C162" s="482" t="n">
        <v>0</v>
      </c>
      <c r="D162" s="480" t="n">
        <f aca="false">+C162/C163</f>
        <v>0</v>
      </c>
      <c r="E162" s="482"/>
      <c r="F162" s="482" t="s">
        <v>1</v>
      </c>
      <c r="H162" s="474"/>
      <c r="I162" s="489"/>
      <c r="J162" s="474"/>
      <c r="O162" s="0" t="n">
        <f aca="false">SUM(O160:O161)</f>
        <v>0.135852220702478</v>
      </c>
    </row>
    <row r="163" customFormat="false" ht="12.75" hidden="false" customHeight="false" outlineLevel="0" collapsed="false">
      <c r="C163" s="477" t="n">
        <f aca="false">SUM(C160:C162)</f>
        <v>3245</v>
      </c>
      <c r="D163" s="478" t="n">
        <f aca="false">SUM(D160:D162)</f>
        <v>1</v>
      </c>
      <c r="M163" s="473" t="n">
        <f aca="false">AVERAGE(M160:M161)</f>
        <v>0.0166062769828759</v>
      </c>
    </row>
    <row r="164" customFormat="false" ht="12.75" hidden="false" customHeight="false" outlineLevel="0" collapsed="false">
      <c r="O164" s="0" t="e">
        <f aca="false">+O162+O154</f>
        <v>#REF!</v>
      </c>
    </row>
    <row r="165" customFormat="false" ht="12.75" hidden="false" customHeight="false" outlineLevel="0" collapsed="false">
      <c r="O165" s="0" t="e">
        <f aca="false">+O164/12</f>
        <v>#REF!</v>
      </c>
    </row>
    <row r="166" customFormat="false" ht="12.75" hidden="false" customHeight="false" outlineLevel="0" collapsed="false">
      <c r="M166" s="473" t="n">
        <f aca="false">+M163+M155</f>
        <v>0.0166062769828759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85"/>
  </cols>
  <sheetData>
    <row r="3" customFormat="false" ht="12.75" hidden="false" customHeight="false" outlineLevel="0" collapsed="false">
      <c r="B3" s="0" t="s">
        <v>979</v>
      </c>
      <c r="C3" s="0" t="s">
        <v>980</v>
      </c>
      <c r="D3" s="0" t="s">
        <v>981</v>
      </c>
      <c r="F3" s="0" t="s">
        <v>982</v>
      </c>
      <c r="I3" s="0" t="s">
        <v>983</v>
      </c>
      <c r="L3" s="0" t="s">
        <v>984</v>
      </c>
      <c r="M3" s="0" t="s">
        <v>985</v>
      </c>
    </row>
    <row r="5" customFormat="false" ht="12.75" hidden="false" customHeight="false" outlineLevel="0" collapsed="false">
      <c r="B5" s="493" t="n">
        <v>72671</v>
      </c>
      <c r="C5" s="0" t="s">
        <v>986</v>
      </c>
      <c r="D5" s="0" t="s">
        <v>987</v>
      </c>
      <c r="F5" s="0" t="s">
        <v>988</v>
      </c>
      <c r="J5" s="494" t="n">
        <v>0.0758</v>
      </c>
      <c r="L5" s="393" t="n">
        <v>0.0037</v>
      </c>
      <c r="M5" s="495" t="n">
        <v>2.97</v>
      </c>
      <c r="N5" s="494" t="n">
        <f aca="false">(M5)/(1-L5)-M5+J5</f>
        <v>0.086829810298103</v>
      </c>
    </row>
    <row r="6" customFormat="false" ht="12.75" hidden="false" customHeight="false" outlineLevel="0" collapsed="false">
      <c r="B6" s="496" t="n">
        <v>72673</v>
      </c>
      <c r="C6" s="0" t="s">
        <v>986</v>
      </c>
      <c r="D6" s="0" t="s">
        <v>987</v>
      </c>
      <c r="F6" s="0" t="s">
        <v>989</v>
      </c>
      <c r="J6" s="494" t="n">
        <v>0.0758</v>
      </c>
      <c r="L6" s="393" t="n">
        <v>0.0037</v>
      </c>
      <c r="M6" s="495" t="n">
        <v>2.97</v>
      </c>
      <c r="N6" s="494" t="n">
        <f aca="false">(M6)/(1-L6)-M6+J6</f>
        <v>0.086829810298103</v>
      </c>
    </row>
    <row r="7" customFormat="false" ht="12.75" hidden="false" customHeight="false" outlineLevel="0" collapsed="false">
      <c r="B7" s="496" t="n">
        <v>52019</v>
      </c>
      <c r="C7" s="0" t="s">
        <v>986</v>
      </c>
      <c r="D7" s="0" t="s">
        <v>987</v>
      </c>
      <c r="F7" s="0" t="s">
        <v>988</v>
      </c>
      <c r="J7" s="494" t="n">
        <v>0.0758</v>
      </c>
      <c r="L7" s="393" t="n">
        <v>0.0037</v>
      </c>
      <c r="M7" s="495" t="n">
        <v>2.97</v>
      </c>
      <c r="N7" s="494" t="n">
        <f aca="false">(M7)/(1-L7)-M7+J7</f>
        <v>0.086829810298103</v>
      </c>
    </row>
    <row r="8" customFormat="false" ht="12.75" hidden="false" customHeight="false" outlineLevel="0" collapsed="false">
      <c r="B8" s="496" t="n">
        <v>67580</v>
      </c>
      <c r="C8" s="0" t="s">
        <v>986</v>
      </c>
      <c r="D8" s="0" t="s">
        <v>987</v>
      </c>
      <c r="F8" s="0" t="s">
        <v>989</v>
      </c>
      <c r="J8" s="494" t="n">
        <v>0.0758</v>
      </c>
      <c r="L8" s="393" t="n">
        <v>0.0037</v>
      </c>
      <c r="M8" s="495" t="n">
        <v>2.97</v>
      </c>
      <c r="N8" s="494" t="n">
        <f aca="false">(M8)/(1-L8)-M8+J8</f>
        <v>0.086829810298103</v>
      </c>
    </row>
    <row r="9" customFormat="false" ht="12.75" hidden="false" customHeight="false" outlineLevel="0" collapsed="false">
      <c r="B9" s="496" t="n">
        <v>68000</v>
      </c>
      <c r="C9" s="0" t="s">
        <v>986</v>
      </c>
      <c r="D9" s="0" t="s">
        <v>987</v>
      </c>
      <c r="F9" s="0" t="s">
        <v>990</v>
      </c>
      <c r="J9" s="494" t="n">
        <v>0.0758</v>
      </c>
      <c r="L9" s="393" t="n">
        <v>0.0037</v>
      </c>
      <c r="M9" s="495" t="n">
        <v>2.97</v>
      </c>
      <c r="N9" s="494" t="n">
        <f aca="false">(M9)/(1-L9)-M9+J9</f>
        <v>0.086829810298103</v>
      </c>
    </row>
    <row r="10" customFormat="false" ht="12.75" hidden="false" customHeight="false" outlineLevel="0" collapsed="false">
      <c r="B10" s="496" t="n">
        <v>68001</v>
      </c>
      <c r="C10" s="0" t="s">
        <v>986</v>
      </c>
      <c r="D10" s="0" t="s">
        <v>987</v>
      </c>
      <c r="F10" s="0" t="s">
        <v>990</v>
      </c>
      <c r="J10" s="494" t="n">
        <v>0.0758</v>
      </c>
      <c r="L10" s="393" t="n">
        <v>0.0037</v>
      </c>
      <c r="M10" s="495" t="n">
        <v>2.97</v>
      </c>
      <c r="N10" s="494" t="n">
        <f aca="false">(M10)/(1-L10)-M10+J10</f>
        <v>0.086829810298103</v>
      </c>
    </row>
    <row r="11" customFormat="false" ht="12.75" hidden="false" customHeight="false" outlineLevel="0" collapsed="false">
      <c r="B11" s="496" t="n">
        <v>68002</v>
      </c>
      <c r="C11" s="0" t="s">
        <v>986</v>
      </c>
      <c r="D11" s="0" t="s">
        <v>987</v>
      </c>
      <c r="F11" s="0" t="s">
        <v>990</v>
      </c>
      <c r="J11" s="494" t="n">
        <v>0.0758</v>
      </c>
      <c r="L11" s="393" t="n">
        <v>0.0037</v>
      </c>
      <c r="M11" s="495" t="n">
        <v>2.97</v>
      </c>
      <c r="N11" s="494" t="n">
        <f aca="false">(M11)/(1-L11)-M11+J11</f>
        <v>0.086829810298103</v>
      </c>
    </row>
    <row r="12" customFormat="false" ht="12.75" hidden="false" customHeight="false" outlineLevel="0" collapsed="false">
      <c r="B12" s="496" t="n">
        <v>102029</v>
      </c>
      <c r="C12" s="0" t="s">
        <v>986</v>
      </c>
      <c r="D12" s="0" t="s">
        <v>991</v>
      </c>
      <c r="F12" s="0" t="s">
        <v>992</v>
      </c>
      <c r="J12" s="494" t="n">
        <v>0.0816</v>
      </c>
      <c r="L12" s="393" t="n">
        <v>0.0046</v>
      </c>
      <c r="M12" s="495" t="n">
        <v>3.02</v>
      </c>
      <c r="N12" s="494" t="n">
        <f aca="false">(M12)/(1-L12)-M12+J12</f>
        <v>0.0955561985131609</v>
      </c>
    </row>
    <row r="13" customFormat="false" ht="12.75" hidden="false" customHeight="false" outlineLevel="0" collapsed="false">
      <c r="B13" s="496" t="n">
        <v>67996</v>
      </c>
      <c r="C13" s="0" t="s">
        <v>986</v>
      </c>
      <c r="D13" s="0" t="s">
        <v>991</v>
      </c>
      <c r="F13" s="0" t="s">
        <v>990</v>
      </c>
      <c r="J13" s="494" t="n">
        <v>0.0816</v>
      </c>
      <c r="L13" s="393" t="n">
        <v>0.0046</v>
      </c>
      <c r="M13" s="495" t="n">
        <v>3.02</v>
      </c>
      <c r="N13" s="494" t="n">
        <f aca="false">(M13)/(1-L13)-M13+J13</f>
        <v>0.0955561985131609</v>
      </c>
    </row>
    <row r="14" customFormat="false" ht="12.75" hidden="false" customHeight="false" outlineLevel="0" collapsed="false">
      <c r="B14" s="496" t="n">
        <v>102841</v>
      </c>
      <c r="C14" s="0" t="s">
        <v>986</v>
      </c>
      <c r="D14" s="0" t="s">
        <v>993</v>
      </c>
      <c r="F14" s="0" t="s">
        <v>994</v>
      </c>
      <c r="J14" s="494" t="n">
        <v>0.0928</v>
      </c>
      <c r="L14" s="393" t="n">
        <v>0.0042</v>
      </c>
      <c r="M14" s="495" t="n">
        <v>3.1</v>
      </c>
      <c r="N14" s="494" t="n">
        <f aca="false">(M14)/(1-L14)-M14+J14</f>
        <v>0.105874914641494</v>
      </c>
    </row>
    <row r="15" customFormat="false" ht="12.75" hidden="false" customHeight="false" outlineLevel="0" collapsed="false">
      <c r="B15" s="496" t="n">
        <v>96296</v>
      </c>
      <c r="C15" s="0" t="s">
        <v>986</v>
      </c>
      <c r="D15" s="0" t="s">
        <v>993</v>
      </c>
      <c r="F15" s="0" t="s">
        <v>995</v>
      </c>
      <c r="J15" s="494" t="n">
        <v>0.0928</v>
      </c>
      <c r="L15" s="393" t="n">
        <v>0.0042</v>
      </c>
      <c r="M15" s="495" t="n">
        <v>3.1</v>
      </c>
      <c r="N15" s="494" t="n">
        <f aca="false">(M15)/(1-L15)-M15+J15</f>
        <v>0.105874914641494</v>
      </c>
    </row>
    <row r="16" customFormat="false" ht="12.75" hidden="false" customHeight="false" outlineLevel="0" collapsed="false">
      <c r="B16" s="496" t="n">
        <v>91891</v>
      </c>
      <c r="C16" s="0" t="s">
        <v>986</v>
      </c>
      <c r="D16" s="0" t="s">
        <v>993</v>
      </c>
      <c r="F16" s="0" t="s">
        <v>996</v>
      </c>
      <c r="J16" s="494" t="n">
        <v>0.0928</v>
      </c>
      <c r="L16" s="393" t="n">
        <v>0.0042</v>
      </c>
      <c r="M16" s="495" t="n">
        <v>3.1</v>
      </c>
      <c r="N16" s="494" t="n">
        <f aca="false">(M16)/(1-L16)-M16+J16</f>
        <v>0.105874914641494</v>
      </c>
    </row>
    <row r="17" customFormat="false" ht="12.75" hidden="false" customHeight="false" outlineLevel="0" collapsed="false">
      <c r="B17" s="496" t="n">
        <v>102544</v>
      </c>
      <c r="C17" s="0" t="s">
        <v>986</v>
      </c>
      <c r="D17" s="0" t="s">
        <v>993</v>
      </c>
      <c r="F17" s="0" t="s">
        <v>994</v>
      </c>
      <c r="J17" s="494" t="n">
        <v>0.0928</v>
      </c>
      <c r="L17" s="393" t="n">
        <v>0.0042</v>
      </c>
      <c r="M17" s="495" t="n">
        <v>3.1</v>
      </c>
      <c r="N17" s="494" t="n">
        <f aca="false">(M17)/(1-L17)-M17+J17</f>
        <v>0.105874914641494</v>
      </c>
    </row>
    <row r="18" customFormat="false" ht="12.75" hidden="false" customHeight="false" outlineLevel="0" collapsed="false">
      <c r="B18" s="496" t="n">
        <v>102703</v>
      </c>
      <c r="C18" s="0" t="s">
        <v>986</v>
      </c>
      <c r="D18" s="0" t="s">
        <v>993</v>
      </c>
      <c r="F18" s="0" t="s">
        <v>997</v>
      </c>
      <c r="J18" s="494" t="n">
        <v>0.0928</v>
      </c>
      <c r="L18" s="393" t="n">
        <v>0.0042</v>
      </c>
      <c r="M18" s="495" t="n">
        <v>3.1</v>
      </c>
      <c r="N18" s="494" t="n">
        <f aca="false">(M18)/(1-L18)-M18+J18</f>
        <v>0.105874914641494</v>
      </c>
    </row>
    <row r="19" customFormat="false" ht="12.75" hidden="false" customHeight="false" outlineLevel="0" collapsed="false">
      <c r="B19" s="496" t="n">
        <v>67999</v>
      </c>
      <c r="C19" s="0" t="s">
        <v>986</v>
      </c>
      <c r="D19" s="0" t="s">
        <v>993</v>
      </c>
      <c r="F19" s="0" t="s">
        <v>990</v>
      </c>
      <c r="J19" s="494" t="n">
        <v>0.0928</v>
      </c>
      <c r="L19" s="393" t="n">
        <v>0.0042</v>
      </c>
      <c r="M19" s="495" t="n">
        <v>3.1</v>
      </c>
      <c r="N19" s="494" t="n">
        <f aca="false">(M19)/(1-L19)-M19+J19</f>
        <v>0.105874914641494</v>
      </c>
    </row>
    <row r="20" customFormat="false" ht="12.75" hidden="false" customHeight="false" outlineLevel="0" collapsed="false">
      <c r="B20" s="496" t="n">
        <v>85795</v>
      </c>
      <c r="C20" s="0" t="s">
        <v>986</v>
      </c>
      <c r="D20" s="0" t="s">
        <v>993</v>
      </c>
      <c r="F20" s="0" t="s">
        <v>990</v>
      </c>
      <c r="J20" s="494" t="n">
        <v>0.0928</v>
      </c>
      <c r="L20" s="393" t="n">
        <v>0.0042</v>
      </c>
      <c r="M20" s="495" t="n">
        <v>3.1</v>
      </c>
      <c r="N20" s="494" t="n">
        <f aca="false">(M20)/(1-L20)-M20+J20</f>
        <v>0.105874914641494</v>
      </c>
    </row>
    <row r="21" customFormat="false" ht="12.75" hidden="false" customHeight="false" outlineLevel="0" collapsed="false">
      <c r="B21" s="496" t="n">
        <v>88734</v>
      </c>
      <c r="C21" s="0" t="s">
        <v>986</v>
      </c>
      <c r="D21" s="0" t="s">
        <v>998</v>
      </c>
      <c r="F21" s="0" t="s">
        <v>999</v>
      </c>
      <c r="J21" s="494" t="n">
        <v>0.0892</v>
      </c>
      <c r="L21" s="393" t="n">
        <v>0.005</v>
      </c>
      <c r="M21" s="495" t="n">
        <v>3.01</v>
      </c>
      <c r="N21" s="494" t="n">
        <f aca="false">(M21)/(1-L21)-M21+J21</f>
        <v>0.104325628140704</v>
      </c>
    </row>
    <row r="24" customFormat="false" ht="12.75" hidden="false" customHeight="false" outlineLevel="0" collapsed="false">
      <c r="B24" s="496" t="n">
        <v>98468</v>
      </c>
      <c r="C24" s="0" t="s">
        <v>1000</v>
      </c>
      <c r="D24" s="0" t="s">
        <v>1001</v>
      </c>
      <c r="F24" s="0" t="s">
        <v>990</v>
      </c>
      <c r="J24" s="494" t="n">
        <v>0.09</v>
      </c>
      <c r="L24" s="393" t="n">
        <v>0.01</v>
      </c>
      <c r="M24" s="495" t="n">
        <v>3.04</v>
      </c>
      <c r="N24" s="494" t="n">
        <f aca="false">(M24)/(1-L24)-M24+J24</f>
        <v>0.120707070707071</v>
      </c>
      <c r="O24" s="0" t="s">
        <v>1002</v>
      </c>
    </row>
    <row r="25" customFormat="false" ht="12.75" hidden="false" customHeight="false" outlineLevel="0" collapsed="false">
      <c r="B25" s="496" t="n">
        <v>98480</v>
      </c>
      <c r="C25" s="0" t="s">
        <v>1000</v>
      </c>
      <c r="D25" s="0" t="s">
        <v>1003</v>
      </c>
      <c r="F25" s="0" t="s">
        <v>990</v>
      </c>
      <c r="J25" s="494" t="n">
        <v>0.125</v>
      </c>
      <c r="L25" s="393" t="n">
        <v>0.01</v>
      </c>
      <c r="M25" s="495" t="n">
        <v>3.04</v>
      </c>
      <c r="N25" s="494" t="n">
        <f aca="false">(M25)/(1-L25)-M25+J25</f>
        <v>0.155707070707071</v>
      </c>
      <c r="O25" s="0" t="s">
        <v>1</v>
      </c>
    </row>
    <row r="26" customFormat="false" ht="12.75" hidden="false" customHeight="false" outlineLevel="0" collapsed="false">
      <c r="B26" s="496" t="n">
        <v>98469</v>
      </c>
      <c r="C26" s="0" t="s">
        <v>1000</v>
      </c>
      <c r="D26" s="0" t="s">
        <v>1001</v>
      </c>
      <c r="F26" s="0" t="s">
        <v>990</v>
      </c>
      <c r="J26" s="494" t="n">
        <v>0.09</v>
      </c>
      <c r="L26" s="393" t="n">
        <v>0.01</v>
      </c>
      <c r="M26" s="495" t="n">
        <v>3.04</v>
      </c>
      <c r="N26" s="494" t="n">
        <f aca="false">(M26)/(1-L26)-M26+J26</f>
        <v>0.120707070707071</v>
      </c>
      <c r="O26" s="0" t="s">
        <v>1</v>
      </c>
    </row>
    <row r="27" customFormat="false" ht="12.75" hidden="false" customHeight="false" outlineLevel="0" collapsed="false">
      <c r="B27" s="496" t="n">
        <v>98479</v>
      </c>
      <c r="C27" s="0" t="s">
        <v>1000</v>
      </c>
      <c r="D27" s="0" t="s">
        <v>1003</v>
      </c>
      <c r="F27" s="0" t="s">
        <v>990</v>
      </c>
      <c r="J27" s="494" t="n">
        <v>0.125</v>
      </c>
      <c r="L27" s="393" t="n">
        <v>0.01</v>
      </c>
      <c r="M27" s="495" t="n">
        <v>3.04</v>
      </c>
      <c r="N27" s="494" t="n">
        <f aca="false">(M27)/(1-L27)-M27+J27</f>
        <v>0.155707070707071</v>
      </c>
      <c r="O27" s="0" t="s">
        <v>1</v>
      </c>
    </row>
    <row r="28" customFormat="false" ht="12.75" hidden="false" customHeight="false" outlineLevel="0" collapsed="false">
      <c r="B28" s="496" t="n">
        <v>98481</v>
      </c>
      <c r="C28" s="0" t="s">
        <v>1000</v>
      </c>
      <c r="D28" s="0" t="s">
        <v>1003</v>
      </c>
      <c r="F28" s="0" t="s">
        <v>990</v>
      </c>
      <c r="J28" s="494" t="n">
        <v>0.125</v>
      </c>
      <c r="L28" s="393" t="n">
        <v>0.01</v>
      </c>
      <c r="M28" s="495" t="n">
        <v>3.04</v>
      </c>
      <c r="N28" s="494" t="n">
        <f aca="false">(M28)/(1-L28)-M28+J28</f>
        <v>0.155707070707071</v>
      </c>
      <c r="O28" s="0" t="s">
        <v>1</v>
      </c>
    </row>
    <row r="30" customFormat="false" ht="12.75" hidden="false" customHeight="false" outlineLevel="0" collapsed="false">
      <c r="B30" s="0" t="n">
        <v>102541</v>
      </c>
      <c r="C30" s="0" t="s">
        <v>39</v>
      </c>
      <c r="F30" s="0" t="s">
        <v>1004</v>
      </c>
      <c r="J30" s="0" t="n">
        <v>0.0902</v>
      </c>
      <c r="L30" s="393" t="n">
        <v>0.01</v>
      </c>
      <c r="M30" s="0" t="n">
        <v>1.99</v>
      </c>
      <c r="N30" s="494"/>
    </row>
    <row r="34" customFormat="false" ht="12.75" hidden="false" customHeight="false" outlineLevel="0" collapsed="false">
      <c r="A34" s="0" t="s">
        <v>1005</v>
      </c>
      <c r="C34" s="0" t="s">
        <v>1006</v>
      </c>
      <c r="D34" s="0" t="s">
        <v>1007</v>
      </c>
    </row>
    <row r="35" customFormat="false" ht="12.75" hidden="false" customHeight="false" outlineLevel="0" collapsed="false">
      <c r="D35" s="0" t="s">
        <v>1008</v>
      </c>
    </row>
    <row r="36" customFormat="false" ht="12.75" hidden="false" customHeight="false" outlineLevel="0" collapsed="false">
      <c r="E36" s="0" t="s">
        <v>1009</v>
      </c>
      <c r="F36" s="0" t="s">
        <v>1010</v>
      </c>
    </row>
    <row r="37" customFormat="false" ht="12.75" hidden="false" customHeight="false" outlineLevel="0" collapsed="false">
      <c r="E37" s="497" t="n">
        <v>130666</v>
      </c>
      <c r="F37" s="0" t="s">
        <v>1011</v>
      </c>
    </row>
    <row r="38" customFormat="false" ht="12.75" hidden="false" customHeight="false" outlineLevel="0" collapsed="false">
      <c r="E38" s="497" t="n">
        <v>113451</v>
      </c>
      <c r="F38" s="0" t="s">
        <v>1012</v>
      </c>
    </row>
    <row r="39" customFormat="false" ht="12.75" hidden="false" customHeight="false" outlineLevel="0" collapsed="false">
      <c r="E39" s="497" t="n">
        <v>130665</v>
      </c>
      <c r="F39" s="0" t="s">
        <v>1013</v>
      </c>
    </row>
    <row r="40" customFormat="false" ht="12.75" hidden="false" customHeight="false" outlineLevel="0" collapsed="false">
      <c r="E40" s="497" t="n">
        <v>106153</v>
      </c>
      <c r="F40" s="0" t="s">
        <v>1014</v>
      </c>
    </row>
    <row r="41" customFormat="false" ht="12.75" hidden="false" customHeight="false" outlineLevel="0" collapsed="false">
      <c r="E41" s="497" t="n">
        <v>113336</v>
      </c>
      <c r="F41" s="0" t="s">
        <v>1014</v>
      </c>
    </row>
    <row r="42" customFormat="false" ht="12.75" hidden="false" customHeight="false" outlineLevel="0" collapsed="false">
      <c r="E42" s="497" t="n">
        <v>113342</v>
      </c>
      <c r="F42" s="0" t="s">
        <v>1015</v>
      </c>
    </row>
    <row r="43" customFormat="false" ht="12.75" hidden="false" customHeight="false" outlineLevel="0" collapsed="false">
      <c r="E43" s="497" t="n">
        <v>113340</v>
      </c>
      <c r="F43" s="0" t="s">
        <v>1015</v>
      </c>
    </row>
    <row r="44" customFormat="false" ht="12.75" hidden="false" customHeight="false" outlineLevel="0" collapsed="false">
      <c r="E44" s="497" t="n">
        <v>113341</v>
      </c>
      <c r="F44" s="0" t="s">
        <v>1015</v>
      </c>
    </row>
    <row r="45" customFormat="false" ht="12.75" hidden="false" customHeight="false" outlineLevel="0" collapsed="false">
      <c r="E45" s="497" t="n">
        <v>113343</v>
      </c>
      <c r="F45" s="0" t="s">
        <v>1015</v>
      </c>
    </row>
    <row r="46" customFormat="false" ht="12.75" hidden="false" customHeight="false" outlineLevel="0" collapsed="false">
      <c r="E46" s="497"/>
    </row>
    <row r="47" customFormat="false" ht="12.75" hidden="false" customHeight="false" outlineLevel="0" collapsed="false">
      <c r="A47" s="0" t="s">
        <v>1005</v>
      </c>
      <c r="C47" s="0" t="s">
        <v>1016</v>
      </c>
      <c r="D47" s="0" t="s">
        <v>1017</v>
      </c>
      <c r="E47" s="497"/>
    </row>
    <row r="48" customFormat="false" ht="12.75" hidden="false" customHeight="false" outlineLevel="0" collapsed="false">
      <c r="D48" s="0" t="s">
        <v>1018</v>
      </c>
    </row>
    <row r="49" customFormat="false" ht="12.75" hidden="false" customHeight="false" outlineLevel="0" collapsed="false">
      <c r="D49" s="0" t="s">
        <v>1019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13"/>
    <col collapsed="false" customWidth="true" hidden="false" outlineLevel="0" max="4" min="4" style="0" width="3.7"/>
    <col collapsed="false" customWidth="true" hidden="false" outlineLevel="0" max="6" min="6" style="0" width="3.28"/>
  </cols>
  <sheetData>
    <row r="1" customFormat="false" ht="12.75" hidden="false" customHeight="false" outlineLevel="0" collapsed="false">
      <c r="A1" s="0" t="s">
        <v>1020</v>
      </c>
    </row>
    <row r="2" customFormat="false" ht="12.75" hidden="false" customHeight="false" outlineLevel="0" collapsed="false">
      <c r="C2" s="0" t="s">
        <v>1021</v>
      </c>
      <c r="E2" s="0" t="s">
        <v>575</v>
      </c>
    </row>
    <row r="3" customFormat="false" ht="12.75" hidden="false" customHeight="false" outlineLevel="0" collapsed="false">
      <c r="A3" s="0" t="s">
        <v>1022</v>
      </c>
      <c r="C3" s="0" t="n">
        <v>307497</v>
      </c>
      <c r="E3" s="453" t="n">
        <v>1.6</v>
      </c>
    </row>
    <row r="8" customFormat="false" ht="12.75" hidden="false" customHeight="false" outlineLevel="0" collapsed="false">
      <c r="A8" s="0" t="s">
        <v>1023</v>
      </c>
    </row>
    <row r="9" customFormat="false" ht="12.75" hidden="false" customHeight="false" outlineLevel="0" collapsed="false">
      <c r="B9" s="498" t="s">
        <v>340</v>
      </c>
      <c r="C9" s="498"/>
      <c r="D9" s="498"/>
      <c r="E9" s="498"/>
      <c r="F9" s="498"/>
      <c r="G9" s="498"/>
    </row>
    <row r="10" customFormat="false" ht="12.75" hidden="false" customHeight="false" outlineLevel="0" collapsed="false">
      <c r="B10" s="0" t="s">
        <v>1021</v>
      </c>
      <c r="C10" s="0" t="s">
        <v>9</v>
      </c>
      <c r="E10" s="0" t="s">
        <v>1024</v>
      </c>
      <c r="G10" s="0" t="s">
        <v>1025</v>
      </c>
    </row>
    <row r="11" customFormat="false" ht="12.75" hidden="false" customHeight="false" outlineLevel="0" collapsed="false">
      <c r="B11" s="0" t="n">
        <v>68900</v>
      </c>
      <c r="C11" s="0" t="s">
        <v>1026</v>
      </c>
    </row>
    <row r="12" customFormat="false" ht="12.75" hidden="false" customHeight="false" outlineLevel="0" collapsed="false">
      <c r="B12" s="0" t="n">
        <v>79139</v>
      </c>
      <c r="C12" s="0" t="s">
        <v>1027</v>
      </c>
    </row>
    <row r="13" customFormat="false" ht="12.75" hidden="false" customHeight="false" outlineLevel="0" collapsed="false">
      <c r="B13" s="0" t="n">
        <v>82058</v>
      </c>
      <c r="C13" s="0" t="s">
        <v>1028</v>
      </c>
    </row>
    <row r="14" customFormat="false" ht="12.75" hidden="false" customHeight="false" outlineLevel="0" collapsed="false">
      <c r="B14" s="0" t="n">
        <v>83440</v>
      </c>
      <c r="C14" s="0" t="s">
        <v>1028</v>
      </c>
    </row>
    <row r="15" customFormat="false" ht="12.75" hidden="false" customHeight="false" outlineLevel="0" collapsed="false">
      <c r="B15" s="0" t="n">
        <v>35535</v>
      </c>
      <c r="C15" s="0" t="s">
        <v>1029</v>
      </c>
    </row>
    <row r="20" customFormat="false" ht="12.75" hidden="false" customHeight="false" outlineLevel="0" collapsed="false">
      <c r="B20" s="498" t="s">
        <v>337</v>
      </c>
      <c r="C20" s="498"/>
      <c r="D20" s="498"/>
      <c r="E20" s="498"/>
      <c r="F20" s="498"/>
      <c r="G20" s="498"/>
    </row>
    <row r="21" customFormat="false" ht="12.75" hidden="false" customHeight="false" outlineLevel="0" collapsed="false">
      <c r="B21" s="0" t="s">
        <v>1021</v>
      </c>
      <c r="C21" s="0" t="s">
        <v>9</v>
      </c>
      <c r="E21" s="0" t="s">
        <v>1024</v>
      </c>
      <c r="G21" s="0" t="s">
        <v>1025</v>
      </c>
    </row>
    <row r="22" customFormat="false" ht="12.75" hidden="false" customHeight="false" outlineLevel="0" collapsed="false">
      <c r="B22" s="0" t="n">
        <v>68903</v>
      </c>
      <c r="C22" s="0" t="s">
        <v>1030</v>
      </c>
    </row>
    <row r="23" customFormat="false" ht="12.75" hidden="false" customHeight="false" outlineLevel="0" collapsed="false">
      <c r="B23" s="0" t="n">
        <v>68904</v>
      </c>
      <c r="C23" s="0" t="s">
        <v>1031</v>
      </c>
    </row>
    <row r="24" customFormat="false" ht="12.75" hidden="false" customHeight="false" outlineLevel="0" collapsed="false">
      <c r="B24" s="0" t="n">
        <v>79798</v>
      </c>
      <c r="C24" s="0" t="s">
        <v>1032</v>
      </c>
    </row>
    <row r="25" customFormat="false" ht="12.75" hidden="false" customHeight="false" outlineLevel="0" collapsed="false">
      <c r="C25" s="0" t="s">
        <v>1033</v>
      </c>
    </row>
    <row r="26" customFormat="false" ht="12.75" hidden="false" customHeight="false" outlineLevel="0" collapsed="false">
      <c r="B26" s="0" t="n">
        <v>79801</v>
      </c>
      <c r="C26" s="0" t="s">
        <v>1028</v>
      </c>
    </row>
    <row r="27" customFormat="false" ht="12.75" hidden="false" customHeight="false" outlineLevel="0" collapsed="false">
      <c r="C27" s="0" t="s">
        <v>1034</v>
      </c>
    </row>
    <row r="28" customFormat="false" ht="12.75" hidden="false" customHeight="false" outlineLevel="0" collapsed="false">
      <c r="B28" s="0" t="n">
        <v>83404</v>
      </c>
      <c r="C28" s="0" t="s">
        <v>1035</v>
      </c>
    </row>
    <row r="29" customFormat="false" ht="12.75" hidden="false" customHeight="false" outlineLevel="0" collapsed="false">
      <c r="C29" s="0" t="s">
        <v>1033</v>
      </c>
    </row>
    <row r="30" customFormat="false" ht="12.75" hidden="false" customHeight="false" outlineLevel="0" collapsed="false">
      <c r="B30" s="0" t="n">
        <v>79141</v>
      </c>
      <c r="C30" s="0" t="s">
        <v>1032</v>
      </c>
    </row>
    <row r="31" customFormat="false" ht="12.75" hidden="false" customHeight="false" outlineLevel="0" collapsed="false">
      <c r="B31" s="0" t="n">
        <v>79139</v>
      </c>
      <c r="C31" s="0" t="s">
        <v>1027</v>
      </c>
    </row>
    <row r="32" customFormat="false" ht="12.75" hidden="false" customHeight="false" outlineLevel="0" collapsed="false">
      <c r="B32" s="0" t="n">
        <v>79136</v>
      </c>
      <c r="C32" s="0" t="s">
        <v>1036</v>
      </c>
    </row>
    <row r="35" customFormat="false" ht="12.75" hidden="false" customHeight="false" outlineLevel="0" collapsed="false">
      <c r="B35" s="498" t="s">
        <v>505</v>
      </c>
      <c r="C35" s="498"/>
      <c r="D35" s="498"/>
      <c r="E35" s="498"/>
      <c r="F35" s="498"/>
      <c r="G35" s="498"/>
    </row>
    <row r="36" customFormat="false" ht="12.75" hidden="false" customHeight="false" outlineLevel="0" collapsed="false">
      <c r="B36" s="0" t="s">
        <v>1021</v>
      </c>
      <c r="C36" s="0" t="s">
        <v>9</v>
      </c>
      <c r="E36" s="0" t="s">
        <v>1024</v>
      </c>
      <c r="G36" s="0" t="s">
        <v>1025</v>
      </c>
    </row>
    <row r="37" customFormat="false" ht="12.75" hidden="false" customHeight="false" outlineLevel="0" collapsed="false">
      <c r="B37" s="0" t="n">
        <v>75839</v>
      </c>
      <c r="C37" s="0" t="s">
        <v>1037</v>
      </c>
    </row>
    <row r="38" customFormat="false" ht="12.75" hidden="false" customHeight="false" outlineLevel="0" collapsed="false">
      <c r="B38" s="0" t="n">
        <v>79811</v>
      </c>
      <c r="C38" s="0" t="s">
        <v>1038</v>
      </c>
    </row>
    <row r="39" customFormat="false" ht="12.75" hidden="false" customHeight="false" outlineLevel="0" collapsed="false">
      <c r="C39" s="0" t="s">
        <v>1039</v>
      </c>
    </row>
    <row r="40" customFormat="false" ht="12.75" hidden="false" customHeight="false" outlineLevel="0" collapsed="false">
      <c r="B40" s="0" t="n">
        <v>83404</v>
      </c>
      <c r="C40" s="0" t="s">
        <v>1035</v>
      </c>
    </row>
    <row r="41" customFormat="false" ht="12.75" hidden="false" customHeight="false" outlineLevel="0" collapsed="false">
      <c r="B41" s="0" t="n">
        <v>81129</v>
      </c>
      <c r="C41" s="0" t="s">
        <v>1038</v>
      </c>
    </row>
    <row r="42" customFormat="false" ht="12.75" hidden="false" customHeight="false" outlineLevel="0" collapsed="false">
      <c r="B42" s="0" t="n">
        <v>82058</v>
      </c>
      <c r="C42" s="0" t="s">
        <v>1028</v>
      </c>
    </row>
    <row r="43" customFormat="false" ht="12.75" hidden="false" customHeight="false" outlineLevel="0" collapsed="false">
      <c r="C43" s="0" t="s">
        <v>1040</v>
      </c>
    </row>
    <row r="44" customFormat="false" ht="12.75" hidden="false" customHeight="false" outlineLevel="0" collapsed="false">
      <c r="B44" s="0" t="n">
        <v>83440</v>
      </c>
      <c r="C44" s="0" t="s">
        <v>1028</v>
      </c>
    </row>
    <row r="45" customFormat="false" ht="12.75" hidden="false" customHeight="false" outlineLevel="0" collapsed="false">
      <c r="C45" s="0" t="s">
        <v>1034</v>
      </c>
    </row>
  </sheetData>
  <mergeCells count="3">
    <mergeCell ref="B9:G9"/>
    <mergeCell ref="B20:G20"/>
    <mergeCell ref="B35:G3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41"/>
    <col collapsed="false" customWidth="true" hidden="false" outlineLevel="0" max="3" min="3" style="499" width="10.28"/>
    <col collapsed="false" customWidth="true" hidden="false" outlineLevel="0" max="4" min="4" style="0" width="3.28"/>
    <col collapsed="false" customWidth="true" hidden="false" outlineLevel="0" max="6" min="6" style="0" width="3.14"/>
  </cols>
  <sheetData>
    <row r="1" customFormat="false" ht="12.75" hidden="false" customHeight="false" outlineLevel="0" collapsed="false">
      <c r="A1" s="452" t="s">
        <v>1041</v>
      </c>
    </row>
    <row r="4" customFormat="false" ht="12.75" hidden="false" customHeight="false" outlineLevel="0" collapsed="false">
      <c r="A4" s="500" t="s">
        <v>2</v>
      </c>
      <c r="C4" s="215" t="s">
        <v>1042</v>
      </c>
      <c r="E4" s="0" t="s">
        <v>897</v>
      </c>
      <c r="G4" s="0" t="s">
        <v>1043</v>
      </c>
      <c r="I4" s="0" t="s">
        <v>1044</v>
      </c>
      <c r="K4" s="0" t="s">
        <v>1045</v>
      </c>
      <c r="M4" s="0" t="s">
        <v>1046</v>
      </c>
    </row>
    <row r="5" customFormat="false" ht="12.75" hidden="false" customHeight="false" outlineLevel="0" collapsed="false">
      <c r="A5" s="0" t="s">
        <v>1047</v>
      </c>
      <c r="C5" s="499" t="s">
        <v>1048</v>
      </c>
    </row>
    <row r="7" customFormat="false" ht="12.75" hidden="false" customHeight="false" outlineLevel="0" collapsed="false">
      <c r="A7" s="0" t="s">
        <v>48</v>
      </c>
      <c r="C7" s="499" t="n">
        <v>15000</v>
      </c>
      <c r="E7" s="0" t="s">
        <v>386</v>
      </c>
      <c r="G7" s="0" t="s">
        <v>385</v>
      </c>
      <c r="I7" s="0" t="s">
        <v>242</v>
      </c>
      <c r="K7" s="0" t="s">
        <v>1049</v>
      </c>
      <c r="M7" s="0" t="s">
        <v>1050</v>
      </c>
    </row>
    <row r="8" customFormat="false" ht="12.75" hidden="false" customHeight="false" outlineLevel="0" collapsed="false">
      <c r="C8" s="499" t="n">
        <v>3947</v>
      </c>
      <c r="E8" s="0" t="s">
        <v>394</v>
      </c>
      <c r="G8" s="0" t="s">
        <v>388</v>
      </c>
      <c r="I8" s="0" t="s">
        <v>393</v>
      </c>
      <c r="K8" s="0" t="s">
        <v>1049</v>
      </c>
      <c r="M8" s="0" t="s">
        <v>1050</v>
      </c>
    </row>
    <row r="10" customFormat="false" ht="12.75" hidden="false" customHeight="false" outlineLevel="0" collapsed="false">
      <c r="A10" s="0" t="s">
        <v>134</v>
      </c>
      <c r="C10" s="499" t="n">
        <v>4000</v>
      </c>
      <c r="E10" s="0" t="n">
        <v>66930</v>
      </c>
    </row>
    <row r="11" customFormat="false" ht="12.75" hidden="false" customHeight="false" outlineLevel="0" collapsed="false">
      <c r="C11" s="499" t="n">
        <v>4000</v>
      </c>
      <c r="E11" s="0" t="n">
        <v>66931</v>
      </c>
    </row>
    <row r="12" customFormat="false" ht="12.75" hidden="false" customHeight="false" outlineLevel="0" collapsed="false">
      <c r="C12" s="499" t="n">
        <v>4000</v>
      </c>
      <c r="E12" s="0" t="n">
        <v>66932</v>
      </c>
    </row>
    <row r="13" customFormat="false" ht="12.75" hidden="false" customHeight="false" outlineLevel="0" collapsed="false">
      <c r="C13" s="499" t="n">
        <v>20000</v>
      </c>
      <c r="E13" s="0" t="n">
        <v>66965</v>
      </c>
    </row>
    <row r="15" customFormat="false" ht="12.75" hidden="false" customHeight="false" outlineLevel="0" collapsed="false">
      <c r="C15" s="499" t="n">
        <v>2329</v>
      </c>
      <c r="E15" s="0" t="n">
        <v>65071</v>
      </c>
      <c r="G15" s="0" t="s">
        <v>159</v>
      </c>
      <c r="I15" s="0" t="s">
        <v>171</v>
      </c>
      <c r="K15" s="0" t="s">
        <v>1051</v>
      </c>
      <c r="M15" s="0" t="s">
        <v>1052</v>
      </c>
    </row>
    <row r="16" customFormat="false" ht="12.75" hidden="false" customHeight="false" outlineLevel="0" collapsed="false">
      <c r="C16" s="499" t="n">
        <v>40000</v>
      </c>
      <c r="E16" s="0" t="n">
        <v>64231</v>
      </c>
      <c r="G16" s="0" t="s">
        <v>1053</v>
      </c>
      <c r="M16" s="0" t="s">
        <v>1054</v>
      </c>
    </row>
    <row r="18" customFormat="false" ht="12.75" hidden="false" customHeight="false" outlineLevel="0" collapsed="false">
      <c r="C18" s="499" t="n">
        <v>134000</v>
      </c>
      <c r="E18" s="0" t="s">
        <v>1055</v>
      </c>
      <c r="G18" s="0" t="s">
        <v>1055</v>
      </c>
      <c r="M18" s="0" t="s">
        <v>1056</v>
      </c>
    </row>
    <row r="20" customFormat="false" ht="12.75" hidden="false" customHeight="false" outlineLevel="0" collapsed="false">
      <c r="C20" s="499" t="n">
        <v>80000</v>
      </c>
      <c r="E20" s="0" t="s">
        <v>1057</v>
      </c>
      <c r="M20" s="0" t="s">
        <v>1058</v>
      </c>
    </row>
    <row r="22" customFormat="false" ht="12.75" hidden="false" customHeight="false" outlineLevel="0" collapsed="false">
      <c r="A22" s="0" t="s">
        <v>128</v>
      </c>
      <c r="C22" s="499" t="n">
        <v>15000</v>
      </c>
      <c r="E22" s="0" t="n">
        <v>37861</v>
      </c>
      <c r="G22" s="0" t="s">
        <v>1059</v>
      </c>
      <c r="I22" s="0" t="s">
        <v>159</v>
      </c>
      <c r="K22" s="0" t="s">
        <v>1060</v>
      </c>
      <c r="M22" s="0" t="s">
        <v>1061</v>
      </c>
    </row>
    <row r="23" customFormat="false" ht="12.75" hidden="false" customHeight="false" outlineLevel="0" collapsed="false">
      <c r="C23" s="499" t="n">
        <v>15000</v>
      </c>
      <c r="E23" s="0" t="n">
        <v>58654</v>
      </c>
      <c r="G23" s="0" t="s">
        <v>1059</v>
      </c>
      <c r="I23" s="0" t="s">
        <v>159</v>
      </c>
      <c r="K23" s="0" t="s">
        <v>1062</v>
      </c>
      <c r="M23" s="0" t="s">
        <v>1063</v>
      </c>
    </row>
    <row r="24" customFormat="false" ht="12.75" hidden="false" customHeight="false" outlineLevel="0" collapsed="false">
      <c r="C24" s="499" t="n">
        <v>30000</v>
      </c>
      <c r="E24" s="0" t="n">
        <v>63115</v>
      </c>
      <c r="G24" s="0" t="s">
        <v>1059</v>
      </c>
      <c r="I24" s="0" t="s">
        <v>159</v>
      </c>
      <c r="K24" s="0" t="s">
        <v>1064</v>
      </c>
      <c r="M24" s="0" t="s">
        <v>1063</v>
      </c>
    </row>
    <row r="26" customFormat="false" ht="12.75" hidden="false" customHeight="false" outlineLevel="0" collapsed="false">
      <c r="C26" s="499" t="n">
        <v>20000</v>
      </c>
      <c r="E26" s="0" t="n">
        <v>37393</v>
      </c>
      <c r="G26" s="0" t="s">
        <v>948</v>
      </c>
      <c r="I26" s="0" t="s">
        <v>1059</v>
      </c>
      <c r="K26" s="0" t="s">
        <v>1065</v>
      </c>
      <c r="M26" s="0" t="s">
        <v>1061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C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474" width="10.13"/>
    <col collapsed="false" customWidth="true" hidden="false" outlineLevel="0" max="2" min="2" style="477" width="1.85"/>
    <col collapsed="false" customWidth="false" hidden="false" outlineLevel="0" max="3" min="3" style="474" width="9.14"/>
    <col collapsed="false" customWidth="true" hidden="false" outlineLevel="0" max="4" min="4" style="474" width="12.7"/>
    <col collapsed="false" customWidth="false" hidden="false" outlineLevel="0" max="5" min="5" style="474" width="9.14"/>
    <col collapsed="false" customWidth="true" hidden="false" outlineLevel="0" max="6" min="6" style="474" width="12.7"/>
    <col collapsed="false" customWidth="false" hidden="false" outlineLevel="0" max="257" min="7" style="474" width="9.14"/>
  </cols>
  <sheetData>
    <row r="1" customFormat="false" ht="12.75" hidden="false" customHeight="false" outlineLevel="0" collapsed="false">
      <c r="A1" s="0"/>
      <c r="B1" s="501"/>
    </row>
    <row r="2" customFormat="false" ht="12" hidden="false" customHeight="false" outlineLevel="0" collapsed="false">
      <c r="A2" s="474" t="s">
        <v>24</v>
      </c>
    </row>
    <row r="3" customFormat="false" ht="12" hidden="false" customHeight="false" outlineLevel="0" collapsed="false">
      <c r="A3" s="474" t="n">
        <v>26964</v>
      </c>
      <c r="C3" s="474" t="s">
        <v>1066</v>
      </c>
    </row>
    <row r="4" customFormat="false" ht="12" hidden="false" customHeight="false" outlineLevel="0" collapsed="false">
      <c r="A4" s="474" t="n">
        <v>26586</v>
      </c>
      <c r="C4" s="474" t="s">
        <v>1067</v>
      </c>
    </row>
    <row r="5" customFormat="false" ht="12" hidden="false" customHeight="false" outlineLevel="0" collapsed="false">
      <c r="A5" s="474" t="n">
        <v>26070</v>
      </c>
      <c r="C5" s="502" t="s">
        <v>1068</v>
      </c>
    </row>
    <row r="6" customFormat="false" ht="12" hidden="false" customHeight="false" outlineLevel="0" collapsed="false">
      <c r="A6" s="474" t="n">
        <v>26901</v>
      </c>
      <c r="C6" s="502" t="s">
        <v>1069</v>
      </c>
    </row>
    <row r="7" customFormat="false" ht="12" hidden="false" customHeight="false" outlineLevel="0" collapsed="false">
      <c r="A7" s="474" t="n">
        <v>24787</v>
      </c>
      <c r="C7" s="474" t="s">
        <v>1070</v>
      </c>
    </row>
    <row r="8" customFormat="false" ht="12" hidden="false" customHeight="false" outlineLevel="0" collapsed="false">
      <c r="A8" s="474" t="n">
        <v>25431</v>
      </c>
      <c r="C8" s="474" t="s">
        <v>1071</v>
      </c>
    </row>
    <row r="9" customFormat="false" ht="12" hidden="false" customHeight="false" outlineLevel="0" collapsed="false">
      <c r="A9" s="474" t="n">
        <v>24976</v>
      </c>
      <c r="C9" s="474" t="s">
        <v>1072</v>
      </c>
    </row>
    <row r="10" customFormat="false" ht="12" hidden="false" customHeight="false" outlineLevel="0" collapsed="false">
      <c r="A10" s="474" t="n">
        <v>25635</v>
      </c>
      <c r="C10" s="474" t="s">
        <v>1073</v>
      </c>
    </row>
    <row r="11" customFormat="false" ht="12" hidden="false" customHeight="false" outlineLevel="0" collapsed="false">
      <c r="A11" s="474" t="n">
        <v>24530</v>
      </c>
      <c r="C11" s="474" t="s">
        <v>1074</v>
      </c>
    </row>
    <row r="12" customFormat="false" ht="12" hidden="false" customHeight="false" outlineLevel="0" collapsed="false">
      <c r="A12" s="474" t="n">
        <v>24566</v>
      </c>
      <c r="C12" s="474" t="s">
        <v>1075</v>
      </c>
    </row>
    <row r="15" customFormat="false" ht="12" hidden="false" customHeight="false" outlineLevel="0" collapsed="false">
      <c r="A15" s="474" t="s">
        <v>1076</v>
      </c>
    </row>
    <row r="16" customFormat="false" ht="12" hidden="false" customHeight="false" outlineLevel="0" collapsed="false">
      <c r="A16" s="474" t="s">
        <v>1077</v>
      </c>
    </row>
    <row r="17" customFormat="false" ht="12" hidden="false" customHeight="false" outlineLevel="0" collapsed="false">
      <c r="A17" s="474" t="s">
        <v>1078</v>
      </c>
    </row>
    <row r="18" customFormat="false" ht="12" hidden="false" customHeight="false" outlineLevel="0" collapsed="false">
      <c r="A18" s="503" t="s">
        <v>1079</v>
      </c>
      <c r="C18" s="482"/>
      <c r="E18" s="482"/>
    </row>
    <row r="19" customFormat="false" ht="12" hidden="false" customHeight="false" outlineLevel="0" collapsed="false">
      <c r="A19" s="503"/>
      <c r="C19" s="482"/>
      <c r="E19" s="482"/>
    </row>
    <row r="20" customFormat="false" ht="12" hidden="false" customHeight="false" outlineLevel="0" collapsed="false">
      <c r="A20" s="503" t="s">
        <v>1080</v>
      </c>
      <c r="C20" s="482"/>
      <c r="E20" s="482"/>
    </row>
    <row r="21" customFormat="false" ht="12" hidden="false" customHeight="false" outlineLevel="0" collapsed="false">
      <c r="A21" s="503"/>
      <c r="C21" s="482"/>
      <c r="E21" s="482"/>
    </row>
    <row r="22" customFormat="false" ht="12" hidden="false" customHeight="false" outlineLevel="0" collapsed="false">
      <c r="A22" s="503" t="s">
        <v>1081</v>
      </c>
      <c r="C22" s="482"/>
      <c r="E22" s="482"/>
    </row>
    <row r="23" customFormat="false" ht="12" hidden="false" customHeight="false" outlineLevel="0" collapsed="false">
      <c r="A23" s="503"/>
      <c r="C23" s="482"/>
      <c r="E23" s="482"/>
    </row>
    <row r="24" customFormat="false" ht="12" hidden="false" customHeight="false" outlineLevel="0" collapsed="false">
      <c r="A24" s="503" t="s">
        <v>1082</v>
      </c>
      <c r="C24" s="482"/>
      <c r="E24" s="482"/>
    </row>
    <row r="25" customFormat="false" ht="12" hidden="false" customHeight="false" outlineLevel="0" collapsed="false">
      <c r="A25" s="503" t="s">
        <v>1083</v>
      </c>
      <c r="C25" s="482"/>
      <c r="E25" s="482"/>
    </row>
    <row r="26" customFormat="false" ht="12" hidden="false" customHeight="false" outlineLevel="0" collapsed="false">
      <c r="A26" s="503"/>
      <c r="C26" s="482"/>
      <c r="E26" s="482"/>
      <c r="M26" s="482" t="s">
        <v>1084</v>
      </c>
      <c r="N26" s="474" t="s">
        <v>6</v>
      </c>
    </row>
    <row r="27" customFormat="false" ht="12" hidden="false" customHeight="false" outlineLevel="0" collapsed="false">
      <c r="A27" s="503"/>
      <c r="C27" s="482" t="s">
        <v>1084</v>
      </c>
      <c r="D27" s="474" t="s">
        <v>6</v>
      </c>
      <c r="E27" s="482"/>
      <c r="M27" s="482"/>
    </row>
    <row r="28" customFormat="false" ht="12" hidden="false" customHeight="false" outlineLevel="0" collapsed="false">
      <c r="A28" s="503"/>
      <c r="C28" s="482"/>
      <c r="E28" s="482"/>
      <c r="M28" s="504" t="n">
        <v>36070</v>
      </c>
      <c r="N28" s="505" t="n">
        <v>22766</v>
      </c>
    </row>
    <row r="29" customFormat="false" ht="12" hidden="false" customHeight="false" outlineLevel="0" collapsed="false">
      <c r="A29" s="503"/>
      <c r="C29" s="504" t="n">
        <v>36070</v>
      </c>
      <c r="D29" s="505" t="n">
        <v>23000</v>
      </c>
      <c r="E29" s="482"/>
      <c r="M29" s="504" t="n">
        <v>36071</v>
      </c>
      <c r="N29" s="505" t="n">
        <v>258</v>
      </c>
    </row>
    <row r="30" customFormat="false" ht="12" hidden="false" customHeight="false" outlineLevel="0" collapsed="false">
      <c r="A30" s="503"/>
      <c r="C30" s="504" t="n">
        <v>36079</v>
      </c>
      <c r="D30" s="505" t="n">
        <v>60000</v>
      </c>
      <c r="E30" s="482"/>
      <c r="M30" s="504" t="n">
        <v>36079</v>
      </c>
      <c r="N30" s="505" t="n">
        <v>66349</v>
      </c>
    </row>
    <row r="31" customFormat="false" ht="12" hidden="false" customHeight="false" outlineLevel="0" collapsed="false">
      <c r="A31" s="503"/>
      <c r="C31" s="504" t="n">
        <v>36080</v>
      </c>
      <c r="D31" s="505" t="n">
        <v>72000</v>
      </c>
      <c r="E31" s="482"/>
      <c r="M31" s="504" t="n">
        <v>36080</v>
      </c>
      <c r="N31" s="505" t="n">
        <v>80468</v>
      </c>
    </row>
    <row r="32" customFormat="false" ht="12" hidden="false" customHeight="false" outlineLevel="0" collapsed="false">
      <c r="A32" s="503"/>
      <c r="C32" s="504" t="n">
        <v>36081</v>
      </c>
      <c r="D32" s="505" t="n">
        <v>27000</v>
      </c>
      <c r="E32" s="482"/>
      <c r="M32" s="504" t="n">
        <v>36081</v>
      </c>
      <c r="N32" s="505" t="n">
        <v>27726</v>
      </c>
    </row>
    <row r="33" customFormat="false" ht="12" hidden="false" customHeight="false" outlineLevel="0" collapsed="false">
      <c r="A33" s="503"/>
      <c r="C33" s="504" t="n">
        <v>36082</v>
      </c>
      <c r="D33" s="505" t="n">
        <v>53000</v>
      </c>
      <c r="E33" s="482"/>
      <c r="M33" s="504" t="n">
        <v>36082</v>
      </c>
      <c r="N33" s="505" t="n">
        <v>52469</v>
      </c>
    </row>
    <row r="34" customFormat="false" ht="12" hidden="false" customHeight="false" outlineLevel="0" collapsed="false">
      <c r="A34" s="503"/>
      <c r="C34" s="504" t="n">
        <v>36085</v>
      </c>
      <c r="D34" s="505" t="n">
        <v>51000</v>
      </c>
      <c r="E34" s="482"/>
      <c r="M34" s="504" t="n">
        <v>36083</v>
      </c>
      <c r="N34" s="505" t="n">
        <v>1497</v>
      </c>
    </row>
    <row r="35" customFormat="false" ht="12" hidden="false" customHeight="false" outlineLevel="0" collapsed="false">
      <c r="A35" s="503"/>
      <c r="C35" s="504" t="n">
        <v>36086</v>
      </c>
      <c r="D35" s="505" t="n">
        <v>51000</v>
      </c>
      <c r="E35" s="482"/>
      <c r="M35" s="504" t="n">
        <v>36084</v>
      </c>
      <c r="N35" s="505" t="n">
        <f aca="false">2083+75</f>
        <v>2158</v>
      </c>
    </row>
    <row r="36" customFormat="false" ht="12" hidden="false" customHeight="false" outlineLevel="0" collapsed="false">
      <c r="A36" s="503"/>
      <c r="C36" s="504" t="n">
        <v>36087</v>
      </c>
      <c r="D36" s="505" t="n">
        <v>63730</v>
      </c>
      <c r="M36" s="504" t="n">
        <v>36085</v>
      </c>
      <c r="N36" s="505" t="n">
        <f aca="false">9365+175+9+9759+16833+13341+1513</f>
        <v>50995</v>
      </c>
    </row>
    <row r="37" customFormat="false" ht="12" hidden="false" customHeight="false" outlineLevel="0" collapsed="false">
      <c r="A37" s="503"/>
      <c r="C37" s="504" t="n">
        <v>36092</v>
      </c>
      <c r="D37" s="505" t="n">
        <v>25000</v>
      </c>
      <c r="M37" s="504" t="n">
        <v>36086</v>
      </c>
      <c r="N37" s="505" t="n">
        <f aca="false">9365+175+9+9759+16833+13341+1513</f>
        <v>50995</v>
      </c>
    </row>
    <row r="38" customFormat="false" ht="12" hidden="false" customHeight="false" outlineLevel="0" collapsed="false">
      <c r="A38" s="503"/>
      <c r="C38" s="504" t="n">
        <v>36093</v>
      </c>
      <c r="D38" s="505" t="n">
        <v>25000</v>
      </c>
      <c r="M38" s="504" t="n">
        <v>36087</v>
      </c>
      <c r="N38" s="505" t="n">
        <f aca="false">28107+9305+175+8+13256+9696+1502+1219</f>
        <v>63268</v>
      </c>
    </row>
    <row r="39" customFormat="false" ht="14.25" hidden="false" customHeight="false" outlineLevel="0" collapsed="false">
      <c r="A39" s="503"/>
      <c r="C39" s="504" t="n">
        <v>36094</v>
      </c>
      <c r="D39" s="506" t="n">
        <v>25000</v>
      </c>
      <c r="M39" s="504" t="n">
        <v>36088</v>
      </c>
      <c r="N39" s="505" t="n">
        <f aca="false">2088+175</f>
        <v>2263</v>
      </c>
    </row>
    <row r="40" customFormat="false" ht="12.75" hidden="false" customHeight="false" outlineLevel="0" collapsed="false">
      <c r="A40" s="503"/>
      <c r="C40" s="504" t="s">
        <v>1</v>
      </c>
      <c r="D40" s="505" t="n">
        <f aca="false">SUM(D23:D39)</f>
        <v>475730</v>
      </c>
      <c r="M40" s="504" t="n">
        <v>36089</v>
      </c>
      <c r="N40" s="505" t="n">
        <v>175</v>
      </c>
    </row>
    <row r="41" customFormat="false" ht="12" hidden="false" customHeight="false" outlineLevel="0" collapsed="false">
      <c r="A41" s="503"/>
      <c r="C41" s="504" t="s">
        <v>1</v>
      </c>
      <c r="D41" s="505" t="s">
        <v>1</v>
      </c>
      <c r="F41" s="507"/>
      <c r="M41" s="504" t="n">
        <v>36092</v>
      </c>
      <c r="N41" s="505" t="n">
        <f aca="false">15001+10001</f>
        <v>25002</v>
      </c>
    </row>
    <row r="42" customFormat="false" ht="12" hidden="false" customHeight="false" outlineLevel="0" collapsed="false">
      <c r="A42" s="503"/>
      <c r="C42" s="504" t="s">
        <v>1</v>
      </c>
      <c r="D42" s="505" t="s">
        <v>1</v>
      </c>
      <c r="M42" s="504" t="n">
        <v>36093</v>
      </c>
      <c r="N42" s="505" t="n">
        <f aca="false">15001+10001</f>
        <v>25002</v>
      </c>
    </row>
    <row r="43" customFormat="false" ht="12" hidden="false" customHeight="false" outlineLevel="0" collapsed="false">
      <c r="A43" s="503"/>
      <c r="C43" s="504" t="s">
        <v>1</v>
      </c>
      <c r="D43" s="505" t="s">
        <v>1</v>
      </c>
      <c r="M43" s="504" t="n">
        <v>36094</v>
      </c>
      <c r="N43" s="505" t="n">
        <f aca="false">15001+10001</f>
        <v>25002</v>
      </c>
    </row>
    <row r="44" customFormat="false" ht="14.25" hidden="false" customHeight="false" outlineLevel="0" collapsed="false">
      <c r="A44" s="503"/>
      <c r="C44" s="504" t="s">
        <v>324</v>
      </c>
      <c r="D44" s="505" t="s">
        <v>1</v>
      </c>
      <c r="M44" s="504" t="n">
        <v>36095</v>
      </c>
      <c r="N44" s="506" t="n">
        <v>1908</v>
      </c>
    </row>
    <row r="45" customFormat="false" ht="12" hidden="false" customHeight="false" outlineLevel="0" collapsed="false">
      <c r="A45" s="503"/>
      <c r="C45" s="504" t="s">
        <v>1</v>
      </c>
      <c r="D45" s="508" t="s">
        <v>1</v>
      </c>
      <c r="M45" s="504" t="s">
        <v>1</v>
      </c>
      <c r="N45" s="505" t="n">
        <f aca="false">SUM(N28:N44)</f>
        <v>498301</v>
      </c>
    </row>
    <row r="46" customFormat="false" ht="12" hidden="false" customHeight="false" outlineLevel="0" collapsed="false">
      <c r="A46" s="503"/>
      <c r="C46" s="504" t="s">
        <v>1</v>
      </c>
      <c r="D46" s="505" t="s">
        <v>1</v>
      </c>
      <c r="M46" s="504" t="s">
        <v>1</v>
      </c>
    </row>
    <row r="47" customFormat="false" ht="12" hidden="false" customHeight="false" outlineLevel="0" collapsed="false">
      <c r="A47" s="503"/>
      <c r="C47" s="504" t="s">
        <v>1</v>
      </c>
    </row>
    <row r="48" customFormat="false" ht="12" hidden="false" customHeight="false" outlineLevel="0" collapsed="false">
      <c r="A48" s="503"/>
      <c r="C48" s="504" t="s">
        <v>1</v>
      </c>
    </row>
    <row r="49" customFormat="false" ht="12" hidden="false" customHeight="false" outlineLevel="0" collapsed="false">
      <c r="A49" s="503" t="s">
        <v>1085</v>
      </c>
      <c r="C49" s="504"/>
    </row>
    <row r="50" customFormat="false" ht="12" hidden="false" customHeight="false" outlineLevel="0" collapsed="false">
      <c r="A50" s="503" t="s">
        <v>1</v>
      </c>
      <c r="C50" s="504" t="s">
        <v>1</v>
      </c>
    </row>
    <row r="51" customFormat="false" ht="12" hidden="false" customHeight="false" outlineLevel="0" collapsed="false">
      <c r="A51" s="503" t="s">
        <v>1</v>
      </c>
      <c r="C51" s="504" t="s">
        <v>1</v>
      </c>
    </row>
    <row r="52" customFormat="false" ht="12" hidden="false" customHeight="false" outlineLevel="0" collapsed="false">
      <c r="A52" s="503" t="s">
        <v>1</v>
      </c>
      <c r="C52" s="504" t="s">
        <v>1</v>
      </c>
    </row>
    <row r="53" customFormat="false" ht="12" hidden="false" customHeight="false" outlineLevel="0" collapsed="false">
      <c r="A53" s="503" t="s">
        <v>1</v>
      </c>
      <c r="C53" s="504" t="s">
        <v>1</v>
      </c>
    </row>
    <row r="54" customFormat="false" ht="12" hidden="false" customHeight="false" outlineLevel="0" collapsed="false">
      <c r="A54" s="503" t="s">
        <v>1</v>
      </c>
      <c r="C54" s="504" t="s">
        <v>1</v>
      </c>
    </row>
    <row r="55" customFormat="false" ht="12" hidden="false" customHeight="false" outlineLevel="0" collapsed="false">
      <c r="A55" s="503" t="s">
        <v>1</v>
      </c>
      <c r="C55" s="504" t="s">
        <v>1</v>
      </c>
    </row>
    <row r="56" customFormat="false" ht="12" hidden="false" customHeight="false" outlineLevel="0" collapsed="false">
      <c r="A56" s="503" t="s">
        <v>1</v>
      </c>
      <c r="C56" s="504" t="s">
        <v>324</v>
      </c>
    </row>
    <row r="57" customFormat="false" ht="12" hidden="false" customHeight="false" outlineLevel="0" collapsed="false">
      <c r="A57" s="503" t="s">
        <v>1</v>
      </c>
      <c r="C57" s="504" t="s">
        <v>1</v>
      </c>
    </row>
    <row r="58" customFormat="false" ht="12" hidden="false" customHeight="false" outlineLevel="0" collapsed="false">
      <c r="A58" s="503" t="s">
        <v>1</v>
      </c>
      <c r="C58" s="504" t="s">
        <v>1</v>
      </c>
    </row>
    <row r="59" customFormat="false" ht="12" hidden="false" customHeight="false" outlineLevel="0" collapsed="false">
      <c r="A59" s="503" t="s">
        <v>1</v>
      </c>
      <c r="C59" s="504" t="s">
        <v>1</v>
      </c>
    </row>
    <row r="60" customFormat="false" ht="12" hidden="false" customHeight="false" outlineLevel="0" collapsed="false">
      <c r="A60" s="503" t="s">
        <v>1</v>
      </c>
      <c r="C60" s="504" t="s">
        <v>1</v>
      </c>
    </row>
    <row r="61" customFormat="false" ht="12" hidden="false" customHeight="false" outlineLevel="0" collapsed="false">
      <c r="A61" s="503" t="s">
        <v>1</v>
      </c>
      <c r="C61" s="504" t="s">
        <v>1</v>
      </c>
    </row>
    <row r="62" customFormat="false" ht="12" hidden="false" customHeight="false" outlineLevel="0" collapsed="false">
      <c r="A62" s="503" t="s">
        <v>1</v>
      </c>
      <c r="C62" s="504" t="s">
        <v>324</v>
      </c>
    </row>
    <row r="63" customFormat="false" ht="12" hidden="false" customHeight="false" outlineLevel="0" collapsed="false">
      <c r="A63" s="503" t="s">
        <v>1</v>
      </c>
      <c r="C63" s="504" t="s">
        <v>1</v>
      </c>
    </row>
    <row r="64" customFormat="false" ht="12" hidden="false" customHeight="false" outlineLevel="0" collapsed="false">
      <c r="A64" s="503" t="s">
        <v>1</v>
      </c>
      <c r="C64" s="504" t="s">
        <v>1</v>
      </c>
    </row>
    <row r="65" customFormat="false" ht="12" hidden="false" customHeight="false" outlineLevel="0" collapsed="false">
      <c r="A65" s="503" t="s">
        <v>1</v>
      </c>
      <c r="C65" s="504" t="s">
        <v>1</v>
      </c>
    </row>
    <row r="66" customFormat="false" ht="12" hidden="false" customHeight="false" outlineLevel="0" collapsed="false">
      <c r="A66" s="503" t="s">
        <v>1</v>
      </c>
      <c r="C66" s="504" t="s">
        <v>1</v>
      </c>
    </row>
    <row r="67" customFormat="false" ht="12" hidden="false" customHeight="false" outlineLevel="0" collapsed="false">
      <c r="A67" s="503" t="s">
        <v>1</v>
      </c>
      <c r="C67" s="504" t="s">
        <v>324</v>
      </c>
    </row>
    <row r="68" customFormat="false" ht="12" hidden="false" customHeight="false" outlineLevel="0" collapsed="false">
      <c r="A68" s="503" t="s">
        <v>1</v>
      </c>
      <c r="C68" s="504" t="s">
        <v>1</v>
      </c>
    </row>
    <row r="69" customFormat="false" ht="12" hidden="false" customHeight="false" outlineLevel="0" collapsed="false">
      <c r="A69" s="503" t="s">
        <v>1</v>
      </c>
    </row>
    <row r="70" customFormat="false" ht="12" hidden="false" customHeight="false" outlineLevel="0" collapsed="false">
      <c r="A70" s="503" t="s">
        <v>1</v>
      </c>
    </row>
    <row r="71" customFormat="false" ht="12" hidden="false" customHeight="false" outlineLevel="0" collapsed="false">
      <c r="A71" s="503" t="s">
        <v>1</v>
      </c>
    </row>
    <row r="72" customFormat="false" ht="12" hidden="false" customHeight="false" outlineLevel="0" collapsed="false">
      <c r="A72" s="503" t="s">
        <v>1</v>
      </c>
    </row>
    <row r="73" customFormat="false" ht="12" hidden="false" customHeight="false" outlineLevel="0" collapsed="false">
      <c r="A73" s="503" t="s">
        <v>1</v>
      </c>
    </row>
    <row r="74" customFormat="false" ht="12" hidden="false" customHeight="false" outlineLevel="0" collapsed="false">
      <c r="A74" s="503" t="s">
        <v>1</v>
      </c>
    </row>
    <row r="75" customFormat="false" ht="12" hidden="false" customHeight="false" outlineLevel="0" collapsed="false">
      <c r="A75" s="503" t="s">
        <v>1</v>
      </c>
    </row>
    <row r="76" customFormat="false" ht="12" hidden="false" customHeight="false" outlineLevel="0" collapsed="false">
      <c r="A76" s="503" t="s">
        <v>1</v>
      </c>
    </row>
    <row r="77" customFormat="false" ht="12" hidden="false" customHeight="false" outlineLevel="0" collapsed="false">
      <c r="A77" s="503" t="s">
        <v>1</v>
      </c>
    </row>
    <row r="78" customFormat="false" ht="12" hidden="false" customHeight="false" outlineLevel="0" collapsed="false">
      <c r="A78" s="503" t="s">
        <v>1</v>
      </c>
    </row>
    <row r="79" customFormat="false" ht="12" hidden="false" customHeight="false" outlineLevel="0" collapsed="false">
      <c r="A79" s="503" t="s">
        <v>1</v>
      </c>
    </row>
    <row r="80" customFormat="false" ht="12" hidden="false" customHeight="false" outlineLevel="0" collapsed="false">
      <c r="A80" s="503" t="s">
        <v>1</v>
      </c>
    </row>
    <row r="81" customFormat="false" ht="12" hidden="false" customHeight="false" outlineLevel="0" collapsed="false">
      <c r="A81" s="503" t="s">
        <v>1</v>
      </c>
    </row>
    <row r="82" customFormat="false" ht="12" hidden="false" customHeight="false" outlineLevel="0" collapsed="false">
      <c r="A82" s="503" t="s">
        <v>1</v>
      </c>
    </row>
    <row r="83" customFormat="false" ht="12" hidden="false" customHeight="false" outlineLevel="0" collapsed="false">
      <c r="A83" s="503" t="s">
        <v>1</v>
      </c>
    </row>
    <row r="84" customFormat="false" ht="12" hidden="false" customHeight="false" outlineLevel="0" collapsed="false">
      <c r="A84" s="503" t="s">
        <v>1</v>
      </c>
    </row>
    <row r="85" customFormat="false" ht="12" hidden="false" customHeight="false" outlineLevel="0" collapsed="false">
      <c r="A85" s="503" t="s">
        <v>1</v>
      </c>
    </row>
    <row r="86" customFormat="false" ht="12" hidden="false" customHeight="false" outlineLevel="0" collapsed="false">
      <c r="A86" s="503" t="s">
        <v>1</v>
      </c>
    </row>
    <row r="87" customFormat="false" ht="12" hidden="false" customHeight="false" outlineLevel="0" collapsed="false">
      <c r="A87" s="503" t="s">
        <v>1</v>
      </c>
    </row>
    <row r="88" customFormat="false" ht="12" hidden="false" customHeight="false" outlineLevel="0" collapsed="false">
      <c r="A88" s="503" t="s">
        <v>1</v>
      </c>
    </row>
    <row r="89" customFormat="false" ht="12" hidden="false" customHeight="false" outlineLevel="0" collapsed="false">
      <c r="A89" s="503" t="s">
        <v>1</v>
      </c>
    </row>
    <row r="90" customFormat="false" ht="12" hidden="false" customHeight="false" outlineLevel="0" collapsed="false">
      <c r="A90" s="503" t="s">
        <v>1</v>
      </c>
    </row>
    <row r="91" customFormat="false" ht="12" hidden="false" customHeight="false" outlineLevel="0" collapsed="false">
      <c r="A91" s="503" t="s">
        <v>1</v>
      </c>
    </row>
    <row r="92" customFormat="false" ht="12" hidden="false" customHeight="false" outlineLevel="0" collapsed="false">
      <c r="A92" s="503" t="s">
        <v>1</v>
      </c>
    </row>
    <row r="93" customFormat="false" ht="12" hidden="false" customHeight="false" outlineLevel="0" collapsed="false">
      <c r="A93" s="503" t="s">
        <v>1</v>
      </c>
    </row>
    <row r="94" customFormat="false" ht="12" hidden="false" customHeight="false" outlineLevel="0" collapsed="false">
      <c r="A94" s="503" t="s">
        <v>1</v>
      </c>
    </row>
    <row r="95" customFormat="false" ht="12" hidden="false" customHeight="false" outlineLevel="0" collapsed="false">
      <c r="A95" s="503" t="s">
        <v>1</v>
      </c>
    </row>
    <row r="96" customFormat="false" ht="12" hidden="false" customHeight="false" outlineLevel="0" collapsed="false">
      <c r="A96" s="503" t="s">
        <v>1</v>
      </c>
    </row>
    <row r="97" customFormat="false" ht="12" hidden="false" customHeight="false" outlineLevel="0" collapsed="false">
      <c r="A97" s="503" t="s">
        <v>1</v>
      </c>
    </row>
    <row r="98" customFormat="false" ht="12" hidden="false" customHeight="false" outlineLevel="0" collapsed="false">
      <c r="A98" s="503" t="s">
        <v>1</v>
      </c>
    </row>
    <row r="99" customFormat="false" ht="12" hidden="false" customHeight="false" outlineLevel="0" collapsed="false">
      <c r="A99" s="503" t="s">
        <v>1</v>
      </c>
    </row>
    <row r="100" customFormat="false" ht="12" hidden="false" customHeight="false" outlineLevel="0" collapsed="false">
      <c r="A100" s="503" t="s">
        <v>1</v>
      </c>
    </row>
    <row r="101" customFormat="false" ht="12" hidden="false" customHeight="false" outlineLevel="0" collapsed="false">
      <c r="A101" s="503" t="s">
        <v>1</v>
      </c>
    </row>
    <row r="102" customFormat="false" ht="12" hidden="false" customHeight="false" outlineLevel="0" collapsed="false">
      <c r="A102" s="503" t="s">
        <v>1</v>
      </c>
    </row>
    <row r="103" customFormat="false" ht="12" hidden="false" customHeight="false" outlineLevel="0" collapsed="false">
      <c r="A103" s="503" t="s">
        <v>1</v>
      </c>
    </row>
    <row r="104" customFormat="false" ht="12" hidden="false" customHeight="false" outlineLevel="0" collapsed="false">
      <c r="A104" s="503" t="s">
        <v>1</v>
      </c>
    </row>
    <row r="105" customFormat="false" ht="12" hidden="false" customHeight="false" outlineLevel="0" collapsed="false">
      <c r="A105" s="503" t="s">
        <v>1</v>
      </c>
    </row>
    <row r="106" customFormat="false" ht="12" hidden="false" customHeight="false" outlineLevel="0" collapsed="false">
      <c r="A106" s="503" t="s">
        <v>1</v>
      </c>
    </row>
    <row r="107" customFormat="false" ht="12" hidden="false" customHeight="false" outlineLevel="0" collapsed="false">
      <c r="A107" s="503" t="s">
        <v>1</v>
      </c>
    </row>
    <row r="108" customFormat="false" ht="12" hidden="false" customHeight="false" outlineLevel="0" collapsed="false">
      <c r="A108" s="503" t="s">
        <v>1</v>
      </c>
    </row>
    <row r="109" customFormat="false" ht="12" hidden="false" customHeight="false" outlineLevel="0" collapsed="false">
      <c r="A109" s="503" t="s">
        <v>1</v>
      </c>
    </row>
    <row r="110" customFormat="false" ht="12" hidden="false" customHeight="false" outlineLevel="0" collapsed="false">
      <c r="A110" s="503" t="s">
        <v>1</v>
      </c>
    </row>
    <row r="111" customFormat="false" ht="12" hidden="false" customHeight="false" outlineLevel="0" collapsed="false">
      <c r="A111" s="503" t="s">
        <v>1</v>
      </c>
    </row>
    <row r="112" customFormat="false" ht="12" hidden="false" customHeight="false" outlineLevel="0" collapsed="false">
      <c r="A112" s="503" t="s">
        <v>1</v>
      </c>
    </row>
    <row r="113" customFormat="false" ht="12" hidden="false" customHeight="false" outlineLevel="0" collapsed="false">
      <c r="A113" s="503" t="s">
        <v>1</v>
      </c>
    </row>
    <row r="114" customFormat="false" ht="12" hidden="false" customHeight="false" outlineLevel="0" collapsed="false">
      <c r="A114" s="503" t="s">
        <v>1</v>
      </c>
    </row>
    <row r="115" customFormat="false" ht="12" hidden="false" customHeight="false" outlineLevel="0" collapsed="false">
      <c r="A115" s="503" t="s">
        <v>324</v>
      </c>
    </row>
    <row r="116" customFormat="false" ht="12" hidden="false" customHeight="false" outlineLevel="0" collapsed="false">
      <c r="A116" s="503" t="s">
        <v>1</v>
      </c>
    </row>
    <row r="117" customFormat="false" ht="12" hidden="false" customHeight="false" outlineLevel="0" collapsed="false">
      <c r="A117" s="503" t="s">
        <v>324</v>
      </c>
    </row>
    <row r="118" customFormat="false" ht="12" hidden="false" customHeight="false" outlineLevel="0" collapsed="false">
      <c r="A118" s="503" t="s">
        <v>1</v>
      </c>
    </row>
    <row r="119" customFormat="false" ht="12" hidden="false" customHeight="false" outlineLevel="0" collapsed="false">
      <c r="A119" s="503" t="s">
        <v>1</v>
      </c>
    </row>
    <row r="120" customFormat="false" ht="12" hidden="false" customHeight="false" outlineLevel="0" collapsed="false">
      <c r="A120" s="503" t="s">
        <v>1</v>
      </c>
    </row>
    <row r="121" customFormat="false" ht="12" hidden="false" customHeight="false" outlineLevel="0" collapsed="false">
      <c r="A121" s="503" t="s">
        <v>1</v>
      </c>
    </row>
    <row r="122" customFormat="false" ht="12" hidden="false" customHeight="false" outlineLevel="0" collapsed="false">
      <c r="A122" s="503" t="s">
        <v>1</v>
      </c>
    </row>
    <row r="123" customFormat="false" ht="12" hidden="false" customHeight="false" outlineLevel="0" collapsed="false">
      <c r="A123" s="503" t="s">
        <v>1</v>
      </c>
    </row>
    <row r="124" customFormat="false" ht="12" hidden="false" customHeight="false" outlineLevel="0" collapsed="false">
      <c r="A124" s="503" t="s">
        <v>1</v>
      </c>
    </row>
    <row r="125" customFormat="false" ht="12" hidden="false" customHeight="false" outlineLevel="0" collapsed="false">
      <c r="A125" s="503" t="s">
        <v>1</v>
      </c>
    </row>
    <row r="126" customFormat="false" ht="12" hidden="false" customHeight="false" outlineLevel="0" collapsed="false">
      <c r="A126" s="503" t="s">
        <v>1086</v>
      </c>
    </row>
    <row r="127" customFormat="false" ht="12" hidden="false" customHeight="false" outlineLevel="0" collapsed="false">
      <c r="A127" s="503" t="s">
        <v>1</v>
      </c>
    </row>
    <row r="128" customFormat="false" ht="12" hidden="false" customHeight="false" outlineLevel="0" collapsed="false">
      <c r="A128" s="503" t="s">
        <v>1</v>
      </c>
    </row>
    <row r="129" customFormat="false" ht="12" hidden="false" customHeight="false" outlineLevel="0" collapsed="false">
      <c r="A129" s="503" t="s">
        <v>1</v>
      </c>
    </row>
    <row r="130" customFormat="false" ht="12" hidden="false" customHeight="false" outlineLevel="0" collapsed="false">
      <c r="A130" s="503" t="s">
        <v>1</v>
      </c>
    </row>
    <row r="131" customFormat="false" ht="12" hidden="false" customHeight="false" outlineLevel="0" collapsed="false">
      <c r="A131" s="503" t="s">
        <v>1</v>
      </c>
    </row>
    <row r="132" customFormat="false" ht="12" hidden="false" customHeight="false" outlineLevel="0" collapsed="false">
      <c r="A132" s="503" t="s">
        <v>1</v>
      </c>
    </row>
    <row r="133" customFormat="false" ht="12" hidden="false" customHeight="false" outlineLevel="0" collapsed="false">
      <c r="A133" s="503" t="s">
        <v>1</v>
      </c>
    </row>
    <row r="134" customFormat="false" ht="12" hidden="false" customHeight="false" outlineLevel="0" collapsed="false">
      <c r="A134" s="503" t="s">
        <v>1</v>
      </c>
    </row>
    <row r="135" customFormat="false" ht="12" hidden="false" customHeight="false" outlineLevel="0" collapsed="false">
      <c r="A135" s="503" t="s">
        <v>1</v>
      </c>
    </row>
    <row r="136" customFormat="false" ht="12" hidden="false" customHeight="false" outlineLevel="0" collapsed="false">
      <c r="A136" s="503" t="s">
        <v>1</v>
      </c>
    </row>
    <row r="137" customFormat="false" ht="12" hidden="false" customHeight="false" outlineLevel="0" collapsed="false">
      <c r="A137" s="503" t="s">
        <v>1</v>
      </c>
    </row>
    <row r="138" customFormat="false" ht="12" hidden="false" customHeight="false" outlineLevel="0" collapsed="false">
      <c r="A138" s="503" t="s">
        <v>1</v>
      </c>
    </row>
    <row r="139" customFormat="false" ht="12" hidden="false" customHeight="false" outlineLevel="0" collapsed="false">
      <c r="A139" s="503" t="s">
        <v>1</v>
      </c>
    </row>
    <row r="140" customFormat="false" ht="12" hidden="false" customHeight="false" outlineLevel="0" collapsed="false">
      <c r="A140" s="503" t="s">
        <v>1</v>
      </c>
    </row>
    <row r="141" customFormat="false" ht="12" hidden="false" customHeight="false" outlineLevel="0" collapsed="false">
      <c r="A141" s="503" t="s">
        <v>1</v>
      </c>
    </row>
    <row r="142" customFormat="false" ht="12" hidden="false" customHeight="false" outlineLevel="0" collapsed="false">
      <c r="A142" s="503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tru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30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false" hidden="false" outlineLevel="0" max="20" min="19" style="27" width="9.14"/>
    <col collapsed="false" customWidth="true" hidden="false" outlineLevel="0" max="21" min="21" style="30" width="13.56"/>
    <col collapsed="false" customWidth="true" hidden="false" outlineLevel="0" max="22" min="22" style="27" width="42.28"/>
    <col collapsed="false" customWidth="false" hidden="false" outlineLevel="0" max="24" min="23" style="30" width="9.14"/>
    <col collapsed="false" customWidth="true" hidden="false" outlineLevel="0" max="25" min="25" style="27" width="12.42"/>
    <col collapsed="false" customWidth="false" hidden="false" outlineLevel="0" max="257" min="26" style="27" width="9.14"/>
  </cols>
  <sheetData>
    <row r="1" customFormat="false" ht="12.75" hidden="false" customHeight="false" outlineLevel="0" collapsed="false">
      <c r="A1" s="31" t="s">
        <v>97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4"/>
      <c r="Q1" s="34"/>
      <c r="R1" s="35"/>
      <c r="S1" s="35"/>
      <c r="T1" s="35"/>
      <c r="U1" s="36"/>
      <c r="V1" s="35"/>
      <c r="W1" s="37"/>
      <c r="X1" s="37"/>
    </row>
    <row r="2" customFormat="false" ht="12.75" hidden="false" customHeight="false" outlineLevel="0" collapsed="false">
      <c r="A2" s="38" t="s">
        <v>100</v>
      </c>
      <c r="B2" s="38"/>
      <c r="C2" s="38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4"/>
      <c r="Q2" s="34"/>
      <c r="R2" s="35"/>
      <c r="S2" s="35"/>
      <c r="T2" s="35"/>
      <c r="U2" s="36"/>
      <c r="V2" s="35"/>
      <c r="W2" s="37"/>
      <c r="X2" s="37"/>
    </row>
    <row r="3" customFormat="false" ht="12.75" hidden="false" customHeight="false" outlineLevel="0" collapsed="false">
      <c r="A3" s="39" t="s">
        <v>102</v>
      </c>
      <c r="B3" s="39"/>
      <c r="C3" s="39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4"/>
      <c r="Q3" s="34"/>
      <c r="R3" s="35"/>
      <c r="S3" s="35"/>
      <c r="T3" s="35"/>
      <c r="U3" s="36"/>
      <c r="V3" s="35"/>
      <c r="W3" s="37"/>
      <c r="X3" s="37"/>
    </row>
    <row r="4" customFormat="false" ht="12.75" hidden="false" customHeight="false" outlineLevel="0" collapsed="false">
      <c r="A4" s="42" t="s">
        <v>103</v>
      </c>
      <c r="B4" s="43"/>
      <c r="C4" s="43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4"/>
      <c r="Q4" s="34"/>
      <c r="R4" s="35"/>
      <c r="S4" s="45"/>
      <c r="T4" s="45"/>
      <c r="U4" s="46"/>
      <c r="V4" s="35"/>
      <c r="W4" s="37"/>
      <c r="X4" s="37"/>
    </row>
    <row r="5" customFormat="false" ht="12.75" hidden="false" customHeight="false" outlineLevel="0" collapsed="false">
      <c r="A5" s="15" t="s">
        <v>104</v>
      </c>
      <c r="B5" s="16"/>
      <c r="C5" s="47" t="s">
        <v>105</v>
      </c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4"/>
      <c r="Q5" s="34"/>
      <c r="R5" s="35"/>
      <c r="S5" s="45"/>
      <c r="T5" s="45"/>
      <c r="U5" s="46"/>
      <c r="V5" s="35"/>
      <c r="W5" s="37"/>
      <c r="X5" s="37"/>
    </row>
    <row r="6" customFormat="false" ht="12.75" hidden="false" customHeight="false" outlineLevel="0" collapsed="false">
      <c r="A6" s="15"/>
      <c r="B6" s="16"/>
      <c r="C6" s="47" t="s">
        <v>106</v>
      </c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4"/>
      <c r="Q6" s="34"/>
      <c r="R6" s="35"/>
      <c r="S6" s="45"/>
      <c r="T6" s="45"/>
      <c r="U6" s="46"/>
      <c r="V6" s="35"/>
      <c r="W6" s="37"/>
      <c r="X6" s="37"/>
    </row>
    <row r="7" customFormat="false" ht="12.75" hidden="false" customHeight="false" outlineLevel="0" collapsed="false">
      <c r="A7" s="15"/>
      <c r="B7" s="16"/>
      <c r="C7" s="47" t="s">
        <v>107</v>
      </c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4"/>
      <c r="Q7" s="34"/>
      <c r="R7" s="35"/>
      <c r="S7" s="45"/>
      <c r="T7" s="45"/>
      <c r="U7" s="46"/>
      <c r="V7" s="35"/>
      <c r="W7" s="37"/>
      <c r="X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4"/>
      <c r="Q8" s="34"/>
      <c r="R8" s="35"/>
      <c r="S8" s="45"/>
      <c r="T8" s="45"/>
      <c r="U8" s="46"/>
      <c r="V8" s="35"/>
      <c r="W8" s="37"/>
      <c r="X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4"/>
      <c r="Q9" s="34"/>
      <c r="R9" s="35"/>
      <c r="S9" s="45"/>
      <c r="T9" s="45"/>
      <c r="U9" s="46"/>
      <c r="V9" s="35"/>
      <c r="W9" s="37"/>
      <c r="X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4"/>
      <c r="Q10" s="34"/>
      <c r="R10" s="35"/>
      <c r="S10" s="45"/>
      <c r="T10" s="45"/>
      <c r="U10" s="46"/>
      <c r="V10" s="35"/>
      <c r="W10" s="37"/>
      <c r="X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53" t="s">
        <v>122</v>
      </c>
      <c r="Q11" s="49" t="s">
        <v>123</v>
      </c>
      <c r="R11" s="48" t="s">
        <v>124</v>
      </c>
      <c r="S11" s="54" t="s">
        <v>125</v>
      </c>
      <c r="T11" s="54" t="s">
        <v>126</v>
      </c>
      <c r="U11" s="55" t="s">
        <v>4</v>
      </c>
      <c r="V11" s="54" t="s">
        <v>127</v>
      </c>
      <c r="W11" s="24"/>
      <c r="X11" s="24"/>
    </row>
    <row r="12" customFormat="false" ht="12.75" hidden="false" customHeight="false" outlineLevel="0" collapsed="false">
      <c r="A12" s="15" t="s">
        <v>92</v>
      </c>
      <c r="B12" s="16" t="s">
        <v>128</v>
      </c>
      <c r="C12" s="16" t="s">
        <v>129</v>
      </c>
      <c r="D12" s="17" t="n">
        <v>36526</v>
      </c>
      <c r="E12" s="17" t="n">
        <v>36830</v>
      </c>
      <c r="F12" s="15" t="s">
        <v>130</v>
      </c>
      <c r="G12" s="15" t="s">
        <v>131</v>
      </c>
      <c r="H12" s="16"/>
      <c r="I12" s="19" t="n">
        <f aca="false">1.0603/I$1</f>
        <v>0.0342032258064516</v>
      </c>
      <c r="J12" s="20" t="n">
        <v>0.0017</v>
      </c>
      <c r="K12" s="20" t="n">
        <v>0.0022</v>
      </c>
      <c r="L12" s="20" t="n">
        <v>0</v>
      </c>
      <c r="M12" s="20" t="n">
        <v>0</v>
      </c>
      <c r="N12" s="25" t="n">
        <v>0.00593</v>
      </c>
      <c r="O12" s="20" t="n">
        <f aca="false">SUM(I12:M12)</f>
        <v>0.0381032258064516</v>
      </c>
      <c r="P12" s="24" t="n">
        <v>42789</v>
      </c>
      <c r="Q12" s="16" t="n">
        <v>30000</v>
      </c>
      <c r="R12" s="15" t="s">
        <v>132</v>
      </c>
      <c r="S12" s="23" t="n">
        <f aca="false">I12*I$1*Q12</f>
        <v>31809</v>
      </c>
      <c r="T12" s="23"/>
      <c r="U12" s="26" t="n">
        <v>140447</v>
      </c>
      <c r="V12" s="15"/>
      <c r="W12" s="24"/>
      <c r="X12" s="2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56" t="s">
        <v>1</v>
      </c>
      <c r="B13" s="57" t="s">
        <v>1</v>
      </c>
      <c r="C13" s="58" t="s">
        <v>1</v>
      </c>
      <c r="D13" s="59" t="s">
        <v>1</v>
      </c>
      <c r="E13" s="59"/>
      <c r="F13" s="56" t="s">
        <v>1</v>
      </c>
      <c r="G13" s="60" t="s">
        <v>1</v>
      </c>
      <c r="H13" s="57" t="s">
        <v>1</v>
      </c>
      <c r="I13" s="61"/>
      <c r="J13" s="62"/>
      <c r="K13" s="62"/>
      <c r="L13" s="62"/>
      <c r="M13" s="62"/>
      <c r="N13" s="63"/>
      <c r="O13" s="62"/>
      <c r="P13" s="64" t="s">
        <v>1</v>
      </c>
      <c r="Q13" s="57" t="n">
        <f aca="false">SUM(Q12)</f>
        <v>30000</v>
      </c>
      <c r="R13" s="56" t="s">
        <v>1</v>
      </c>
      <c r="S13" s="65" t="n">
        <f aca="false">SUM(S12)</f>
        <v>31809</v>
      </c>
      <c r="T13" s="65" t="n">
        <f aca="false">SUM(T12)</f>
        <v>0</v>
      </c>
      <c r="U13" s="66"/>
      <c r="V13" s="67"/>
      <c r="W13" s="24"/>
      <c r="X13" s="24"/>
    </row>
    <row r="14" customFormat="false" ht="12.75" hidden="false" customHeight="false" outlineLevel="0" collapsed="false">
      <c r="A14" s="48" t="s">
        <v>108</v>
      </c>
      <c r="B14" s="49" t="s">
        <v>109</v>
      </c>
      <c r="C14" s="49" t="s">
        <v>110</v>
      </c>
      <c r="D14" s="50" t="s">
        <v>111</v>
      </c>
      <c r="E14" s="50"/>
      <c r="F14" s="48" t="s">
        <v>112</v>
      </c>
      <c r="G14" s="48" t="s">
        <v>113</v>
      </c>
      <c r="H14" s="49" t="s">
        <v>114</v>
      </c>
      <c r="I14" s="51" t="s">
        <v>115</v>
      </c>
      <c r="J14" s="49" t="s">
        <v>116</v>
      </c>
      <c r="K14" s="49" t="s">
        <v>117</v>
      </c>
      <c r="L14" s="49" t="s">
        <v>118</v>
      </c>
      <c r="M14" s="49" t="s">
        <v>119</v>
      </c>
      <c r="N14" s="52" t="s">
        <v>120</v>
      </c>
      <c r="O14" s="49" t="s">
        <v>121</v>
      </c>
      <c r="P14" s="53" t="s">
        <v>122</v>
      </c>
      <c r="Q14" s="49" t="s">
        <v>123</v>
      </c>
      <c r="R14" s="48" t="s">
        <v>124</v>
      </c>
      <c r="S14" s="54" t="s">
        <v>133</v>
      </c>
      <c r="T14" s="54" t="s">
        <v>133</v>
      </c>
      <c r="U14" s="55"/>
      <c r="V14" s="54" t="str">
        <f aca="false">+V11</f>
        <v>Questions</v>
      </c>
      <c r="W14" s="24"/>
      <c r="X14" s="24"/>
    </row>
    <row r="15" customFormat="false" ht="12.75" hidden="false" customHeight="false" outlineLevel="0" collapsed="false">
      <c r="A15" s="15" t="s">
        <v>92</v>
      </c>
      <c r="B15" s="16" t="s">
        <v>134</v>
      </c>
      <c r="C15" s="16" t="s">
        <v>129</v>
      </c>
      <c r="D15" s="17" t="n">
        <v>36526</v>
      </c>
      <c r="E15" s="17" t="s">
        <v>90</v>
      </c>
      <c r="F15" s="15" t="s">
        <v>135</v>
      </c>
      <c r="G15" s="15" t="s">
        <v>135</v>
      </c>
      <c r="H15" s="16"/>
      <c r="I15" s="19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5" t="n">
        <v>0</v>
      </c>
      <c r="O15" s="20" t="n">
        <f aca="false">SUM(I15:M15)</f>
        <v>0</v>
      </c>
      <c r="P15" s="24" t="n">
        <v>36907</v>
      </c>
      <c r="Q15" s="16" t="n">
        <v>0</v>
      </c>
      <c r="R15" s="15" t="s">
        <v>136</v>
      </c>
      <c r="S15" s="23" t="n">
        <f aca="false">I15*I$1*Q15</f>
        <v>0</v>
      </c>
      <c r="T15" s="23"/>
      <c r="U15" s="26" t="n">
        <v>148659</v>
      </c>
      <c r="V15" s="23"/>
      <c r="W15" s="24"/>
      <c r="X15" s="2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137</v>
      </c>
      <c r="B16" s="16" t="s">
        <v>134</v>
      </c>
      <c r="C16" s="16" t="s">
        <v>138</v>
      </c>
      <c r="D16" s="17" t="n">
        <v>36526</v>
      </c>
      <c r="E16" s="17" t="s">
        <v>90</v>
      </c>
      <c r="F16" s="15" t="s">
        <v>135</v>
      </c>
      <c r="G16" s="15" t="s">
        <v>135</v>
      </c>
      <c r="H16" s="16"/>
      <c r="I16" s="19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5" t="n">
        <v>0</v>
      </c>
      <c r="O16" s="20" t="n">
        <f aca="false">SUM(I16:M16)</f>
        <v>0</v>
      </c>
      <c r="P16" s="24" t="n">
        <v>48049</v>
      </c>
      <c r="Q16" s="16" t="n">
        <v>0</v>
      </c>
      <c r="R16" s="15" t="s">
        <v>136</v>
      </c>
      <c r="S16" s="23" t="n">
        <f aca="false">I16*I$1*Q16</f>
        <v>0</v>
      </c>
      <c r="T16" s="23"/>
      <c r="U16" s="26" t="n">
        <v>149173</v>
      </c>
      <c r="V16" s="23"/>
      <c r="W16" s="24"/>
      <c r="X16" s="2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92</v>
      </c>
      <c r="B17" s="16" t="s">
        <v>134</v>
      </c>
      <c r="C17" s="16" t="s">
        <v>129</v>
      </c>
      <c r="D17" s="17" t="n">
        <v>36526</v>
      </c>
      <c r="E17" s="17" t="s">
        <v>90</v>
      </c>
      <c r="F17" s="15" t="s">
        <v>135</v>
      </c>
      <c r="G17" s="15" t="s">
        <v>135</v>
      </c>
      <c r="H17" s="16"/>
      <c r="I17" s="19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5" t="n">
        <v>0</v>
      </c>
      <c r="O17" s="20" t="n">
        <f aca="false">SUM(I17:M17)</f>
        <v>0</v>
      </c>
      <c r="P17" s="24" t="n">
        <v>39999</v>
      </c>
      <c r="Q17" s="16" t="n">
        <v>0</v>
      </c>
      <c r="R17" s="15" t="s">
        <v>139</v>
      </c>
      <c r="S17" s="23" t="n">
        <f aca="false">I17*I$1*Q17</f>
        <v>0</v>
      </c>
      <c r="T17" s="23"/>
      <c r="U17" s="26" t="n">
        <v>149337</v>
      </c>
      <c r="V17" s="23"/>
      <c r="W17" s="24"/>
      <c r="X17" s="2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137</v>
      </c>
      <c r="B18" s="16" t="s">
        <v>134</v>
      </c>
      <c r="C18" s="16" t="s">
        <v>138</v>
      </c>
      <c r="D18" s="17" t="n">
        <v>36526</v>
      </c>
      <c r="E18" s="17" t="s">
        <v>90</v>
      </c>
      <c r="F18" s="15" t="s">
        <v>135</v>
      </c>
      <c r="G18" s="15" t="s">
        <v>135</v>
      </c>
      <c r="H18" s="16"/>
      <c r="I18" s="19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5" t="n">
        <v>0</v>
      </c>
      <c r="O18" s="20" t="n">
        <f aca="false">SUM(I18:M18)</f>
        <v>0</v>
      </c>
      <c r="P18" s="24" t="n">
        <v>48050</v>
      </c>
      <c r="Q18" s="16" t="n">
        <v>0</v>
      </c>
      <c r="R18" s="15" t="s">
        <v>139</v>
      </c>
      <c r="S18" s="23" t="n">
        <f aca="false">I18*I$1*Q18</f>
        <v>0</v>
      </c>
      <c r="T18" s="23"/>
      <c r="U18" s="26" t="n">
        <v>149338</v>
      </c>
      <c r="V18" s="23"/>
      <c r="W18" s="24"/>
      <c r="X18" s="2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/>
      <c r="B19" s="16"/>
      <c r="C19" s="16"/>
      <c r="D19" s="17" t="s">
        <v>1</v>
      </c>
      <c r="E19" s="17"/>
      <c r="F19" s="15"/>
      <c r="G19" s="15"/>
      <c r="H19" s="16"/>
      <c r="I19" s="19"/>
      <c r="J19" s="20"/>
      <c r="K19" s="68"/>
      <c r="L19" s="20"/>
      <c r="M19" s="20"/>
      <c r="N19" s="25"/>
      <c r="O19" s="20"/>
      <c r="P19" s="37"/>
      <c r="Q19" s="45"/>
      <c r="R19" s="69"/>
      <c r="S19" s="70"/>
      <c r="T19" s="35"/>
      <c r="U19" s="36"/>
      <c r="V19" s="35"/>
      <c r="W19" s="37"/>
      <c r="X19" s="37"/>
    </row>
    <row r="20" customFormat="false" ht="12.75" hidden="false" customHeight="false" outlineLevel="0" collapsed="false">
      <c r="A20" s="48" t="s">
        <v>108</v>
      </c>
      <c r="B20" s="49" t="s">
        <v>109</v>
      </c>
      <c r="C20" s="49" t="s">
        <v>110</v>
      </c>
      <c r="D20" s="50" t="s">
        <v>111</v>
      </c>
      <c r="E20" s="50"/>
      <c r="F20" s="48" t="s">
        <v>112</v>
      </c>
      <c r="G20" s="48" t="s">
        <v>113</v>
      </c>
      <c r="H20" s="49" t="s">
        <v>114</v>
      </c>
      <c r="I20" s="51" t="s">
        <v>115</v>
      </c>
      <c r="J20" s="49" t="s">
        <v>116</v>
      </c>
      <c r="K20" s="49" t="s">
        <v>117</v>
      </c>
      <c r="L20" s="49" t="s">
        <v>118</v>
      </c>
      <c r="M20" s="49" t="s">
        <v>119</v>
      </c>
      <c r="N20" s="52" t="s">
        <v>120</v>
      </c>
      <c r="O20" s="49" t="s">
        <v>121</v>
      </c>
      <c r="P20" s="53" t="s">
        <v>122</v>
      </c>
      <c r="Q20" s="49" t="s">
        <v>123</v>
      </c>
      <c r="R20" s="48" t="s">
        <v>124</v>
      </c>
      <c r="S20" s="54" t="s">
        <v>125</v>
      </c>
      <c r="T20" s="54" t="s">
        <v>126</v>
      </c>
      <c r="U20" s="55" t="s">
        <v>4</v>
      </c>
      <c r="V20" s="54" t="s">
        <v>127</v>
      </c>
      <c r="W20" s="24"/>
      <c r="X20" s="24"/>
    </row>
    <row r="21" customFormat="false" ht="12.75" hidden="false" customHeight="false" outlineLevel="0" collapsed="false">
      <c r="A21" s="15" t="s">
        <v>92</v>
      </c>
      <c r="B21" s="16" t="s">
        <v>140</v>
      </c>
      <c r="C21" s="16" t="s">
        <v>129</v>
      </c>
      <c r="D21" s="17" t="n">
        <v>36526</v>
      </c>
      <c r="E21" s="17" t="s">
        <v>90</v>
      </c>
      <c r="F21" s="15" t="s">
        <v>94</v>
      </c>
      <c r="G21" s="15" t="s">
        <v>94</v>
      </c>
      <c r="H21" s="16" t="s">
        <v>11</v>
      </c>
      <c r="I21" s="19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5" t="n">
        <v>0</v>
      </c>
      <c r="O21" s="20" t="n">
        <f aca="false">SUM(I21:M21)</f>
        <v>0</v>
      </c>
      <c r="P21" s="24" t="n">
        <v>238</v>
      </c>
      <c r="Q21" s="16" t="n">
        <v>0</v>
      </c>
      <c r="R21" s="15" t="s">
        <v>141</v>
      </c>
      <c r="S21" s="23" t="n">
        <f aca="false">I21*I$1*Q21</f>
        <v>0</v>
      </c>
      <c r="T21" s="23"/>
      <c r="U21" s="26" t="n">
        <v>149902</v>
      </c>
      <c r="V21" s="15"/>
      <c r="W21" s="24"/>
      <c r="X21" s="2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56" t="s">
        <v>1</v>
      </c>
      <c r="B22" s="57" t="s">
        <v>1</v>
      </c>
      <c r="C22" s="58" t="s">
        <v>1</v>
      </c>
      <c r="D22" s="59" t="s">
        <v>1</v>
      </c>
      <c r="E22" s="59"/>
      <c r="F22" s="56" t="s">
        <v>1</v>
      </c>
      <c r="G22" s="60" t="s">
        <v>1</v>
      </c>
      <c r="H22" s="57" t="s">
        <v>1</v>
      </c>
      <c r="I22" s="61"/>
      <c r="J22" s="62"/>
      <c r="K22" s="62"/>
      <c r="L22" s="62"/>
      <c r="M22" s="62"/>
      <c r="N22" s="63"/>
      <c r="O22" s="62"/>
      <c r="P22" s="64" t="s">
        <v>1</v>
      </c>
      <c r="Q22" s="57" t="n">
        <f aca="false">SUM(Q21)</f>
        <v>0</v>
      </c>
      <c r="R22" s="56" t="s">
        <v>1</v>
      </c>
      <c r="S22" s="65" t="n">
        <f aca="false">SUM(S21)</f>
        <v>0</v>
      </c>
      <c r="T22" s="65" t="n">
        <f aca="false">SUM(T21)</f>
        <v>0</v>
      </c>
      <c r="U22" s="66"/>
      <c r="V22" s="67"/>
      <c r="W22" s="24"/>
      <c r="X22" s="24"/>
    </row>
    <row r="23" customFormat="false" ht="12.75" hidden="false" customHeight="false" outlineLevel="0" collapsed="false">
      <c r="A23" s="48" t="s">
        <v>108</v>
      </c>
      <c r="B23" s="49" t="s">
        <v>109</v>
      </c>
      <c r="C23" s="49" t="s">
        <v>110</v>
      </c>
      <c r="D23" s="50" t="s">
        <v>111</v>
      </c>
      <c r="E23" s="50"/>
      <c r="F23" s="48" t="s">
        <v>112</v>
      </c>
      <c r="G23" s="48" t="s">
        <v>113</v>
      </c>
      <c r="H23" s="49" t="s">
        <v>114</v>
      </c>
      <c r="I23" s="51" t="s">
        <v>115</v>
      </c>
      <c r="J23" s="49" t="s">
        <v>116</v>
      </c>
      <c r="K23" s="49" t="s">
        <v>117</v>
      </c>
      <c r="L23" s="49" t="s">
        <v>118</v>
      </c>
      <c r="M23" s="49" t="s">
        <v>119</v>
      </c>
      <c r="N23" s="52" t="s">
        <v>120</v>
      </c>
      <c r="O23" s="49" t="s">
        <v>121</v>
      </c>
      <c r="P23" s="53" t="s">
        <v>122</v>
      </c>
      <c r="Q23" s="49" t="s">
        <v>123</v>
      </c>
      <c r="R23" s="48" t="s">
        <v>124</v>
      </c>
      <c r="S23" s="54" t="s">
        <v>125</v>
      </c>
      <c r="T23" s="54" t="s">
        <v>126</v>
      </c>
      <c r="U23" s="55" t="s">
        <v>4</v>
      </c>
      <c r="V23" s="54" t="s">
        <v>127</v>
      </c>
      <c r="W23" s="24"/>
      <c r="X23" s="24"/>
    </row>
    <row r="24" customFormat="false" ht="12.75" hidden="false" customHeight="false" outlineLevel="0" collapsed="false">
      <c r="A24" s="15" t="s">
        <v>92</v>
      </c>
      <c r="B24" s="16" t="s">
        <v>93</v>
      </c>
      <c r="C24" s="16" t="s">
        <v>129</v>
      </c>
      <c r="D24" s="17" t="n">
        <v>36526</v>
      </c>
      <c r="E24" s="17" t="s">
        <v>90</v>
      </c>
      <c r="F24" s="15" t="s">
        <v>94</v>
      </c>
      <c r="G24" s="15" t="s">
        <v>94</v>
      </c>
      <c r="H24" s="16" t="s">
        <v>11</v>
      </c>
      <c r="I24" s="19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5" t="n">
        <v>0</v>
      </c>
      <c r="O24" s="20" t="n">
        <f aca="false">SUM(I24:M24)</f>
        <v>0</v>
      </c>
      <c r="P24" s="24" t="n">
        <v>3.2846</v>
      </c>
      <c r="Q24" s="16" t="n">
        <v>0</v>
      </c>
      <c r="R24" s="15" t="s">
        <v>141</v>
      </c>
      <c r="S24" s="23" t="n">
        <f aca="false">I24*I$1*Q24</f>
        <v>0</v>
      </c>
      <c r="T24" s="23"/>
      <c r="U24" s="26" t="n">
        <v>149876</v>
      </c>
      <c r="V24" s="15"/>
      <c r="W24" s="24"/>
      <c r="X24" s="2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56" t="s">
        <v>1</v>
      </c>
      <c r="B25" s="57" t="s">
        <v>1</v>
      </c>
      <c r="C25" s="58" t="s">
        <v>1</v>
      </c>
      <c r="D25" s="59" t="s">
        <v>1</v>
      </c>
      <c r="E25" s="59"/>
      <c r="F25" s="56" t="s">
        <v>1</v>
      </c>
      <c r="G25" s="60" t="s">
        <v>1</v>
      </c>
      <c r="H25" s="57" t="s">
        <v>1</v>
      </c>
      <c r="I25" s="61"/>
      <c r="J25" s="62"/>
      <c r="K25" s="62"/>
      <c r="L25" s="62"/>
      <c r="M25" s="62"/>
      <c r="N25" s="63"/>
      <c r="O25" s="62"/>
      <c r="P25" s="64" t="s">
        <v>1</v>
      </c>
      <c r="Q25" s="57" t="n">
        <f aca="false">SUM(Q24)</f>
        <v>0</v>
      </c>
      <c r="R25" s="56" t="s">
        <v>1</v>
      </c>
      <c r="S25" s="65" t="n">
        <f aca="false">SUM(S24)</f>
        <v>0</v>
      </c>
      <c r="T25" s="65" t="n">
        <f aca="false">SUM(T24)</f>
        <v>0</v>
      </c>
      <c r="U25" s="66"/>
      <c r="V25" s="67"/>
      <c r="W25" s="24"/>
      <c r="X25" s="24"/>
    </row>
    <row r="26" customFormat="false" ht="12.75" hidden="false" customHeight="false" outlineLevel="0" collapsed="false">
      <c r="A26" s="28"/>
      <c r="B26" s="16"/>
      <c r="C26" s="16"/>
      <c r="D26" s="17"/>
      <c r="E26" s="17"/>
      <c r="F26" s="15"/>
      <c r="G26" s="15"/>
      <c r="H26" s="16"/>
      <c r="I26" s="19"/>
      <c r="J26" s="20"/>
      <c r="K26" s="20"/>
      <c r="L26" s="20"/>
      <c r="M26" s="20"/>
      <c r="N26" s="25"/>
      <c r="O26" s="20"/>
      <c r="P26" s="37"/>
      <c r="Q26" s="71"/>
      <c r="R26" s="69"/>
      <c r="S26" s="35"/>
      <c r="T26" s="35"/>
      <c r="U26" s="36"/>
      <c r="V26" s="35"/>
      <c r="W26" s="37"/>
      <c r="X26" s="37"/>
    </row>
    <row r="27" customFormat="false" ht="12.75" hidden="false" customHeight="false" outlineLevel="0" collapsed="false">
      <c r="A27" s="28"/>
      <c r="B27" s="16"/>
      <c r="C27" s="16"/>
      <c r="D27" s="17"/>
      <c r="E27" s="17"/>
      <c r="F27" s="15"/>
      <c r="G27" s="15"/>
      <c r="H27" s="16"/>
      <c r="I27" s="20"/>
      <c r="J27" s="20"/>
      <c r="K27" s="20"/>
      <c r="L27" s="20"/>
      <c r="M27" s="20"/>
      <c r="N27" s="25"/>
      <c r="O27" s="20"/>
      <c r="P27" s="37"/>
      <c r="Q27" s="71"/>
      <c r="R27" s="35"/>
      <c r="S27" s="35"/>
      <c r="T27" s="35"/>
      <c r="U27" s="36"/>
      <c r="V27" s="35"/>
      <c r="W27" s="37"/>
      <c r="X27" s="37"/>
    </row>
    <row r="28" customFormat="false" ht="12.75" hidden="false" customHeight="false" outlineLevel="0" collapsed="false">
      <c r="A28" s="28"/>
      <c r="B28" s="16"/>
      <c r="C28" s="16"/>
      <c r="D28" s="17"/>
      <c r="E28" s="17"/>
      <c r="F28" s="15"/>
      <c r="G28" s="15"/>
      <c r="H28" s="16"/>
      <c r="I28" s="19"/>
      <c r="J28" s="20"/>
      <c r="K28" s="20"/>
      <c r="L28" s="20"/>
      <c r="M28" s="20"/>
      <c r="N28" s="25"/>
      <c r="O28" s="20"/>
      <c r="P28" s="37"/>
      <c r="Q28" s="71"/>
      <c r="R28" s="35"/>
      <c r="S28" s="35"/>
      <c r="T28" s="35"/>
      <c r="U28" s="36"/>
      <c r="V28" s="35"/>
      <c r="W28" s="37"/>
      <c r="X28" s="37"/>
    </row>
    <row r="29" customFormat="false" ht="12.75" hidden="false" customHeight="false" outlineLevel="0" collapsed="false">
      <c r="A29" s="28" t="s">
        <v>142</v>
      </c>
      <c r="B29" s="16"/>
      <c r="C29" s="16"/>
      <c r="D29" s="17"/>
      <c r="E29" s="17"/>
      <c r="F29" s="15"/>
      <c r="G29" s="15"/>
      <c r="H29" s="16"/>
      <c r="I29" s="20"/>
      <c r="J29" s="20"/>
      <c r="K29" s="20"/>
      <c r="L29" s="20"/>
      <c r="M29" s="20"/>
      <c r="N29" s="25"/>
      <c r="O29" s="20"/>
      <c r="P29" s="37"/>
      <c r="Q29" s="71"/>
      <c r="R29" s="35"/>
      <c r="S29" s="35"/>
      <c r="T29" s="35"/>
      <c r="U29" s="36"/>
      <c r="V29" s="35"/>
      <c r="W29" s="37"/>
      <c r="X29" s="37"/>
    </row>
    <row r="30" customFormat="false" ht="12.75" hidden="false" customHeight="false" outlineLevel="0" collapsed="false">
      <c r="A30" s="28"/>
      <c r="B30" s="15" t="s">
        <v>143</v>
      </c>
      <c r="C30" s="16"/>
      <c r="D30" s="17"/>
      <c r="E30" s="17"/>
      <c r="F30" s="15"/>
      <c r="G30" s="15"/>
      <c r="H30" s="16"/>
      <c r="I30" s="19"/>
      <c r="J30" s="20"/>
      <c r="K30" s="20"/>
      <c r="L30" s="20"/>
      <c r="M30" s="20"/>
      <c r="N30" s="25"/>
      <c r="O30" s="20"/>
      <c r="P30" s="37"/>
      <c r="Q30" s="71"/>
      <c r="R30" s="35"/>
      <c r="S30" s="35"/>
      <c r="T30" s="35"/>
      <c r="U30" s="36"/>
      <c r="V30" s="35"/>
      <c r="W30" s="37"/>
      <c r="X30" s="37"/>
    </row>
    <row r="31" customFormat="false" ht="12.75" hidden="false" customHeight="false" outlineLevel="0" collapsed="false">
      <c r="A31" s="28"/>
      <c r="B31" s="16" t="s">
        <v>144</v>
      </c>
      <c r="C31" s="24" t="n">
        <v>149776</v>
      </c>
      <c r="D31" s="17"/>
      <c r="E31" s="17"/>
      <c r="F31" s="15"/>
      <c r="G31" s="15"/>
      <c r="H31" s="16"/>
      <c r="I31" s="20"/>
      <c r="J31" s="20"/>
      <c r="K31" s="20"/>
      <c r="L31" s="20"/>
      <c r="M31" s="20"/>
      <c r="N31" s="25"/>
      <c r="O31" s="20"/>
      <c r="P31" s="37"/>
      <c r="Q31" s="71"/>
      <c r="R31" s="35"/>
      <c r="S31" s="35"/>
      <c r="T31" s="35"/>
      <c r="U31" s="36"/>
      <c r="V31" s="35"/>
      <c r="W31" s="37"/>
      <c r="X31" s="37"/>
    </row>
    <row r="32" customFormat="false" ht="12.75" hidden="false" customHeight="false" outlineLevel="0" collapsed="false">
      <c r="A32" s="28"/>
      <c r="B32" s="16" t="s">
        <v>145</v>
      </c>
      <c r="C32" s="24" t="n">
        <v>149775</v>
      </c>
      <c r="D32" s="17"/>
      <c r="E32" s="17"/>
      <c r="F32" s="15"/>
      <c r="G32" s="15"/>
      <c r="H32" s="16"/>
      <c r="I32" s="20"/>
      <c r="J32" s="20"/>
      <c r="K32" s="20"/>
      <c r="L32" s="20"/>
      <c r="M32" s="20"/>
      <c r="N32" s="25"/>
      <c r="O32" s="20"/>
      <c r="P32" s="37"/>
      <c r="Q32" s="71"/>
      <c r="R32" s="35"/>
      <c r="S32" s="35"/>
      <c r="T32" s="35"/>
      <c r="U32" s="36"/>
      <c r="V32" s="35"/>
      <c r="W32" s="69"/>
      <c r="X32" s="37"/>
    </row>
    <row r="33" customFormat="false" ht="12.75" hidden="false" customHeight="false" outlineLevel="0" collapsed="false">
      <c r="A33" s="28"/>
      <c r="B33" s="16"/>
      <c r="C33" s="16"/>
      <c r="D33" s="17"/>
      <c r="E33" s="17"/>
      <c r="F33" s="15"/>
      <c r="G33" s="15"/>
      <c r="H33" s="16"/>
      <c r="I33" s="20"/>
      <c r="J33" s="20"/>
      <c r="K33" s="20"/>
      <c r="L33" s="20"/>
      <c r="M33" s="20"/>
      <c r="N33" s="25"/>
      <c r="O33" s="20"/>
      <c r="P33" s="37"/>
      <c r="Q33" s="71"/>
      <c r="R33" s="35"/>
      <c r="S33" s="35"/>
      <c r="T33" s="35"/>
      <c r="U33" s="36"/>
      <c r="V33" s="35"/>
      <c r="W33" s="37"/>
      <c r="X33" s="37"/>
    </row>
    <row r="34" customFormat="false" ht="12.75" hidden="false" customHeight="false" outlineLevel="0" collapsed="false">
      <c r="A34" s="28"/>
      <c r="B34" s="16"/>
      <c r="C34" s="16"/>
      <c r="D34" s="17"/>
      <c r="E34" s="17"/>
      <c r="F34" s="15"/>
      <c r="G34" s="15"/>
      <c r="H34" s="16"/>
      <c r="I34" s="20"/>
      <c r="J34" s="20"/>
      <c r="K34" s="20"/>
      <c r="L34" s="20"/>
      <c r="M34" s="20"/>
      <c r="N34" s="25"/>
      <c r="O34" s="20"/>
      <c r="P34" s="37"/>
      <c r="Q34" s="71"/>
      <c r="R34" s="35"/>
      <c r="S34" s="35"/>
      <c r="T34" s="35"/>
      <c r="U34" s="36"/>
      <c r="V34" s="35"/>
      <c r="W34" s="37"/>
      <c r="X34" s="37"/>
    </row>
    <row r="35" customFormat="false" ht="12.75" hidden="false" customHeight="false" outlineLevel="0" collapsed="false">
      <c r="A35" s="28"/>
      <c r="B35" s="16"/>
      <c r="C35" s="16"/>
      <c r="D35" s="17"/>
      <c r="E35" s="17"/>
      <c r="F35" s="15"/>
      <c r="G35" s="15"/>
      <c r="H35" s="16"/>
      <c r="I35" s="19"/>
      <c r="J35" s="20"/>
      <c r="K35" s="20"/>
      <c r="L35" s="20"/>
      <c r="M35" s="20"/>
      <c r="N35" s="25"/>
      <c r="O35" s="20"/>
      <c r="P35" s="37"/>
      <c r="Q35" s="71"/>
      <c r="R35" s="69"/>
      <c r="S35" s="35"/>
      <c r="T35" s="35"/>
      <c r="U35" s="36"/>
      <c r="V35" s="35"/>
      <c r="W35" s="37"/>
      <c r="X35" s="37"/>
    </row>
    <row r="36" customFormat="false" ht="12.75" hidden="false" customHeight="false" outlineLevel="0" collapsed="false">
      <c r="A36" s="28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25"/>
      <c r="O36" s="20"/>
      <c r="P36" s="37"/>
      <c r="Q36" s="71"/>
      <c r="R36" s="69"/>
      <c r="S36" s="35"/>
      <c r="T36" s="35"/>
      <c r="U36" s="36"/>
      <c r="V36" s="35"/>
      <c r="W36" s="37"/>
      <c r="X36" s="37"/>
    </row>
    <row r="37" customFormat="false" ht="12.75" hidden="false" customHeight="false" outlineLevel="0" collapsed="false">
      <c r="P37" s="72"/>
      <c r="Q37" s="73"/>
      <c r="R37" s="73"/>
      <c r="S37" s="73"/>
      <c r="T37" s="73"/>
      <c r="U37" s="72"/>
      <c r="V37" s="73"/>
      <c r="W37" s="72"/>
    </row>
    <row r="38" customFormat="false" ht="12.75" hidden="false" customHeight="false" outlineLevel="0" collapsed="false">
      <c r="P38" s="72"/>
      <c r="Q38" s="73"/>
      <c r="R38" s="73"/>
      <c r="S38" s="73"/>
      <c r="T38" s="73"/>
      <c r="U38" s="72"/>
      <c r="V38" s="73"/>
      <c r="W3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I7" colorId="64" zoomScale="100" zoomScaleNormal="100" zoomScalePageLayoutView="100" workbookViewId="0">
      <selection pane="topLeft" activeCell="T46" activeCellId="2" sqref="T29:T33 T24:T26 T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7" min="16" style="27" width="12.28"/>
    <col collapsed="false" customWidth="false" hidden="false" outlineLevel="0" max="18" min="18" style="27" width="9.14"/>
    <col collapsed="false" customWidth="true" hidden="false" outlineLevel="0" max="19" min="19" style="27" width="13.7"/>
    <col collapsed="false" customWidth="true" hidden="false" outlineLevel="0" max="20" min="20" style="27" width="12.85"/>
    <col collapsed="false" customWidth="false" hidden="false" outlineLevel="0" max="21" min="21" style="27" width="9.14"/>
    <col collapsed="false" customWidth="true" hidden="false" outlineLevel="0" max="23" min="22" style="30" width="13.56"/>
    <col collapsed="false" customWidth="false" hidden="false" outlineLevel="0" max="25" min="24" style="30" width="9.14"/>
    <col collapsed="false" customWidth="true" hidden="false" outlineLevel="0" max="26" min="26" style="27" width="12.42"/>
    <col collapsed="false" customWidth="false" hidden="false" outlineLevel="0" max="257" min="27" style="27" width="9.14"/>
  </cols>
  <sheetData>
    <row r="1" customFormat="false" ht="12.75" hidden="false" customHeight="false" outlineLevel="0" collapsed="false">
      <c r="A1" s="31" t="s">
        <v>146</v>
      </c>
      <c r="B1" s="16"/>
      <c r="C1" s="16"/>
      <c r="D1" s="17"/>
      <c r="E1" s="17"/>
      <c r="F1" s="15"/>
      <c r="G1" s="15"/>
      <c r="H1" s="16" t="s">
        <v>98</v>
      </c>
      <c r="I1" s="32" t="n">
        <v>30</v>
      </c>
      <c r="J1" s="33" t="s">
        <v>99</v>
      </c>
      <c r="K1" s="20"/>
      <c r="L1" s="20"/>
      <c r="M1" s="20"/>
      <c r="N1" s="25"/>
      <c r="O1" s="20"/>
      <c r="P1" s="22"/>
      <c r="Q1" s="22"/>
      <c r="R1" s="34"/>
      <c r="S1" s="35"/>
      <c r="T1" s="35"/>
      <c r="U1" s="35"/>
      <c r="V1" s="36"/>
      <c r="W1" s="36"/>
      <c r="X1" s="37"/>
      <c r="Y1" s="37"/>
    </row>
    <row r="2" customFormat="false" ht="12.75" hidden="false" customHeight="false" outlineLevel="0" collapsed="false">
      <c r="A2" s="15" t="s">
        <v>100</v>
      </c>
      <c r="B2" s="15"/>
      <c r="C2" s="15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2"/>
      <c r="Q2" s="22"/>
      <c r="R2" s="34"/>
      <c r="S2" s="35"/>
      <c r="T2" s="35"/>
      <c r="U2" s="35"/>
      <c r="V2" s="36"/>
      <c r="W2" s="36"/>
      <c r="X2" s="37"/>
      <c r="Y2" s="37"/>
    </row>
    <row r="3" customFormat="false" ht="12.75" hidden="false" customHeight="false" outlineLevel="0" collapsed="false">
      <c r="A3" s="15" t="s">
        <v>102</v>
      </c>
      <c r="B3" s="15"/>
      <c r="C3" s="15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2"/>
      <c r="Q3" s="22"/>
      <c r="R3" s="34"/>
      <c r="S3" s="35"/>
      <c r="T3" s="35"/>
      <c r="U3" s="35"/>
      <c r="V3" s="36"/>
      <c r="W3" s="36"/>
      <c r="X3" s="37"/>
      <c r="Y3" s="37"/>
    </row>
    <row r="4" customFormat="false" ht="12.75" hidden="false" customHeight="false" outlineLevel="0" collapsed="false">
      <c r="A4" s="15" t="s">
        <v>103</v>
      </c>
      <c r="B4" s="16"/>
      <c r="C4" s="16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2"/>
      <c r="Q4" s="22"/>
      <c r="R4" s="34"/>
      <c r="S4" s="35"/>
      <c r="T4" s="45"/>
      <c r="U4" s="45"/>
      <c r="V4" s="46"/>
      <c r="W4" s="46"/>
      <c r="X4" s="37"/>
      <c r="Y4" s="37"/>
    </row>
    <row r="5" customFormat="false" ht="12.75" hidden="false" customHeight="false" outlineLevel="0" collapsed="false">
      <c r="A5" s="15" t="s">
        <v>104</v>
      </c>
      <c r="B5" s="16"/>
      <c r="C5" s="47" t="s">
        <v>105</v>
      </c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2"/>
      <c r="Q5" s="22"/>
      <c r="R5" s="34"/>
      <c r="S5" s="35"/>
      <c r="T5" s="45"/>
      <c r="U5" s="45"/>
      <c r="V5" s="46"/>
      <c r="W5" s="46"/>
      <c r="X5" s="37"/>
      <c r="Y5" s="37"/>
    </row>
    <row r="6" customFormat="false" ht="12.75" hidden="false" customHeight="false" outlineLevel="0" collapsed="false">
      <c r="A6" s="15"/>
      <c r="B6" s="16"/>
      <c r="C6" s="47" t="s">
        <v>106</v>
      </c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2"/>
      <c r="Q6" s="22"/>
      <c r="R6" s="34"/>
      <c r="S6" s="35"/>
      <c r="T6" s="45"/>
      <c r="U6" s="45"/>
      <c r="V6" s="46"/>
      <c r="W6" s="46"/>
      <c r="X6" s="37"/>
      <c r="Y6" s="37"/>
    </row>
    <row r="7" customFormat="false" ht="12.75" hidden="false" customHeight="false" outlineLevel="0" collapsed="false">
      <c r="A7" s="15"/>
      <c r="B7" s="16"/>
      <c r="C7" s="47" t="s">
        <v>107</v>
      </c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2"/>
      <c r="Q7" s="22"/>
      <c r="R7" s="34"/>
      <c r="S7" s="35"/>
      <c r="T7" s="45"/>
      <c r="U7" s="45"/>
      <c r="V7" s="46"/>
      <c r="W7" s="46"/>
      <c r="X7" s="37"/>
      <c r="Y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2"/>
      <c r="Q8" s="22"/>
      <c r="R8" s="34"/>
      <c r="S8" s="35"/>
      <c r="T8" s="45"/>
      <c r="U8" s="45"/>
      <c r="V8" s="46"/>
      <c r="W8" s="46"/>
      <c r="X8" s="37"/>
      <c r="Y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2"/>
      <c r="Q9" s="22"/>
      <c r="R9" s="34"/>
      <c r="S9" s="35"/>
      <c r="T9" s="45"/>
      <c r="U9" s="45"/>
      <c r="V9" s="46"/>
      <c r="W9" s="46"/>
      <c r="X9" s="37"/>
      <c r="Y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2"/>
      <c r="Q10" s="22"/>
      <c r="R10" s="34"/>
      <c r="S10" s="35"/>
      <c r="T10" s="45"/>
      <c r="U10" s="45"/>
      <c r="V10" s="46"/>
      <c r="W10" s="46"/>
      <c r="X10" s="37"/>
      <c r="Y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74" t="s">
        <v>147</v>
      </c>
      <c r="Q11" s="74" t="s">
        <v>148</v>
      </c>
      <c r="R11" s="49" t="s">
        <v>123</v>
      </c>
      <c r="S11" s="48" t="s">
        <v>124</v>
      </c>
      <c r="T11" s="54" t="s">
        <v>125</v>
      </c>
      <c r="U11" s="54" t="s">
        <v>126</v>
      </c>
      <c r="V11" s="55" t="s">
        <v>149</v>
      </c>
      <c r="W11" s="55" t="s">
        <v>150</v>
      </c>
      <c r="X11" s="24"/>
      <c r="Y11" s="24"/>
    </row>
    <row r="12" customFormat="false" ht="12.75" hidden="false" customHeight="false" outlineLevel="0" collapsed="false">
      <c r="A12" s="15" t="s">
        <v>151</v>
      </c>
      <c r="B12" s="16" t="s">
        <v>48</v>
      </c>
      <c r="C12" s="16"/>
      <c r="D12" s="17"/>
      <c r="E12" s="17"/>
      <c r="F12" s="15" t="s">
        <v>152</v>
      </c>
      <c r="G12" s="15" t="s">
        <v>153</v>
      </c>
      <c r="H12" s="16" t="s">
        <v>154</v>
      </c>
      <c r="I12" s="19"/>
      <c r="J12" s="20" t="n">
        <v>0.0434</v>
      </c>
      <c r="K12" s="20" t="n">
        <v>0.0022</v>
      </c>
      <c r="L12" s="20" t="n">
        <v>0</v>
      </c>
      <c r="M12" s="20" t="n">
        <v>0</v>
      </c>
      <c r="N12" s="25" t="n">
        <v>0.0228</v>
      </c>
      <c r="O12" s="20" t="n">
        <f aca="false">SUM(I12:M12)</f>
        <v>0.0456</v>
      </c>
      <c r="P12" s="22"/>
      <c r="Q12" s="22"/>
      <c r="R12" s="16"/>
      <c r="S12" s="15"/>
      <c r="T12" s="23" t="n">
        <f aca="false">I12*I$1*R12</f>
        <v>0</v>
      </c>
      <c r="U12" s="23"/>
      <c r="V12" s="26"/>
      <c r="W12" s="26"/>
      <c r="X12" s="24"/>
      <c r="Y12" s="24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5" t="s">
        <v>151</v>
      </c>
      <c r="B13" s="16" t="s">
        <v>48</v>
      </c>
      <c r="C13" s="16"/>
      <c r="D13" s="17"/>
      <c r="E13" s="17"/>
      <c r="F13" s="15" t="s">
        <v>155</v>
      </c>
      <c r="G13" s="15" t="s">
        <v>153</v>
      </c>
      <c r="H13" s="16" t="s">
        <v>154</v>
      </c>
      <c r="I13" s="19"/>
      <c r="J13" s="20" t="n">
        <v>0.0434</v>
      </c>
      <c r="K13" s="20" t="n">
        <v>0.0022</v>
      </c>
      <c r="L13" s="20" t="n">
        <v>0</v>
      </c>
      <c r="M13" s="20" t="n">
        <v>0</v>
      </c>
      <c r="N13" s="25" t="n">
        <v>0.0228</v>
      </c>
      <c r="O13" s="20" t="n">
        <f aca="false">SUM(I13:M13)</f>
        <v>0.0456</v>
      </c>
      <c r="P13" s="22"/>
      <c r="Q13" s="22"/>
      <c r="R13" s="16"/>
      <c r="S13" s="15"/>
      <c r="T13" s="23" t="n">
        <f aca="false">I13*I$1*R13</f>
        <v>0</v>
      </c>
      <c r="U13" s="23"/>
      <c r="V13" s="26"/>
      <c r="W13" s="26"/>
      <c r="X13" s="24"/>
      <c r="Y13" s="24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5" t="s">
        <v>151</v>
      </c>
      <c r="B14" s="16" t="s">
        <v>48</v>
      </c>
      <c r="C14" s="16"/>
      <c r="D14" s="17"/>
      <c r="E14" s="17"/>
      <c r="F14" s="15"/>
      <c r="G14" s="15"/>
      <c r="H14" s="16" t="s">
        <v>156</v>
      </c>
      <c r="I14" s="19"/>
      <c r="J14" s="20" t="n">
        <v>0</v>
      </c>
      <c r="K14" s="20" t="n">
        <v>0</v>
      </c>
      <c r="L14" s="20" t="n">
        <v>0</v>
      </c>
      <c r="M14" s="20" t="n">
        <v>0</v>
      </c>
      <c r="N14" s="25" t="n">
        <v>0</v>
      </c>
      <c r="O14" s="20" t="n">
        <f aca="false">SUM(I14:M14)</f>
        <v>0</v>
      </c>
      <c r="P14" s="22"/>
      <c r="Q14" s="22"/>
      <c r="R14" s="16"/>
      <c r="S14" s="15"/>
      <c r="T14" s="23" t="n">
        <f aca="false">I14*I$1*R14</f>
        <v>0</v>
      </c>
      <c r="U14" s="23"/>
      <c r="V14" s="26"/>
      <c r="W14" s="26"/>
      <c r="X14" s="24"/>
      <c r="Y14" s="2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5"/>
      <c r="B15" s="16"/>
      <c r="C15" s="16"/>
      <c r="D15" s="17"/>
      <c r="E15" s="17"/>
      <c r="F15" s="15"/>
      <c r="G15" s="15"/>
      <c r="H15" s="16"/>
      <c r="I15" s="19"/>
      <c r="J15" s="20"/>
      <c r="K15" s="20"/>
      <c r="L15" s="20"/>
      <c r="M15" s="20"/>
      <c r="N15" s="25"/>
      <c r="O15" s="20"/>
      <c r="P15" s="22"/>
      <c r="Q15" s="22"/>
      <c r="R15" s="16"/>
      <c r="S15" s="15"/>
      <c r="T15" s="23" t="n">
        <f aca="false">SUM(T12:T14)</f>
        <v>0</v>
      </c>
      <c r="U15" s="23"/>
      <c r="V15" s="26"/>
      <c r="W15" s="26"/>
      <c r="X15" s="24"/>
      <c r="Y15" s="24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48" t="s">
        <v>108</v>
      </c>
      <c r="B16" s="49" t="s">
        <v>109</v>
      </c>
      <c r="C16" s="49" t="s">
        <v>110</v>
      </c>
      <c r="D16" s="50" t="s">
        <v>111</v>
      </c>
      <c r="E16" s="50"/>
      <c r="F16" s="48" t="s">
        <v>112</v>
      </c>
      <c r="G16" s="48" t="s">
        <v>113</v>
      </c>
      <c r="H16" s="49" t="s">
        <v>114</v>
      </c>
      <c r="I16" s="51" t="s">
        <v>115</v>
      </c>
      <c r="J16" s="49" t="s">
        <v>116</v>
      </c>
      <c r="K16" s="49" t="s">
        <v>117</v>
      </c>
      <c r="L16" s="49" t="s">
        <v>118</v>
      </c>
      <c r="M16" s="49" t="s">
        <v>119</v>
      </c>
      <c r="N16" s="52" t="s">
        <v>120</v>
      </c>
      <c r="O16" s="49" t="s">
        <v>121</v>
      </c>
      <c r="P16" s="74" t="s">
        <v>147</v>
      </c>
      <c r="Q16" s="74" t="s">
        <v>148</v>
      </c>
      <c r="R16" s="49" t="s">
        <v>123</v>
      </c>
      <c r="S16" s="48" t="s">
        <v>124</v>
      </c>
      <c r="T16" s="54" t="s">
        <v>125</v>
      </c>
      <c r="U16" s="54" t="s">
        <v>126</v>
      </c>
      <c r="V16" s="55" t="s">
        <v>149</v>
      </c>
      <c r="W16" s="55" t="s">
        <v>150</v>
      </c>
      <c r="X16" s="24"/>
      <c r="Y16" s="24"/>
    </row>
    <row r="17" customFormat="false" ht="12.75" hidden="false" customHeight="false" outlineLevel="0" collapsed="false">
      <c r="A17" s="15" t="s">
        <v>151</v>
      </c>
      <c r="B17" s="16" t="s">
        <v>128</v>
      </c>
      <c r="C17" s="16" t="s">
        <v>129</v>
      </c>
      <c r="D17" s="17" t="n">
        <v>36557</v>
      </c>
      <c r="E17" s="17" t="n">
        <v>36830</v>
      </c>
      <c r="F17" s="15" t="s">
        <v>130</v>
      </c>
      <c r="G17" s="15" t="s">
        <v>131</v>
      </c>
      <c r="H17" s="16"/>
      <c r="I17" s="75" t="n">
        <f aca="false">1.0603/I$1</f>
        <v>0.0353433333333333</v>
      </c>
      <c r="J17" s="20" t="n">
        <v>0.0017</v>
      </c>
      <c r="K17" s="20" t="n">
        <v>0.0022</v>
      </c>
      <c r="L17" s="20" t="n">
        <v>0</v>
      </c>
      <c r="M17" s="20" t="n">
        <v>0</v>
      </c>
      <c r="N17" s="25" t="n">
        <v>0.00593</v>
      </c>
      <c r="O17" s="20" t="n">
        <f aca="false">SUM(I17:M17)</f>
        <v>0.0392433333333333</v>
      </c>
      <c r="P17" s="22" t="n">
        <v>42789</v>
      </c>
      <c r="Q17" s="22" t="n">
        <v>42789</v>
      </c>
      <c r="R17" s="16" t="n">
        <v>30000</v>
      </c>
      <c r="S17" s="15" t="s">
        <v>132</v>
      </c>
      <c r="T17" s="23" t="n">
        <f aca="false">I17*I$1*R17</f>
        <v>31809</v>
      </c>
      <c r="U17" s="23"/>
      <c r="V17" s="26" t="n">
        <v>156388</v>
      </c>
      <c r="W17" s="26" t="n">
        <v>140447</v>
      </c>
      <c r="X17" s="24"/>
      <c r="Y17" s="24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151</v>
      </c>
      <c r="B18" s="16" t="s">
        <v>128</v>
      </c>
      <c r="C18" s="16" t="s">
        <v>129</v>
      </c>
      <c r="D18" s="17" t="n">
        <v>36557</v>
      </c>
      <c r="E18" s="17" t="n">
        <v>36830</v>
      </c>
      <c r="F18" s="15" t="s">
        <v>157</v>
      </c>
      <c r="G18" s="15" t="s">
        <v>131</v>
      </c>
      <c r="H18" s="16"/>
      <c r="I18" s="75" t="n">
        <f aca="false">1.0603/I$1</f>
        <v>0.0353433333333333</v>
      </c>
      <c r="J18" s="20" t="n">
        <v>0.0017</v>
      </c>
      <c r="K18" s="20" t="n">
        <v>0.0022</v>
      </c>
      <c r="L18" s="20" t="n">
        <v>0</v>
      </c>
      <c r="M18" s="20" t="n">
        <v>0</v>
      </c>
      <c r="N18" s="25" t="n">
        <v>0.00593</v>
      </c>
      <c r="O18" s="20" t="n">
        <f aca="false">SUM(I18:M18)</f>
        <v>0.0392433333333333</v>
      </c>
      <c r="P18" s="22" t="n">
        <v>50250</v>
      </c>
      <c r="Q18" s="22" t="n">
        <v>50250</v>
      </c>
      <c r="R18" s="16" t="n">
        <v>20000</v>
      </c>
      <c r="S18" s="15" t="s">
        <v>158</v>
      </c>
      <c r="T18" s="23" t="n">
        <f aca="false">I18*I$1*R18</f>
        <v>21206</v>
      </c>
      <c r="U18" s="23"/>
      <c r="V18" s="26" t="n">
        <v>156399</v>
      </c>
      <c r="W18" s="26" t="n">
        <v>140448</v>
      </c>
      <c r="X18" s="24"/>
      <c r="Y18" s="24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 t="s">
        <v>151</v>
      </c>
      <c r="B19" s="16" t="s">
        <v>128</v>
      </c>
      <c r="C19" s="16" t="s">
        <v>129</v>
      </c>
      <c r="D19" s="17" t="n">
        <v>36557</v>
      </c>
      <c r="E19" s="17" t="n">
        <v>38442</v>
      </c>
      <c r="F19" s="15" t="s">
        <v>131</v>
      </c>
      <c r="G19" s="15" t="s">
        <v>159</v>
      </c>
      <c r="H19" s="16"/>
      <c r="I19" s="19" t="n">
        <f aca="false">3.145/I$1</f>
        <v>0.104833333333333</v>
      </c>
      <c r="J19" s="20" t="n">
        <v>0.017</v>
      </c>
      <c r="K19" s="20" t="n">
        <v>0.0022</v>
      </c>
      <c r="L19" s="20" t="n">
        <v>0</v>
      </c>
      <c r="M19" s="20" t="n">
        <v>0</v>
      </c>
      <c r="N19" s="25" t="n">
        <v>0.02988</v>
      </c>
      <c r="O19" s="20" t="n">
        <f aca="false">SUM(I19:M19)</f>
        <v>0.124033333333333</v>
      </c>
      <c r="P19" s="22" t="n">
        <v>58654</v>
      </c>
      <c r="Q19" s="22" t="n">
        <v>58654</v>
      </c>
      <c r="R19" s="16" t="n">
        <v>15000</v>
      </c>
      <c r="S19" s="15" t="s">
        <v>160</v>
      </c>
      <c r="T19" s="23" t="n">
        <f aca="false">I19*I$1*R19</f>
        <v>47175</v>
      </c>
      <c r="U19" s="23"/>
      <c r="V19" s="26" t="n">
        <v>156408</v>
      </c>
      <c r="W19" s="26" t="n">
        <v>140445</v>
      </c>
      <c r="X19" s="24"/>
      <c r="Y19" s="24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 t="s">
        <v>151</v>
      </c>
      <c r="B20" s="16" t="s">
        <v>128</v>
      </c>
      <c r="C20" s="16" t="s">
        <v>129</v>
      </c>
      <c r="D20" s="17" t="n">
        <v>36557</v>
      </c>
      <c r="E20" s="17" t="n">
        <v>37955</v>
      </c>
      <c r="F20" s="15" t="s">
        <v>161</v>
      </c>
      <c r="G20" s="15" t="s">
        <v>162</v>
      </c>
      <c r="H20" s="16"/>
      <c r="I20" s="75" t="n">
        <f aca="false">1.0603/I$1</f>
        <v>0.0353433333333333</v>
      </c>
      <c r="J20" s="20" t="n">
        <v>0.0017</v>
      </c>
      <c r="K20" s="20" t="n">
        <v>0.0022</v>
      </c>
      <c r="L20" s="20" t="n">
        <v>0</v>
      </c>
      <c r="M20" s="20" t="n">
        <v>0</v>
      </c>
      <c r="N20" s="25" t="n">
        <v>0.00593</v>
      </c>
      <c r="O20" s="20" t="n">
        <f aca="false">SUM(I20:M20)</f>
        <v>0.0392433333333333</v>
      </c>
      <c r="P20" s="22" t="n">
        <v>62408</v>
      </c>
      <c r="Q20" s="22" t="n">
        <v>62408</v>
      </c>
      <c r="R20" s="16" t="n">
        <v>40000</v>
      </c>
      <c r="S20" s="15" t="s">
        <v>163</v>
      </c>
      <c r="T20" s="23" t="n">
        <f aca="false">I20*I$1*R20</f>
        <v>42412</v>
      </c>
      <c r="U20" s="23"/>
      <c r="V20" s="26" t="n">
        <v>156526</v>
      </c>
      <c r="W20" s="26" t="n">
        <v>140443</v>
      </c>
      <c r="X20" s="24"/>
      <c r="Y20" s="24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15" t="s">
        <v>151</v>
      </c>
      <c r="B21" s="16" t="s">
        <v>128</v>
      </c>
      <c r="C21" s="16" t="s">
        <v>129</v>
      </c>
      <c r="D21" s="17" t="n">
        <v>36557</v>
      </c>
      <c r="E21" s="17" t="n">
        <v>37346</v>
      </c>
      <c r="F21" s="15" t="s">
        <v>131</v>
      </c>
      <c r="G21" s="15" t="s">
        <v>159</v>
      </c>
      <c r="H21" s="16"/>
      <c r="I21" s="19" t="n">
        <f aca="false">2.6805/I$1</f>
        <v>0.08935</v>
      </c>
      <c r="J21" s="20" t="n">
        <v>0.017</v>
      </c>
      <c r="K21" s="20" t="n">
        <v>0.0022</v>
      </c>
      <c r="L21" s="20" t="n">
        <v>0</v>
      </c>
      <c r="M21" s="20" t="n">
        <v>0</v>
      </c>
      <c r="N21" s="25" t="n">
        <v>0.02988</v>
      </c>
      <c r="O21" s="20" t="n">
        <f aca="false">SUM(I21:M21)</f>
        <v>0.10855</v>
      </c>
      <c r="P21" s="22" t="n">
        <v>63115</v>
      </c>
      <c r="Q21" s="22" t="n">
        <v>63115</v>
      </c>
      <c r="R21" s="16" t="n">
        <v>30000</v>
      </c>
      <c r="S21" s="15" t="s">
        <v>160</v>
      </c>
      <c r="T21" s="23" t="n">
        <f aca="false">I21*I$1*R21</f>
        <v>80415</v>
      </c>
      <c r="U21" s="23"/>
      <c r="V21" s="26" t="n">
        <v>156532</v>
      </c>
      <c r="W21" s="26" t="n">
        <v>140442</v>
      </c>
      <c r="X21" s="24"/>
      <c r="Y21" s="24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5" t="s">
        <v>151</v>
      </c>
      <c r="B22" s="16" t="s">
        <v>128</v>
      </c>
      <c r="C22" s="16" t="s">
        <v>129</v>
      </c>
      <c r="D22" s="17" t="n">
        <v>36557</v>
      </c>
      <c r="E22" s="17" t="n">
        <v>38291</v>
      </c>
      <c r="F22" s="15" t="s">
        <v>164</v>
      </c>
      <c r="G22" s="15" t="s">
        <v>131</v>
      </c>
      <c r="H22" s="16"/>
      <c r="I22" s="75" t="n">
        <f aca="false">1.0603/I$1</f>
        <v>0.0353433333333333</v>
      </c>
      <c r="J22" s="20" t="n">
        <v>0.0017</v>
      </c>
      <c r="K22" s="20" t="n">
        <v>0.0022</v>
      </c>
      <c r="L22" s="20" t="n">
        <v>0</v>
      </c>
      <c r="M22" s="20" t="n">
        <v>0</v>
      </c>
      <c r="N22" s="25" t="n">
        <v>0.00593</v>
      </c>
      <c r="O22" s="20" t="n">
        <f aca="false">SUM(I22:M22)</f>
        <v>0.0392433333333333</v>
      </c>
      <c r="P22" s="22" t="n">
        <v>63922</v>
      </c>
      <c r="Q22" s="22" t="n">
        <v>63922</v>
      </c>
      <c r="R22" s="16" t="n">
        <v>25654</v>
      </c>
      <c r="S22" s="15" t="s">
        <v>165</v>
      </c>
      <c r="T22" s="23" t="n">
        <f aca="false">I22*I$1*R22</f>
        <v>27200.9362</v>
      </c>
      <c r="U22" s="23"/>
      <c r="V22" s="26" t="n">
        <v>156540</v>
      </c>
      <c r="W22" s="26" t="n">
        <v>140444</v>
      </c>
      <c r="X22" s="24"/>
      <c r="Y22" s="24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39" t="s">
        <v>151</v>
      </c>
      <c r="B23" s="76" t="s">
        <v>128</v>
      </c>
      <c r="C23" s="76" t="s">
        <v>129</v>
      </c>
      <c r="D23" s="77" t="n">
        <v>36557</v>
      </c>
      <c r="E23" s="77" t="n">
        <v>36769</v>
      </c>
      <c r="F23" s="39" t="s">
        <v>166</v>
      </c>
      <c r="G23" s="39" t="s">
        <v>167</v>
      </c>
      <c r="H23" s="76"/>
      <c r="I23" s="78" t="n">
        <f aca="false">1.4381/I$1</f>
        <v>0.0479366666666667</v>
      </c>
      <c r="J23" s="79" t="n">
        <v>0</v>
      </c>
      <c r="K23" s="79" t="n">
        <v>0.0022</v>
      </c>
      <c r="L23" s="79" t="n">
        <v>0</v>
      </c>
      <c r="M23" s="79" t="n">
        <v>0</v>
      </c>
      <c r="N23" s="80" t="n">
        <v>0.00593</v>
      </c>
      <c r="O23" s="79" t="n">
        <f aca="false">SUM(I23:M23)</f>
        <v>0.0501366666666667</v>
      </c>
      <c r="P23" s="81" t="n">
        <v>64502</v>
      </c>
      <c r="Q23" s="81" t="n">
        <v>64502</v>
      </c>
      <c r="R23" s="76" t="n">
        <v>29000</v>
      </c>
      <c r="S23" s="39" t="s">
        <v>168</v>
      </c>
      <c r="T23" s="82" t="n">
        <f aca="false">I23*I$1*R23</f>
        <v>41704.9</v>
      </c>
      <c r="U23" s="82"/>
      <c r="V23" s="83"/>
      <c r="W23" s="83" t="s">
        <v>169</v>
      </c>
      <c r="X23" s="84" t="s">
        <v>170</v>
      </c>
      <c r="Y23" s="85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</row>
    <row r="24" customFormat="false" ht="12.75" hidden="false" customHeight="false" outlineLevel="0" collapsed="false">
      <c r="A24" s="15" t="s">
        <v>151</v>
      </c>
      <c r="B24" s="16" t="s">
        <v>128</v>
      </c>
      <c r="C24" s="16" t="s">
        <v>171</v>
      </c>
      <c r="D24" s="17" t="n">
        <v>36557</v>
      </c>
      <c r="E24" s="17" t="n">
        <v>36830</v>
      </c>
      <c r="F24" s="15" t="s">
        <v>172</v>
      </c>
      <c r="G24" s="15" t="s">
        <v>173</v>
      </c>
      <c r="H24" s="16"/>
      <c r="I24" s="19" t="n">
        <f aca="false">3.145/I$1</f>
        <v>0.104833333333333</v>
      </c>
      <c r="J24" s="20" t="n">
        <v>0</v>
      </c>
      <c r="K24" s="20" t="n">
        <v>0.0022</v>
      </c>
      <c r="L24" s="20" t="n">
        <v>0</v>
      </c>
      <c r="M24" s="20" t="n">
        <v>0</v>
      </c>
      <c r="N24" s="25" t="n">
        <v>0.00593</v>
      </c>
      <c r="O24" s="20" t="n">
        <f aca="false">SUM(I24:M24)</f>
        <v>0.107033333333333</v>
      </c>
      <c r="P24" s="22" t="n">
        <v>65072</v>
      </c>
      <c r="Q24" s="22" t="n">
        <v>65072</v>
      </c>
      <c r="R24" s="16" t="n">
        <v>7610</v>
      </c>
      <c r="S24" s="15" t="s">
        <v>174</v>
      </c>
      <c r="T24" s="23" t="n">
        <f aca="false">I24*I$1*R24</f>
        <v>23933.45</v>
      </c>
      <c r="U24" s="23"/>
      <c r="V24" s="26" t="n">
        <v>156603</v>
      </c>
      <c r="W24" s="26" t="n">
        <v>145034</v>
      </c>
      <c r="X24" s="24"/>
      <c r="Y24" s="24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38" t="s">
        <v>151</v>
      </c>
      <c r="B25" s="87" t="s">
        <v>128</v>
      </c>
      <c r="C25" s="87" t="s">
        <v>171</v>
      </c>
      <c r="D25" s="88" t="n">
        <v>36617</v>
      </c>
      <c r="E25" s="88" t="n">
        <v>36646</v>
      </c>
      <c r="F25" s="38" t="s">
        <v>172</v>
      </c>
      <c r="G25" s="38" t="s">
        <v>173</v>
      </c>
      <c r="H25" s="87"/>
      <c r="I25" s="75" t="n">
        <f aca="false">3.145/I$1</f>
        <v>0.104833333333333</v>
      </c>
      <c r="J25" s="89" t="n">
        <v>0</v>
      </c>
      <c r="K25" s="89" t="n">
        <v>0.0022</v>
      </c>
      <c r="L25" s="89" t="n">
        <v>0</v>
      </c>
      <c r="M25" s="89" t="n">
        <v>0</v>
      </c>
      <c r="N25" s="90" t="n">
        <v>0.00593</v>
      </c>
      <c r="O25" s="89" t="n">
        <f aca="false">SUM(I25:M25)</f>
        <v>0.107033333333333</v>
      </c>
      <c r="P25" s="91" t="n">
        <v>65072</v>
      </c>
      <c r="Q25" s="91" t="n">
        <v>65072</v>
      </c>
      <c r="R25" s="92" t="n">
        <v>-103</v>
      </c>
      <c r="S25" s="38" t="s">
        <v>175</v>
      </c>
      <c r="T25" s="93" t="n">
        <f aca="false">I25*I$1*R25</f>
        <v>-323.935</v>
      </c>
      <c r="U25" s="93"/>
      <c r="V25" s="94" t="n">
        <v>229672</v>
      </c>
      <c r="W25" s="94"/>
      <c r="X25" s="95"/>
      <c r="Y25" s="95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13.5" hidden="false" customHeight="false" outlineLevel="0" collapsed="false">
      <c r="A26" s="38" t="s">
        <v>151</v>
      </c>
      <c r="B26" s="87" t="s">
        <v>128</v>
      </c>
      <c r="C26" s="87" t="s">
        <v>171</v>
      </c>
      <c r="D26" s="88" t="n">
        <v>36617</v>
      </c>
      <c r="E26" s="88" t="n">
        <v>36646</v>
      </c>
      <c r="F26" s="38" t="s">
        <v>172</v>
      </c>
      <c r="G26" s="38" t="s">
        <v>173</v>
      </c>
      <c r="H26" s="87"/>
      <c r="I26" s="75" t="n">
        <f aca="false">3.145/I$1</f>
        <v>0.104833333333333</v>
      </c>
      <c r="J26" s="89" t="n">
        <v>0</v>
      </c>
      <c r="K26" s="89" t="n">
        <v>0.0022</v>
      </c>
      <c r="L26" s="89" t="n">
        <v>0</v>
      </c>
      <c r="M26" s="89" t="n">
        <v>0</v>
      </c>
      <c r="N26" s="90" t="n">
        <v>0.00593</v>
      </c>
      <c r="O26" s="89" t="n">
        <f aca="false">SUM(I26:M26)</f>
        <v>0.107033333333333</v>
      </c>
      <c r="P26" s="91" t="n">
        <v>65072</v>
      </c>
      <c r="Q26" s="91" t="n">
        <v>65072</v>
      </c>
      <c r="R26" s="97" t="n">
        <v>-241</v>
      </c>
      <c r="S26" s="38" t="s">
        <v>176</v>
      </c>
      <c r="T26" s="93" t="n">
        <f aca="false">I26*I$1*R26</f>
        <v>-757.945</v>
      </c>
      <c r="U26" s="93"/>
      <c r="V26" s="94" t="n">
        <v>229672</v>
      </c>
      <c r="W26" s="94"/>
      <c r="X26" s="95"/>
      <c r="Y26" s="95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13.5" hidden="false" customHeight="false" outlineLevel="0" collapsed="false">
      <c r="A27" s="56" t="s">
        <v>1</v>
      </c>
      <c r="B27" s="57" t="s">
        <v>1</v>
      </c>
      <c r="C27" s="58" t="s">
        <v>1</v>
      </c>
      <c r="D27" s="59" t="s">
        <v>1</v>
      </c>
      <c r="E27" s="59"/>
      <c r="F27" s="56" t="s">
        <v>1</v>
      </c>
      <c r="G27" s="60" t="s">
        <v>1</v>
      </c>
      <c r="H27" s="57" t="s">
        <v>1</v>
      </c>
      <c r="I27" s="61"/>
      <c r="J27" s="62"/>
      <c r="K27" s="62"/>
      <c r="L27" s="62"/>
      <c r="M27" s="62"/>
      <c r="N27" s="63"/>
      <c r="O27" s="62"/>
      <c r="P27" s="98" t="s">
        <v>1</v>
      </c>
      <c r="Q27" s="98" t="s">
        <v>1</v>
      </c>
      <c r="R27" s="57" t="n">
        <f aca="false">SUM(R17:R26)</f>
        <v>196920</v>
      </c>
      <c r="S27" s="56" t="s">
        <v>1</v>
      </c>
      <c r="T27" s="99" t="n">
        <f aca="false">SUM(T17:T26)</f>
        <v>314774.4062</v>
      </c>
      <c r="U27" s="65" t="n">
        <f aca="false">SUM(U17:U26)</f>
        <v>0</v>
      </c>
      <c r="V27" s="66"/>
      <c r="W27" s="66"/>
      <c r="X27" s="24"/>
      <c r="Y27" s="24"/>
    </row>
    <row r="28" customFormat="false" ht="12.75" hidden="false" customHeight="false" outlineLevel="0" collapsed="false">
      <c r="A28" s="48" t="s">
        <v>108</v>
      </c>
      <c r="B28" s="49" t="s">
        <v>109</v>
      </c>
      <c r="C28" s="49" t="s">
        <v>110</v>
      </c>
      <c r="D28" s="50" t="s">
        <v>111</v>
      </c>
      <c r="E28" s="50"/>
      <c r="F28" s="48" t="s">
        <v>112</v>
      </c>
      <c r="G28" s="48" t="s">
        <v>113</v>
      </c>
      <c r="H28" s="49" t="s">
        <v>114</v>
      </c>
      <c r="I28" s="51" t="s">
        <v>115</v>
      </c>
      <c r="J28" s="49" t="s">
        <v>116</v>
      </c>
      <c r="K28" s="49" t="s">
        <v>117</v>
      </c>
      <c r="L28" s="49" t="s">
        <v>118</v>
      </c>
      <c r="M28" s="49" t="s">
        <v>119</v>
      </c>
      <c r="N28" s="52" t="s">
        <v>120</v>
      </c>
      <c r="O28" s="49" t="s">
        <v>121</v>
      </c>
      <c r="P28" s="74" t="s">
        <v>147</v>
      </c>
      <c r="Q28" s="74" t="s">
        <v>148</v>
      </c>
      <c r="R28" s="49" t="s">
        <v>123</v>
      </c>
      <c r="S28" s="48" t="s">
        <v>124</v>
      </c>
      <c r="T28" s="54" t="s">
        <v>133</v>
      </c>
      <c r="U28" s="54" t="s">
        <v>133</v>
      </c>
      <c r="V28" s="55"/>
      <c r="W28" s="55"/>
      <c r="X28" s="24"/>
      <c r="Y28" s="24"/>
    </row>
    <row r="29" customFormat="false" ht="12.75" hidden="false" customHeight="false" outlineLevel="0" collapsed="false">
      <c r="A29" s="15" t="s">
        <v>151</v>
      </c>
      <c r="B29" s="16" t="s">
        <v>134</v>
      </c>
      <c r="C29" s="16" t="s">
        <v>171</v>
      </c>
      <c r="D29" s="17" t="n">
        <v>36464</v>
      </c>
      <c r="E29" s="17" t="n">
        <v>36860</v>
      </c>
      <c r="F29" s="15" t="s">
        <v>173</v>
      </c>
      <c r="G29" s="15" t="s">
        <v>177</v>
      </c>
      <c r="H29" s="16"/>
      <c r="I29" s="19" t="n">
        <f aca="false">6.423/I$1</f>
        <v>0.2141</v>
      </c>
      <c r="J29" s="20" t="n">
        <v>0.0132</v>
      </c>
      <c r="K29" s="20" t="n">
        <v>0.0022</v>
      </c>
      <c r="L29" s="20" t="n">
        <v>0.0072</v>
      </c>
      <c r="M29" s="20" t="n">
        <v>0</v>
      </c>
      <c r="N29" s="25" t="n">
        <v>0.02116</v>
      </c>
      <c r="O29" s="20" t="n">
        <f aca="false">SUM(I29:M29)</f>
        <v>0.2367</v>
      </c>
      <c r="P29" s="22" t="n">
        <v>65071</v>
      </c>
      <c r="Q29" s="22" t="n">
        <v>65071</v>
      </c>
      <c r="R29" s="16" t="n">
        <v>5429</v>
      </c>
      <c r="S29" s="15" t="s">
        <v>178</v>
      </c>
      <c r="T29" s="23" t="n">
        <f aca="false">I29*I$1*R29</f>
        <v>34870.467</v>
      </c>
      <c r="U29" s="23"/>
      <c r="V29" s="26" t="n">
        <v>205687</v>
      </c>
      <c r="W29" s="26" t="n">
        <v>144867</v>
      </c>
      <c r="X29" s="24"/>
      <c r="Y29" s="24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5" t="s">
        <v>151</v>
      </c>
      <c r="B30" s="16" t="s">
        <v>134</v>
      </c>
      <c r="C30" s="16" t="s">
        <v>171</v>
      </c>
      <c r="D30" s="17" t="n">
        <v>36464</v>
      </c>
      <c r="E30" s="17" t="n">
        <v>36860</v>
      </c>
      <c r="F30" s="15" t="s">
        <v>173</v>
      </c>
      <c r="G30" s="15" t="s">
        <v>179</v>
      </c>
      <c r="H30" s="16"/>
      <c r="I30" s="19" t="n">
        <f aca="false">6.423/I$1</f>
        <v>0.2141</v>
      </c>
      <c r="J30" s="20" t="n">
        <v>0.0132</v>
      </c>
      <c r="K30" s="20" t="n">
        <v>0.0022</v>
      </c>
      <c r="L30" s="20" t="n">
        <v>0.0072</v>
      </c>
      <c r="M30" s="20" t="n">
        <v>0</v>
      </c>
      <c r="N30" s="25" t="n">
        <v>0.02116</v>
      </c>
      <c r="O30" s="20" t="n">
        <f aca="false">SUM(I30:M30)</f>
        <v>0.2367</v>
      </c>
      <c r="P30" s="22" t="n">
        <v>65071</v>
      </c>
      <c r="Q30" s="22" t="n">
        <v>65071</v>
      </c>
      <c r="R30" s="16" t="n">
        <v>1000</v>
      </c>
      <c r="S30" s="15" t="s">
        <v>178</v>
      </c>
      <c r="T30" s="23" t="n">
        <f aca="false">I30*I$1*R30</f>
        <v>6423</v>
      </c>
      <c r="U30" s="23"/>
      <c r="V30" s="26" t="n">
        <v>205687</v>
      </c>
      <c r="W30" s="26" t="n">
        <v>144867</v>
      </c>
      <c r="X30" s="24"/>
      <c r="Y30" s="24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5" t="s">
        <v>151</v>
      </c>
      <c r="B31" s="16" t="s">
        <v>134</v>
      </c>
      <c r="C31" s="16" t="s">
        <v>171</v>
      </c>
      <c r="D31" s="17" t="n">
        <v>36464</v>
      </c>
      <c r="E31" s="17" t="n">
        <v>36860</v>
      </c>
      <c r="F31" s="15" t="s">
        <v>173</v>
      </c>
      <c r="G31" s="15" t="s">
        <v>180</v>
      </c>
      <c r="H31" s="16"/>
      <c r="I31" s="19" t="n">
        <f aca="false">6.423/I$1</f>
        <v>0.2141</v>
      </c>
      <c r="J31" s="20" t="n">
        <v>0.0132</v>
      </c>
      <c r="K31" s="20" t="n">
        <v>0.0022</v>
      </c>
      <c r="L31" s="20" t="n">
        <v>0.0072</v>
      </c>
      <c r="M31" s="20" t="n">
        <v>0</v>
      </c>
      <c r="N31" s="25" t="n">
        <v>0.02116</v>
      </c>
      <c r="O31" s="20" t="n">
        <f aca="false">SUM(I31:M31)</f>
        <v>0.2367</v>
      </c>
      <c r="P31" s="22" t="n">
        <v>65071</v>
      </c>
      <c r="Q31" s="22" t="n">
        <v>65071</v>
      </c>
      <c r="R31" s="16" t="n">
        <v>1000</v>
      </c>
      <c r="S31" s="15" t="s">
        <v>178</v>
      </c>
      <c r="T31" s="23" t="n">
        <f aca="false">I31*I$1*R31</f>
        <v>6423</v>
      </c>
      <c r="U31" s="23"/>
      <c r="V31" s="26" t="n">
        <v>205687</v>
      </c>
      <c r="W31" s="26" t="n">
        <v>144867</v>
      </c>
      <c r="X31" s="24"/>
      <c r="Y31" s="24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38" t="s">
        <v>151</v>
      </c>
      <c r="B32" s="87" t="s">
        <v>134</v>
      </c>
      <c r="C32" s="38" t="s">
        <v>181</v>
      </c>
      <c r="D32" s="88" t="n">
        <v>36586</v>
      </c>
      <c r="E32" s="88" t="n">
        <v>36617</v>
      </c>
      <c r="F32" s="38" t="s">
        <v>173</v>
      </c>
      <c r="G32" s="38" t="s">
        <v>177</v>
      </c>
      <c r="H32" s="87"/>
      <c r="I32" s="19" t="n">
        <f aca="false">6.423/I$1</f>
        <v>0.2141</v>
      </c>
      <c r="J32" s="89" t="n">
        <v>0.0132</v>
      </c>
      <c r="K32" s="89" t="n">
        <v>0.0022</v>
      </c>
      <c r="L32" s="89" t="n">
        <v>0.0072</v>
      </c>
      <c r="M32" s="89" t="n">
        <v>0</v>
      </c>
      <c r="N32" s="90" t="n">
        <v>0.02116</v>
      </c>
      <c r="O32" s="89" t="n">
        <f aca="false">SUM(I32:M32)</f>
        <v>0.2367</v>
      </c>
      <c r="P32" s="91" t="n">
        <v>65071</v>
      </c>
      <c r="Q32" s="91" t="n">
        <v>65071</v>
      </c>
      <c r="R32" s="100" t="n">
        <v>-100</v>
      </c>
      <c r="S32" s="38" t="s">
        <v>175</v>
      </c>
      <c r="T32" s="93" t="n">
        <f aca="false">I32*I$1*R32</f>
        <v>-642.3</v>
      </c>
      <c r="U32" s="93"/>
      <c r="V32" s="94" t="n">
        <v>229679</v>
      </c>
      <c r="W32" s="94"/>
      <c r="X32" s="95"/>
      <c r="Y32" s="95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  <c r="IT32" s="96"/>
      <c r="IU32" s="96"/>
      <c r="IV32" s="96"/>
      <c r="IW32" s="96"/>
    </row>
    <row r="33" customFormat="false" ht="13.5" hidden="false" customHeight="false" outlineLevel="0" collapsed="false">
      <c r="A33" s="38" t="s">
        <v>151</v>
      </c>
      <c r="B33" s="87" t="s">
        <v>134</v>
      </c>
      <c r="C33" s="38" t="s">
        <v>182</v>
      </c>
      <c r="D33" s="88" t="n">
        <v>36586</v>
      </c>
      <c r="E33" s="88" t="n">
        <v>36617</v>
      </c>
      <c r="F33" s="38" t="s">
        <v>173</v>
      </c>
      <c r="G33" s="38" t="s">
        <v>179</v>
      </c>
      <c r="H33" s="87"/>
      <c r="I33" s="19" t="n">
        <f aca="false">6.423/I$1</f>
        <v>0.2141</v>
      </c>
      <c r="J33" s="89" t="n">
        <v>0.0132</v>
      </c>
      <c r="K33" s="89" t="n">
        <v>0.0022</v>
      </c>
      <c r="L33" s="89" t="n">
        <v>0.0072</v>
      </c>
      <c r="M33" s="89" t="n">
        <v>0</v>
      </c>
      <c r="N33" s="90" t="n">
        <v>0.02116</v>
      </c>
      <c r="O33" s="89" t="n">
        <f aca="false">SUM(I33:M33)</f>
        <v>0.2367</v>
      </c>
      <c r="P33" s="91" t="n">
        <v>65071</v>
      </c>
      <c r="Q33" s="91" t="n">
        <v>65071</v>
      </c>
      <c r="R33" s="101" t="n">
        <v>-236</v>
      </c>
      <c r="S33" s="38" t="s">
        <v>176</v>
      </c>
      <c r="T33" s="93" t="n">
        <f aca="false">I33*I$1*R33</f>
        <v>-1515.828</v>
      </c>
      <c r="U33" s="93"/>
      <c r="V33" s="94" t="n">
        <v>229679</v>
      </c>
      <c r="W33" s="94"/>
      <c r="X33" s="95"/>
      <c r="Y33" s="95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  <c r="IT33" s="96"/>
      <c r="IU33" s="96"/>
      <c r="IV33" s="96"/>
      <c r="IW33" s="96"/>
    </row>
    <row r="34" customFormat="false" ht="13.5" hidden="false" customHeight="false" outlineLevel="0" collapsed="false">
      <c r="A34" s="15" t="s">
        <v>151</v>
      </c>
      <c r="B34" s="16" t="s">
        <v>134</v>
      </c>
      <c r="C34" s="16" t="s">
        <v>183</v>
      </c>
      <c r="D34" s="17" t="n">
        <v>36434</v>
      </c>
      <c r="E34" s="17" t="n">
        <v>36714</v>
      </c>
      <c r="F34" s="15" t="s">
        <v>184</v>
      </c>
      <c r="G34" s="15" t="s">
        <v>185</v>
      </c>
      <c r="H34" s="16"/>
      <c r="I34" s="19" t="n">
        <v>0.085</v>
      </c>
      <c r="J34" s="20" t="n">
        <v>0.0132</v>
      </c>
      <c r="K34" s="20" t="n">
        <v>0.0022</v>
      </c>
      <c r="L34" s="20" t="n">
        <v>0.0072</v>
      </c>
      <c r="M34" s="20" t="n">
        <v>0</v>
      </c>
      <c r="N34" s="25" t="n">
        <v>0.02116</v>
      </c>
      <c r="O34" s="20" t="n">
        <f aca="false">SUM(I34:M34)</f>
        <v>0.1076</v>
      </c>
      <c r="P34" s="22"/>
      <c r="Q34" s="22"/>
      <c r="R34" s="16" t="n">
        <v>40000</v>
      </c>
      <c r="S34" s="15" t="s">
        <v>186</v>
      </c>
      <c r="T34" s="23" t="n">
        <f aca="false">I34*I$1*R34</f>
        <v>102000</v>
      </c>
      <c r="U34" s="23"/>
      <c r="V34" s="26"/>
      <c r="W34" s="26"/>
      <c r="X34" s="24"/>
      <c r="Y34" s="2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56" t="s">
        <v>1</v>
      </c>
      <c r="B35" s="57" t="s">
        <v>1</v>
      </c>
      <c r="C35" s="57" t="s">
        <v>1</v>
      </c>
      <c r="D35" s="59" t="s">
        <v>1</v>
      </c>
      <c r="E35" s="59" t="s">
        <v>1</v>
      </c>
      <c r="F35" s="56" t="s">
        <v>1</v>
      </c>
      <c r="G35" s="60" t="s">
        <v>1</v>
      </c>
      <c r="H35" s="57" t="s">
        <v>1</v>
      </c>
      <c r="I35" s="61"/>
      <c r="J35" s="62"/>
      <c r="K35" s="62"/>
      <c r="L35" s="62"/>
      <c r="M35" s="62"/>
      <c r="N35" s="63"/>
      <c r="O35" s="62"/>
      <c r="P35" s="98" t="s">
        <v>1</v>
      </c>
      <c r="Q35" s="98" t="s">
        <v>1</v>
      </c>
      <c r="R35" s="57" t="n">
        <f aca="false">SUM(R29:R34)</f>
        <v>47093</v>
      </c>
      <c r="S35" s="56" t="s">
        <v>1</v>
      </c>
      <c r="T35" s="65" t="n">
        <f aca="false">SUM(T29:T34)</f>
        <v>147558.339</v>
      </c>
      <c r="U35" s="65" t="n">
        <f aca="false">SUM(U29:U34)</f>
        <v>0</v>
      </c>
      <c r="V35" s="66"/>
      <c r="W35" s="66"/>
      <c r="X35" s="24"/>
      <c r="Y35" s="24"/>
    </row>
    <row r="36" customFormat="false" ht="12.75" hidden="false" customHeight="false" outlineLevel="0" collapsed="false">
      <c r="A36" s="48" t="s">
        <v>108</v>
      </c>
      <c r="B36" s="49" t="s">
        <v>109</v>
      </c>
      <c r="C36" s="49" t="s">
        <v>110</v>
      </c>
      <c r="D36" s="50" t="s">
        <v>111</v>
      </c>
      <c r="E36" s="50"/>
      <c r="F36" s="48" t="s">
        <v>112</v>
      </c>
      <c r="G36" s="48" t="s">
        <v>113</v>
      </c>
      <c r="H36" s="49" t="s">
        <v>187</v>
      </c>
      <c r="I36" s="51" t="s">
        <v>115</v>
      </c>
      <c r="J36" s="49" t="s">
        <v>116</v>
      </c>
      <c r="K36" s="49" t="s">
        <v>117</v>
      </c>
      <c r="L36" s="49" t="s">
        <v>118</v>
      </c>
      <c r="M36" s="49" t="s">
        <v>119</v>
      </c>
      <c r="N36" s="52" t="s">
        <v>120</v>
      </c>
      <c r="O36" s="49" t="s">
        <v>121</v>
      </c>
      <c r="P36" s="74" t="s">
        <v>147</v>
      </c>
      <c r="Q36" s="74" t="s">
        <v>148</v>
      </c>
      <c r="R36" s="49" t="s">
        <v>123</v>
      </c>
      <c r="S36" s="48" t="s">
        <v>124</v>
      </c>
      <c r="T36" s="54" t="s">
        <v>125</v>
      </c>
      <c r="U36" s="54" t="s">
        <v>126</v>
      </c>
      <c r="V36" s="55" t="s">
        <v>149</v>
      </c>
      <c r="W36" s="55" t="s">
        <v>150</v>
      </c>
      <c r="X36" s="24"/>
      <c r="Y36" s="24"/>
    </row>
    <row r="37" customFormat="false" ht="12.75" hidden="false" customHeight="false" outlineLevel="0" collapsed="false">
      <c r="A37" s="15" t="s">
        <v>188</v>
      </c>
      <c r="B37" s="15" t="s">
        <v>189</v>
      </c>
      <c r="C37" s="16"/>
      <c r="D37" s="17" t="n">
        <v>36526</v>
      </c>
      <c r="E37" s="17" t="n">
        <v>36769</v>
      </c>
      <c r="F37" s="15" t="s">
        <v>190</v>
      </c>
      <c r="G37" s="15"/>
      <c r="H37" s="16" t="s">
        <v>191</v>
      </c>
      <c r="I37" s="19" t="n">
        <v>0.125</v>
      </c>
      <c r="J37" s="20" t="n">
        <v>0</v>
      </c>
      <c r="K37" s="20" t="n">
        <v>0.0022</v>
      </c>
      <c r="L37" s="20" t="n">
        <v>0.0072</v>
      </c>
      <c r="M37" s="20" t="n">
        <v>0.0131</v>
      </c>
      <c r="N37" s="25" t="n">
        <v>0</v>
      </c>
      <c r="O37" s="20" t="n">
        <f aca="false">SUM(I37:M37)</f>
        <v>0.1475</v>
      </c>
      <c r="P37" s="22" t="s">
        <v>192</v>
      </c>
      <c r="Q37" s="22"/>
      <c r="R37" s="16" t="n">
        <v>1000000</v>
      </c>
      <c r="S37" s="15" t="s">
        <v>193</v>
      </c>
      <c r="T37" s="102" t="n">
        <v>125000</v>
      </c>
      <c r="U37" s="23"/>
      <c r="V37" s="26"/>
      <c r="W37" s="26"/>
      <c r="X37" s="24"/>
      <c r="Y37" s="24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5"/>
      <c r="B38" s="16"/>
      <c r="C38" s="16"/>
      <c r="D38" s="17"/>
      <c r="E38" s="17"/>
      <c r="F38" s="15"/>
      <c r="G38" s="15"/>
      <c r="H38" s="16"/>
      <c r="I38" s="19"/>
      <c r="J38" s="20"/>
      <c r="K38" s="20"/>
      <c r="L38" s="20"/>
      <c r="M38" s="20"/>
      <c r="N38" s="25"/>
      <c r="O38" s="20"/>
      <c r="P38" s="22"/>
      <c r="Q38" s="22"/>
      <c r="R38" s="16"/>
      <c r="S38" s="15"/>
      <c r="T38" s="23" t="n">
        <f aca="false">SUM(T37)</f>
        <v>125000</v>
      </c>
      <c r="U38" s="23"/>
      <c r="V38" s="26"/>
      <c r="W38" s="26"/>
      <c r="X38" s="24"/>
      <c r="Y38" s="24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48" t="s">
        <v>108</v>
      </c>
      <c r="B39" s="49" t="s">
        <v>109</v>
      </c>
      <c r="C39" s="49" t="s">
        <v>110</v>
      </c>
      <c r="D39" s="50" t="s">
        <v>111</v>
      </c>
      <c r="E39" s="50"/>
      <c r="F39" s="48" t="s">
        <v>112</v>
      </c>
      <c r="G39" s="48" t="s">
        <v>113</v>
      </c>
      <c r="H39" s="49" t="s">
        <v>187</v>
      </c>
      <c r="I39" s="51" t="s">
        <v>115</v>
      </c>
      <c r="J39" s="49" t="s">
        <v>116</v>
      </c>
      <c r="K39" s="49" t="s">
        <v>117</v>
      </c>
      <c r="L39" s="49" t="s">
        <v>118</v>
      </c>
      <c r="M39" s="49" t="s">
        <v>119</v>
      </c>
      <c r="N39" s="52" t="s">
        <v>120</v>
      </c>
      <c r="O39" s="49" t="s">
        <v>121</v>
      </c>
      <c r="P39" s="74" t="s">
        <v>147</v>
      </c>
      <c r="Q39" s="74" t="s">
        <v>148</v>
      </c>
      <c r="R39" s="49" t="s">
        <v>123</v>
      </c>
      <c r="S39" s="48" t="s">
        <v>124</v>
      </c>
      <c r="T39" s="54" t="s">
        <v>125</v>
      </c>
      <c r="U39" s="54" t="s">
        <v>126</v>
      </c>
      <c r="V39" s="55" t="s">
        <v>149</v>
      </c>
      <c r="W39" s="55" t="s">
        <v>150</v>
      </c>
      <c r="X39" s="24"/>
      <c r="Y39" s="24"/>
    </row>
    <row r="40" customFormat="false" ht="12.75" hidden="false" customHeight="false" outlineLevel="0" collapsed="false">
      <c r="A40" s="15" t="s">
        <v>92</v>
      </c>
      <c r="B40" s="16" t="s">
        <v>140</v>
      </c>
      <c r="C40" s="16" t="s">
        <v>129</v>
      </c>
      <c r="D40" s="17" t="n">
        <v>35612</v>
      </c>
      <c r="E40" s="17" t="n">
        <v>37437</v>
      </c>
      <c r="F40" s="15" t="s">
        <v>13</v>
      </c>
      <c r="G40" s="15" t="s">
        <v>13</v>
      </c>
      <c r="H40" s="16" t="s">
        <v>194</v>
      </c>
      <c r="I40" s="19" t="n">
        <f aca="false">7.007/$I$1</f>
        <v>0.233566666666667</v>
      </c>
      <c r="J40" s="20" t="n">
        <v>0</v>
      </c>
      <c r="K40" s="20" t="n">
        <v>0.0022</v>
      </c>
      <c r="L40" s="20" t="n">
        <v>0.0072</v>
      </c>
      <c r="M40" s="20" t="n">
        <v>0.0131</v>
      </c>
      <c r="N40" s="25" t="n">
        <v>0</v>
      </c>
      <c r="O40" s="20" t="n">
        <f aca="false">SUM(I40:M40)</f>
        <v>0.256066666666667</v>
      </c>
      <c r="P40" s="22" t="n">
        <v>270</v>
      </c>
      <c r="Q40" s="22" t="n">
        <v>270</v>
      </c>
      <c r="R40" s="16" t="n">
        <v>1000</v>
      </c>
      <c r="S40" s="15" t="s">
        <v>195</v>
      </c>
      <c r="T40" s="23" t="n">
        <f aca="false">I40*I$1*R40</f>
        <v>7007</v>
      </c>
      <c r="U40" s="23"/>
      <c r="V40" s="26"/>
      <c r="W40" s="26" t="n">
        <v>149901</v>
      </c>
      <c r="X40" s="24"/>
      <c r="Y40" s="24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5"/>
      <c r="B41" s="16"/>
      <c r="C41" s="16"/>
      <c r="D41" s="17"/>
      <c r="E41" s="17"/>
      <c r="F41" s="15"/>
      <c r="G41" s="15"/>
      <c r="H41" s="16"/>
      <c r="I41" s="19"/>
      <c r="J41" s="20"/>
      <c r="K41" s="20"/>
      <c r="L41" s="20"/>
      <c r="M41" s="20"/>
      <c r="N41" s="25"/>
      <c r="O41" s="20"/>
      <c r="P41" s="22"/>
      <c r="Q41" s="22"/>
      <c r="R41" s="16"/>
      <c r="S41" s="15"/>
      <c r="T41" s="23" t="n">
        <f aca="false">SUM(T40)</f>
        <v>7007</v>
      </c>
      <c r="U41" s="23"/>
      <c r="V41" s="26"/>
      <c r="W41" s="26"/>
      <c r="X41" s="24"/>
      <c r="Y41" s="2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48" t="s">
        <v>108</v>
      </c>
      <c r="B42" s="49" t="s">
        <v>109</v>
      </c>
      <c r="C42" s="49" t="s">
        <v>110</v>
      </c>
      <c r="D42" s="50" t="s">
        <v>111</v>
      </c>
      <c r="E42" s="50"/>
      <c r="F42" s="48" t="s">
        <v>112</v>
      </c>
      <c r="G42" s="48" t="s">
        <v>113</v>
      </c>
      <c r="H42" s="49" t="s">
        <v>187</v>
      </c>
      <c r="I42" s="51" t="s">
        <v>115</v>
      </c>
      <c r="J42" s="49" t="s">
        <v>116</v>
      </c>
      <c r="K42" s="49" t="s">
        <v>117</v>
      </c>
      <c r="L42" s="49" t="s">
        <v>118</v>
      </c>
      <c r="M42" s="49" t="s">
        <v>119</v>
      </c>
      <c r="N42" s="52" t="s">
        <v>120</v>
      </c>
      <c r="O42" s="49" t="s">
        <v>121</v>
      </c>
      <c r="P42" s="74" t="s">
        <v>147</v>
      </c>
      <c r="Q42" s="74" t="s">
        <v>148</v>
      </c>
      <c r="R42" s="49" t="s">
        <v>123</v>
      </c>
      <c r="S42" s="48" t="s">
        <v>124</v>
      </c>
      <c r="T42" s="54" t="s">
        <v>125</v>
      </c>
      <c r="U42" s="54" t="s">
        <v>126</v>
      </c>
      <c r="V42" s="55" t="s">
        <v>149</v>
      </c>
      <c r="W42" s="55" t="s">
        <v>150</v>
      </c>
      <c r="X42" s="24"/>
      <c r="Y42" s="24"/>
    </row>
    <row r="43" customFormat="false" ht="11.25" hidden="false" customHeight="false" outlineLevel="0" collapsed="false">
      <c r="A43" s="38" t="s">
        <v>151</v>
      </c>
      <c r="B43" s="38" t="s">
        <v>196</v>
      </c>
      <c r="C43" s="38" t="s">
        <v>171</v>
      </c>
      <c r="D43" s="88" t="n">
        <v>36557</v>
      </c>
      <c r="E43" s="88" t="n">
        <v>36830</v>
      </c>
      <c r="F43" s="38" t="s">
        <v>197</v>
      </c>
      <c r="G43" s="38" t="s">
        <v>198</v>
      </c>
      <c r="H43" s="38" t="s">
        <v>199</v>
      </c>
      <c r="I43" s="103" t="n">
        <f aca="false">18.29*0.0328767</f>
        <v>0.601314843</v>
      </c>
      <c r="J43" s="38" t="n">
        <v>0</v>
      </c>
      <c r="K43" s="38" t="n">
        <v>0.0022</v>
      </c>
      <c r="L43" s="38" t="n">
        <v>0.0072</v>
      </c>
      <c r="M43" s="38" t="n">
        <v>0.0131</v>
      </c>
      <c r="N43" s="38" t="n">
        <v>0</v>
      </c>
      <c r="O43" s="38" t="n">
        <f aca="false">SUM(I43:M43)</f>
        <v>0.623814843</v>
      </c>
      <c r="P43" s="91" t="n">
        <v>892510</v>
      </c>
      <c r="Q43" s="91" t="n">
        <v>891865</v>
      </c>
      <c r="R43" s="38" t="n">
        <v>16136</v>
      </c>
      <c r="S43" s="38" t="s">
        <v>200</v>
      </c>
      <c r="T43" s="87" t="n">
        <f aca="false">I43*I$1*R43</f>
        <v>291084.48919944</v>
      </c>
      <c r="U43" s="38"/>
      <c r="V43" s="94" t="s">
        <v>201</v>
      </c>
      <c r="W43" s="94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</row>
    <row r="44" customFormat="false" ht="11.25" hidden="false" customHeight="false" outlineLevel="0" collapsed="false">
      <c r="A44" s="38" t="s">
        <v>151</v>
      </c>
      <c r="B44" s="38" t="s">
        <v>196</v>
      </c>
      <c r="C44" s="38" t="s">
        <v>171</v>
      </c>
      <c r="D44" s="88" t="n">
        <v>36617</v>
      </c>
      <c r="E44" s="88" t="n">
        <v>36646</v>
      </c>
      <c r="F44" s="38" t="s">
        <v>197</v>
      </c>
      <c r="G44" s="38" t="s">
        <v>198</v>
      </c>
      <c r="H44" s="38" t="s">
        <v>199</v>
      </c>
      <c r="I44" s="103" t="n">
        <f aca="false">18.889*0.0328767</f>
        <v>0.6210079863</v>
      </c>
      <c r="J44" s="38" t="n">
        <v>0</v>
      </c>
      <c r="K44" s="38" t="n">
        <v>0.0022</v>
      </c>
      <c r="L44" s="38" t="n">
        <v>0.0072</v>
      </c>
      <c r="M44" s="38" t="n">
        <v>0.0131</v>
      </c>
      <c r="N44" s="38" t="n">
        <v>0</v>
      </c>
      <c r="O44" s="38" t="n">
        <f aca="false">SUM(I44:M44)</f>
        <v>0.6435079863</v>
      </c>
      <c r="P44" s="91" t="n">
        <v>892511</v>
      </c>
      <c r="Q44" s="91"/>
      <c r="R44" s="38" t="n">
        <f aca="false">-193-231-306</f>
        <v>-730</v>
      </c>
      <c r="S44" s="38"/>
      <c r="T44" s="87" t="n">
        <f aca="false">I44*I$1*R44</f>
        <v>-13600.07489997</v>
      </c>
      <c r="U44" s="38"/>
      <c r="V44" s="94" t="n">
        <v>229669</v>
      </c>
      <c r="W44" s="94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2.75" hidden="false" customHeight="false" outlineLevel="0" collapsed="false">
      <c r="A45" s="15" t="s">
        <v>151</v>
      </c>
      <c r="B45" s="16" t="s">
        <v>196</v>
      </c>
      <c r="C45" s="16" t="s">
        <v>171</v>
      </c>
      <c r="D45" s="17" t="n">
        <v>36465</v>
      </c>
      <c r="E45" s="17" t="n">
        <v>36830</v>
      </c>
      <c r="F45" s="15" t="s">
        <v>197</v>
      </c>
      <c r="G45" s="15" t="s">
        <v>198</v>
      </c>
      <c r="H45" s="16" t="s">
        <v>199</v>
      </c>
      <c r="I45" s="103" t="n">
        <f aca="false">18.889*0.0328767</f>
        <v>0.6210079863</v>
      </c>
      <c r="J45" s="20" t="n">
        <v>0</v>
      </c>
      <c r="K45" s="20" t="n">
        <v>0.0022</v>
      </c>
      <c r="L45" s="20" t="n">
        <v>0.0072</v>
      </c>
      <c r="M45" s="20" t="n">
        <v>0.0131</v>
      </c>
      <c r="N45" s="25" t="n">
        <v>0</v>
      </c>
      <c r="O45" s="20" t="n">
        <f aca="false">SUM(I45:M45)</f>
        <v>0.6435079863</v>
      </c>
      <c r="P45" s="22" t="n">
        <v>892511</v>
      </c>
      <c r="Q45" s="22" t="n">
        <v>891830</v>
      </c>
      <c r="R45" s="16" t="n">
        <v>8068</v>
      </c>
      <c r="S45" s="15"/>
      <c r="T45" s="16" t="n">
        <f aca="false">I45*I$1*R45</f>
        <v>150308.773004052</v>
      </c>
      <c r="U45" s="23"/>
      <c r="V45" s="26" t="s">
        <v>202</v>
      </c>
      <c r="W45" s="26"/>
      <c r="X45" s="24"/>
      <c r="Y45" s="24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5"/>
      <c r="B46" s="16"/>
      <c r="C46" s="16"/>
      <c r="D46" s="17"/>
      <c r="E46" s="17"/>
      <c r="F46" s="15"/>
      <c r="G46" s="15"/>
      <c r="H46" s="16"/>
      <c r="I46" s="19"/>
      <c r="J46" s="20"/>
      <c r="K46" s="68"/>
      <c r="L46" s="20"/>
      <c r="M46" s="20"/>
      <c r="N46" s="25"/>
      <c r="O46" s="20"/>
      <c r="P46" s="22"/>
      <c r="Q46" s="22"/>
      <c r="R46" s="34"/>
      <c r="S46" s="16"/>
      <c r="T46" s="23" t="n">
        <f aca="false">SUM(T43:T45)</f>
        <v>427793.187303522</v>
      </c>
      <c r="U46" s="23"/>
      <c r="V46" s="26"/>
      <c r="W46" s="26"/>
      <c r="X46" s="24"/>
      <c r="Y46" s="24"/>
    </row>
    <row r="47" customFormat="false" ht="12.75" hidden="false" customHeight="false" outlineLevel="0" collapsed="false">
      <c r="A47" s="48" t="s">
        <v>108</v>
      </c>
      <c r="B47" s="49" t="s">
        <v>109</v>
      </c>
      <c r="C47" s="49" t="s">
        <v>110</v>
      </c>
      <c r="D47" s="50" t="s">
        <v>111</v>
      </c>
      <c r="E47" s="50"/>
      <c r="F47" s="48" t="s">
        <v>112</v>
      </c>
      <c r="G47" s="48" t="s">
        <v>113</v>
      </c>
      <c r="H47" s="49" t="s">
        <v>187</v>
      </c>
      <c r="I47" s="51" t="s">
        <v>115</v>
      </c>
      <c r="J47" s="49" t="s">
        <v>116</v>
      </c>
      <c r="K47" s="49" t="s">
        <v>117</v>
      </c>
      <c r="L47" s="49" t="s">
        <v>118</v>
      </c>
      <c r="M47" s="49" t="s">
        <v>119</v>
      </c>
      <c r="N47" s="52" t="s">
        <v>120</v>
      </c>
      <c r="O47" s="49" t="s">
        <v>121</v>
      </c>
      <c r="P47" s="74" t="s">
        <v>147</v>
      </c>
      <c r="Q47" s="74" t="s">
        <v>148</v>
      </c>
      <c r="R47" s="49" t="s">
        <v>123</v>
      </c>
      <c r="S47" s="48" t="s">
        <v>124</v>
      </c>
      <c r="T47" s="54" t="s">
        <v>125</v>
      </c>
      <c r="U47" s="54" t="s">
        <v>126</v>
      </c>
      <c r="V47" s="55" t="s">
        <v>149</v>
      </c>
      <c r="W47" s="55" t="s">
        <v>150</v>
      </c>
      <c r="X47" s="24"/>
      <c r="Y47" s="24"/>
    </row>
    <row r="48" customFormat="false" ht="12.75" hidden="false" customHeight="false" outlineLevel="0" collapsed="false">
      <c r="A48" s="15" t="s">
        <v>151</v>
      </c>
      <c r="B48" s="16" t="s">
        <v>203</v>
      </c>
      <c r="C48" s="16" t="s">
        <v>204</v>
      </c>
      <c r="D48" s="17"/>
      <c r="E48" s="17"/>
      <c r="F48" s="15"/>
      <c r="G48" s="15"/>
      <c r="H48" s="16"/>
      <c r="I48" s="19" t="n">
        <f aca="false">4.28/31</f>
        <v>0.138064516129032</v>
      </c>
      <c r="J48" s="20"/>
      <c r="K48" s="68"/>
      <c r="L48" s="20"/>
      <c r="M48" s="20"/>
      <c r="N48" s="25"/>
      <c r="O48" s="20"/>
      <c r="P48" s="22" t="n">
        <v>714638</v>
      </c>
      <c r="Q48" s="22"/>
      <c r="R48" s="34" t="n">
        <v>40000</v>
      </c>
      <c r="S48" s="16"/>
      <c r="T48" s="104" t="n">
        <f aca="false">I48*I$1*R48</f>
        <v>165677.419354839</v>
      </c>
      <c r="U48" s="23"/>
      <c r="V48" s="26"/>
      <c r="W48" s="26" t="n">
        <v>145899</v>
      </c>
      <c r="X48" s="24"/>
      <c r="Y48" s="24"/>
    </row>
    <row r="49" customFormat="false" ht="12.75" hidden="false" customHeight="false" outlineLevel="0" collapsed="false">
      <c r="A49" s="15" t="s">
        <v>151</v>
      </c>
      <c r="B49" s="16" t="s">
        <v>203</v>
      </c>
      <c r="C49" s="16" t="s">
        <v>129</v>
      </c>
      <c r="D49" s="17"/>
      <c r="E49" s="17"/>
      <c r="F49" s="15"/>
      <c r="G49" s="15"/>
      <c r="H49" s="16"/>
      <c r="I49" s="19" t="n">
        <f aca="false">4.28/31</f>
        <v>0.138064516129032</v>
      </c>
      <c r="J49" s="20"/>
      <c r="K49" s="68"/>
      <c r="L49" s="20"/>
      <c r="M49" s="20"/>
      <c r="N49" s="25"/>
      <c r="O49" s="20"/>
      <c r="P49" s="22" t="n">
        <v>712131</v>
      </c>
      <c r="Q49" s="22"/>
      <c r="R49" s="34" t="n">
        <v>3750</v>
      </c>
      <c r="S49" s="16"/>
      <c r="T49" s="23" t="n">
        <f aca="false">I49*I$1*R49</f>
        <v>15532.2580645161</v>
      </c>
      <c r="U49" s="23"/>
      <c r="V49" s="26"/>
      <c r="W49" s="26" t="n">
        <v>203609</v>
      </c>
      <c r="X49" s="24"/>
      <c r="Y49" s="24"/>
    </row>
    <row r="50" customFormat="false" ht="12.75" hidden="false" customHeight="false" outlineLevel="0" collapsed="false">
      <c r="A50" s="15"/>
      <c r="B50" s="16"/>
      <c r="C50" s="16"/>
      <c r="D50" s="17"/>
      <c r="E50" s="17"/>
      <c r="F50" s="15"/>
      <c r="G50" s="15"/>
      <c r="H50" s="16"/>
      <c r="I50" s="19"/>
      <c r="J50" s="20"/>
      <c r="K50" s="68"/>
      <c r="L50" s="20"/>
      <c r="M50" s="20"/>
      <c r="N50" s="25"/>
      <c r="O50" s="20"/>
      <c r="P50" s="22"/>
      <c r="Q50" s="22"/>
      <c r="R50" s="34"/>
      <c r="S50" s="16"/>
      <c r="T50" s="105" t="n">
        <f aca="false">SUM(T48:T49)</f>
        <v>181209.677419355</v>
      </c>
      <c r="U50" s="23"/>
      <c r="V50" s="26"/>
      <c r="W50" s="26"/>
      <c r="X50" s="24"/>
      <c r="Y50" s="24"/>
    </row>
    <row r="51" customFormat="false" ht="12.75" hidden="false" customHeight="false" outlineLevel="0" collapsed="false">
      <c r="A51" s="15"/>
      <c r="B51" s="16"/>
      <c r="C51" s="16"/>
      <c r="D51" s="17"/>
      <c r="E51" s="17"/>
      <c r="F51" s="15"/>
      <c r="G51" s="15"/>
      <c r="H51" s="16"/>
      <c r="I51" s="19"/>
      <c r="J51" s="20"/>
      <c r="K51" s="68"/>
      <c r="L51" s="20"/>
      <c r="M51" s="20"/>
      <c r="N51" s="25"/>
      <c r="O51" s="20"/>
      <c r="P51" s="22"/>
      <c r="Q51" s="22"/>
      <c r="R51" s="34"/>
      <c r="S51" s="16"/>
      <c r="T51" s="106"/>
      <c r="U51" s="23"/>
      <c r="V51" s="26"/>
      <c r="W51" s="26"/>
      <c r="X51" s="24"/>
      <c r="Y51" s="24"/>
    </row>
    <row r="52" customFormat="false" ht="12.75" hidden="false" customHeight="false" outlineLevel="0" collapsed="false">
      <c r="A52" s="15"/>
      <c r="B52" s="16"/>
      <c r="C52" s="16"/>
      <c r="D52" s="17"/>
      <c r="E52" s="17"/>
      <c r="F52" s="15"/>
      <c r="G52" s="15"/>
      <c r="H52" s="16"/>
      <c r="I52" s="19"/>
      <c r="J52" s="20"/>
      <c r="K52" s="68"/>
      <c r="L52" s="20"/>
      <c r="M52" s="20"/>
      <c r="N52" s="107"/>
      <c r="O52" s="20"/>
      <c r="P52" s="22"/>
      <c r="Q52" s="108"/>
      <c r="R52" s="16"/>
      <c r="S52" s="16"/>
      <c r="X52" s="109"/>
      <c r="Y52" s="109"/>
    </row>
    <row r="53" customFormat="false" ht="12.75" hidden="false" customHeight="false" outlineLevel="0" collapsed="false">
      <c r="A53" s="15"/>
      <c r="B53" s="16"/>
      <c r="C53" s="16"/>
      <c r="D53" s="17" t="s">
        <v>1</v>
      </c>
      <c r="E53" s="17"/>
      <c r="F53" s="15"/>
      <c r="G53" s="15"/>
      <c r="H53" s="16"/>
      <c r="I53" s="19"/>
      <c r="J53" s="20"/>
      <c r="K53" s="68"/>
      <c r="L53" s="20"/>
      <c r="M53" s="20"/>
      <c r="N53" s="25"/>
      <c r="O53" s="20"/>
      <c r="P53" s="108"/>
      <c r="Q53" s="110"/>
      <c r="R53" s="45"/>
      <c r="S53" s="111" t="s">
        <v>205</v>
      </c>
      <c r="T53" s="110" t="n">
        <f aca="false">SUM(T50,T46,T41,T38,T35,T27,T15)</f>
        <v>1203342.60992288</v>
      </c>
      <c r="U53" s="35"/>
      <c r="V53" s="36"/>
      <c r="W53" s="36"/>
      <c r="X53" s="37"/>
      <c r="Y53" s="37"/>
    </row>
    <row r="54" customFormat="false" ht="12.75" hidden="false" customHeight="false" outlineLevel="0" collapsed="false">
      <c r="A54" s="28"/>
      <c r="B54" s="16"/>
      <c r="C54" s="16"/>
      <c r="D54" s="17"/>
      <c r="E54" s="17"/>
      <c r="F54" s="15"/>
      <c r="G54" s="15"/>
      <c r="H54" s="16"/>
      <c r="I54" s="19"/>
      <c r="J54" s="20"/>
      <c r="K54" s="20"/>
      <c r="L54" s="20"/>
      <c r="M54" s="20"/>
      <c r="N54" s="25"/>
      <c r="O54" s="20"/>
      <c r="P54" s="108"/>
      <c r="Q54" s="112"/>
      <c r="R54" s="71"/>
      <c r="S54" s="35" t="s">
        <v>206</v>
      </c>
      <c r="T54" s="112" t="n">
        <f aca="false">SUM(T43:T45,T29:T33,T24:T26)</f>
        <v>496203.096303522</v>
      </c>
      <c r="U54" s="35"/>
      <c r="V54" s="36"/>
      <c r="W54" s="36"/>
      <c r="X54" s="37"/>
      <c r="Y54" s="37"/>
    </row>
    <row r="55" customFormat="false" ht="13.5" hidden="false" customHeight="false" outlineLevel="0" collapsed="false">
      <c r="A55" s="28"/>
      <c r="B55" s="16"/>
      <c r="C55" s="16"/>
      <c r="D55" s="17"/>
      <c r="E55" s="17"/>
      <c r="F55" s="15"/>
      <c r="G55" s="15"/>
      <c r="H55" s="16"/>
      <c r="I55" s="20"/>
      <c r="J55" s="20"/>
      <c r="K55" s="20"/>
      <c r="L55" s="20"/>
      <c r="M55" s="20"/>
      <c r="N55" s="25"/>
      <c r="O55" s="20"/>
      <c r="P55" s="108"/>
      <c r="Q55" s="112"/>
      <c r="R55" s="71"/>
      <c r="S55" s="35" t="s">
        <v>207</v>
      </c>
      <c r="T55" s="113" t="n">
        <f aca="false">+T53-T54</f>
        <v>707139.513619355</v>
      </c>
      <c r="U55" s="35"/>
      <c r="V55" s="36"/>
      <c r="W55" s="36"/>
      <c r="X55" s="37"/>
      <c r="Y55" s="37"/>
    </row>
    <row r="56" customFormat="false" ht="13.5" hidden="false" customHeight="false" outlineLevel="0" collapsed="false">
      <c r="A56" s="28"/>
      <c r="B56" s="16"/>
      <c r="C56" s="16"/>
      <c r="D56" s="17"/>
      <c r="E56" s="17"/>
      <c r="F56" s="15"/>
      <c r="G56" s="15"/>
      <c r="H56" s="16"/>
      <c r="I56" s="19"/>
      <c r="J56" s="20"/>
      <c r="K56" s="20"/>
      <c r="L56" s="20"/>
      <c r="M56" s="20"/>
      <c r="N56" s="25"/>
      <c r="O56" s="20"/>
      <c r="P56" s="108"/>
      <c r="Q56" s="108"/>
      <c r="R56" s="71"/>
      <c r="S56" s="35"/>
      <c r="T56" s="35"/>
      <c r="U56" s="35"/>
      <c r="V56" s="36"/>
      <c r="W56" s="36"/>
      <c r="X56" s="37"/>
      <c r="Y56" s="37"/>
    </row>
    <row r="57" customFormat="false" ht="12.75" hidden="false" customHeight="false" outlineLevel="0" collapsed="false">
      <c r="A57" s="28"/>
      <c r="B57" s="16"/>
      <c r="C57" s="16"/>
      <c r="D57" s="17"/>
      <c r="E57" s="17"/>
      <c r="F57" s="15"/>
      <c r="G57" s="15"/>
      <c r="H57" s="16"/>
      <c r="I57" s="20"/>
      <c r="J57" s="20"/>
      <c r="K57" s="20"/>
      <c r="L57" s="20"/>
      <c r="M57" s="20"/>
      <c r="N57" s="25"/>
      <c r="O57" s="20"/>
      <c r="P57" s="108"/>
      <c r="Q57" s="108"/>
      <c r="R57" s="71"/>
      <c r="S57" s="35"/>
      <c r="T57" s="35"/>
      <c r="U57" s="35"/>
      <c r="V57" s="36"/>
      <c r="W57" s="36"/>
      <c r="X57" s="37"/>
      <c r="Y57" s="37"/>
    </row>
    <row r="58" customFormat="false" ht="12.75" hidden="false" customHeight="false" outlineLevel="0" collapsed="false">
      <c r="A58" s="28"/>
      <c r="B58" s="16"/>
      <c r="C58" s="16"/>
      <c r="D58" s="17"/>
      <c r="E58" s="17"/>
      <c r="F58" s="15"/>
      <c r="G58" s="15"/>
      <c r="H58" s="16"/>
      <c r="I58" s="19"/>
      <c r="J58" s="20"/>
      <c r="K58" s="20"/>
      <c r="L58" s="20"/>
      <c r="M58" s="20"/>
      <c r="N58" s="25"/>
      <c r="O58" s="20"/>
      <c r="P58" s="108"/>
      <c r="Q58" s="108"/>
      <c r="R58" s="71"/>
      <c r="S58" s="35"/>
      <c r="T58" s="35"/>
      <c r="U58" s="35"/>
      <c r="V58" s="36"/>
      <c r="W58" s="36"/>
      <c r="X58" s="37"/>
      <c r="Y58" s="37"/>
    </row>
    <row r="59" customFormat="false" ht="12.75" hidden="false" customHeight="false" outlineLevel="0" collapsed="false">
      <c r="A59" s="28"/>
      <c r="B59" s="16"/>
      <c r="C59" s="16"/>
      <c r="D59" s="17"/>
      <c r="E59" s="17"/>
      <c r="F59" s="15"/>
      <c r="G59" s="15"/>
      <c r="H59" s="16"/>
      <c r="I59" s="20"/>
      <c r="J59" s="20"/>
      <c r="K59" s="20"/>
      <c r="L59" s="20"/>
      <c r="M59" s="20"/>
      <c r="N59" s="25"/>
      <c r="O59" s="20"/>
      <c r="P59" s="108"/>
      <c r="Q59" s="108"/>
      <c r="R59" s="71"/>
      <c r="S59" s="35"/>
      <c r="T59" s="35"/>
      <c r="U59" s="35"/>
      <c r="V59" s="36"/>
      <c r="W59" s="36"/>
      <c r="X59" s="37"/>
      <c r="Y59" s="37"/>
    </row>
    <row r="60" customFormat="false" ht="12.75" hidden="false" customHeight="false" outlineLevel="0" collapsed="false">
      <c r="A60" s="28"/>
      <c r="B60" s="16"/>
      <c r="C60" s="16"/>
      <c r="D60" s="17"/>
      <c r="E60" s="17"/>
      <c r="F60" s="15"/>
      <c r="G60" s="15"/>
      <c r="H60" s="16"/>
      <c r="I60" s="20"/>
      <c r="J60" s="20"/>
      <c r="K60" s="20"/>
      <c r="L60" s="20"/>
      <c r="M60" s="20"/>
      <c r="N60" s="25"/>
      <c r="O60" s="20"/>
      <c r="P60" s="108"/>
      <c r="Q60" s="108"/>
      <c r="R60" s="71"/>
      <c r="S60" s="35"/>
      <c r="T60" s="35"/>
      <c r="U60" s="35"/>
      <c r="V60" s="36"/>
      <c r="W60" s="36"/>
      <c r="X60" s="69"/>
      <c r="Y60" s="37"/>
    </row>
    <row r="61" customFormat="false" ht="12.75" hidden="false" customHeight="false" outlineLevel="0" collapsed="false">
      <c r="A61" s="28"/>
      <c r="B61" s="16"/>
      <c r="C61" s="16"/>
      <c r="D61" s="17"/>
      <c r="E61" s="17"/>
      <c r="F61" s="15"/>
      <c r="G61" s="15"/>
      <c r="H61" s="16"/>
      <c r="I61" s="20"/>
      <c r="J61" s="20"/>
      <c r="K61" s="20"/>
      <c r="L61" s="20"/>
      <c r="M61" s="20"/>
      <c r="N61" s="25"/>
      <c r="O61" s="20"/>
      <c r="P61" s="108"/>
      <c r="Q61" s="108"/>
      <c r="R61" s="71"/>
      <c r="S61" s="35"/>
      <c r="T61" s="35"/>
      <c r="U61" s="35"/>
      <c r="V61" s="36"/>
      <c r="W61" s="36"/>
      <c r="X61" s="37"/>
      <c r="Y61" s="37"/>
    </row>
    <row r="62" customFormat="false" ht="12.75" hidden="false" customHeight="false" outlineLevel="0" collapsed="false">
      <c r="A62" s="28"/>
      <c r="B62" s="16"/>
      <c r="C62" s="16"/>
      <c r="D62" s="17"/>
      <c r="E62" s="17"/>
      <c r="F62" s="15"/>
      <c r="G62" s="15"/>
      <c r="H62" s="16"/>
      <c r="I62" s="20"/>
      <c r="J62" s="20"/>
      <c r="K62" s="20"/>
      <c r="L62" s="20"/>
      <c r="M62" s="20"/>
      <c r="N62" s="25"/>
      <c r="O62" s="20"/>
      <c r="P62" s="108"/>
      <c r="Q62" s="108"/>
      <c r="R62" s="71"/>
      <c r="S62" s="35"/>
      <c r="T62" s="35"/>
      <c r="U62" s="35"/>
      <c r="V62" s="36"/>
      <c r="W62" s="36"/>
      <c r="X62" s="37"/>
      <c r="Y62" s="37"/>
    </row>
    <row r="63" customFormat="false" ht="12.75" hidden="false" customHeight="false" outlineLevel="0" collapsed="false">
      <c r="A63" s="28"/>
      <c r="B63" s="16"/>
      <c r="C63" s="16"/>
      <c r="D63" s="17"/>
      <c r="E63" s="17"/>
      <c r="F63" s="15"/>
      <c r="G63" s="15"/>
      <c r="H63" s="16"/>
      <c r="I63" s="19"/>
      <c r="J63" s="20"/>
      <c r="K63" s="20"/>
      <c r="L63" s="20"/>
      <c r="M63" s="20"/>
      <c r="N63" s="25"/>
      <c r="O63" s="20"/>
      <c r="P63" s="108"/>
      <c r="Q63" s="108"/>
      <c r="R63" s="71"/>
      <c r="S63" s="69"/>
      <c r="T63" s="35"/>
      <c r="U63" s="35"/>
      <c r="V63" s="36"/>
      <c r="W63" s="36"/>
      <c r="X63" s="37"/>
      <c r="Y63" s="37"/>
    </row>
    <row r="64" customFormat="false" ht="12.75" hidden="false" customHeight="false" outlineLevel="0" collapsed="false">
      <c r="A64" s="28"/>
      <c r="B64" s="16"/>
      <c r="C64" s="16"/>
      <c r="D64" s="17"/>
      <c r="E64" s="17"/>
      <c r="F64" s="15"/>
      <c r="G64" s="15"/>
      <c r="H64" s="16"/>
      <c r="I64" s="19"/>
      <c r="J64" s="20"/>
      <c r="K64" s="20"/>
      <c r="L64" s="20"/>
      <c r="M64" s="20"/>
      <c r="N64" s="25"/>
      <c r="O64" s="20"/>
      <c r="P64" s="108"/>
      <c r="Q64" s="108"/>
      <c r="R64" s="71"/>
      <c r="S64" s="69"/>
      <c r="T64" s="35"/>
      <c r="U64" s="35"/>
      <c r="V64" s="36"/>
      <c r="W64" s="36"/>
      <c r="X64" s="37"/>
      <c r="Y64" s="37"/>
    </row>
    <row r="65" customFormat="false" ht="12.75" hidden="false" customHeight="false" outlineLevel="0" collapsed="false">
      <c r="P65" s="73"/>
      <c r="Q65" s="73"/>
      <c r="R65" s="73"/>
      <c r="S65" s="73"/>
      <c r="T65" s="73"/>
      <c r="U65" s="73"/>
      <c r="V65" s="72"/>
      <c r="W65" s="72"/>
      <c r="X65" s="72"/>
    </row>
    <row r="66" customFormat="false" ht="12.75" hidden="false" customHeight="false" outlineLevel="0" collapsed="false">
      <c r="P66" s="73"/>
      <c r="Q66" s="73"/>
      <c r="R66" s="73"/>
      <c r="S66" s="73"/>
      <c r="T66" s="73"/>
      <c r="U66" s="73"/>
      <c r="V66" s="72"/>
      <c r="W66" s="72"/>
      <c r="X66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pane xSplit="4" ySplit="5" topLeftCell="T16" activePane="bottomRight" state="frozen"/>
      <selection pane="topLeft" activeCell="A1" activeCellId="0" sqref="A1"/>
      <selection pane="topRight" activeCell="T1" activeCellId="0" sqref="T1"/>
      <selection pane="bottomLeft" activeCell="A16" activeCellId="0" sqref="A16"/>
      <selection pane="bottomRigh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6.28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11.13"/>
    <col collapsed="false" customWidth="true" hidden="false" outlineLevel="0" max="5" min="5" style="27" width="7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9.28"/>
    <col collapsed="false" customWidth="true" hidden="true" outlineLevel="0" max="16" min="10" style="27" width="9.06"/>
    <col collapsed="false" customWidth="true" hidden="false" outlineLevel="0" max="17" min="17" style="27" width="12.7"/>
    <col collapsed="false" customWidth="false" hidden="false" outlineLevel="0" max="18" min="18" style="27" width="9.14"/>
    <col collapsed="false" customWidth="true" hidden="false" outlineLevel="0" max="19" min="19" style="27" width="14.7"/>
    <col collapsed="false" customWidth="false" hidden="false" outlineLevel="0" max="20" min="20" style="114" width="9.14"/>
    <col collapsed="false" customWidth="true" hidden="false" outlineLevel="0" max="21" min="21" style="27" width="7.28"/>
    <col collapsed="false" customWidth="true" hidden="false" outlineLevel="0" max="22" min="22" style="30" width="12.56"/>
    <col collapsed="false" customWidth="false" hidden="false" outlineLevel="0" max="23" min="23" style="30" width="9.14"/>
    <col collapsed="false" customWidth="true" hidden="false" outlineLevel="0" max="24" min="24" style="27" width="12.42"/>
    <col collapsed="false" customWidth="false" hidden="false" outlineLevel="0" max="257" min="25" style="27" width="9.14"/>
  </cols>
  <sheetData>
    <row r="1" customFormat="false" ht="12.75" hidden="false" customHeight="false" outlineLevel="0" collapsed="false">
      <c r="A1" s="31" t="s">
        <v>208</v>
      </c>
      <c r="B1" s="16"/>
      <c r="C1" s="16"/>
      <c r="D1" s="17"/>
      <c r="E1" s="17"/>
      <c r="F1" s="15"/>
      <c r="G1" s="15"/>
      <c r="H1" s="16" t="s">
        <v>98</v>
      </c>
      <c r="I1" s="32" t="n">
        <v>30</v>
      </c>
      <c r="J1" s="20"/>
      <c r="K1" s="20"/>
      <c r="L1" s="20"/>
      <c r="M1" s="20"/>
      <c r="N1" s="20"/>
      <c r="O1" s="21"/>
      <c r="P1" s="20"/>
      <c r="Q1" s="22"/>
      <c r="R1" s="34"/>
      <c r="S1" s="35"/>
      <c r="T1" s="115"/>
      <c r="U1" s="35"/>
      <c r="V1" s="37"/>
      <c r="W1" s="37"/>
    </row>
    <row r="2" customFormat="false" ht="12.75" hidden="false" customHeight="false" outlineLevel="0" collapsed="false">
      <c r="A2" s="38" t="s">
        <v>100</v>
      </c>
      <c r="B2" s="38"/>
      <c r="C2" s="38"/>
      <c r="D2" s="17"/>
      <c r="E2" s="17"/>
      <c r="F2" s="15"/>
      <c r="G2" s="15"/>
      <c r="H2" s="16"/>
      <c r="I2" s="32"/>
      <c r="J2" s="20"/>
      <c r="K2" s="20"/>
      <c r="L2" s="20"/>
      <c r="M2" s="20"/>
      <c r="N2" s="20"/>
      <c r="O2" s="21"/>
      <c r="P2" s="20"/>
      <c r="Q2" s="22"/>
      <c r="R2" s="34"/>
      <c r="S2" s="35"/>
      <c r="T2" s="115"/>
      <c r="U2" s="35"/>
      <c r="V2" s="37"/>
      <c r="W2" s="37"/>
    </row>
    <row r="3" customFormat="false" ht="12.75" hidden="false" customHeight="false" outlineLevel="0" collapsed="false">
      <c r="A3" s="39" t="s">
        <v>102</v>
      </c>
      <c r="B3" s="39"/>
      <c r="C3" s="39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41" t="s">
        <v>1</v>
      </c>
      <c r="O3" s="21"/>
      <c r="P3" s="41" t="s">
        <v>1</v>
      </c>
      <c r="Q3" s="22"/>
      <c r="R3" s="34"/>
      <c r="S3" s="35"/>
      <c r="T3" s="115"/>
      <c r="U3" s="35"/>
      <c r="V3" s="37"/>
      <c r="W3" s="37"/>
      <c r="Z3" s="27" t="n">
        <v>2.8</v>
      </c>
      <c r="AC3" s="27" t="n">
        <v>3.03</v>
      </c>
    </row>
    <row r="4" customFormat="false" ht="12.75" hidden="false" customHeight="false" outlineLevel="0" collapsed="false">
      <c r="A4" s="42" t="s">
        <v>209</v>
      </c>
      <c r="B4" s="43"/>
      <c r="C4" s="43"/>
      <c r="D4" s="17"/>
      <c r="E4" s="17"/>
      <c r="F4" s="44"/>
      <c r="G4" s="15"/>
      <c r="H4" s="44"/>
      <c r="I4" s="19"/>
      <c r="J4" s="44"/>
      <c r="K4" s="20"/>
      <c r="L4" s="44"/>
      <c r="M4" s="34"/>
      <c r="N4" s="44"/>
      <c r="O4" s="21"/>
      <c r="P4" s="34"/>
      <c r="Q4" s="22"/>
      <c r="R4" s="34"/>
      <c r="S4" s="35"/>
      <c r="T4" s="115"/>
      <c r="U4" s="45"/>
      <c r="V4" s="37" t="s">
        <v>210</v>
      </c>
      <c r="W4" s="37"/>
    </row>
    <row r="5" customFormat="false" ht="12.75" hidden="false" customHeight="false" outlineLevel="0" collapsed="false">
      <c r="A5" s="116" t="s">
        <v>108</v>
      </c>
      <c r="B5" s="117" t="s">
        <v>109</v>
      </c>
      <c r="C5" s="117" t="s">
        <v>110</v>
      </c>
      <c r="D5" s="118" t="s">
        <v>111</v>
      </c>
      <c r="E5" s="118"/>
      <c r="F5" s="116" t="s">
        <v>112</v>
      </c>
      <c r="G5" s="116" t="s">
        <v>113</v>
      </c>
      <c r="H5" s="117" t="s">
        <v>114</v>
      </c>
      <c r="I5" s="119" t="s">
        <v>115</v>
      </c>
      <c r="J5" s="117" t="s">
        <v>116</v>
      </c>
      <c r="K5" s="117" t="s">
        <v>117</v>
      </c>
      <c r="L5" s="117" t="s">
        <v>118</v>
      </c>
      <c r="M5" s="117" t="s">
        <v>119</v>
      </c>
      <c r="N5" s="117" t="s">
        <v>211</v>
      </c>
      <c r="O5" s="120" t="s">
        <v>120</v>
      </c>
      <c r="P5" s="117" t="s">
        <v>121</v>
      </c>
      <c r="Q5" s="121" t="s">
        <v>122</v>
      </c>
      <c r="R5" s="117" t="s">
        <v>123</v>
      </c>
      <c r="S5" s="116" t="s">
        <v>124</v>
      </c>
      <c r="T5" s="122" t="s">
        <v>212</v>
      </c>
      <c r="U5" s="123" t="s">
        <v>213</v>
      </c>
      <c r="V5" s="24"/>
      <c r="W5" s="2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2.75" hidden="false" customHeight="false" outlineLevel="0" collapsed="false">
      <c r="A6" s="124" t="s">
        <v>52</v>
      </c>
      <c r="B6" s="125" t="s">
        <v>214</v>
      </c>
      <c r="C6" s="126" t="s">
        <v>215</v>
      </c>
      <c r="D6" s="127" t="n">
        <v>36617</v>
      </c>
      <c r="E6" s="127" t="s">
        <v>216</v>
      </c>
      <c r="F6" s="124" t="s">
        <v>217</v>
      </c>
      <c r="G6" s="128" t="s">
        <v>218</v>
      </c>
      <c r="H6" s="125" t="s">
        <v>219</v>
      </c>
      <c r="I6" s="129" t="n">
        <v>0.01</v>
      </c>
      <c r="J6" s="130" t="n">
        <v>0</v>
      </c>
      <c r="K6" s="130" t="n">
        <v>0.0022</v>
      </c>
      <c r="L6" s="130" t="n">
        <v>0.0072</v>
      </c>
      <c r="M6" s="130" t="n">
        <v>0</v>
      </c>
      <c r="N6" s="130" t="n">
        <v>0</v>
      </c>
      <c r="O6" s="131" t="n">
        <v>0.0111</v>
      </c>
      <c r="P6" s="130" t="n">
        <v>0</v>
      </c>
      <c r="Q6" s="132" t="s">
        <v>216</v>
      </c>
      <c r="R6" s="125" t="n">
        <v>1200</v>
      </c>
      <c r="S6" s="124" t="s">
        <v>220</v>
      </c>
      <c r="T6" s="133" t="n">
        <f aca="false">I6*$I$1*R6</f>
        <v>360</v>
      </c>
      <c r="U6" s="134" t="n">
        <v>0</v>
      </c>
      <c r="V6" s="135"/>
      <c r="W6" s="135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6"/>
      <c r="HW6" s="136"/>
      <c r="HX6" s="136"/>
      <c r="HY6" s="136"/>
      <c r="HZ6" s="136"/>
      <c r="IA6" s="136"/>
      <c r="IB6" s="136"/>
      <c r="IC6" s="136"/>
      <c r="ID6" s="136"/>
      <c r="IE6" s="136"/>
      <c r="IF6" s="136"/>
      <c r="IG6" s="136"/>
      <c r="IH6" s="136"/>
      <c r="II6" s="136"/>
      <c r="IJ6" s="136"/>
      <c r="IK6" s="136"/>
      <c r="IL6" s="136"/>
      <c r="IM6" s="136"/>
      <c r="IN6" s="136"/>
      <c r="IO6" s="136"/>
      <c r="IP6" s="136"/>
      <c r="IQ6" s="136"/>
      <c r="IR6" s="136"/>
      <c r="IS6" s="136"/>
      <c r="IT6" s="136"/>
      <c r="IU6" s="136"/>
      <c r="IV6" s="136"/>
      <c r="IW6" s="136"/>
    </row>
    <row r="7" customFormat="false" ht="12.75" hidden="false" customHeight="false" outlineLevel="0" collapsed="false">
      <c r="A7" s="38" t="s">
        <v>144</v>
      </c>
      <c r="B7" s="137" t="s">
        <v>214</v>
      </c>
      <c r="C7" s="87" t="s">
        <v>215</v>
      </c>
      <c r="D7" s="88" t="n">
        <v>36617</v>
      </c>
      <c r="E7" s="88"/>
      <c r="F7" s="38" t="s">
        <v>217</v>
      </c>
      <c r="G7" s="138" t="s">
        <v>221</v>
      </c>
      <c r="H7" s="137" t="s">
        <v>222</v>
      </c>
      <c r="I7" s="75" t="n">
        <v>0.02</v>
      </c>
      <c r="J7" s="89"/>
      <c r="K7" s="89"/>
      <c r="L7" s="89"/>
      <c r="M7" s="89"/>
      <c r="N7" s="89"/>
      <c r="O7" s="139"/>
      <c r="P7" s="89"/>
      <c r="Q7" s="140" t="n">
        <v>771164</v>
      </c>
      <c r="R7" s="137" t="n">
        <v>965</v>
      </c>
      <c r="S7" s="38" t="s">
        <v>223</v>
      </c>
      <c r="T7" s="104" t="n">
        <f aca="false">I7*$I$1*R7</f>
        <v>579</v>
      </c>
      <c r="U7" s="93"/>
      <c r="V7" s="95" t="n">
        <v>232946</v>
      </c>
      <c r="W7" s="95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  <c r="IU7" s="141"/>
      <c r="IV7" s="141"/>
      <c r="IW7" s="141"/>
    </row>
    <row r="8" customFormat="false" ht="12.75" hidden="false" customHeight="false" outlineLevel="0" collapsed="false">
      <c r="A8" s="38" t="s">
        <v>144</v>
      </c>
      <c r="B8" s="137" t="s">
        <v>214</v>
      </c>
      <c r="C8" s="87" t="s">
        <v>215</v>
      </c>
      <c r="D8" s="88" t="n">
        <v>36617</v>
      </c>
      <c r="E8" s="88"/>
      <c r="F8" s="38" t="s">
        <v>224</v>
      </c>
      <c r="G8" s="138" t="s">
        <v>221</v>
      </c>
      <c r="H8" s="137" t="s">
        <v>222</v>
      </c>
      <c r="I8" s="75" t="n">
        <v>0.02</v>
      </c>
      <c r="J8" s="89"/>
      <c r="K8" s="89"/>
      <c r="L8" s="89"/>
      <c r="M8" s="89"/>
      <c r="N8" s="89"/>
      <c r="O8" s="139"/>
      <c r="P8" s="89"/>
      <c r="Q8" s="140" t="n">
        <v>771164</v>
      </c>
      <c r="R8" s="137" t="n">
        <v>286</v>
      </c>
      <c r="S8" s="38" t="s">
        <v>223</v>
      </c>
      <c r="T8" s="104" t="n">
        <f aca="false">I8*$I$1*R8</f>
        <v>171.6</v>
      </c>
      <c r="U8" s="93"/>
      <c r="V8" s="95" t="n">
        <v>232946</v>
      </c>
      <c r="W8" s="95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  <c r="IU8" s="141"/>
      <c r="IV8" s="141"/>
      <c r="IW8" s="141"/>
    </row>
    <row r="9" customFormat="false" ht="12.75" hidden="false" customHeight="false" outlineLevel="0" collapsed="false">
      <c r="A9" s="42" t="s">
        <v>144</v>
      </c>
      <c r="B9" s="142" t="s">
        <v>214</v>
      </c>
      <c r="C9" s="43" t="s">
        <v>215</v>
      </c>
      <c r="D9" s="143" t="n">
        <v>36647</v>
      </c>
      <c r="E9" s="143" t="n">
        <v>36830</v>
      </c>
      <c r="F9" s="42" t="s">
        <v>217</v>
      </c>
      <c r="G9" s="144" t="s">
        <v>221</v>
      </c>
      <c r="H9" s="142" t="s">
        <v>222</v>
      </c>
      <c r="I9" s="145" t="n">
        <f aca="false">0.3*0.0328767</f>
        <v>0.00986301</v>
      </c>
      <c r="J9" s="146"/>
      <c r="K9" s="146"/>
      <c r="L9" s="146"/>
      <c r="M9" s="146"/>
      <c r="N9" s="146"/>
      <c r="O9" s="147"/>
      <c r="P9" s="146"/>
      <c r="Q9" s="148" t="n">
        <v>771168</v>
      </c>
      <c r="R9" s="142" t="n">
        <v>965</v>
      </c>
      <c r="S9" s="42" t="s">
        <v>225</v>
      </c>
      <c r="T9" s="149" t="s">
        <v>226</v>
      </c>
      <c r="U9" s="150"/>
      <c r="V9" s="151" t="n">
        <v>236735</v>
      </c>
      <c r="W9" s="151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</row>
    <row r="10" customFormat="false" ht="12.75" hidden="false" customHeight="false" outlineLevel="0" collapsed="false">
      <c r="A10" s="42" t="s">
        <v>144</v>
      </c>
      <c r="B10" s="142" t="s">
        <v>214</v>
      </c>
      <c r="C10" s="43" t="s">
        <v>215</v>
      </c>
      <c r="D10" s="143" t="n">
        <v>36647</v>
      </c>
      <c r="E10" s="143" t="n">
        <v>36830</v>
      </c>
      <c r="F10" s="42" t="s">
        <v>224</v>
      </c>
      <c r="G10" s="144" t="s">
        <v>221</v>
      </c>
      <c r="H10" s="142" t="s">
        <v>222</v>
      </c>
      <c r="I10" s="145" t="n">
        <f aca="false">0.3*0.0328767</f>
        <v>0.00986301</v>
      </c>
      <c r="J10" s="146"/>
      <c r="K10" s="146"/>
      <c r="L10" s="146"/>
      <c r="M10" s="146"/>
      <c r="N10" s="146"/>
      <c r="O10" s="147"/>
      <c r="P10" s="146"/>
      <c r="Q10" s="148" t="n">
        <v>771168</v>
      </c>
      <c r="R10" s="142" t="n">
        <v>286</v>
      </c>
      <c r="S10" s="42" t="s">
        <v>225</v>
      </c>
      <c r="T10" s="149" t="s">
        <v>226</v>
      </c>
      <c r="U10" s="150"/>
      <c r="V10" s="151" t="n">
        <v>236735</v>
      </c>
      <c r="W10" s="151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</row>
    <row r="11" customFormat="false" ht="12.75" hidden="false" customHeight="false" outlineLevel="0" collapsed="false">
      <c r="A11" s="38" t="s">
        <v>144</v>
      </c>
      <c r="B11" s="137" t="s">
        <v>214</v>
      </c>
      <c r="C11" s="87" t="s">
        <v>215</v>
      </c>
      <c r="D11" s="88" t="n">
        <v>36617</v>
      </c>
      <c r="E11" s="88" t="n">
        <v>36646</v>
      </c>
      <c r="F11" s="38" t="s">
        <v>217</v>
      </c>
      <c r="G11" s="138" t="s">
        <v>221</v>
      </c>
      <c r="H11" s="137" t="s">
        <v>222</v>
      </c>
      <c r="I11" s="75" t="n">
        <v>0.02</v>
      </c>
      <c r="J11" s="89"/>
      <c r="K11" s="89"/>
      <c r="L11" s="89"/>
      <c r="M11" s="89"/>
      <c r="N11" s="89"/>
      <c r="O11" s="139"/>
      <c r="P11" s="89" t="n">
        <v>0</v>
      </c>
      <c r="Q11" s="140" t="n">
        <v>771163</v>
      </c>
      <c r="R11" s="137" t="n">
        <v>5690</v>
      </c>
      <c r="S11" s="38" t="s">
        <v>227</v>
      </c>
      <c r="T11" s="104" t="n">
        <f aca="false">I11*$I$1*R11</f>
        <v>3414</v>
      </c>
      <c r="U11" s="93"/>
      <c r="V11" s="95"/>
      <c r="W11" s="95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  <c r="IW11" s="141"/>
    </row>
    <row r="12" customFormat="false" ht="12.75" hidden="false" customHeight="false" outlineLevel="0" collapsed="false">
      <c r="A12" s="15"/>
      <c r="B12" s="16"/>
      <c r="C12" s="16"/>
      <c r="D12" s="17"/>
      <c r="E12" s="17"/>
      <c r="F12" s="15"/>
      <c r="G12" s="15"/>
      <c r="H12" s="16"/>
      <c r="I12" s="19"/>
      <c r="J12" s="20"/>
      <c r="K12" s="20"/>
      <c r="L12" s="20"/>
      <c r="M12" s="20"/>
      <c r="N12" s="20"/>
      <c r="O12" s="21"/>
      <c r="P12" s="20"/>
      <c r="Q12" s="22"/>
      <c r="R12" s="16"/>
      <c r="S12" s="23"/>
      <c r="T12" s="153" t="n">
        <f aca="false">SUM(T6:T11)</f>
        <v>4524.6</v>
      </c>
      <c r="U12" s="23"/>
      <c r="V12" s="24"/>
      <c r="W12" s="2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16" t="s">
        <v>108</v>
      </c>
      <c r="B13" s="117" t="s">
        <v>109</v>
      </c>
      <c r="C13" s="117" t="s">
        <v>110</v>
      </c>
      <c r="D13" s="118" t="s">
        <v>111</v>
      </c>
      <c r="E13" s="118"/>
      <c r="F13" s="116" t="s">
        <v>112</v>
      </c>
      <c r="G13" s="116" t="s">
        <v>113</v>
      </c>
      <c r="H13" s="117" t="s">
        <v>114</v>
      </c>
      <c r="I13" s="119" t="s">
        <v>115</v>
      </c>
      <c r="J13" s="117" t="s">
        <v>116</v>
      </c>
      <c r="K13" s="117" t="s">
        <v>117</v>
      </c>
      <c r="L13" s="117" t="s">
        <v>118</v>
      </c>
      <c r="M13" s="117" t="s">
        <v>119</v>
      </c>
      <c r="N13" s="117" t="s">
        <v>211</v>
      </c>
      <c r="O13" s="120" t="s">
        <v>120</v>
      </c>
      <c r="P13" s="117" t="s">
        <v>121</v>
      </c>
      <c r="Q13" s="121" t="s">
        <v>122</v>
      </c>
      <c r="R13" s="117" t="s">
        <v>123</v>
      </c>
      <c r="S13" s="116" t="s">
        <v>124</v>
      </c>
      <c r="T13" s="122" t="s">
        <v>212</v>
      </c>
      <c r="U13" s="123" t="s">
        <v>213</v>
      </c>
      <c r="V13" s="24"/>
      <c r="W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38" t="s">
        <v>144</v>
      </c>
      <c r="B14" s="137" t="s">
        <v>228</v>
      </c>
      <c r="C14" s="87" t="s">
        <v>228</v>
      </c>
      <c r="D14" s="88" t="n">
        <v>36617</v>
      </c>
      <c r="E14" s="88" t="n">
        <v>36646</v>
      </c>
      <c r="F14" s="38" t="s">
        <v>229</v>
      </c>
      <c r="G14" s="138" t="s">
        <v>230</v>
      </c>
      <c r="H14" s="137" t="s">
        <v>231</v>
      </c>
      <c r="I14" s="75" t="n">
        <f aca="false">1.21/$I$1</f>
        <v>0.0403333333333333</v>
      </c>
      <c r="J14" s="89" t="n">
        <v>0</v>
      </c>
      <c r="K14" s="89" t="n">
        <v>0</v>
      </c>
      <c r="L14" s="89" t="n">
        <v>0</v>
      </c>
      <c r="M14" s="89" t="n">
        <v>0</v>
      </c>
      <c r="N14" s="89" t="n">
        <v>0</v>
      </c>
      <c r="O14" s="139" t="n">
        <v>0.0369</v>
      </c>
      <c r="P14" s="89" t="n">
        <v>0</v>
      </c>
      <c r="Q14" s="154" t="n">
        <v>3.4115</v>
      </c>
      <c r="R14" s="137" t="n">
        <v>20000</v>
      </c>
      <c r="S14" s="93" t="s">
        <v>232</v>
      </c>
      <c r="T14" s="104" t="n">
        <f aca="false">I14*$I$1*R14</f>
        <v>24200</v>
      </c>
      <c r="U14" s="93" t="n">
        <v>0</v>
      </c>
      <c r="V14" s="95" t="n">
        <v>229979</v>
      </c>
      <c r="W14" s="95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  <c r="IT14" s="141"/>
      <c r="IU14" s="141"/>
      <c r="IV14" s="141"/>
      <c r="IW14" s="141"/>
    </row>
    <row r="15" customFormat="false" ht="12.75" hidden="false" customHeight="false" outlineLevel="0" collapsed="false">
      <c r="A15" s="38" t="s">
        <v>144</v>
      </c>
      <c r="B15" s="137" t="s">
        <v>228</v>
      </c>
      <c r="C15" s="87" t="s">
        <v>233</v>
      </c>
      <c r="D15" s="88" t="n">
        <v>36617</v>
      </c>
      <c r="E15" s="88" t="n">
        <v>36830</v>
      </c>
      <c r="F15" s="38" t="s">
        <v>234</v>
      </c>
      <c r="G15" s="138" t="s">
        <v>235</v>
      </c>
      <c r="H15" s="137" t="s">
        <v>236</v>
      </c>
      <c r="I15" s="75" t="n">
        <f aca="false">4.2583/30</f>
        <v>0.141943333333333</v>
      </c>
      <c r="J15" s="89"/>
      <c r="K15" s="89"/>
      <c r="L15" s="89"/>
      <c r="M15" s="89"/>
      <c r="N15" s="89"/>
      <c r="O15" s="139"/>
      <c r="P15" s="89"/>
      <c r="Q15" s="154" t="s">
        <v>237</v>
      </c>
      <c r="R15" s="137" t="n">
        <v>5000</v>
      </c>
      <c r="S15" s="38" t="s">
        <v>238</v>
      </c>
      <c r="T15" s="104" t="n">
        <f aca="false">I15*$I$1*R15</f>
        <v>21291.5</v>
      </c>
      <c r="U15" s="93"/>
      <c r="V15" s="95" t="n">
        <v>226172</v>
      </c>
      <c r="W15" s="95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  <c r="IU15" s="141"/>
      <c r="IV15" s="141"/>
      <c r="IW15" s="141"/>
    </row>
    <row r="16" customFormat="false" ht="12.75" hidden="false" customHeight="false" outlineLevel="0" collapsed="false">
      <c r="A16" s="38" t="s">
        <v>144</v>
      </c>
      <c r="B16" s="137" t="s">
        <v>228</v>
      </c>
      <c r="C16" s="87" t="s">
        <v>233</v>
      </c>
      <c r="D16" s="88" t="n">
        <v>36617</v>
      </c>
      <c r="E16" s="88" t="n">
        <v>36830</v>
      </c>
      <c r="F16" s="38" t="s">
        <v>239</v>
      </c>
      <c r="G16" s="138" t="s">
        <v>235</v>
      </c>
      <c r="H16" s="137" t="s">
        <v>236</v>
      </c>
      <c r="I16" s="75" t="n">
        <f aca="false">4.2583/I$1</f>
        <v>0.141943333333333</v>
      </c>
      <c r="J16" s="89"/>
      <c r="K16" s="89"/>
      <c r="L16" s="89"/>
      <c r="M16" s="89"/>
      <c r="N16" s="89"/>
      <c r="O16" s="139"/>
      <c r="P16" s="89"/>
      <c r="Q16" s="154" t="s">
        <v>240</v>
      </c>
      <c r="R16" s="137" t="n">
        <v>15000</v>
      </c>
      <c r="S16" s="38" t="s">
        <v>241</v>
      </c>
      <c r="T16" s="104" t="n">
        <f aca="false">I16*$I$1*R16</f>
        <v>63874.5</v>
      </c>
      <c r="U16" s="93"/>
      <c r="V16" s="95" t="n">
        <v>231538</v>
      </c>
      <c r="W16" s="95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  <c r="IT16" s="141"/>
      <c r="IU16" s="141"/>
      <c r="IV16" s="141"/>
      <c r="IW16" s="141"/>
    </row>
    <row r="17" customFormat="false" ht="12.75" hidden="false" customHeight="false" outlineLevel="0" collapsed="false">
      <c r="A17" s="38" t="s">
        <v>144</v>
      </c>
      <c r="B17" s="137" t="s">
        <v>228</v>
      </c>
      <c r="C17" s="87" t="s">
        <v>242</v>
      </c>
      <c r="D17" s="88" t="n">
        <v>36617</v>
      </c>
      <c r="E17" s="88" t="n">
        <v>36830</v>
      </c>
      <c r="F17" s="38" t="s">
        <v>243</v>
      </c>
      <c r="G17" s="138" t="s">
        <v>244</v>
      </c>
      <c r="H17" s="137" t="s">
        <v>236</v>
      </c>
      <c r="I17" s="75" t="n">
        <f aca="false">0.684/I$1</f>
        <v>0.0228</v>
      </c>
      <c r="J17" s="89"/>
      <c r="K17" s="89"/>
      <c r="L17" s="89"/>
      <c r="M17" s="89"/>
      <c r="N17" s="89"/>
      <c r="O17" s="139"/>
      <c r="P17" s="89"/>
      <c r="Q17" s="154" t="s">
        <v>245</v>
      </c>
      <c r="R17" s="137" t="n">
        <v>2174</v>
      </c>
      <c r="S17" s="38" t="s">
        <v>246</v>
      </c>
      <c r="T17" s="104" t="n">
        <f aca="false">I17*$I$1*R17</f>
        <v>1487.016</v>
      </c>
      <c r="U17" s="93"/>
      <c r="V17" s="95" t="n">
        <v>229958</v>
      </c>
      <c r="W17" s="95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  <c r="IU17" s="141"/>
      <c r="IV17" s="141"/>
      <c r="IW17" s="141"/>
    </row>
    <row r="18" customFormat="false" ht="12.75" hidden="false" customHeight="false" outlineLevel="0" collapsed="false">
      <c r="A18" s="38" t="s">
        <v>144</v>
      </c>
      <c r="B18" s="137" t="s">
        <v>228</v>
      </c>
      <c r="C18" s="87" t="s">
        <v>247</v>
      </c>
      <c r="D18" s="88" t="n">
        <v>36617</v>
      </c>
      <c r="E18" s="88" t="n">
        <v>36646</v>
      </c>
      <c r="F18" s="38"/>
      <c r="G18" s="138" t="s">
        <v>248</v>
      </c>
      <c r="H18" s="137" t="s">
        <v>222</v>
      </c>
      <c r="I18" s="75" t="n">
        <f aca="false">1.35/I1</f>
        <v>0.045</v>
      </c>
      <c r="J18" s="89"/>
      <c r="K18" s="89"/>
      <c r="L18" s="89"/>
      <c r="M18" s="89"/>
      <c r="N18" s="89"/>
      <c r="O18" s="139"/>
      <c r="P18" s="89"/>
      <c r="Q18" s="154" t="s">
        <v>249</v>
      </c>
      <c r="R18" s="137" t="n">
        <v>10000</v>
      </c>
      <c r="S18" s="38" t="s">
        <v>250</v>
      </c>
      <c r="T18" s="104" t="n">
        <f aca="false">I18*$I$1*R18</f>
        <v>13500</v>
      </c>
      <c r="U18" s="93"/>
      <c r="V18" s="95" t="s">
        <v>251</v>
      </c>
      <c r="W18" s="95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  <c r="IT18" s="141"/>
      <c r="IU18" s="141"/>
      <c r="IV18" s="141"/>
      <c r="IW18" s="141"/>
    </row>
    <row r="19" customFormat="false" ht="12.75" hidden="false" customHeight="false" outlineLevel="0" collapsed="false">
      <c r="A19" s="38" t="s">
        <v>252</v>
      </c>
      <c r="B19" s="137" t="s">
        <v>228</v>
      </c>
      <c r="C19" s="87" t="s">
        <v>151</v>
      </c>
      <c r="D19" s="88" t="n">
        <v>36617</v>
      </c>
      <c r="E19" s="88" t="n">
        <v>36646</v>
      </c>
      <c r="F19" s="38" t="s">
        <v>253</v>
      </c>
      <c r="G19" s="138" t="s">
        <v>254</v>
      </c>
      <c r="H19" s="137" t="s">
        <v>222</v>
      </c>
      <c r="I19" s="75" t="n">
        <v>0</v>
      </c>
      <c r="J19" s="89"/>
      <c r="K19" s="89"/>
      <c r="L19" s="89"/>
      <c r="M19" s="89"/>
      <c r="N19" s="89"/>
      <c r="O19" s="139"/>
      <c r="P19" s="89"/>
      <c r="Q19" s="154" t="s">
        <v>255</v>
      </c>
      <c r="R19" s="137" t="n">
        <v>5000</v>
      </c>
      <c r="S19" s="38" t="s">
        <v>256</v>
      </c>
      <c r="T19" s="104"/>
      <c r="U19" s="93"/>
      <c r="V19" s="95" t="s">
        <v>257</v>
      </c>
      <c r="W19" s="95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1"/>
      <c r="IT19" s="141"/>
      <c r="IU19" s="141"/>
      <c r="IV19" s="141"/>
      <c r="IW19" s="141"/>
    </row>
    <row r="20" customFormat="false" ht="12.75" hidden="false" customHeight="false" outlineLevel="0" collapsed="false">
      <c r="A20" s="38" t="s">
        <v>252</v>
      </c>
      <c r="B20" s="137" t="s">
        <v>228</v>
      </c>
      <c r="C20" s="87" t="s">
        <v>151</v>
      </c>
      <c r="D20" s="88" t="n">
        <v>36617</v>
      </c>
      <c r="E20" s="88" t="n">
        <v>36646</v>
      </c>
      <c r="F20" s="38" t="s">
        <v>254</v>
      </c>
      <c r="G20" s="138" t="s">
        <v>258</v>
      </c>
      <c r="H20" s="137" t="s">
        <v>222</v>
      </c>
      <c r="I20" s="75" t="n">
        <v>0</v>
      </c>
      <c r="J20" s="89"/>
      <c r="K20" s="89"/>
      <c r="L20" s="89"/>
      <c r="M20" s="89"/>
      <c r="N20" s="89"/>
      <c r="O20" s="139"/>
      <c r="P20" s="89"/>
      <c r="Q20" s="154" t="s">
        <v>259</v>
      </c>
      <c r="R20" s="137" t="n">
        <v>5000</v>
      </c>
      <c r="S20" s="38" t="s">
        <v>260</v>
      </c>
      <c r="T20" s="104"/>
      <c r="U20" s="93"/>
      <c r="V20" s="95" t="s">
        <v>257</v>
      </c>
      <c r="W20" s="95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1"/>
      <c r="IT20" s="141"/>
      <c r="IU20" s="141"/>
      <c r="IV20" s="141"/>
      <c r="IW20" s="141"/>
    </row>
    <row r="21" customFormat="false" ht="12.75" hidden="false" customHeight="false" outlineLevel="0" collapsed="false">
      <c r="A21" s="38" t="s">
        <v>252</v>
      </c>
      <c r="B21" s="137" t="s">
        <v>228</v>
      </c>
      <c r="C21" s="87" t="s">
        <v>151</v>
      </c>
      <c r="D21" s="88" t="n">
        <v>36617</v>
      </c>
      <c r="E21" s="88" t="n">
        <v>36646</v>
      </c>
      <c r="F21" s="38" t="s">
        <v>261</v>
      </c>
      <c r="G21" s="138" t="s">
        <v>262</v>
      </c>
      <c r="H21" s="137" t="s">
        <v>222</v>
      </c>
      <c r="I21" s="75" t="n">
        <v>0</v>
      </c>
      <c r="J21" s="89"/>
      <c r="K21" s="89"/>
      <c r="L21" s="89"/>
      <c r="M21" s="89"/>
      <c r="N21" s="89"/>
      <c r="O21" s="139"/>
      <c r="P21" s="89"/>
      <c r="Q21" s="154" t="s">
        <v>263</v>
      </c>
      <c r="R21" s="137" t="n">
        <v>5000</v>
      </c>
      <c r="S21" s="38" t="s">
        <v>264</v>
      </c>
      <c r="T21" s="104"/>
      <c r="U21" s="93"/>
      <c r="V21" s="95" t="s">
        <v>257</v>
      </c>
      <c r="W21" s="95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1"/>
      <c r="IT21" s="141"/>
      <c r="IU21" s="141"/>
      <c r="IV21" s="141"/>
      <c r="IW21" s="141"/>
    </row>
    <row r="23" customFormat="false" ht="12.75" hidden="false" customHeight="false" outlineLevel="0" collapsed="false">
      <c r="A23" s="15"/>
      <c r="B23" s="16"/>
      <c r="C23" s="16"/>
      <c r="D23" s="17"/>
      <c r="E23" s="17"/>
      <c r="F23" s="15"/>
      <c r="G23" s="15"/>
      <c r="H23" s="16"/>
      <c r="I23" s="19"/>
      <c r="J23" s="20"/>
      <c r="K23" s="20"/>
      <c r="L23" s="20"/>
      <c r="M23" s="20"/>
      <c r="N23" s="20"/>
      <c r="O23" s="21"/>
      <c r="P23" s="20"/>
      <c r="Q23" s="22"/>
      <c r="R23" s="16"/>
      <c r="S23" s="23"/>
      <c r="T23" s="153" t="n">
        <f aca="false">SUM(T14:T21)</f>
        <v>124353.016</v>
      </c>
      <c r="U23" s="23"/>
      <c r="V23" s="24"/>
      <c r="W23" s="2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5"/>
      <c r="B24" s="16"/>
      <c r="C24" s="16"/>
      <c r="D24" s="17"/>
      <c r="E24" s="17"/>
      <c r="F24" s="15"/>
      <c r="G24" s="15"/>
      <c r="H24" s="16"/>
      <c r="I24" s="19"/>
      <c r="J24" s="20"/>
      <c r="K24" s="20"/>
      <c r="L24" s="20"/>
      <c r="M24" s="20"/>
      <c r="N24" s="20"/>
      <c r="O24" s="21"/>
      <c r="P24" s="20"/>
      <c r="Q24" s="22"/>
      <c r="R24" s="16"/>
      <c r="S24" s="23"/>
      <c r="T24" s="153"/>
      <c r="U24" s="23"/>
      <c r="V24" s="24"/>
      <c r="W24" s="2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5"/>
      <c r="B25" s="16"/>
      <c r="C25" s="16"/>
      <c r="D25" s="17"/>
      <c r="E25" s="17"/>
      <c r="F25" s="15"/>
      <c r="G25" s="15"/>
      <c r="H25" s="16"/>
      <c r="I25" s="19"/>
      <c r="J25" s="20"/>
      <c r="K25" s="20"/>
      <c r="L25" s="20"/>
      <c r="M25" s="20"/>
      <c r="N25" s="20"/>
      <c r="O25" s="21"/>
      <c r="P25" s="20"/>
      <c r="Q25" s="22"/>
      <c r="R25" s="16"/>
      <c r="S25" s="23"/>
      <c r="T25" s="153"/>
      <c r="U25" s="23"/>
      <c r="V25" s="24"/>
      <c r="W25" s="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16" t="s">
        <v>108</v>
      </c>
      <c r="B26" s="117" t="s">
        <v>109</v>
      </c>
      <c r="C26" s="117" t="s">
        <v>110</v>
      </c>
      <c r="D26" s="118" t="s">
        <v>111</v>
      </c>
      <c r="E26" s="118"/>
      <c r="F26" s="116" t="s">
        <v>112</v>
      </c>
      <c r="G26" s="116" t="s">
        <v>113</v>
      </c>
      <c r="H26" s="117" t="s">
        <v>114</v>
      </c>
      <c r="I26" s="119" t="s">
        <v>115</v>
      </c>
      <c r="J26" s="117" t="s">
        <v>116</v>
      </c>
      <c r="K26" s="117" t="s">
        <v>117</v>
      </c>
      <c r="L26" s="117" t="s">
        <v>118</v>
      </c>
      <c r="M26" s="117" t="s">
        <v>119</v>
      </c>
      <c r="N26" s="117" t="s">
        <v>211</v>
      </c>
      <c r="O26" s="120" t="s">
        <v>120</v>
      </c>
      <c r="P26" s="117" t="s">
        <v>121</v>
      </c>
      <c r="Q26" s="121" t="s">
        <v>122</v>
      </c>
      <c r="R26" s="117" t="s">
        <v>123</v>
      </c>
      <c r="S26" s="116" t="s">
        <v>124</v>
      </c>
      <c r="T26" s="122" t="s">
        <v>212</v>
      </c>
      <c r="U26" s="123" t="s">
        <v>213</v>
      </c>
      <c r="V26" s="24"/>
      <c r="W26" s="2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5"/>
      <c r="B27" s="16" t="s">
        <v>265</v>
      </c>
      <c r="C27" s="16" t="s">
        <v>265</v>
      </c>
      <c r="D27" s="17" t="n">
        <v>36631</v>
      </c>
      <c r="E27" s="17" t="n">
        <v>36981</v>
      </c>
      <c r="F27" s="15"/>
      <c r="G27" s="15"/>
      <c r="H27" s="16" t="s">
        <v>231</v>
      </c>
      <c r="I27" s="19" t="n">
        <v>0.65</v>
      </c>
      <c r="J27" s="20" t="n">
        <v>0</v>
      </c>
      <c r="K27" s="20" t="n">
        <v>0</v>
      </c>
      <c r="L27" s="20" t="n">
        <v>0</v>
      </c>
      <c r="M27" s="20" t="n">
        <v>0</v>
      </c>
      <c r="N27" s="20" t="n">
        <v>0</v>
      </c>
      <c r="O27" s="21" t="n">
        <v>0.0369</v>
      </c>
      <c r="P27" s="20" t="n">
        <v>0</v>
      </c>
      <c r="Q27" s="22" t="s">
        <v>266</v>
      </c>
      <c r="R27" s="16" t="n">
        <v>180000</v>
      </c>
      <c r="S27" s="15" t="s">
        <v>267</v>
      </c>
      <c r="T27" s="153" t="n">
        <f aca="false">+R27*I27</f>
        <v>117000</v>
      </c>
      <c r="U27" s="23"/>
      <c r="V27" s="24" t="n">
        <v>247741</v>
      </c>
      <c r="W27" s="2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5"/>
      <c r="B28" s="16"/>
      <c r="C28" s="16"/>
      <c r="D28" s="17"/>
      <c r="E28" s="17"/>
      <c r="F28" s="15"/>
      <c r="G28" s="15"/>
      <c r="H28" s="16"/>
      <c r="I28" s="19"/>
      <c r="J28" s="20"/>
      <c r="K28" s="20"/>
      <c r="L28" s="20"/>
      <c r="M28" s="20"/>
      <c r="N28" s="20"/>
      <c r="O28" s="21"/>
      <c r="P28" s="20"/>
      <c r="Q28" s="22"/>
      <c r="R28" s="16"/>
      <c r="S28" s="23"/>
      <c r="T28" s="153"/>
      <c r="U28" s="23"/>
      <c r="V28" s="24"/>
      <c r="W28" s="2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16" t="s">
        <v>108</v>
      </c>
      <c r="B29" s="117" t="s">
        <v>109</v>
      </c>
      <c r="C29" s="117" t="s">
        <v>110</v>
      </c>
      <c r="D29" s="118" t="s">
        <v>111</v>
      </c>
      <c r="E29" s="118"/>
      <c r="F29" s="116" t="s">
        <v>112</v>
      </c>
      <c r="G29" s="116" t="s">
        <v>113</v>
      </c>
      <c r="H29" s="117" t="s">
        <v>114</v>
      </c>
      <c r="I29" s="119" t="s">
        <v>115</v>
      </c>
      <c r="J29" s="117" t="s">
        <v>116</v>
      </c>
      <c r="K29" s="117" t="s">
        <v>117</v>
      </c>
      <c r="L29" s="117" t="s">
        <v>118</v>
      </c>
      <c r="M29" s="117" t="s">
        <v>119</v>
      </c>
      <c r="N29" s="117" t="s">
        <v>211</v>
      </c>
      <c r="O29" s="120" t="s">
        <v>120</v>
      </c>
      <c r="P29" s="117" t="s">
        <v>121</v>
      </c>
      <c r="Q29" s="121" t="s">
        <v>122</v>
      </c>
      <c r="R29" s="117" t="s">
        <v>123</v>
      </c>
      <c r="S29" s="116" t="s">
        <v>124</v>
      </c>
      <c r="T29" s="122" t="s">
        <v>212</v>
      </c>
      <c r="U29" s="123" t="s">
        <v>213</v>
      </c>
      <c r="V29" s="24"/>
      <c r="W29" s="2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5" t="s">
        <v>268</v>
      </c>
      <c r="B30" s="16" t="s">
        <v>269</v>
      </c>
      <c r="C30" s="16" t="s">
        <v>270</v>
      </c>
      <c r="D30" s="17" t="n">
        <v>36526</v>
      </c>
      <c r="E30" s="17" t="n">
        <v>36556</v>
      </c>
      <c r="F30" s="15" t="s">
        <v>271</v>
      </c>
      <c r="G30" s="15" t="s">
        <v>271</v>
      </c>
      <c r="H30" s="16" t="s">
        <v>231</v>
      </c>
      <c r="I30" s="19" t="n">
        <v>0</v>
      </c>
      <c r="J30" s="20" t="n">
        <v>0</v>
      </c>
      <c r="K30" s="20" t="n">
        <v>0</v>
      </c>
      <c r="L30" s="20" t="n">
        <v>0</v>
      </c>
      <c r="M30" s="20" t="n">
        <v>0</v>
      </c>
      <c r="N30" s="20" t="n">
        <v>0</v>
      </c>
      <c r="O30" s="21" t="n">
        <v>0.0369</v>
      </c>
      <c r="P30" s="20" t="n">
        <v>0</v>
      </c>
      <c r="Q30" s="22" t="s">
        <v>272</v>
      </c>
      <c r="R30" s="16" t="n">
        <v>0</v>
      </c>
      <c r="S30" s="23" t="s">
        <v>1</v>
      </c>
      <c r="T30" s="153" t="n">
        <v>115083.34</v>
      </c>
      <c r="U30" s="23"/>
      <c r="V30" s="24"/>
      <c r="W30" s="24"/>
      <c r="X30" s="1" t="s">
        <v>273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5" t="s">
        <v>268</v>
      </c>
      <c r="B31" s="16" t="s">
        <v>269</v>
      </c>
      <c r="C31" s="16" t="s">
        <v>270</v>
      </c>
      <c r="D31" s="17" t="n">
        <v>36039</v>
      </c>
      <c r="E31" s="17" t="n">
        <v>36831</v>
      </c>
      <c r="F31" s="15" t="s">
        <v>274</v>
      </c>
      <c r="G31" s="15"/>
      <c r="H31" s="16" t="s">
        <v>231</v>
      </c>
      <c r="I31" s="19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1" t="n">
        <v>0.0369</v>
      </c>
      <c r="P31" s="20" t="n">
        <v>0</v>
      </c>
      <c r="Q31" s="22" t="n">
        <v>4310</v>
      </c>
      <c r="R31" s="16" t="n">
        <v>0</v>
      </c>
      <c r="S31" s="23" t="s">
        <v>275</v>
      </c>
      <c r="T31" s="153" t="n">
        <v>30106.57</v>
      </c>
      <c r="U31" s="23"/>
      <c r="V31" s="24" t="n">
        <v>105938</v>
      </c>
      <c r="W31" s="24" t="n">
        <v>96005270</v>
      </c>
      <c r="X31" s="1" t="s">
        <v>273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5" t="s">
        <v>268</v>
      </c>
      <c r="B32" s="16" t="s">
        <v>269</v>
      </c>
      <c r="C32" s="16" t="s">
        <v>276</v>
      </c>
      <c r="D32" s="17" t="n">
        <v>36039</v>
      </c>
      <c r="E32" s="17" t="n">
        <v>36831</v>
      </c>
      <c r="F32" s="15" t="s">
        <v>274</v>
      </c>
      <c r="G32" s="15"/>
      <c r="H32" s="16" t="s">
        <v>231</v>
      </c>
      <c r="I32" s="19" t="n">
        <v>0</v>
      </c>
      <c r="J32" s="20" t="n">
        <v>0</v>
      </c>
      <c r="K32" s="20" t="n">
        <v>0</v>
      </c>
      <c r="L32" s="20" t="n">
        <v>0</v>
      </c>
      <c r="M32" s="20" t="n">
        <v>0</v>
      </c>
      <c r="N32" s="20" t="n">
        <v>0</v>
      </c>
      <c r="O32" s="21" t="n">
        <v>0.0369</v>
      </c>
      <c r="P32" s="20" t="n">
        <v>0</v>
      </c>
      <c r="Q32" s="22" t="n">
        <v>4345</v>
      </c>
      <c r="R32" s="16" t="n">
        <v>0</v>
      </c>
      <c r="S32" s="23" t="s">
        <v>277</v>
      </c>
      <c r="T32" s="153" t="n">
        <v>445.69</v>
      </c>
      <c r="U32" s="23"/>
      <c r="V32" s="24" t="n">
        <v>105939</v>
      </c>
      <c r="W32" s="24" t="n">
        <v>96006727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5" t="s">
        <v>268</v>
      </c>
      <c r="B33" s="16" t="s">
        <v>269</v>
      </c>
      <c r="C33" s="16" t="s">
        <v>276</v>
      </c>
      <c r="D33" s="17" t="n">
        <v>36039</v>
      </c>
      <c r="E33" s="17" t="n">
        <v>36831</v>
      </c>
      <c r="F33" s="15" t="s">
        <v>271</v>
      </c>
      <c r="G33" s="15" t="s">
        <v>271</v>
      </c>
      <c r="H33" s="16" t="s">
        <v>231</v>
      </c>
      <c r="I33" s="19" t="n">
        <v>0</v>
      </c>
      <c r="J33" s="20" t="n">
        <v>0</v>
      </c>
      <c r="K33" s="20" t="n">
        <v>0</v>
      </c>
      <c r="L33" s="20" t="n">
        <v>0</v>
      </c>
      <c r="M33" s="20" t="n">
        <v>0</v>
      </c>
      <c r="N33" s="20" t="n">
        <v>0</v>
      </c>
      <c r="O33" s="21" t="n">
        <v>0.0369</v>
      </c>
      <c r="P33" s="20" t="n">
        <v>0</v>
      </c>
      <c r="Q33" s="22" t="n">
        <v>4371</v>
      </c>
      <c r="R33" s="16" t="n">
        <v>0</v>
      </c>
      <c r="S33" s="23" t="s">
        <v>278</v>
      </c>
      <c r="T33" s="153" t="n">
        <v>2044.04</v>
      </c>
      <c r="U33" s="23"/>
      <c r="V33" s="24"/>
      <c r="W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5" t="s">
        <v>52</v>
      </c>
      <c r="B34" s="16" t="s">
        <v>269</v>
      </c>
      <c r="C34" s="16" t="s">
        <v>279</v>
      </c>
      <c r="D34" s="17" t="n">
        <v>0</v>
      </c>
      <c r="E34" s="17" t="n">
        <v>0</v>
      </c>
      <c r="F34" s="15" t="s">
        <v>280</v>
      </c>
      <c r="G34" s="15" t="s">
        <v>281</v>
      </c>
      <c r="H34" s="16" t="s">
        <v>219</v>
      </c>
      <c r="I34" s="19" t="n">
        <v>0</v>
      </c>
      <c r="J34" s="20" t="n">
        <v>0.0873</v>
      </c>
      <c r="K34" s="20" t="n">
        <v>0.0022</v>
      </c>
      <c r="L34" s="20" t="n">
        <v>0.0075</v>
      </c>
      <c r="M34" s="20" t="n">
        <v>0</v>
      </c>
      <c r="N34" s="20" t="n">
        <v>0.09867</v>
      </c>
      <c r="O34" s="155" t="n">
        <v>0.0429</v>
      </c>
      <c r="P34" s="20" t="n">
        <v>0.22067</v>
      </c>
      <c r="Q34" s="22"/>
      <c r="R34" s="16"/>
      <c r="S34" s="156" t="s">
        <v>1</v>
      </c>
      <c r="T34" s="153"/>
      <c r="U34" s="23"/>
      <c r="V34" s="24"/>
      <c r="W34" s="2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5" t="s">
        <v>52</v>
      </c>
      <c r="B35" s="16" t="s">
        <v>269</v>
      </c>
      <c r="C35" s="16" t="s">
        <v>282</v>
      </c>
      <c r="D35" s="17" t="n">
        <v>36434</v>
      </c>
      <c r="E35" s="17" t="n">
        <v>36465</v>
      </c>
      <c r="F35" s="15" t="s">
        <v>283</v>
      </c>
      <c r="G35" s="15" t="s">
        <v>281</v>
      </c>
      <c r="H35" s="16" t="s">
        <v>219</v>
      </c>
      <c r="I35" s="19" t="n">
        <v>0.02</v>
      </c>
      <c r="J35" s="20" t="n">
        <v>0.0873</v>
      </c>
      <c r="K35" s="20" t="n">
        <v>0.0022</v>
      </c>
      <c r="L35" s="20" t="n">
        <v>0.0075</v>
      </c>
      <c r="M35" s="20" t="n">
        <v>0</v>
      </c>
      <c r="N35" s="20" t="n">
        <f aca="false">+O35*2.3</f>
        <v>0.11592</v>
      </c>
      <c r="O35" s="155" t="n">
        <v>0.0504</v>
      </c>
      <c r="P35" s="20" t="n">
        <f aca="false">SUM(I35:N35)</f>
        <v>0.23292</v>
      </c>
      <c r="Q35" s="22" t="n">
        <v>30880</v>
      </c>
      <c r="R35" s="16"/>
      <c r="S35" s="156" t="s">
        <v>1</v>
      </c>
      <c r="T35" s="153" t="n">
        <f aca="false">I35*$I$1*R35</f>
        <v>0</v>
      </c>
      <c r="U35" s="23"/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5" t="s">
        <v>52</v>
      </c>
      <c r="B36" s="16" t="s">
        <v>269</v>
      </c>
      <c r="C36" s="16" t="s">
        <v>279</v>
      </c>
      <c r="D36" s="17" t="n">
        <v>35827</v>
      </c>
      <c r="E36" s="17" t="n">
        <v>36342</v>
      </c>
      <c r="F36" s="15" t="s">
        <v>284</v>
      </c>
      <c r="G36" s="15" t="s">
        <v>285</v>
      </c>
      <c r="H36" s="16" t="s">
        <v>219</v>
      </c>
      <c r="I36" s="19" t="n">
        <f aca="false">(5.9+5.42)/I$1</f>
        <v>0.377333333333333</v>
      </c>
      <c r="J36" s="20" t="n">
        <v>0</v>
      </c>
      <c r="K36" s="20" t="n">
        <v>0.0022</v>
      </c>
      <c r="L36" s="20" t="n">
        <v>0.0075</v>
      </c>
      <c r="M36" s="20" t="n">
        <v>0</v>
      </c>
      <c r="N36" s="20" t="n">
        <f aca="false">+O36*2.3</f>
        <v>0.03013</v>
      </c>
      <c r="O36" s="155" t="n">
        <v>0.0131</v>
      </c>
      <c r="P36" s="20" t="n">
        <f aca="false">SUM(I36:N36)</f>
        <v>0.417163333333333</v>
      </c>
      <c r="Q36" s="22" t="n">
        <v>23231</v>
      </c>
      <c r="R36" s="16" t="n">
        <v>0</v>
      </c>
      <c r="S36" s="156" t="s">
        <v>286</v>
      </c>
      <c r="T36" s="153" t="n">
        <f aca="false">I36*$I$1*R36</f>
        <v>0</v>
      </c>
      <c r="U36" s="23"/>
      <c r="V36" s="24" t="n">
        <v>77257</v>
      </c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5" t="s">
        <v>52</v>
      </c>
      <c r="B37" s="16" t="s">
        <v>269</v>
      </c>
      <c r="C37" s="16" t="s">
        <v>279</v>
      </c>
      <c r="D37" s="17" t="n">
        <v>36342</v>
      </c>
      <c r="E37" s="17" t="n">
        <v>39539</v>
      </c>
      <c r="F37" s="15" t="s">
        <v>284</v>
      </c>
      <c r="G37" s="15" t="s">
        <v>285</v>
      </c>
      <c r="H37" s="16" t="s">
        <v>219</v>
      </c>
      <c r="I37" s="19" t="n">
        <f aca="false">(5.9+5.42)/I$1</f>
        <v>0.377333333333333</v>
      </c>
      <c r="J37" s="20" t="n">
        <v>0</v>
      </c>
      <c r="K37" s="20" t="n">
        <v>0.0022</v>
      </c>
      <c r="L37" s="20" t="n">
        <v>0.0075</v>
      </c>
      <c r="M37" s="20" t="n">
        <v>0</v>
      </c>
      <c r="N37" s="20" t="n">
        <f aca="false">+O37*2.3</f>
        <v>0.03013</v>
      </c>
      <c r="O37" s="155" t="n">
        <v>0.0131</v>
      </c>
      <c r="P37" s="20" t="n">
        <f aca="false">SUM(I37:N37)</f>
        <v>0.417163333333333</v>
      </c>
      <c r="Q37" s="22" t="n">
        <v>29667</v>
      </c>
      <c r="R37" s="16" t="n">
        <v>35000</v>
      </c>
      <c r="S37" s="156" t="n">
        <v>13.36</v>
      </c>
      <c r="T37" s="153" t="n">
        <f aca="false">I37*$I$1*R37</f>
        <v>396200</v>
      </c>
      <c r="U37" s="23"/>
      <c r="V37" s="24" t="n">
        <v>93036</v>
      </c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" hidden="false" customHeight="true" outlineLevel="0" collapsed="false">
      <c r="A38" s="15" t="s">
        <v>144</v>
      </c>
      <c r="B38" s="16" t="s">
        <v>269</v>
      </c>
      <c r="C38" s="16"/>
      <c r="D38" s="17" t="n">
        <v>36373</v>
      </c>
      <c r="E38" s="17" t="n">
        <v>36404</v>
      </c>
      <c r="F38" s="15" t="s">
        <v>287</v>
      </c>
      <c r="G38" s="15"/>
      <c r="H38" s="16" t="s">
        <v>219</v>
      </c>
      <c r="I38" s="19" t="n">
        <v>0</v>
      </c>
      <c r="J38" s="20" t="n">
        <v>0.0835</v>
      </c>
      <c r="K38" s="20" t="n">
        <v>0.0022</v>
      </c>
      <c r="L38" s="20" t="n">
        <v>0.0075</v>
      </c>
      <c r="M38" s="20" t="n">
        <v>0</v>
      </c>
      <c r="N38" s="20" t="n">
        <f aca="false">+O38*(1.75)</f>
        <v>0.0336</v>
      </c>
      <c r="O38" s="21" t="n">
        <v>0.0192</v>
      </c>
      <c r="P38" s="20" t="n">
        <f aca="false">SUM(I38:N38)</f>
        <v>0.1268</v>
      </c>
      <c r="Q38" s="22"/>
      <c r="R38" s="16"/>
      <c r="S38" s="157" t="s">
        <v>1</v>
      </c>
      <c r="T38" s="153" t="n">
        <f aca="false">I38*$I$1*R38</f>
        <v>0</v>
      </c>
      <c r="U38" s="23"/>
      <c r="V38" s="24"/>
      <c r="W38" s="24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" hidden="false" customHeight="true" outlineLevel="0" collapsed="false">
      <c r="A39" s="15" t="s">
        <v>144</v>
      </c>
      <c r="B39" s="16" t="s">
        <v>269</v>
      </c>
      <c r="C39" s="16"/>
      <c r="D39" s="17"/>
      <c r="E39" s="17" t="n">
        <v>36585</v>
      </c>
      <c r="F39" s="15" t="s">
        <v>288</v>
      </c>
      <c r="G39" s="15" t="s">
        <v>289</v>
      </c>
      <c r="H39" s="16" t="s">
        <v>231</v>
      </c>
      <c r="I39" s="19" t="n">
        <v>0.02</v>
      </c>
      <c r="J39" s="20" t="n">
        <v>0.0669</v>
      </c>
      <c r="K39" s="20" t="n">
        <v>0.0022</v>
      </c>
      <c r="L39" s="20" t="n">
        <v>0.0075</v>
      </c>
      <c r="M39" s="20" t="n">
        <v>0</v>
      </c>
      <c r="N39" s="20" t="n">
        <f aca="false">+O39*(1.75)</f>
        <v>0.048825</v>
      </c>
      <c r="O39" s="21" t="n">
        <v>0.0279</v>
      </c>
      <c r="P39" s="20" t="n">
        <f aca="false">SUM(I39:N39)</f>
        <v>0.145425</v>
      </c>
      <c r="Q39" s="22"/>
      <c r="R39" s="16" t="n">
        <v>0</v>
      </c>
      <c r="S39" s="157" t="s">
        <v>1</v>
      </c>
      <c r="T39" s="153" t="n">
        <f aca="false">I39*$I$1*R39</f>
        <v>0</v>
      </c>
      <c r="U39" s="23"/>
      <c r="V39" s="24"/>
      <c r="W39" s="2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" hidden="false" customHeight="true" outlineLevel="0" collapsed="false">
      <c r="A40" s="15" t="s">
        <v>144</v>
      </c>
      <c r="B40" s="16" t="s">
        <v>269</v>
      </c>
      <c r="C40" s="16" t="s">
        <v>290</v>
      </c>
      <c r="D40" s="17" t="n">
        <v>36617</v>
      </c>
      <c r="E40" s="17" t="n">
        <v>36830</v>
      </c>
      <c r="F40" s="15" t="s">
        <v>291</v>
      </c>
      <c r="G40" s="15" t="s">
        <v>289</v>
      </c>
      <c r="H40" s="16" t="s">
        <v>231</v>
      </c>
      <c r="I40" s="19" t="n">
        <f aca="false">0.47/31</f>
        <v>0.0151612903225806</v>
      </c>
      <c r="J40" s="20" t="n">
        <v>0.0669</v>
      </c>
      <c r="K40" s="20" t="n">
        <v>0.0022</v>
      </c>
      <c r="L40" s="20" t="n">
        <v>0.0075</v>
      </c>
      <c r="M40" s="20" t="n">
        <v>0</v>
      </c>
      <c r="N40" s="20" t="n">
        <f aca="false">+O40*(1.75)</f>
        <v>0.048825</v>
      </c>
      <c r="O40" s="21" t="n">
        <v>0.0279</v>
      </c>
      <c r="P40" s="20" t="n">
        <f aca="false">SUM(I40:N40)</f>
        <v>0.140586290322581</v>
      </c>
      <c r="Q40" s="22" t="n">
        <v>32976</v>
      </c>
      <c r="R40" s="16" t="n">
        <v>10000</v>
      </c>
      <c r="S40" s="157" t="s">
        <v>1</v>
      </c>
      <c r="T40" s="153" t="n">
        <f aca="false">I40*$I$1*R40</f>
        <v>4548.38709677419</v>
      </c>
      <c r="U40" s="23"/>
      <c r="V40" s="24" t="n">
        <v>227993</v>
      </c>
      <c r="W40" s="24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" hidden="false" customHeight="true" outlineLevel="0" collapsed="false">
      <c r="A41" s="15" t="s">
        <v>144</v>
      </c>
      <c r="B41" s="16" t="s">
        <v>269</v>
      </c>
      <c r="C41" s="16" t="s">
        <v>252</v>
      </c>
      <c r="D41" s="17" t="n">
        <v>36617</v>
      </c>
      <c r="E41" s="17" t="n">
        <v>36830</v>
      </c>
      <c r="F41" s="15" t="s">
        <v>291</v>
      </c>
      <c r="G41" s="15" t="s">
        <v>291</v>
      </c>
      <c r="H41" s="16" t="s">
        <v>231</v>
      </c>
      <c r="I41" s="19" t="n">
        <v>0</v>
      </c>
      <c r="J41" s="20" t="n">
        <v>0.0669</v>
      </c>
      <c r="K41" s="20" t="n">
        <v>0.0022</v>
      </c>
      <c r="L41" s="20" t="n">
        <v>0.0075</v>
      </c>
      <c r="M41" s="20" t="n">
        <v>0</v>
      </c>
      <c r="N41" s="20" t="n">
        <f aca="false">+O41*(1.75)</f>
        <v>0.048825</v>
      </c>
      <c r="O41" s="21" t="n">
        <v>0.0279</v>
      </c>
      <c r="P41" s="20" t="n">
        <f aca="false">SUM(I41:N41)</f>
        <v>0.125425</v>
      </c>
      <c r="Q41" s="22" t="n">
        <v>32975</v>
      </c>
      <c r="R41" s="16" t="n">
        <v>10000</v>
      </c>
      <c r="S41" s="157" t="s">
        <v>292</v>
      </c>
      <c r="T41" s="153" t="n">
        <f aca="false">I41*$I$1*R41</f>
        <v>0</v>
      </c>
      <c r="U41" s="23"/>
      <c r="V41" s="24" t="n">
        <v>231367</v>
      </c>
      <c r="W41" s="24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" hidden="false" customHeight="true" outlineLevel="0" collapsed="false">
      <c r="A42" s="15" t="s">
        <v>144</v>
      </c>
      <c r="B42" s="16" t="s">
        <v>293</v>
      </c>
      <c r="C42" s="16" t="s">
        <v>294</v>
      </c>
      <c r="D42" s="17" t="n">
        <v>36617</v>
      </c>
      <c r="E42" s="17" t="n">
        <v>36829</v>
      </c>
      <c r="F42" s="15" t="s">
        <v>295</v>
      </c>
      <c r="G42" s="15" t="n">
        <v>5</v>
      </c>
      <c r="H42" s="16" t="s">
        <v>231</v>
      </c>
      <c r="I42" s="19" t="n">
        <f aca="false">0.91/I1</f>
        <v>0.0303333333333333</v>
      </c>
      <c r="J42" s="20" t="n">
        <v>0</v>
      </c>
      <c r="K42" s="20" t="n">
        <v>0</v>
      </c>
      <c r="L42" s="20" t="n">
        <v>0</v>
      </c>
      <c r="M42" s="20" t="n">
        <v>0</v>
      </c>
      <c r="N42" s="20" t="n">
        <f aca="false">+O42*(1.75)</f>
        <v>0.017675</v>
      </c>
      <c r="O42" s="21" t="n">
        <v>0.0101</v>
      </c>
      <c r="P42" s="20" t="n">
        <f aca="false">SUM(I42:N42)</f>
        <v>0.0480083333333333</v>
      </c>
      <c r="Q42" s="22" t="n">
        <v>32954</v>
      </c>
      <c r="R42" s="16" t="n">
        <v>1900</v>
      </c>
      <c r="S42" s="157" t="s">
        <v>1</v>
      </c>
      <c r="T42" s="153" t="n">
        <f aca="false">I42*$I$1*R42</f>
        <v>1729</v>
      </c>
      <c r="U42" s="23"/>
      <c r="V42" s="24" t="n">
        <v>231261</v>
      </c>
      <c r="W42" s="24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" hidden="false" customHeight="true" outlineLevel="0" collapsed="false">
      <c r="A43" s="15" t="s">
        <v>144</v>
      </c>
      <c r="B43" s="16" t="s">
        <v>293</v>
      </c>
      <c r="C43" s="16" t="s">
        <v>294</v>
      </c>
      <c r="D43" s="17" t="n">
        <v>36617</v>
      </c>
      <c r="E43" s="17" t="n">
        <v>36829</v>
      </c>
      <c r="F43" s="15" t="s">
        <v>295</v>
      </c>
      <c r="G43" s="15" t="n">
        <v>5</v>
      </c>
      <c r="H43" s="16" t="s">
        <v>231</v>
      </c>
      <c r="I43" s="19" t="n">
        <f aca="false">0.91/I1</f>
        <v>0.0303333333333333</v>
      </c>
      <c r="J43" s="20" t="n">
        <v>0</v>
      </c>
      <c r="K43" s="20" t="n">
        <v>0</v>
      </c>
      <c r="L43" s="20" t="n">
        <v>0</v>
      </c>
      <c r="M43" s="20" t="n">
        <v>0</v>
      </c>
      <c r="N43" s="20" t="n">
        <f aca="false">+O43*(1.75)</f>
        <v>0.017675</v>
      </c>
      <c r="O43" s="21" t="n">
        <v>0.0101</v>
      </c>
      <c r="P43" s="20" t="n">
        <f aca="false">SUM(I43:N43)</f>
        <v>0.0480083333333333</v>
      </c>
      <c r="Q43" s="22" t="n">
        <v>32956</v>
      </c>
      <c r="R43" s="16" t="n">
        <v>2899</v>
      </c>
      <c r="S43" s="157" t="s">
        <v>1</v>
      </c>
      <c r="T43" s="153" t="n">
        <f aca="false">I43*$I$1*R43</f>
        <v>2638.09</v>
      </c>
      <c r="U43" s="23"/>
      <c r="V43" s="24" t="n">
        <v>231241</v>
      </c>
      <c r="W43" s="24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" hidden="false" customHeight="true" outlineLevel="0" collapsed="false">
      <c r="A44" s="15" t="s">
        <v>144</v>
      </c>
      <c r="B44" s="16" t="s">
        <v>296</v>
      </c>
      <c r="C44" s="16" t="s">
        <v>294</v>
      </c>
      <c r="D44" s="17" t="n">
        <v>36617</v>
      </c>
      <c r="E44" s="17" t="n">
        <v>36829</v>
      </c>
      <c r="F44" s="15" t="n">
        <v>4</v>
      </c>
      <c r="G44" s="15" t="n">
        <v>6</v>
      </c>
      <c r="H44" s="16" t="s">
        <v>231</v>
      </c>
      <c r="I44" s="19" t="n">
        <f aca="false">0.76/I1</f>
        <v>0.0253333333333333</v>
      </c>
      <c r="J44" s="20" t="n">
        <v>0</v>
      </c>
      <c r="K44" s="20" t="n">
        <v>0</v>
      </c>
      <c r="L44" s="20" t="n">
        <v>0</v>
      </c>
      <c r="M44" s="20" t="n">
        <v>0</v>
      </c>
      <c r="N44" s="20" t="n">
        <f aca="false">+O44*(1.75)</f>
        <v>0.017675</v>
      </c>
      <c r="O44" s="21" t="n">
        <v>0.0101</v>
      </c>
      <c r="P44" s="20" t="n">
        <f aca="false">SUM(I44:N44)</f>
        <v>0.0430083333333333</v>
      </c>
      <c r="Q44" s="22" t="n">
        <v>32958</v>
      </c>
      <c r="R44" s="16" t="n">
        <v>5265</v>
      </c>
      <c r="S44" s="157" t="s">
        <v>1</v>
      </c>
      <c r="T44" s="153" t="n">
        <f aca="false">I44*$I$1*R44</f>
        <v>4001.4</v>
      </c>
      <c r="U44" s="23"/>
      <c r="V44" s="24" t="n">
        <v>231270</v>
      </c>
      <c r="W44" s="2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" hidden="false" customHeight="true" outlineLevel="0" collapsed="false">
      <c r="A45" s="15" t="s">
        <v>144</v>
      </c>
      <c r="B45" s="16" t="s">
        <v>296</v>
      </c>
      <c r="C45" s="16" t="s">
        <v>294</v>
      </c>
      <c r="D45" s="17" t="n">
        <v>36617</v>
      </c>
      <c r="E45" s="17" t="n">
        <v>36646</v>
      </c>
      <c r="F45" s="15" t="n">
        <v>4</v>
      </c>
      <c r="G45" s="15" t="n">
        <v>6</v>
      </c>
      <c r="H45" s="16" t="s">
        <v>231</v>
      </c>
      <c r="I45" s="24" t="n">
        <f aca="false">0.6/I1</f>
        <v>0.02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f aca="false">+O45*(1.75)</f>
        <v>0.017675</v>
      </c>
      <c r="O45" s="21" t="n">
        <v>0.0101</v>
      </c>
      <c r="P45" s="20" t="n">
        <f aca="false">SUM(I45:N45)</f>
        <v>0.037675</v>
      </c>
      <c r="Q45" s="22" t="n">
        <v>33072</v>
      </c>
      <c r="R45" s="16" t="n">
        <v>5000</v>
      </c>
      <c r="S45" s="157" t="s">
        <v>1</v>
      </c>
      <c r="T45" s="153" t="n">
        <f aca="false">I45*$I$1*R45</f>
        <v>3000</v>
      </c>
      <c r="U45" s="23"/>
      <c r="V45" s="24" t="n">
        <v>232900</v>
      </c>
      <c r="W45" s="2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" hidden="false" customHeight="true" outlineLevel="0" collapsed="false">
      <c r="A46" s="15" t="s">
        <v>297</v>
      </c>
      <c r="B46" s="16" t="s">
        <v>269</v>
      </c>
      <c r="C46" s="16" t="s">
        <v>294</v>
      </c>
      <c r="D46" s="17" t="n">
        <v>36861</v>
      </c>
      <c r="E46" s="17" t="n">
        <v>36631</v>
      </c>
      <c r="F46" s="15" t="s">
        <v>298</v>
      </c>
      <c r="G46" s="15" t="s">
        <v>297</v>
      </c>
      <c r="H46" s="16" t="s">
        <v>231</v>
      </c>
      <c r="I46" s="19" t="n">
        <v>0.1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1" t="n">
        <v>0</v>
      </c>
      <c r="P46" s="20" t="n">
        <f aca="false">SUM(I46:N46)</f>
        <v>0.1</v>
      </c>
      <c r="Q46" s="22" t="n">
        <v>33188</v>
      </c>
      <c r="R46" s="16" t="n">
        <v>12396</v>
      </c>
      <c r="S46" s="157"/>
      <c r="T46" s="153" t="n">
        <f aca="false">+R46*I46</f>
        <v>1239.6</v>
      </c>
      <c r="U46" s="23"/>
      <c r="V46" s="24"/>
      <c r="W46" s="24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" hidden="false" customHeight="true" outlineLevel="0" collapsed="false">
      <c r="A47" s="15" t="s">
        <v>297</v>
      </c>
      <c r="B47" s="16" t="s">
        <v>269</v>
      </c>
      <c r="C47" s="16" t="s">
        <v>294</v>
      </c>
      <c r="D47" s="17" t="n">
        <v>36861</v>
      </c>
      <c r="E47" s="17" t="n">
        <v>36631</v>
      </c>
      <c r="F47" s="15" t="s">
        <v>298</v>
      </c>
      <c r="G47" s="15" t="s">
        <v>297</v>
      </c>
      <c r="H47" s="16" t="s">
        <v>231</v>
      </c>
      <c r="I47" s="19" t="n">
        <v>0.1</v>
      </c>
      <c r="J47" s="20" t="n">
        <v>0</v>
      </c>
      <c r="K47" s="20" t="n">
        <v>0</v>
      </c>
      <c r="L47" s="20" t="n">
        <v>0</v>
      </c>
      <c r="M47" s="20" t="n">
        <v>0</v>
      </c>
      <c r="N47" s="20" t="n">
        <v>0</v>
      </c>
      <c r="O47" s="21" t="n">
        <v>0</v>
      </c>
      <c r="P47" s="20" t="n">
        <f aca="false">SUM(I47:N47)</f>
        <v>0.1</v>
      </c>
      <c r="Q47" s="22" t="n">
        <v>33189</v>
      </c>
      <c r="R47" s="16" t="n">
        <v>12000</v>
      </c>
      <c r="S47" s="157"/>
      <c r="T47" s="153" t="n">
        <f aca="false">+R47*I47</f>
        <v>1200</v>
      </c>
      <c r="U47" s="23"/>
      <c r="V47" s="24"/>
      <c r="W47" s="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" hidden="false" customHeight="true" outlineLevel="0" collapsed="false">
      <c r="A48" s="15" t="s">
        <v>252</v>
      </c>
      <c r="B48" s="16" t="s">
        <v>269</v>
      </c>
      <c r="C48" s="16" t="s">
        <v>299</v>
      </c>
      <c r="D48" s="17" t="n">
        <v>36526</v>
      </c>
      <c r="E48" s="17" t="n">
        <v>36556</v>
      </c>
      <c r="F48" s="15" t="s">
        <v>300</v>
      </c>
      <c r="G48" s="15" t="s">
        <v>300</v>
      </c>
      <c r="H48" s="16" t="s">
        <v>231</v>
      </c>
      <c r="I48" s="19" t="n">
        <v>0</v>
      </c>
      <c r="J48" s="20" t="n">
        <v>0.0572</v>
      </c>
      <c r="K48" s="20" t="n">
        <v>0.0022</v>
      </c>
      <c r="L48" s="20" t="n">
        <v>0.0075</v>
      </c>
      <c r="M48" s="20" t="n">
        <v>0</v>
      </c>
      <c r="N48" s="20" t="n">
        <f aca="false">+O48*(1.75)</f>
        <v>0.017675</v>
      </c>
      <c r="O48" s="21" t="n">
        <v>0.0101</v>
      </c>
      <c r="P48" s="20" t="n">
        <f aca="false">SUM(I48:N48)</f>
        <v>0.084575</v>
      </c>
      <c r="Q48" s="22"/>
      <c r="R48" s="16" t="n">
        <v>0</v>
      </c>
      <c r="S48" s="157" t="s">
        <v>1</v>
      </c>
      <c r="T48" s="153" t="n">
        <f aca="false">I48*$I$1*R48</f>
        <v>0</v>
      </c>
      <c r="U48" s="23"/>
      <c r="V48" s="24"/>
      <c r="W48" s="2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" hidden="false" customHeight="true" outlineLevel="0" collapsed="false">
      <c r="A49" s="15" t="s">
        <v>144</v>
      </c>
      <c r="B49" s="16" t="s">
        <v>269</v>
      </c>
      <c r="C49" s="16" t="s">
        <v>294</v>
      </c>
      <c r="D49" s="17" t="n">
        <v>36526</v>
      </c>
      <c r="E49" s="17" t="n">
        <v>36556</v>
      </c>
      <c r="F49" s="15" t="s">
        <v>301</v>
      </c>
      <c r="G49" s="15" t="s">
        <v>302</v>
      </c>
      <c r="H49" s="16" t="s">
        <v>231</v>
      </c>
      <c r="I49" s="19" t="n">
        <v>0.1671</v>
      </c>
      <c r="J49" s="20" t="n">
        <v>0.0765</v>
      </c>
      <c r="K49" s="20" t="n">
        <v>0.0022</v>
      </c>
      <c r="L49" s="20" t="n">
        <v>0.0075</v>
      </c>
      <c r="M49" s="20" t="n">
        <v>0</v>
      </c>
      <c r="N49" s="20" t="n">
        <f aca="false">+O49*(2.15)</f>
        <v>0.027305</v>
      </c>
      <c r="O49" s="21" t="n">
        <v>0.0127</v>
      </c>
      <c r="P49" s="20" t="n">
        <f aca="false">SUM(I49:N49)</f>
        <v>0.280605</v>
      </c>
      <c r="Q49" s="22"/>
      <c r="R49" s="16" t="n">
        <v>0</v>
      </c>
      <c r="S49" s="157" t="s">
        <v>1</v>
      </c>
      <c r="T49" s="153" t="n">
        <f aca="false">I49*$I$1*R49</f>
        <v>0</v>
      </c>
      <c r="U49" s="23"/>
      <c r="V49" s="24"/>
      <c r="W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5" t="s">
        <v>144</v>
      </c>
      <c r="B50" s="16" t="s">
        <v>269</v>
      </c>
      <c r="C50" s="16" t="s">
        <v>294</v>
      </c>
      <c r="D50" s="17" t="n">
        <v>36477</v>
      </c>
      <c r="E50" s="17" t="n">
        <v>36494</v>
      </c>
      <c r="F50" s="15" t="s">
        <v>303</v>
      </c>
      <c r="G50" s="15" t="s">
        <v>93</v>
      </c>
      <c r="H50" s="16" t="s">
        <v>219</v>
      </c>
      <c r="I50" s="19"/>
      <c r="J50" s="20" t="n">
        <v>0.02</v>
      </c>
      <c r="K50" s="20" t="n">
        <v>0</v>
      </c>
      <c r="L50" s="20" t="n">
        <v>0</v>
      </c>
      <c r="M50" s="20" t="n">
        <v>0</v>
      </c>
      <c r="N50" s="20" t="n">
        <f aca="false">+O50*2.3</f>
        <v>0.02323</v>
      </c>
      <c r="O50" s="155" t="n">
        <v>0.0101</v>
      </c>
      <c r="P50" s="20" t="n">
        <f aca="false">SUM(I50:N50)</f>
        <v>0.04323</v>
      </c>
      <c r="Q50" s="22"/>
      <c r="R50" s="16"/>
      <c r="S50" s="156"/>
      <c r="T50" s="153" t="n">
        <f aca="false">I50*$I$1*R50</f>
        <v>0</v>
      </c>
      <c r="U50" s="23"/>
      <c r="V50" s="24"/>
      <c r="W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" hidden="false" customHeight="true" outlineLevel="0" collapsed="false">
      <c r="A51" s="15" t="s">
        <v>297</v>
      </c>
      <c r="B51" s="16" t="s">
        <v>269</v>
      </c>
      <c r="C51" s="16" t="s">
        <v>294</v>
      </c>
      <c r="D51" s="17" t="n">
        <v>36617</v>
      </c>
      <c r="E51" s="17" t="n">
        <v>36829</v>
      </c>
      <c r="F51" s="15" t="s">
        <v>298</v>
      </c>
      <c r="G51" s="15" t="s">
        <v>297</v>
      </c>
      <c r="H51" s="16" t="s">
        <v>231</v>
      </c>
      <c r="I51" s="19" t="s">
        <v>304</v>
      </c>
      <c r="J51" s="20" t="n">
        <v>0</v>
      </c>
      <c r="K51" s="20" t="n">
        <v>0</v>
      </c>
      <c r="L51" s="20" t="n">
        <v>0</v>
      </c>
      <c r="M51" s="20" t="n">
        <v>0</v>
      </c>
      <c r="N51" s="20" t="n">
        <v>0</v>
      </c>
      <c r="O51" s="21" t="n">
        <v>0</v>
      </c>
      <c r="P51" s="20" t="n">
        <f aca="false">SUM(I51:N51)</f>
        <v>0</v>
      </c>
      <c r="Q51" s="22" t="n">
        <v>33140</v>
      </c>
      <c r="R51" s="16" t="n">
        <v>250000</v>
      </c>
      <c r="S51" s="157" t="s">
        <v>305</v>
      </c>
      <c r="T51" s="153" t="n">
        <v>10000</v>
      </c>
      <c r="U51" s="23"/>
      <c r="V51" s="24"/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" hidden="false" customHeight="true" outlineLevel="0" collapsed="false">
      <c r="A52" s="15" t="s">
        <v>52</v>
      </c>
      <c r="B52" s="16" t="s">
        <v>269</v>
      </c>
      <c r="C52" s="16"/>
      <c r="D52" s="17"/>
      <c r="E52" s="17"/>
      <c r="F52" s="15" t="s">
        <v>306</v>
      </c>
      <c r="G52" s="15" t="s">
        <v>307</v>
      </c>
      <c r="H52" s="16" t="s">
        <v>231</v>
      </c>
      <c r="I52" s="19" t="n">
        <v>0</v>
      </c>
      <c r="J52" s="20" t="n">
        <v>0.0776</v>
      </c>
      <c r="K52" s="20" t="n">
        <v>0.0022</v>
      </c>
      <c r="L52" s="20" t="n">
        <v>0.0075</v>
      </c>
      <c r="M52" s="20" t="n">
        <v>0</v>
      </c>
      <c r="N52" s="20" t="n">
        <f aca="false">+O52*(1.75)</f>
        <v>0.0749</v>
      </c>
      <c r="O52" s="21" t="n">
        <v>0.0428</v>
      </c>
      <c r="P52" s="20" t="n">
        <f aca="false">SUM(I52:N52)</f>
        <v>0.1622</v>
      </c>
      <c r="Q52" s="22"/>
      <c r="R52" s="16"/>
      <c r="S52" s="157"/>
      <c r="T52" s="153"/>
      <c r="U52" s="23"/>
      <c r="V52" s="24"/>
      <c r="W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" hidden="false" customHeight="true" outlineLevel="0" collapsed="false">
      <c r="A53" s="15" t="s">
        <v>308</v>
      </c>
      <c r="B53" s="16" t="s">
        <v>269</v>
      </c>
      <c r="C53" s="16" t="s">
        <v>151</v>
      </c>
      <c r="D53" s="17" t="n">
        <v>36526</v>
      </c>
      <c r="E53" s="17" t="n">
        <v>36556</v>
      </c>
      <c r="F53" s="15" t="s">
        <v>295</v>
      </c>
      <c r="G53" s="15" t="n">
        <v>3</v>
      </c>
      <c r="H53" s="16" t="s">
        <v>231</v>
      </c>
      <c r="I53" s="19" t="n">
        <v>0</v>
      </c>
      <c r="J53" s="20" t="n">
        <v>0.135</v>
      </c>
      <c r="K53" s="20" t="n">
        <v>0</v>
      </c>
      <c r="L53" s="20" t="n">
        <v>0</v>
      </c>
      <c r="M53" s="20" t="n">
        <v>0</v>
      </c>
      <c r="N53" s="20" t="n">
        <f aca="false">+O53*(1.75)</f>
        <v>0.087325</v>
      </c>
      <c r="O53" s="21" t="n">
        <v>0.0499</v>
      </c>
      <c r="P53" s="20" t="n">
        <f aca="false">SUM(I53:N53)</f>
        <v>0.222325</v>
      </c>
      <c r="Q53" s="22" t="n">
        <v>3905</v>
      </c>
      <c r="R53" s="16"/>
      <c r="S53" s="157"/>
      <c r="T53" s="153" t="n">
        <f aca="false">I53*$I$1*R53</f>
        <v>0</v>
      </c>
      <c r="U53" s="23"/>
      <c r="V53" s="24"/>
      <c r="W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" hidden="false" customHeight="true" outlineLevel="0" collapsed="false">
      <c r="A54" s="15"/>
      <c r="B54" s="16"/>
      <c r="C54" s="16"/>
      <c r="D54" s="17"/>
      <c r="E54" s="17"/>
      <c r="F54" s="15"/>
      <c r="G54" s="15"/>
      <c r="H54" s="16"/>
      <c r="I54" s="19"/>
      <c r="J54" s="20"/>
      <c r="K54" s="20"/>
      <c r="L54" s="20"/>
      <c r="M54" s="20"/>
      <c r="N54" s="20"/>
      <c r="O54" s="21"/>
      <c r="P54" s="20"/>
      <c r="Q54" s="22"/>
      <c r="R54" s="16"/>
      <c r="S54" s="157"/>
      <c r="T54" s="153"/>
      <c r="U54" s="23"/>
      <c r="V54" s="24"/>
      <c r="W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" hidden="false" customHeight="true" outlineLevel="0" collapsed="false">
      <c r="A55" s="15"/>
      <c r="B55" s="16"/>
      <c r="C55" s="16"/>
      <c r="D55" s="17"/>
      <c r="E55" s="17"/>
      <c r="F55" s="15"/>
      <c r="G55" s="15"/>
      <c r="H55" s="16"/>
      <c r="I55" s="19"/>
      <c r="J55" s="20"/>
      <c r="K55" s="20"/>
      <c r="L55" s="20"/>
      <c r="M55" s="20"/>
      <c r="N55" s="20"/>
      <c r="O55" s="21"/>
      <c r="P55" s="20"/>
      <c r="Q55" s="22"/>
      <c r="R55" s="16"/>
      <c r="S55" s="157"/>
      <c r="T55" s="153"/>
      <c r="U55" s="23"/>
      <c r="V55" s="24"/>
      <c r="W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" hidden="false" customHeight="true" outlineLevel="0" collapsed="false">
      <c r="A56" s="15"/>
      <c r="B56" s="16"/>
      <c r="C56" s="16"/>
      <c r="D56" s="17"/>
      <c r="E56" s="17"/>
      <c r="F56" s="15"/>
      <c r="G56" s="15"/>
      <c r="H56" s="16"/>
      <c r="I56" s="19"/>
      <c r="J56" s="20"/>
      <c r="K56" s="20"/>
      <c r="L56" s="20"/>
      <c r="M56" s="20"/>
      <c r="N56" s="20"/>
      <c r="O56" s="21"/>
      <c r="P56" s="20"/>
      <c r="Q56" s="22"/>
      <c r="R56" s="16"/>
      <c r="S56" s="157"/>
      <c r="T56" s="153"/>
      <c r="U56" s="23"/>
      <c r="V56" s="24"/>
      <c r="W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3.5" hidden="false" customHeight="true" outlineLevel="0" collapsed="false">
      <c r="A57" s="15" t="s">
        <v>268</v>
      </c>
      <c r="B57" s="16" t="s">
        <v>269</v>
      </c>
      <c r="C57" s="16" t="s">
        <v>309</v>
      </c>
      <c r="D57" s="17" t="n">
        <v>36526</v>
      </c>
      <c r="E57" s="17" t="n">
        <v>36556</v>
      </c>
      <c r="F57" s="15" t="s">
        <v>295</v>
      </c>
      <c r="G57" s="15" t="s">
        <v>310</v>
      </c>
      <c r="H57" s="16"/>
      <c r="I57" s="19" t="n">
        <v>0.2216</v>
      </c>
      <c r="J57" s="20" t="n">
        <v>0.0669</v>
      </c>
      <c r="K57" s="20" t="n">
        <v>0.0022</v>
      </c>
      <c r="L57" s="20" t="n">
        <v>0</v>
      </c>
      <c r="M57" s="20" t="n">
        <v>0</v>
      </c>
      <c r="N57" s="20" t="n">
        <f aca="false">+O57*2.2</f>
        <v>0.05368</v>
      </c>
      <c r="O57" s="21" t="n">
        <v>0.0244</v>
      </c>
      <c r="P57" s="20" t="n">
        <f aca="false">SUM(I57:N57)</f>
        <v>0.34438</v>
      </c>
      <c r="Q57" s="22"/>
      <c r="R57" s="16" t="n">
        <v>4581</v>
      </c>
      <c r="S57" s="15"/>
      <c r="T57" s="158" t="n">
        <f aca="false">I57*I$1*R57</f>
        <v>30454.488</v>
      </c>
      <c r="U57" s="23"/>
      <c r="V57" s="24"/>
      <c r="W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5" t="s">
        <v>268</v>
      </c>
      <c r="B58" s="16" t="s">
        <v>269</v>
      </c>
      <c r="C58" s="16" t="s">
        <v>309</v>
      </c>
      <c r="D58" s="17" t="n">
        <v>36526</v>
      </c>
      <c r="E58" s="17" t="n">
        <v>36556</v>
      </c>
      <c r="F58" s="15" t="s">
        <v>294</v>
      </c>
      <c r="G58" s="15" t="s">
        <v>310</v>
      </c>
      <c r="H58" s="16"/>
      <c r="I58" s="19" t="n">
        <v>0.2216</v>
      </c>
      <c r="J58" s="20" t="n">
        <v>0</v>
      </c>
      <c r="K58" s="20" t="n">
        <v>0</v>
      </c>
      <c r="L58" s="20" t="n">
        <v>0</v>
      </c>
      <c r="M58" s="20" t="n">
        <v>0</v>
      </c>
      <c r="N58" s="20" t="n">
        <f aca="false">+O58*2.2</f>
        <v>0.05368</v>
      </c>
      <c r="O58" s="21" t="n">
        <v>0.0244</v>
      </c>
      <c r="P58" s="20" t="n">
        <f aca="false">SUM(I58:N58)</f>
        <v>0.27528</v>
      </c>
      <c r="Q58" s="22"/>
      <c r="R58" s="16" t="n">
        <v>2500</v>
      </c>
      <c r="S58" s="15"/>
      <c r="T58" s="158" t="n">
        <f aca="false">I58*I$1*R58</f>
        <v>16620</v>
      </c>
      <c r="U58" s="23"/>
      <c r="V58" s="24"/>
      <c r="W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5" t="s">
        <v>268</v>
      </c>
      <c r="B59" s="16" t="s">
        <v>269</v>
      </c>
      <c r="C59" s="16" t="s">
        <v>311</v>
      </c>
      <c r="D59" s="17" t="n">
        <v>36526</v>
      </c>
      <c r="E59" s="17" t="n">
        <v>36556</v>
      </c>
      <c r="F59" s="15" t="s">
        <v>294</v>
      </c>
      <c r="G59" s="15" t="s">
        <v>310</v>
      </c>
      <c r="H59" s="16"/>
      <c r="I59" s="19" t="n">
        <v>0.2216</v>
      </c>
      <c r="J59" s="20" t="n">
        <v>0</v>
      </c>
      <c r="K59" s="20" t="n">
        <v>0</v>
      </c>
      <c r="L59" s="20" t="n">
        <v>0</v>
      </c>
      <c r="M59" s="20" t="n">
        <v>0</v>
      </c>
      <c r="N59" s="20" t="n">
        <f aca="false">+O59*2.2</f>
        <v>0.05368</v>
      </c>
      <c r="O59" s="21" t="n">
        <v>0.0244</v>
      </c>
      <c r="P59" s="20" t="n">
        <f aca="false">SUM(I59:N59)</f>
        <v>0.27528</v>
      </c>
      <c r="Q59" s="22" t="n">
        <v>2156</v>
      </c>
      <c r="R59" s="16" t="n">
        <v>3778</v>
      </c>
      <c r="S59" s="15" t="s">
        <v>312</v>
      </c>
      <c r="T59" s="158" t="n">
        <f aca="false">I59*I$1*R59</f>
        <v>25116.144</v>
      </c>
      <c r="U59" s="23"/>
      <c r="V59" s="24" t="n">
        <v>142767</v>
      </c>
      <c r="W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38" t="s">
        <v>268</v>
      </c>
      <c r="B60" s="16" t="s">
        <v>269</v>
      </c>
      <c r="C60" s="87" t="s">
        <v>311</v>
      </c>
      <c r="D60" s="88" t="n">
        <v>36617</v>
      </c>
      <c r="E60" s="88" t="n">
        <v>36646</v>
      </c>
      <c r="F60" s="38" t="s">
        <v>294</v>
      </c>
      <c r="G60" s="38" t="s">
        <v>313</v>
      </c>
      <c r="H60" s="87"/>
      <c r="I60" s="75" t="n">
        <v>0.05</v>
      </c>
      <c r="J60" s="89" t="n">
        <v>0</v>
      </c>
      <c r="K60" s="89" t="n">
        <v>0</v>
      </c>
      <c r="L60" s="89" t="n">
        <v>0</v>
      </c>
      <c r="M60" s="89" t="n">
        <v>0</v>
      </c>
      <c r="N60" s="89" t="n">
        <f aca="false">+O60*2.2</f>
        <v>0.05368</v>
      </c>
      <c r="O60" s="139" t="n">
        <v>0.0244</v>
      </c>
      <c r="P60" s="89" t="n">
        <f aca="false">SUM(I60:N60)</f>
        <v>0.10368</v>
      </c>
      <c r="Q60" s="91" t="n">
        <v>2156</v>
      </c>
      <c r="R60" s="87" t="n">
        <v>-500</v>
      </c>
      <c r="S60" s="38" t="s">
        <v>312</v>
      </c>
      <c r="T60" s="159" t="n">
        <f aca="false">I60*I$1*R60</f>
        <v>-750</v>
      </c>
      <c r="U60" s="93"/>
      <c r="V60" s="95" t="n">
        <v>228526</v>
      </c>
      <c r="W60" s="95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12.75" hidden="false" customHeight="false" outlineLevel="0" collapsed="false">
      <c r="A61" s="124" t="s">
        <v>268</v>
      </c>
      <c r="B61" s="16" t="s">
        <v>269</v>
      </c>
      <c r="C61" s="126" t="s">
        <v>314</v>
      </c>
      <c r="D61" s="127" t="n">
        <v>36526</v>
      </c>
      <c r="E61" s="127" t="n">
        <v>36556</v>
      </c>
      <c r="F61" s="124" t="s">
        <v>294</v>
      </c>
      <c r="G61" s="124" t="s">
        <v>310</v>
      </c>
      <c r="H61" s="126"/>
      <c r="I61" s="129" t="n">
        <v>0.2216</v>
      </c>
      <c r="J61" s="130" t="n">
        <v>0</v>
      </c>
      <c r="K61" s="130" t="n">
        <v>0</v>
      </c>
      <c r="L61" s="130" t="n">
        <v>0</v>
      </c>
      <c r="M61" s="130" t="n">
        <v>0</v>
      </c>
      <c r="N61" s="130" t="n">
        <f aca="false">+O61*2.2</f>
        <v>0.05368</v>
      </c>
      <c r="O61" s="131" t="n">
        <v>0.0244</v>
      </c>
      <c r="P61" s="130" t="n">
        <f aca="false">SUM(I61:N61)</f>
        <v>0.27528</v>
      </c>
      <c r="Q61" s="160" t="n">
        <v>1943</v>
      </c>
      <c r="R61" s="126" t="n">
        <v>359</v>
      </c>
      <c r="S61" s="124" t="s">
        <v>315</v>
      </c>
      <c r="T61" s="161" t="n">
        <f aca="false">I61*I$1*R61</f>
        <v>2386.632</v>
      </c>
      <c r="U61" s="134"/>
      <c r="V61" s="135" t="n">
        <v>142636</v>
      </c>
      <c r="W61" s="135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62"/>
      <c r="BL61" s="162"/>
      <c r="BM61" s="162"/>
      <c r="BN61" s="162"/>
      <c r="BO61" s="162"/>
      <c r="BP61" s="162"/>
      <c r="BQ61" s="162"/>
      <c r="BR61" s="162"/>
      <c r="BS61" s="162"/>
      <c r="BT61" s="162"/>
      <c r="BU61" s="162"/>
      <c r="BV61" s="162"/>
      <c r="BW61" s="162"/>
      <c r="BX61" s="162"/>
      <c r="BY61" s="162"/>
      <c r="BZ61" s="162"/>
      <c r="CA61" s="162"/>
      <c r="CB61" s="162"/>
      <c r="CC61" s="162"/>
      <c r="CD61" s="162"/>
      <c r="CE61" s="162"/>
      <c r="CF61" s="162"/>
      <c r="CG61" s="162"/>
      <c r="CH61" s="162"/>
      <c r="CI61" s="162"/>
      <c r="CJ61" s="162"/>
      <c r="CK61" s="162"/>
      <c r="CL61" s="162"/>
      <c r="CM61" s="162"/>
      <c r="CN61" s="162"/>
      <c r="CO61" s="162"/>
      <c r="CP61" s="162"/>
      <c r="CQ61" s="162"/>
      <c r="CR61" s="162"/>
      <c r="CS61" s="162"/>
      <c r="CT61" s="162"/>
      <c r="CU61" s="162"/>
      <c r="CV61" s="162"/>
      <c r="CW61" s="162"/>
      <c r="CX61" s="162"/>
      <c r="CY61" s="162"/>
      <c r="CZ61" s="162"/>
      <c r="DA61" s="162"/>
      <c r="DB61" s="162"/>
      <c r="DC61" s="162"/>
      <c r="DD61" s="162"/>
      <c r="DE61" s="162"/>
      <c r="DF61" s="162"/>
      <c r="DG61" s="162"/>
      <c r="DH61" s="162"/>
      <c r="DI61" s="162"/>
      <c r="DJ61" s="162"/>
      <c r="DK61" s="162"/>
      <c r="DL61" s="162"/>
      <c r="DM61" s="162"/>
      <c r="DN61" s="162"/>
      <c r="DO61" s="162"/>
      <c r="DP61" s="162"/>
      <c r="DQ61" s="162"/>
      <c r="DR61" s="162"/>
      <c r="DS61" s="162"/>
      <c r="DT61" s="162"/>
      <c r="DU61" s="162"/>
      <c r="DV61" s="162"/>
      <c r="DW61" s="162"/>
      <c r="DX61" s="162"/>
      <c r="DY61" s="162"/>
      <c r="DZ61" s="162"/>
      <c r="EA61" s="162"/>
      <c r="EB61" s="162"/>
      <c r="EC61" s="162"/>
      <c r="ED61" s="162"/>
      <c r="EE61" s="162"/>
      <c r="EF61" s="162"/>
      <c r="EG61" s="162"/>
      <c r="EH61" s="162"/>
      <c r="EI61" s="162"/>
      <c r="EJ61" s="162"/>
      <c r="EK61" s="162"/>
      <c r="EL61" s="162"/>
      <c r="EM61" s="162"/>
      <c r="EN61" s="162"/>
      <c r="EO61" s="162"/>
      <c r="EP61" s="162"/>
      <c r="EQ61" s="162"/>
      <c r="ER61" s="162"/>
      <c r="ES61" s="162"/>
      <c r="ET61" s="162"/>
      <c r="EU61" s="162"/>
      <c r="EV61" s="162"/>
      <c r="EW61" s="162"/>
      <c r="EX61" s="162"/>
      <c r="EY61" s="162"/>
      <c r="EZ61" s="162"/>
      <c r="FA61" s="162"/>
      <c r="FB61" s="162"/>
      <c r="FC61" s="162"/>
      <c r="FD61" s="162"/>
      <c r="FE61" s="162"/>
      <c r="FF61" s="162"/>
      <c r="FG61" s="162"/>
      <c r="FH61" s="162"/>
      <c r="FI61" s="162"/>
      <c r="FJ61" s="162"/>
      <c r="FK61" s="162"/>
      <c r="FL61" s="162"/>
      <c r="FM61" s="162"/>
      <c r="FN61" s="162"/>
      <c r="FO61" s="162"/>
      <c r="FP61" s="162"/>
      <c r="FQ61" s="162"/>
      <c r="FR61" s="162"/>
      <c r="FS61" s="162"/>
      <c r="FT61" s="162"/>
      <c r="FU61" s="162"/>
      <c r="FV61" s="162"/>
      <c r="FW61" s="162"/>
      <c r="FX61" s="162"/>
      <c r="FY61" s="162"/>
      <c r="FZ61" s="162"/>
      <c r="GA61" s="162"/>
      <c r="GB61" s="162"/>
      <c r="GC61" s="162"/>
      <c r="GD61" s="162"/>
      <c r="GE61" s="162"/>
      <c r="GF61" s="162"/>
      <c r="GG61" s="162"/>
      <c r="GH61" s="162"/>
      <c r="GI61" s="162"/>
      <c r="GJ61" s="162"/>
      <c r="GK61" s="162"/>
      <c r="GL61" s="162"/>
      <c r="GM61" s="162"/>
      <c r="GN61" s="162"/>
      <c r="GO61" s="162"/>
      <c r="GP61" s="162"/>
      <c r="GQ61" s="162"/>
      <c r="GR61" s="162"/>
      <c r="GS61" s="162"/>
      <c r="GT61" s="162"/>
      <c r="GU61" s="162"/>
      <c r="GV61" s="162"/>
      <c r="GW61" s="162"/>
      <c r="GX61" s="162"/>
      <c r="GY61" s="162"/>
      <c r="GZ61" s="162"/>
      <c r="HA61" s="162"/>
      <c r="HB61" s="162"/>
      <c r="HC61" s="162"/>
      <c r="HD61" s="162"/>
      <c r="HE61" s="162"/>
      <c r="HF61" s="162"/>
      <c r="HG61" s="162"/>
      <c r="HH61" s="162"/>
      <c r="HI61" s="162"/>
      <c r="HJ61" s="162"/>
      <c r="HK61" s="162"/>
      <c r="HL61" s="162"/>
      <c r="HM61" s="162"/>
      <c r="HN61" s="162"/>
      <c r="HO61" s="162"/>
      <c r="HP61" s="162"/>
      <c r="HQ61" s="162"/>
      <c r="HR61" s="162"/>
      <c r="HS61" s="162"/>
      <c r="HT61" s="162"/>
      <c r="HU61" s="162"/>
      <c r="HV61" s="162"/>
      <c r="HW61" s="162"/>
      <c r="HX61" s="162"/>
      <c r="HY61" s="162"/>
      <c r="HZ61" s="162"/>
      <c r="IA61" s="162"/>
      <c r="IB61" s="162"/>
      <c r="IC61" s="162"/>
      <c r="ID61" s="162"/>
      <c r="IE61" s="162"/>
      <c r="IF61" s="162"/>
      <c r="IG61" s="162"/>
      <c r="IH61" s="162"/>
      <c r="II61" s="162"/>
      <c r="IJ61" s="162"/>
      <c r="IK61" s="162"/>
      <c r="IL61" s="162"/>
      <c r="IM61" s="162"/>
      <c r="IN61" s="162"/>
      <c r="IO61" s="162"/>
      <c r="IP61" s="162"/>
      <c r="IQ61" s="162"/>
      <c r="IR61" s="162"/>
      <c r="IS61" s="162"/>
      <c r="IT61" s="162"/>
      <c r="IU61" s="162"/>
      <c r="IV61" s="162"/>
      <c r="IW61" s="162"/>
    </row>
    <row r="62" customFormat="false" ht="12.75" hidden="false" customHeight="false" outlineLevel="0" collapsed="false">
      <c r="A62" s="15" t="s">
        <v>268</v>
      </c>
      <c r="B62" s="16" t="s">
        <v>269</v>
      </c>
      <c r="C62" s="16" t="s">
        <v>316</v>
      </c>
      <c r="D62" s="17" t="n">
        <v>36526</v>
      </c>
      <c r="E62" s="17" t="n">
        <v>36556</v>
      </c>
      <c r="F62" s="15" t="s">
        <v>294</v>
      </c>
      <c r="G62" s="15" t="s">
        <v>310</v>
      </c>
      <c r="H62" s="16"/>
      <c r="I62" s="19" t="n">
        <v>0.2216</v>
      </c>
      <c r="J62" s="20" t="n">
        <v>0</v>
      </c>
      <c r="K62" s="20" t="n">
        <v>0</v>
      </c>
      <c r="L62" s="20" t="n">
        <v>0</v>
      </c>
      <c r="M62" s="20" t="n">
        <v>0</v>
      </c>
      <c r="N62" s="20" t="n">
        <f aca="false">+O62*2.2</f>
        <v>0.05368</v>
      </c>
      <c r="O62" s="21" t="n">
        <v>0.0244</v>
      </c>
      <c r="P62" s="20" t="n">
        <f aca="false">SUM(I62:N62)</f>
        <v>0.27528</v>
      </c>
      <c r="Q62" s="22" t="n">
        <v>248</v>
      </c>
      <c r="R62" s="16" t="n">
        <v>6000</v>
      </c>
      <c r="S62" s="15"/>
      <c r="T62" s="158" t="n">
        <f aca="false">I62*I$1*R62</f>
        <v>39888</v>
      </c>
      <c r="U62" s="23"/>
      <c r="V62" s="24" t="n">
        <v>142568</v>
      </c>
      <c r="W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false" outlineLevel="0" collapsed="false">
      <c r="A63" s="15" t="s">
        <v>268</v>
      </c>
      <c r="B63" s="16" t="s">
        <v>269</v>
      </c>
      <c r="C63" s="16" t="s">
        <v>316</v>
      </c>
      <c r="D63" s="17" t="n">
        <v>36526</v>
      </c>
      <c r="E63" s="17" t="n">
        <v>36556</v>
      </c>
      <c r="F63" s="15" t="s">
        <v>294</v>
      </c>
      <c r="G63" s="15" t="s">
        <v>310</v>
      </c>
      <c r="H63" s="16"/>
      <c r="I63" s="19" t="n">
        <v>0.2216</v>
      </c>
      <c r="J63" s="20" t="n">
        <v>0</v>
      </c>
      <c r="K63" s="20" t="n">
        <v>0</v>
      </c>
      <c r="L63" s="20" t="n">
        <v>0</v>
      </c>
      <c r="M63" s="20" t="n">
        <v>0</v>
      </c>
      <c r="N63" s="20" t="n">
        <f aca="false">+O63*2.2</f>
        <v>0.05368</v>
      </c>
      <c r="O63" s="21" t="n">
        <v>0.0244</v>
      </c>
      <c r="P63" s="20" t="n">
        <f aca="false">SUM(I63:N63)</f>
        <v>0.27528</v>
      </c>
      <c r="Q63" s="22" t="n">
        <v>250</v>
      </c>
      <c r="R63" s="16" t="n">
        <v>5400</v>
      </c>
      <c r="S63" s="15"/>
      <c r="T63" s="158" t="n">
        <f aca="false">I63*I$1*R63</f>
        <v>35899.2</v>
      </c>
      <c r="U63" s="23"/>
      <c r="V63" s="24" t="n">
        <v>142585</v>
      </c>
      <c r="W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15" t="s">
        <v>268</v>
      </c>
      <c r="B64" s="16" t="s">
        <v>269</v>
      </c>
      <c r="C64" s="16" t="s">
        <v>316</v>
      </c>
      <c r="D64" s="17" t="n">
        <v>36526</v>
      </c>
      <c r="E64" s="17" t="n">
        <v>36556</v>
      </c>
      <c r="F64" s="15" t="s">
        <v>294</v>
      </c>
      <c r="G64" s="15" t="s">
        <v>310</v>
      </c>
      <c r="H64" s="16"/>
      <c r="I64" s="19" t="n">
        <v>0.2216</v>
      </c>
      <c r="J64" s="20" t="n">
        <v>0</v>
      </c>
      <c r="K64" s="20" t="n">
        <v>0</v>
      </c>
      <c r="L64" s="20" t="n">
        <v>0</v>
      </c>
      <c r="M64" s="20" t="n">
        <v>0</v>
      </c>
      <c r="N64" s="20" t="n">
        <f aca="false">+O64*2.2</f>
        <v>0.05368</v>
      </c>
      <c r="O64" s="21" t="n">
        <v>0.0244</v>
      </c>
      <c r="P64" s="20" t="n">
        <f aca="false">SUM(I64:N64)</f>
        <v>0.27528</v>
      </c>
      <c r="Q64" s="22" t="n">
        <v>495</v>
      </c>
      <c r="R64" s="16" t="n">
        <v>1371</v>
      </c>
      <c r="S64" s="15"/>
      <c r="T64" s="158" t="n">
        <f aca="false">I64*I$1*R64</f>
        <v>9114.408</v>
      </c>
      <c r="U64" s="23"/>
      <c r="V64" s="24" t="n">
        <v>142595</v>
      </c>
      <c r="W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false" outlineLevel="0" collapsed="false">
      <c r="A65" s="15" t="s">
        <v>268</v>
      </c>
      <c r="B65" s="16" t="s">
        <v>269</v>
      </c>
      <c r="C65" s="16" t="s">
        <v>316</v>
      </c>
      <c r="D65" s="17" t="n">
        <v>36526</v>
      </c>
      <c r="E65" s="17" t="n">
        <v>36556</v>
      </c>
      <c r="F65" s="15" t="s">
        <v>294</v>
      </c>
      <c r="G65" s="15" t="s">
        <v>310</v>
      </c>
      <c r="H65" s="16"/>
      <c r="I65" s="19" t="n">
        <v>0.2216</v>
      </c>
      <c r="J65" s="20" t="n">
        <v>0</v>
      </c>
      <c r="K65" s="20" t="n">
        <v>0</v>
      </c>
      <c r="L65" s="20" t="n">
        <v>0</v>
      </c>
      <c r="M65" s="20" t="n">
        <v>0</v>
      </c>
      <c r="N65" s="20" t="n">
        <f aca="false">+O65*2.2</f>
        <v>0.05368</v>
      </c>
      <c r="O65" s="21" t="n">
        <v>0.0244</v>
      </c>
      <c r="P65" s="20" t="n">
        <f aca="false">SUM(I65:N65)</f>
        <v>0.27528</v>
      </c>
      <c r="Q65" s="22" t="n">
        <v>497</v>
      </c>
      <c r="R65" s="16" t="n">
        <v>9273</v>
      </c>
      <c r="S65" s="15"/>
      <c r="T65" s="158" t="n">
        <f aca="false">I65*I$1*R65</f>
        <v>61646.904</v>
      </c>
      <c r="U65" s="23"/>
      <c r="V65" s="24" t="n">
        <v>142601</v>
      </c>
      <c r="W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false" outlineLevel="0" collapsed="false">
      <c r="A66" s="15" t="s">
        <v>268</v>
      </c>
      <c r="B66" s="16" t="s">
        <v>269</v>
      </c>
      <c r="C66" s="16" t="s">
        <v>316</v>
      </c>
      <c r="D66" s="17" t="n">
        <v>36526</v>
      </c>
      <c r="E66" s="17" t="n">
        <v>36556</v>
      </c>
      <c r="F66" s="15" t="s">
        <v>294</v>
      </c>
      <c r="G66" s="15" t="s">
        <v>310</v>
      </c>
      <c r="H66" s="16"/>
      <c r="I66" s="19" t="n">
        <v>0.2216</v>
      </c>
      <c r="J66" s="20" t="n">
        <v>0</v>
      </c>
      <c r="K66" s="20" t="n">
        <v>0</v>
      </c>
      <c r="L66" s="20" t="n">
        <v>0</v>
      </c>
      <c r="M66" s="20" t="n">
        <v>0</v>
      </c>
      <c r="N66" s="20" t="n">
        <f aca="false">+O66*2.2</f>
        <v>0.05368</v>
      </c>
      <c r="O66" s="21" t="n">
        <v>0.0244</v>
      </c>
      <c r="P66" s="20" t="n">
        <f aca="false">SUM(I66:N66)</f>
        <v>0.27528</v>
      </c>
      <c r="Q66" s="22" t="n">
        <v>2042</v>
      </c>
      <c r="R66" s="16" t="n">
        <v>1690</v>
      </c>
      <c r="S66" s="15"/>
      <c r="T66" s="158" t="n">
        <f aca="false">I66*I$1*R66</f>
        <v>11235.12</v>
      </c>
      <c r="U66" s="23"/>
      <c r="V66" s="24" t="n">
        <v>142604</v>
      </c>
      <c r="W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false" outlineLevel="0" collapsed="false">
      <c r="A67" s="15" t="s">
        <v>268</v>
      </c>
      <c r="B67" s="16" t="s">
        <v>269</v>
      </c>
      <c r="C67" s="16" t="s">
        <v>316</v>
      </c>
      <c r="D67" s="17" t="n">
        <v>36526</v>
      </c>
      <c r="E67" s="17" t="n">
        <v>36556</v>
      </c>
      <c r="F67" s="15" t="s">
        <v>294</v>
      </c>
      <c r="G67" s="15" t="s">
        <v>310</v>
      </c>
      <c r="H67" s="16"/>
      <c r="I67" s="19" t="n">
        <v>0.2216</v>
      </c>
      <c r="J67" s="20" t="n">
        <v>0</v>
      </c>
      <c r="K67" s="20" t="n">
        <v>0</v>
      </c>
      <c r="L67" s="20" t="n">
        <v>0</v>
      </c>
      <c r="M67" s="20" t="n">
        <v>0</v>
      </c>
      <c r="N67" s="20" t="n">
        <f aca="false">+O67*2.2</f>
        <v>0.05368</v>
      </c>
      <c r="O67" s="21" t="n">
        <v>0.0244</v>
      </c>
      <c r="P67" s="20" t="n">
        <f aca="false">SUM(I67:N67)</f>
        <v>0.27528</v>
      </c>
      <c r="Q67" s="22" t="n">
        <v>23091</v>
      </c>
      <c r="R67" s="16" t="n">
        <v>2500</v>
      </c>
      <c r="S67" s="15"/>
      <c r="T67" s="158" t="n">
        <f aca="false">I67*I$1*R67</f>
        <v>16620</v>
      </c>
      <c r="U67" s="23"/>
      <c r="V67" s="24" t="n">
        <v>142606</v>
      </c>
      <c r="W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15" t="s">
        <v>268</v>
      </c>
      <c r="B68" s="16" t="s">
        <v>269</v>
      </c>
      <c r="C68" s="16" t="s">
        <v>316</v>
      </c>
      <c r="D68" s="17" t="n">
        <v>36526</v>
      </c>
      <c r="E68" s="17" t="n">
        <v>36556</v>
      </c>
      <c r="F68" s="15" t="s">
        <v>294</v>
      </c>
      <c r="G68" s="15" t="s">
        <v>310</v>
      </c>
      <c r="H68" s="16"/>
      <c r="I68" s="19" t="n">
        <v>0.2216</v>
      </c>
      <c r="J68" s="20" t="n">
        <v>0</v>
      </c>
      <c r="K68" s="20" t="n">
        <v>0</v>
      </c>
      <c r="L68" s="20" t="n">
        <v>0</v>
      </c>
      <c r="M68" s="20" t="n">
        <v>0</v>
      </c>
      <c r="N68" s="20" t="n">
        <f aca="false">+O68*2.2</f>
        <v>0.05368</v>
      </c>
      <c r="O68" s="21" t="n">
        <v>0.0244</v>
      </c>
      <c r="P68" s="20" t="n">
        <f aca="false">SUM(I68:N68)</f>
        <v>0.27528</v>
      </c>
      <c r="Q68" s="22"/>
      <c r="R68" s="16" t="n">
        <v>0</v>
      </c>
      <c r="S68" s="15"/>
      <c r="T68" s="158" t="n">
        <f aca="false">I68*I$1*R68</f>
        <v>0</v>
      </c>
      <c r="U68" s="23"/>
      <c r="V68" s="24"/>
      <c r="W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5" t="s">
        <v>268</v>
      </c>
      <c r="B69" s="16" t="s">
        <v>269</v>
      </c>
      <c r="C69" s="16" t="s">
        <v>316</v>
      </c>
      <c r="D69" s="17" t="n">
        <v>36526</v>
      </c>
      <c r="E69" s="17" t="n">
        <v>36556</v>
      </c>
      <c r="F69" s="15" t="s">
        <v>294</v>
      </c>
      <c r="G69" s="15" t="s">
        <v>310</v>
      </c>
      <c r="H69" s="16"/>
      <c r="I69" s="19" t="n">
        <v>0.2216</v>
      </c>
      <c r="J69" s="20" t="n">
        <v>0</v>
      </c>
      <c r="K69" s="20" t="n">
        <v>0</v>
      </c>
      <c r="L69" s="20" t="n">
        <v>0</v>
      </c>
      <c r="M69" s="20" t="n">
        <v>0</v>
      </c>
      <c r="N69" s="20" t="n">
        <f aca="false">+O69*2.2</f>
        <v>0.05368</v>
      </c>
      <c r="O69" s="21" t="n">
        <v>0.0244</v>
      </c>
      <c r="P69" s="20" t="n">
        <f aca="false">SUM(I69:N69)</f>
        <v>0.27528</v>
      </c>
      <c r="Q69" s="22"/>
      <c r="R69" s="16" t="n">
        <v>0</v>
      </c>
      <c r="S69" s="15"/>
      <c r="T69" s="158" t="n">
        <f aca="false">I69*I$1*R69</f>
        <v>0</v>
      </c>
      <c r="U69" s="23"/>
      <c r="V69" s="24"/>
      <c r="W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false" customHeight="false" outlineLevel="0" collapsed="false">
      <c r="A70" s="15" t="s">
        <v>268</v>
      </c>
      <c r="B70" s="16" t="s">
        <v>269</v>
      </c>
      <c r="C70" s="16" t="s">
        <v>317</v>
      </c>
      <c r="D70" s="17" t="n">
        <v>36526</v>
      </c>
      <c r="E70" s="17" t="n">
        <v>36556</v>
      </c>
      <c r="F70" s="15" t="s">
        <v>294</v>
      </c>
      <c r="G70" s="15" t="s">
        <v>310</v>
      </c>
      <c r="H70" s="16"/>
      <c r="I70" s="19" t="n">
        <v>0.2216</v>
      </c>
      <c r="J70" s="20" t="n">
        <v>0</v>
      </c>
      <c r="K70" s="20" t="n">
        <v>0</v>
      </c>
      <c r="L70" s="20" t="n">
        <v>0</v>
      </c>
      <c r="M70" s="20" t="n">
        <v>0</v>
      </c>
      <c r="N70" s="20" t="n">
        <f aca="false">+O70*2.2</f>
        <v>0.05368</v>
      </c>
      <c r="O70" s="21" t="n">
        <v>0.0244</v>
      </c>
      <c r="P70" s="20" t="n">
        <f aca="false">SUM(I70:N70)</f>
        <v>0.27528</v>
      </c>
      <c r="Q70" s="22" t="n">
        <v>504</v>
      </c>
      <c r="R70" s="16" t="n">
        <v>28970</v>
      </c>
      <c r="S70" s="15"/>
      <c r="T70" s="158" t="n">
        <f aca="false">I70*I$1*R70</f>
        <v>192592.56</v>
      </c>
      <c r="U70" s="23"/>
      <c r="V70" s="24" t="n">
        <v>142770</v>
      </c>
      <c r="W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false" customHeight="false" outlineLevel="0" collapsed="false">
      <c r="A71" s="15" t="s">
        <v>268</v>
      </c>
      <c r="B71" s="16" t="s">
        <v>269</v>
      </c>
      <c r="C71" s="16" t="s">
        <v>317</v>
      </c>
      <c r="D71" s="17" t="n">
        <v>36526</v>
      </c>
      <c r="E71" s="17" t="n">
        <v>36556</v>
      </c>
      <c r="F71" s="15" t="s">
        <v>294</v>
      </c>
      <c r="G71" s="15" t="s">
        <v>310</v>
      </c>
      <c r="H71" s="16"/>
      <c r="I71" s="19" t="n">
        <v>0.2216</v>
      </c>
      <c r="J71" s="20" t="n">
        <v>0</v>
      </c>
      <c r="K71" s="20" t="n">
        <v>0</v>
      </c>
      <c r="L71" s="20" t="n">
        <v>0</v>
      </c>
      <c r="M71" s="20" t="n">
        <v>0</v>
      </c>
      <c r="N71" s="20" t="n">
        <f aca="false">+O71*2.2</f>
        <v>0.05368</v>
      </c>
      <c r="O71" s="21" t="n">
        <v>0.0244</v>
      </c>
      <c r="P71" s="20" t="n">
        <f aca="false">SUM(I71:N71)</f>
        <v>0.27528</v>
      </c>
      <c r="Q71" s="22" t="n">
        <v>507</v>
      </c>
      <c r="R71" s="16" t="n">
        <v>4284</v>
      </c>
      <c r="S71" s="15"/>
      <c r="T71" s="158" t="n">
        <f aca="false">I71*I$1*R71</f>
        <v>28480.032</v>
      </c>
      <c r="U71" s="23"/>
      <c r="V71" s="24" t="n">
        <v>142775</v>
      </c>
      <c r="W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false" outlineLevel="0" collapsed="false">
      <c r="A72" s="15" t="s">
        <v>268</v>
      </c>
      <c r="B72" s="16" t="s">
        <v>269</v>
      </c>
      <c r="C72" s="16" t="s">
        <v>317</v>
      </c>
      <c r="D72" s="17" t="n">
        <v>36526</v>
      </c>
      <c r="E72" s="17" t="n">
        <v>36556</v>
      </c>
      <c r="F72" s="15" t="s">
        <v>294</v>
      </c>
      <c r="G72" s="15" t="s">
        <v>310</v>
      </c>
      <c r="H72" s="16"/>
      <c r="I72" s="19" t="n">
        <v>0.2216</v>
      </c>
      <c r="J72" s="20" t="n">
        <v>0</v>
      </c>
      <c r="K72" s="20" t="n">
        <v>0</v>
      </c>
      <c r="L72" s="20" t="n">
        <v>0</v>
      </c>
      <c r="M72" s="20" t="n">
        <v>0</v>
      </c>
      <c r="N72" s="20" t="n">
        <f aca="false">+O72*2.2</f>
        <v>0.05368</v>
      </c>
      <c r="O72" s="21" t="n">
        <v>0.0244</v>
      </c>
      <c r="P72" s="20" t="n">
        <f aca="false">SUM(I72:N72)</f>
        <v>0.27528</v>
      </c>
      <c r="Q72" s="22" t="n">
        <v>305</v>
      </c>
      <c r="R72" s="16" t="n">
        <v>5281</v>
      </c>
      <c r="S72" s="15"/>
      <c r="T72" s="158" t="n">
        <f aca="false">I72*I$1*R72</f>
        <v>35108.088</v>
      </c>
      <c r="U72" s="23"/>
      <c r="V72" s="24" t="n">
        <v>142778</v>
      </c>
      <c r="W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A73" s="15" t="s">
        <v>268</v>
      </c>
      <c r="B73" s="16" t="s">
        <v>269</v>
      </c>
      <c r="C73" s="16" t="s">
        <v>317</v>
      </c>
      <c r="D73" s="17" t="n">
        <v>36526</v>
      </c>
      <c r="E73" s="17" t="n">
        <v>36556</v>
      </c>
      <c r="F73" s="15" t="s">
        <v>294</v>
      </c>
      <c r="G73" s="15" t="s">
        <v>310</v>
      </c>
      <c r="H73" s="16"/>
      <c r="I73" s="19" t="n">
        <v>0.2216</v>
      </c>
      <c r="J73" s="20" t="n">
        <v>0</v>
      </c>
      <c r="K73" s="20" t="n">
        <v>0</v>
      </c>
      <c r="L73" s="20" t="n">
        <v>0</v>
      </c>
      <c r="M73" s="20" t="n">
        <v>0</v>
      </c>
      <c r="N73" s="20" t="n">
        <f aca="false">+O73*2.2</f>
        <v>0.05368</v>
      </c>
      <c r="O73" s="21" t="n">
        <v>0.0244</v>
      </c>
      <c r="P73" s="20" t="n">
        <f aca="false">SUM(I73:N73)</f>
        <v>0.27528</v>
      </c>
      <c r="Q73" s="22"/>
      <c r="R73" s="16"/>
      <c r="S73" s="15"/>
      <c r="T73" s="158" t="n">
        <f aca="false">I73*I$1*R73</f>
        <v>0</v>
      </c>
      <c r="U73" s="23"/>
      <c r="V73" s="24"/>
      <c r="W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false" outlineLevel="0" collapsed="false">
      <c r="A74" s="15" t="s">
        <v>268</v>
      </c>
      <c r="B74" s="16" t="s">
        <v>269</v>
      </c>
      <c r="C74" s="16" t="s">
        <v>318</v>
      </c>
      <c r="D74" s="17" t="n">
        <v>36526</v>
      </c>
      <c r="E74" s="17" t="n">
        <v>36556</v>
      </c>
      <c r="F74" s="15" t="s">
        <v>294</v>
      </c>
      <c r="G74" s="15" t="s">
        <v>310</v>
      </c>
      <c r="H74" s="16"/>
      <c r="I74" s="19" t="n">
        <v>0.2216</v>
      </c>
      <c r="J74" s="20" t="n">
        <v>0</v>
      </c>
      <c r="K74" s="20" t="n">
        <v>0</v>
      </c>
      <c r="L74" s="20" t="n">
        <v>0</v>
      </c>
      <c r="M74" s="20" t="n">
        <v>0</v>
      </c>
      <c r="N74" s="20" t="n">
        <f aca="false">+O74*2.2</f>
        <v>0.05368</v>
      </c>
      <c r="O74" s="21" t="n">
        <v>0.0244</v>
      </c>
      <c r="P74" s="20" t="n">
        <f aca="false">SUM(I74:N74)</f>
        <v>0.27528</v>
      </c>
      <c r="Q74" s="22"/>
      <c r="R74" s="16"/>
      <c r="S74" s="15"/>
      <c r="T74" s="153"/>
      <c r="U74" s="23"/>
      <c r="V74" s="24"/>
      <c r="W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" hidden="false" customHeight="true" outlineLevel="0" collapsed="false">
      <c r="A75" s="15"/>
      <c r="B75" s="16"/>
      <c r="C75" s="16"/>
      <c r="D75" s="17"/>
      <c r="E75" s="17"/>
      <c r="F75" s="15"/>
      <c r="G75" s="15"/>
      <c r="H75" s="16"/>
      <c r="I75" s="19"/>
      <c r="J75" s="20"/>
      <c r="K75" s="20"/>
      <c r="L75" s="20"/>
      <c r="M75" s="20"/>
      <c r="N75" s="20"/>
      <c r="O75" s="21"/>
      <c r="P75" s="20"/>
      <c r="Q75" s="22"/>
      <c r="R75" s="16"/>
      <c r="S75" s="157"/>
      <c r="T75" s="153"/>
      <c r="U75" s="23"/>
      <c r="V75" s="24"/>
      <c r="W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" hidden="false" customHeight="true" outlineLevel="0" collapsed="false">
      <c r="A76" s="15" t="s">
        <v>52</v>
      </c>
      <c r="B76" s="16" t="s">
        <v>319</v>
      </c>
      <c r="C76" s="16" t="s">
        <v>319</v>
      </c>
      <c r="D76" s="17" t="n">
        <v>36465</v>
      </c>
      <c r="E76" s="17" t="n">
        <v>36951</v>
      </c>
      <c r="F76" s="15" t="s">
        <v>320</v>
      </c>
      <c r="G76" s="15" t="s">
        <v>321</v>
      </c>
      <c r="H76" s="16" t="s">
        <v>231</v>
      </c>
      <c r="I76" s="19" t="n">
        <v>0.0753</v>
      </c>
      <c r="J76" s="20" t="n">
        <v>0.0009</v>
      </c>
      <c r="K76" s="20" t="n">
        <v>0.0022</v>
      </c>
      <c r="L76" s="20" t="n">
        <v>0.0075</v>
      </c>
      <c r="M76" s="20" t="n">
        <v>0</v>
      </c>
      <c r="N76" s="20" t="n">
        <f aca="false">+O76*(1.75)</f>
        <v>0.00875</v>
      </c>
      <c r="O76" s="21" t="n">
        <v>0.005</v>
      </c>
      <c r="P76" s="20" t="n">
        <f aca="false">SUM(I76:N76)</f>
        <v>0.09465</v>
      </c>
      <c r="Q76" s="22" t="n">
        <v>31468</v>
      </c>
      <c r="R76" s="16" t="n">
        <v>1600</v>
      </c>
      <c r="S76" s="157" t="s">
        <v>1</v>
      </c>
      <c r="T76" s="153" t="n">
        <f aca="false">I76*$I$1*R76</f>
        <v>3614.4</v>
      </c>
      <c r="U76" s="23"/>
      <c r="V76" s="24" t="n">
        <v>125103</v>
      </c>
      <c r="W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" hidden="false" customHeight="true" outlineLevel="0" collapsed="false">
      <c r="A77" s="15"/>
      <c r="B77" s="16" t="s">
        <v>319</v>
      </c>
      <c r="C77" s="16" t="s">
        <v>319</v>
      </c>
      <c r="D77" s="17" t="n">
        <v>36526</v>
      </c>
      <c r="E77" s="17" t="n">
        <v>36556</v>
      </c>
      <c r="F77" s="15" t="s">
        <v>320</v>
      </c>
      <c r="G77" s="15" t="s">
        <v>321</v>
      </c>
      <c r="H77" s="16" t="s">
        <v>231</v>
      </c>
      <c r="I77" s="19" t="n">
        <v>0.0753</v>
      </c>
      <c r="J77" s="20" t="n">
        <v>0.0009</v>
      </c>
      <c r="K77" s="20" t="n">
        <v>0.0022</v>
      </c>
      <c r="L77" s="20" t="n">
        <v>0.0075</v>
      </c>
      <c r="M77" s="20" t="n">
        <v>0</v>
      </c>
      <c r="N77" s="20" t="n">
        <f aca="false">+O77*(1.75)</f>
        <v>0.00875</v>
      </c>
      <c r="O77" s="21" t="n">
        <v>0.005</v>
      </c>
      <c r="P77" s="20" t="n">
        <f aca="false">SUM(I77:N77)</f>
        <v>0.09465</v>
      </c>
      <c r="Q77" s="22"/>
      <c r="R77" s="16"/>
      <c r="S77" s="157" t="s">
        <v>1</v>
      </c>
      <c r="T77" s="153" t="n">
        <f aca="false">I77*$I$1*R77</f>
        <v>0</v>
      </c>
      <c r="U77" s="23"/>
      <c r="V77" s="24"/>
      <c r="W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" hidden="false" customHeight="true" outlineLevel="0" collapsed="false">
      <c r="A78" s="15"/>
      <c r="B78" s="16" t="s">
        <v>319</v>
      </c>
      <c r="C78" s="16" t="s">
        <v>319</v>
      </c>
      <c r="D78" s="17" t="n">
        <v>36526</v>
      </c>
      <c r="E78" s="17" t="n">
        <v>36556</v>
      </c>
      <c r="F78" s="15" t="s">
        <v>322</v>
      </c>
      <c r="G78" s="15" t="s">
        <v>320</v>
      </c>
      <c r="H78" s="16" t="s">
        <v>231</v>
      </c>
      <c r="I78" s="19" t="n">
        <v>0.0753</v>
      </c>
      <c r="J78" s="20" t="n">
        <v>0.0009</v>
      </c>
      <c r="K78" s="20" t="n">
        <v>0.0022</v>
      </c>
      <c r="L78" s="20" t="n">
        <v>0.0075</v>
      </c>
      <c r="M78" s="20" t="n">
        <v>0</v>
      </c>
      <c r="N78" s="20" t="n">
        <f aca="false">+O78*(1.75)</f>
        <v>0.0175</v>
      </c>
      <c r="O78" s="21" t="n">
        <v>0.01</v>
      </c>
      <c r="P78" s="20" t="n">
        <f aca="false">SUM(I78:N78)</f>
        <v>0.1034</v>
      </c>
      <c r="Q78" s="22"/>
      <c r="R78" s="16"/>
      <c r="S78" s="157" t="s">
        <v>1</v>
      </c>
      <c r="T78" s="153" t="n">
        <f aca="false">I78*$I$1*R78</f>
        <v>0</v>
      </c>
      <c r="U78" s="23"/>
      <c r="V78" s="24" t="n">
        <v>145900</v>
      </c>
      <c r="W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" hidden="false" customHeight="true" outlineLevel="0" collapsed="false">
      <c r="A79" s="15"/>
      <c r="B79" s="16"/>
      <c r="C79" s="16"/>
      <c r="D79" s="17"/>
      <c r="E79" s="17"/>
      <c r="F79" s="15"/>
      <c r="G79" s="15"/>
      <c r="H79" s="16"/>
      <c r="I79" s="19"/>
      <c r="J79" s="20"/>
      <c r="K79" s="20"/>
      <c r="L79" s="20"/>
      <c r="M79" s="20"/>
      <c r="N79" s="20"/>
      <c r="O79" s="21"/>
      <c r="P79" s="20"/>
      <c r="Q79" s="22"/>
      <c r="R79" s="16"/>
      <c r="S79" s="157"/>
      <c r="T79" s="153"/>
      <c r="U79" s="23"/>
      <c r="V79" s="24"/>
      <c r="W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" hidden="false" customHeight="true" outlineLevel="0" collapsed="false">
      <c r="A80" s="15"/>
      <c r="B80" s="16"/>
      <c r="C80" s="16"/>
      <c r="D80" s="17"/>
      <c r="E80" s="17"/>
      <c r="F80" s="15"/>
      <c r="G80" s="15"/>
      <c r="H80" s="16"/>
      <c r="I80" s="19"/>
      <c r="J80" s="20"/>
      <c r="K80" s="20"/>
      <c r="L80" s="20"/>
      <c r="M80" s="20"/>
      <c r="N80" s="20"/>
      <c r="O80" s="21"/>
      <c r="P80" s="20"/>
      <c r="Q80" s="22"/>
      <c r="R80" s="16"/>
      <c r="S80" s="157"/>
      <c r="T80" s="153"/>
      <c r="U80" s="23"/>
      <c r="V80" s="24"/>
      <c r="W80" s="2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" hidden="false" customHeight="true" outlineLevel="0" collapsed="false">
      <c r="A81" s="15" t="s">
        <v>308</v>
      </c>
      <c r="B81" s="16" t="s">
        <v>269</v>
      </c>
      <c r="C81" s="16" t="s">
        <v>151</v>
      </c>
      <c r="D81" s="17" t="n">
        <v>36476</v>
      </c>
      <c r="E81" s="17" t="n">
        <v>36477</v>
      </c>
      <c r="F81" s="15" t="n">
        <v>1</v>
      </c>
      <c r="G81" s="15" t="n">
        <v>3</v>
      </c>
      <c r="H81" s="16" t="s">
        <v>231</v>
      </c>
      <c r="I81" s="19" t="n">
        <v>0</v>
      </c>
      <c r="J81" s="20" t="n">
        <v>0.105</v>
      </c>
      <c r="K81" s="20" t="n">
        <v>0</v>
      </c>
      <c r="L81" s="20" t="n">
        <v>0</v>
      </c>
      <c r="M81" s="20" t="n">
        <v>0</v>
      </c>
      <c r="N81" s="20" t="n">
        <f aca="false">+O81*(1.75)</f>
        <v>0.087325</v>
      </c>
      <c r="O81" s="21" t="n">
        <v>0.0499</v>
      </c>
      <c r="P81" s="20" t="n">
        <f aca="false">SUM(I81:N81)</f>
        <v>0.192325</v>
      </c>
      <c r="Q81" s="22"/>
      <c r="R81" s="16"/>
      <c r="S81" s="157" t="s">
        <v>323</v>
      </c>
      <c r="T81" s="153" t="n">
        <f aca="false">I81*$I$1*R81</f>
        <v>0</v>
      </c>
      <c r="U81" s="23"/>
      <c r="V81" s="24"/>
      <c r="W81" s="24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" hidden="false" customHeight="true" outlineLevel="0" collapsed="false">
      <c r="A82" s="15" t="s">
        <v>52</v>
      </c>
      <c r="B82" s="16"/>
      <c r="C82" s="16"/>
      <c r="D82" s="17"/>
      <c r="E82" s="17"/>
      <c r="F82" s="15" t="s">
        <v>320</v>
      </c>
      <c r="G82" s="15"/>
      <c r="H82" s="16" t="s">
        <v>231</v>
      </c>
      <c r="I82" s="19" t="n">
        <v>0</v>
      </c>
      <c r="J82" s="20" t="n">
        <v>0.0009</v>
      </c>
      <c r="K82" s="20" t="n">
        <v>0.0022</v>
      </c>
      <c r="L82" s="20" t="n">
        <v>0.0075</v>
      </c>
      <c r="M82" s="20" t="n">
        <v>0</v>
      </c>
      <c r="N82" s="20" t="n">
        <f aca="false">+O82*(1.75)</f>
        <v>0.00875</v>
      </c>
      <c r="O82" s="21" t="n">
        <v>0.005</v>
      </c>
      <c r="P82" s="20" t="n">
        <f aca="false">SUM(I82:N82)</f>
        <v>0.01935</v>
      </c>
      <c r="Q82" s="22" t="n">
        <v>31468</v>
      </c>
      <c r="R82" s="16" t="n">
        <v>1600</v>
      </c>
      <c r="S82" s="157" t="s">
        <v>1</v>
      </c>
      <c r="T82" s="153" t="n">
        <v>0</v>
      </c>
      <c r="U82" s="23"/>
      <c r="V82" s="24"/>
      <c r="W82" s="24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56" t="s">
        <v>1</v>
      </c>
      <c r="B83" s="58" t="s">
        <v>1</v>
      </c>
      <c r="C83" s="58" t="s">
        <v>1</v>
      </c>
      <c r="D83" s="59" t="s">
        <v>1</v>
      </c>
      <c r="E83" s="59" t="s">
        <v>1</v>
      </c>
      <c r="F83" s="56" t="s">
        <v>1</v>
      </c>
      <c r="G83" s="56" t="s">
        <v>1</v>
      </c>
      <c r="H83" s="58" t="s">
        <v>1</v>
      </c>
      <c r="I83" s="61" t="s">
        <v>1</v>
      </c>
      <c r="J83" s="62" t="s">
        <v>1</v>
      </c>
      <c r="K83" s="62" t="s">
        <v>1</v>
      </c>
      <c r="L83" s="62" t="s">
        <v>1</v>
      </c>
      <c r="M83" s="62" t="s">
        <v>324</v>
      </c>
      <c r="N83" s="62" t="s">
        <v>1</v>
      </c>
      <c r="O83" s="163" t="s">
        <v>1</v>
      </c>
      <c r="P83" s="62" t="s">
        <v>1</v>
      </c>
      <c r="Q83" s="164" t="s">
        <v>1</v>
      </c>
      <c r="R83" s="58" t="s">
        <v>1</v>
      </c>
      <c r="S83" s="56" t="s">
        <v>1</v>
      </c>
      <c r="T83" s="165" t="n">
        <f aca="false">SUM(T29:T82)</f>
        <v>1080262.09309677</v>
      </c>
      <c r="U83" s="67" t="n">
        <f aca="false">SUM(U29:U82)</f>
        <v>0</v>
      </c>
      <c r="V83" s="24"/>
      <c r="W83" s="24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16" t="s">
        <v>108</v>
      </c>
      <c r="B84" s="117" t="s">
        <v>109</v>
      </c>
      <c r="C84" s="117" t="s">
        <v>110</v>
      </c>
      <c r="D84" s="118" t="s">
        <v>111</v>
      </c>
      <c r="E84" s="118"/>
      <c r="F84" s="116" t="s">
        <v>112</v>
      </c>
      <c r="G84" s="116" t="s">
        <v>113</v>
      </c>
      <c r="H84" s="117" t="s">
        <v>114</v>
      </c>
      <c r="I84" s="119" t="s">
        <v>115</v>
      </c>
      <c r="J84" s="117" t="s">
        <v>116</v>
      </c>
      <c r="K84" s="117" t="s">
        <v>117</v>
      </c>
      <c r="L84" s="117" t="s">
        <v>118</v>
      </c>
      <c r="M84" s="117" t="s">
        <v>119</v>
      </c>
      <c r="N84" s="117" t="s">
        <v>211</v>
      </c>
      <c r="O84" s="120" t="s">
        <v>120</v>
      </c>
      <c r="P84" s="117" t="s">
        <v>121</v>
      </c>
      <c r="Q84" s="121" t="s">
        <v>122</v>
      </c>
      <c r="R84" s="117" t="s">
        <v>123</v>
      </c>
      <c r="S84" s="116" t="s">
        <v>124</v>
      </c>
      <c r="T84" s="122" t="s">
        <v>212</v>
      </c>
      <c r="U84" s="123" t="s">
        <v>213</v>
      </c>
      <c r="V84" s="24"/>
      <c r="W84" s="24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66" t="s">
        <v>144</v>
      </c>
      <c r="B85" s="167" t="s">
        <v>196</v>
      </c>
      <c r="C85" s="167" t="s">
        <v>325</v>
      </c>
      <c r="D85" s="168" t="n">
        <v>36617</v>
      </c>
      <c r="E85" s="168" t="n">
        <v>36830</v>
      </c>
      <c r="F85" s="166" t="s">
        <v>326</v>
      </c>
      <c r="G85" s="166" t="s">
        <v>198</v>
      </c>
      <c r="H85" s="167" t="s">
        <v>231</v>
      </c>
      <c r="I85" s="169" t="n">
        <f aca="false">0.7604*0.0328767</f>
        <v>0.02499944268</v>
      </c>
      <c r="J85" s="170" t="n">
        <v>0.075</v>
      </c>
      <c r="K85" s="170" t="n">
        <v>0.0022</v>
      </c>
      <c r="L85" s="170" t="n">
        <v>0</v>
      </c>
      <c r="M85" s="170" t="n">
        <v>0</v>
      </c>
      <c r="N85" s="170" t="n">
        <f aca="false">+O85*2.28</f>
        <v>0</v>
      </c>
      <c r="O85" s="171" t="n">
        <v>0</v>
      </c>
      <c r="P85" s="170" t="n">
        <f aca="false">SUM(I85:N85)</f>
        <v>0.10219944268</v>
      </c>
      <c r="Q85" s="172" t="n">
        <v>892875</v>
      </c>
      <c r="R85" s="167" t="n">
        <v>10000</v>
      </c>
      <c r="S85" s="166" t="s">
        <v>327</v>
      </c>
      <c r="T85" s="173" t="n">
        <f aca="false">+I85*I$1*R85</f>
        <v>7499.832804</v>
      </c>
      <c r="U85" s="174"/>
      <c r="V85" s="175" t="s">
        <v>328</v>
      </c>
      <c r="W85" s="175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  <c r="BH85" s="176"/>
      <c r="BI85" s="176"/>
      <c r="BJ85" s="176"/>
      <c r="BK85" s="176"/>
      <c r="BL85" s="176"/>
      <c r="BM85" s="176"/>
      <c r="BN85" s="176"/>
      <c r="BO85" s="176"/>
      <c r="BP85" s="176"/>
      <c r="BQ85" s="176"/>
      <c r="BR85" s="176"/>
      <c r="BS85" s="176"/>
      <c r="BT85" s="176"/>
      <c r="BU85" s="176"/>
      <c r="BV85" s="176"/>
      <c r="BW85" s="176"/>
      <c r="BX85" s="176"/>
      <c r="BY85" s="176"/>
      <c r="BZ85" s="176"/>
      <c r="CA85" s="176"/>
      <c r="CB85" s="176"/>
      <c r="CC85" s="176"/>
      <c r="CD85" s="176"/>
      <c r="CE85" s="176"/>
      <c r="CF85" s="176"/>
      <c r="CG85" s="176"/>
      <c r="CH85" s="176"/>
      <c r="CI85" s="176"/>
      <c r="CJ85" s="176"/>
      <c r="CK85" s="176"/>
      <c r="CL85" s="176"/>
      <c r="CM85" s="176"/>
      <c r="CN85" s="176"/>
      <c r="CO85" s="176"/>
      <c r="CP85" s="176"/>
      <c r="CQ85" s="176"/>
      <c r="CR85" s="176"/>
      <c r="CS85" s="176"/>
      <c r="CT85" s="176"/>
      <c r="CU85" s="176"/>
      <c r="CV85" s="176"/>
      <c r="CW85" s="176"/>
      <c r="CX85" s="176"/>
      <c r="CY85" s="176"/>
      <c r="CZ85" s="176"/>
      <c r="DA85" s="176"/>
      <c r="DB85" s="176"/>
      <c r="DC85" s="176"/>
      <c r="DD85" s="176"/>
      <c r="DE85" s="176"/>
      <c r="DF85" s="176"/>
      <c r="DG85" s="176"/>
      <c r="DH85" s="176"/>
      <c r="DI85" s="176"/>
      <c r="DJ85" s="176"/>
      <c r="DK85" s="176"/>
      <c r="DL85" s="176"/>
      <c r="DM85" s="176"/>
      <c r="DN85" s="176"/>
      <c r="DO85" s="176"/>
      <c r="DP85" s="176"/>
      <c r="DQ85" s="176"/>
      <c r="DR85" s="176"/>
      <c r="DS85" s="176"/>
      <c r="DT85" s="176"/>
      <c r="DU85" s="176"/>
      <c r="DV85" s="176"/>
      <c r="DW85" s="176"/>
      <c r="DX85" s="176"/>
      <c r="DY85" s="176"/>
      <c r="DZ85" s="176"/>
      <c r="EA85" s="176"/>
      <c r="EB85" s="176"/>
      <c r="EC85" s="176"/>
      <c r="ED85" s="176"/>
      <c r="EE85" s="176"/>
      <c r="EF85" s="176"/>
      <c r="EG85" s="176"/>
      <c r="EH85" s="176"/>
      <c r="EI85" s="176"/>
      <c r="EJ85" s="176"/>
      <c r="EK85" s="176"/>
      <c r="EL85" s="176"/>
      <c r="EM85" s="176"/>
      <c r="EN85" s="176"/>
      <c r="EO85" s="176"/>
      <c r="EP85" s="176"/>
      <c r="EQ85" s="176"/>
      <c r="ER85" s="176"/>
      <c r="ES85" s="176"/>
      <c r="ET85" s="176"/>
      <c r="EU85" s="176"/>
      <c r="EV85" s="176"/>
      <c r="EW85" s="176"/>
      <c r="EX85" s="176"/>
      <c r="EY85" s="176"/>
      <c r="EZ85" s="176"/>
      <c r="FA85" s="176"/>
      <c r="FB85" s="176"/>
      <c r="FC85" s="176"/>
      <c r="FD85" s="176"/>
      <c r="FE85" s="176"/>
      <c r="FF85" s="176"/>
      <c r="FG85" s="176"/>
      <c r="FH85" s="176"/>
      <c r="FI85" s="176"/>
      <c r="FJ85" s="176"/>
      <c r="FK85" s="176"/>
      <c r="FL85" s="176"/>
      <c r="FM85" s="176"/>
      <c r="FN85" s="176"/>
      <c r="FO85" s="176"/>
      <c r="FP85" s="176"/>
      <c r="FQ85" s="176"/>
      <c r="FR85" s="176"/>
      <c r="FS85" s="176"/>
      <c r="FT85" s="176"/>
      <c r="FU85" s="176"/>
      <c r="FV85" s="176"/>
      <c r="FW85" s="176"/>
      <c r="FX85" s="176"/>
      <c r="FY85" s="176"/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C85" s="176"/>
      <c r="HD85" s="176"/>
      <c r="HE85" s="176"/>
      <c r="HF85" s="176"/>
      <c r="HG85" s="176"/>
      <c r="HH85" s="176"/>
      <c r="HI85" s="176"/>
      <c r="HJ85" s="176"/>
      <c r="HK85" s="176"/>
      <c r="HL85" s="176"/>
      <c r="HM85" s="176"/>
      <c r="HN85" s="176"/>
      <c r="HO85" s="176"/>
      <c r="HP85" s="176"/>
      <c r="HQ85" s="176"/>
      <c r="HR85" s="176"/>
      <c r="HS85" s="176"/>
      <c r="HT85" s="176"/>
      <c r="HU85" s="176"/>
      <c r="HV85" s="176"/>
      <c r="HW85" s="176"/>
      <c r="HX85" s="176"/>
      <c r="HY85" s="176"/>
      <c r="HZ85" s="176"/>
      <c r="IA85" s="176"/>
      <c r="IB85" s="176"/>
      <c r="IC85" s="176"/>
      <c r="ID85" s="176"/>
      <c r="IE85" s="176"/>
      <c r="IF85" s="176"/>
      <c r="IG85" s="176"/>
      <c r="IH85" s="176"/>
      <c r="II85" s="176"/>
      <c r="IJ85" s="176"/>
      <c r="IK85" s="176"/>
      <c r="IL85" s="176"/>
      <c r="IM85" s="176"/>
      <c r="IN85" s="176"/>
      <c r="IO85" s="176"/>
      <c r="IP85" s="176"/>
      <c r="IQ85" s="176"/>
      <c r="IR85" s="176"/>
      <c r="IS85" s="176"/>
      <c r="IT85" s="176"/>
      <c r="IU85" s="176"/>
      <c r="IV85" s="176"/>
      <c r="IW85" s="176"/>
    </row>
    <row r="86" customFormat="false" ht="12.75" hidden="false" customHeight="false" outlineLevel="0" collapsed="false">
      <c r="A86" s="166" t="s">
        <v>144</v>
      </c>
      <c r="B86" s="167" t="s">
        <v>196</v>
      </c>
      <c r="C86" s="167" t="s">
        <v>329</v>
      </c>
      <c r="D86" s="168" t="n">
        <v>36617</v>
      </c>
      <c r="E86" s="168" t="n">
        <v>36830</v>
      </c>
      <c r="F86" s="166" t="s">
        <v>326</v>
      </c>
      <c r="G86" s="166" t="s">
        <v>330</v>
      </c>
      <c r="H86" s="167" t="s">
        <v>231</v>
      </c>
      <c r="I86" s="169" t="n">
        <f aca="false">0.341*0.0328767</f>
        <v>0.0112109547</v>
      </c>
      <c r="J86" s="170" t="n">
        <v>0.075</v>
      </c>
      <c r="K86" s="170" t="n">
        <v>0.0022</v>
      </c>
      <c r="L86" s="170" t="n">
        <v>0</v>
      </c>
      <c r="M86" s="170" t="n">
        <v>0</v>
      </c>
      <c r="N86" s="170" t="n">
        <f aca="false">+O86*2.28</f>
        <v>0</v>
      </c>
      <c r="O86" s="171" t="n">
        <v>0</v>
      </c>
      <c r="P86" s="170" t="n">
        <f aca="false">SUM(I86:N86)</f>
        <v>0.0884109547</v>
      </c>
      <c r="Q86" s="172" t="n">
        <v>892872</v>
      </c>
      <c r="R86" s="167" t="n">
        <v>19355</v>
      </c>
      <c r="S86" s="166" t="s">
        <v>331</v>
      </c>
      <c r="T86" s="173" t="n">
        <f aca="false">+I86*I$1*R86</f>
        <v>6509.640846555</v>
      </c>
      <c r="U86" s="174"/>
      <c r="V86" s="175" t="s">
        <v>332</v>
      </c>
      <c r="W86" s="175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  <c r="BH86" s="176"/>
      <c r="BI86" s="176"/>
      <c r="BJ86" s="176"/>
      <c r="BK86" s="176"/>
      <c r="BL86" s="176"/>
      <c r="BM86" s="176"/>
      <c r="BN86" s="176"/>
      <c r="BO86" s="176"/>
      <c r="BP86" s="176"/>
      <c r="BQ86" s="176"/>
      <c r="BR86" s="176"/>
      <c r="BS86" s="176"/>
      <c r="BT86" s="176"/>
      <c r="BU86" s="176"/>
      <c r="BV86" s="176"/>
      <c r="BW86" s="176"/>
      <c r="BX86" s="176"/>
      <c r="BY86" s="176"/>
      <c r="BZ86" s="176"/>
      <c r="CA86" s="176"/>
      <c r="CB86" s="176"/>
      <c r="CC86" s="176"/>
      <c r="CD86" s="176"/>
      <c r="CE86" s="176"/>
      <c r="CF86" s="176"/>
      <c r="CG86" s="176"/>
      <c r="CH86" s="176"/>
      <c r="CI86" s="176"/>
      <c r="CJ86" s="176"/>
      <c r="CK86" s="176"/>
      <c r="CL86" s="176"/>
      <c r="CM86" s="176"/>
      <c r="CN86" s="176"/>
      <c r="CO86" s="176"/>
      <c r="CP86" s="176"/>
      <c r="CQ86" s="176"/>
      <c r="CR86" s="176"/>
      <c r="CS86" s="176"/>
      <c r="CT86" s="176"/>
      <c r="CU86" s="176"/>
      <c r="CV86" s="176"/>
      <c r="CW86" s="176"/>
      <c r="CX86" s="176"/>
      <c r="CY86" s="176"/>
      <c r="CZ86" s="176"/>
      <c r="DA86" s="176"/>
      <c r="DB86" s="176"/>
      <c r="DC86" s="176"/>
      <c r="DD86" s="176"/>
      <c r="DE86" s="176"/>
      <c r="DF86" s="176"/>
      <c r="DG86" s="176"/>
      <c r="DH86" s="176"/>
      <c r="DI86" s="176"/>
      <c r="DJ86" s="176"/>
      <c r="DK86" s="176"/>
      <c r="DL86" s="176"/>
      <c r="DM86" s="176"/>
      <c r="DN86" s="176"/>
      <c r="DO86" s="176"/>
      <c r="DP86" s="176"/>
      <c r="DQ86" s="176"/>
      <c r="DR86" s="176"/>
      <c r="DS86" s="176"/>
      <c r="DT86" s="176"/>
      <c r="DU86" s="176"/>
      <c r="DV86" s="176"/>
      <c r="DW86" s="176"/>
      <c r="DX86" s="176"/>
      <c r="DY86" s="176"/>
      <c r="DZ86" s="176"/>
      <c r="EA86" s="176"/>
      <c r="EB86" s="176"/>
      <c r="EC86" s="176"/>
      <c r="ED86" s="176"/>
      <c r="EE86" s="176"/>
      <c r="EF86" s="176"/>
      <c r="EG86" s="176"/>
      <c r="EH86" s="176"/>
      <c r="EI86" s="176"/>
      <c r="EJ86" s="176"/>
      <c r="EK86" s="176"/>
      <c r="EL86" s="176"/>
      <c r="EM86" s="176"/>
      <c r="EN86" s="176"/>
      <c r="EO86" s="176"/>
      <c r="EP86" s="176"/>
      <c r="EQ86" s="176"/>
      <c r="ER86" s="176"/>
      <c r="ES86" s="176"/>
      <c r="ET86" s="176"/>
      <c r="EU86" s="176"/>
      <c r="EV86" s="176"/>
      <c r="EW86" s="176"/>
      <c r="EX86" s="176"/>
      <c r="EY86" s="176"/>
      <c r="EZ86" s="176"/>
      <c r="FA86" s="176"/>
      <c r="FB86" s="176"/>
      <c r="FC86" s="176"/>
      <c r="FD86" s="176"/>
      <c r="FE86" s="176"/>
      <c r="FF86" s="176"/>
      <c r="FG86" s="176"/>
      <c r="FH86" s="176"/>
      <c r="FI86" s="176"/>
      <c r="FJ86" s="176"/>
      <c r="FK86" s="176"/>
      <c r="FL86" s="176"/>
      <c r="FM86" s="176"/>
      <c r="FN86" s="176"/>
      <c r="FO86" s="176"/>
      <c r="FP86" s="176"/>
      <c r="FQ86" s="176"/>
      <c r="FR86" s="176"/>
      <c r="FS86" s="176"/>
      <c r="FT86" s="176"/>
      <c r="FU86" s="176"/>
      <c r="FV86" s="176"/>
      <c r="FW86" s="176"/>
      <c r="FX86" s="176"/>
      <c r="FY86" s="176"/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C86" s="176"/>
      <c r="HD86" s="176"/>
      <c r="HE86" s="176"/>
      <c r="HF86" s="176"/>
      <c r="HG86" s="176"/>
      <c r="HH86" s="176"/>
      <c r="HI86" s="176"/>
      <c r="HJ86" s="176"/>
      <c r="HK86" s="176"/>
      <c r="HL86" s="176"/>
      <c r="HM86" s="176"/>
      <c r="HN86" s="176"/>
      <c r="HO86" s="176"/>
      <c r="HP86" s="176"/>
      <c r="HQ86" s="176"/>
      <c r="HR86" s="176"/>
      <c r="HS86" s="176"/>
      <c r="HT86" s="176"/>
      <c r="HU86" s="176"/>
      <c r="HV86" s="176"/>
      <c r="HW86" s="176"/>
      <c r="HX86" s="176"/>
      <c r="HY86" s="176"/>
      <c r="HZ86" s="176"/>
      <c r="IA86" s="176"/>
      <c r="IB86" s="176"/>
      <c r="IC86" s="176"/>
      <c r="ID86" s="176"/>
      <c r="IE86" s="176"/>
      <c r="IF86" s="176"/>
      <c r="IG86" s="176"/>
      <c r="IH86" s="176"/>
      <c r="II86" s="176"/>
      <c r="IJ86" s="176"/>
      <c r="IK86" s="176"/>
      <c r="IL86" s="176"/>
      <c r="IM86" s="176"/>
      <c r="IN86" s="176"/>
      <c r="IO86" s="176"/>
      <c r="IP86" s="176"/>
      <c r="IQ86" s="176"/>
      <c r="IR86" s="176"/>
      <c r="IS86" s="176"/>
      <c r="IT86" s="176"/>
      <c r="IU86" s="176"/>
      <c r="IV86" s="176"/>
      <c r="IW86" s="176"/>
    </row>
    <row r="87" customFormat="false" ht="12.75" hidden="false" customHeight="false" outlineLevel="0" collapsed="false">
      <c r="A87" s="166" t="s">
        <v>145</v>
      </c>
      <c r="B87" s="167" t="s">
        <v>196</v>
      </c>
      <c r="C87" s="167" t="s">
        <v>333</v>
      </c>
      <c r="D87" s="168" t="n">
        <v>36617</v>
      </c>
      <c r="E87" s="168" t="n">
        <v>36646</v>
      </c>
      <c r="F87" s="166" t="s">
        <v>334</v>
      </c>
      <c r="G87" s="166" t="s">
        <v>330</v>
      </c>
      <c r="H87" s="167" t="s">
        <v>231</v>
      </c>
      <c r="I87" s="169" t="n">
        <f aca="false">0.5323*0.0328767</f>
        <v>0.01750026741</v>
      </c>
      <c r="J87" s="170" t="n">
        <v>0.075</v>
      </c>
      <c r="K87" s="170" t="n">
        <v>0.0022</v>
      </c>
      <c r="L87" s="170" t="n">
        <v>0</v>
      </c>
      <c r="M87" s="170" t="n">
        <v>0</v>
      </c>
      <c r="N87" s="170" t="n">
        <f aca="false">+O87*2.28</f>
        <v>0</v>
      </c>
      <c r="O87" s="171" t="n">
        <v>0</v>
      </c>
      <c r="P87" s="170" t="n">
        <f aca="false">SUM(I87:N87)</f>
        <v>0.09470026741</v>
      </c>
      <c r="Q87" s="172" t="n">
        <v>892872</v>
      </c>
      <c r="R87" s="167" t="n">
        <v>-3500</v>
      </c>
      <c r="S87" s="166" t="s">
        <v>335</v>
      </c>
      <c r="T87" s="173" t="n">
        <f aca="false">+I87*I$1*R87</f>
        <v>-1837.52807805</v>
      </c>
      <c r="U87" s="174"/>
      <c r="V87" s="175" t="n">
        <v>231929</v>
      </c>
      <c r="W87" s="175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76"/>
      <c r="CN87" s="176"/>
      <c r="CO87" s="176"/>
      <c r="CP87" s="176"/>
      <c r="CQ87" s="176"/>
      <c r="CR87" s="176"/>
      <c r="CS87" s="176"/>
      <c r="CT87" s="176"/>
      <c r="CU87" s="176"/>
      <c r="CV87" s="176"/>
      <c r="CW87" s="176"/>
      <c r="CX87" s="176"/>
      <c r="CY87" s="176"/>
      <c r="CZ87" s="176"/>
      <c r="DA87" s="176"/>
      <c r="DB87" s="176"/>
      <c r="DC87" s="176"/>
      <c r="DD87" s="176"/>
      <c r="DE87" s="176"/>
      <c r="DF87" s="176"/>
      <c r="DG87" s="176"/>
      <c r="DH87" s="176"/>
      <c r="DI87" s="176"/>
      <c r="DJ87" s="176"/>
      <c r="DK87" s="176"/>
      <c r="DL87" s="176"/>
      <c r="DM87" s="176"/>
      <c r="DN87" s="176"/>
      <c r="DO87" s="176"/>
      <c r="DP87" s="176"/>
      <c r="DQ87" s="176"/>
      <c r="DR87" s="176"/>
      <c r="DS87" s="176"/>
      <c r="DT87" s="176"/>
      <c r="DU87" s="176"/>
      <c r="DV87" s="176"/>
      <c r="DW87" s="176"/>
      <c r="DX87" s="176"/>
      <c r="DY87" s="176"/>
      <c r="DZ87" s="176"/>
      <c r="EA87" s="176"/>
      <c r="EB87" s="176"/>
      <c r="EC87" s="176"/>
      <c r="ED87" s="176"/>
      <c r="EE87" s="176"/>
      <c r="EF87" s="176"/>
      <c r="EG87" s="176"/>
      <c r="EH87" s="176"/>
      <c r="EI87" s="176"/>
      <c r="EJ87" s="176"/>
      <c r="EK87" s="176"/>
      <c r="EL87" s="176"/>
      <c r="EM87" s="176"/>
      <c r="EN87" s="176"/>
      <c r="EO87" s="176"/>
      <c r="EP87" s="176"/>
      <c r="EQ87" s="176"/>
      <c r="ER87" s="176"/>
      <c r="ES87" s="176"/>
      <c r="ET87" s="176"/>
      <c r="EU87" s="176"/>
      <c r="EV87" s="176"/>
      <c r="EW87" s="176"/>
      <c r="EX87" s="176"/>
      <c r="EY87" s="176"/>
      <c r="EZ87" s="176"/>
      <c r="FA87" s="176"/>
      <c r="FB87" s="176"/>
      <c r="FC87" s="176"/>
      <c r="FD87" s="176"/>
      <c r="FE87" s="176"/>
      <c r="FF87" s="176"/>
      <c r="FG87" s="176"/>
      <c r="FH87" s="176"/>
      <c r="FI87" s="176"/>
      <c r="FJ87" s="176"/>
      <c r="FK87" s="176"/>
      <c r="FL87" s="176"/>
      <c r="FM87" s="176"/>
      <c r="FN87" s="176"/>
      <c r="FO87" s="176"/>
      <c r="FP87" s="176"/>
      <c r="FQ87" s="176"/>
      <c r="FR87" s="176"/>
      <c r="FS87" s="176"/>
      <c r="FT87" s="176"/>
      <c r="FU87" s="176"/>
      <c r="FV87" s="176"/>
      <c r="FW87" s="176"/>
      <c r="FX87" s="176"/>
      <c r="FY87" s="176"/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C87" s="176"/>
      <c r="HD87" s="176"/>
      <c r="HE87" s="176"/>
      <c r="HF87" s="176"/>
      <c r="HG87" s="176"/>
      <c r="HH87" s="176"/>
      <c r="HI87" s="176"/>
      <c r="HJ87" s="176"/>
      <c r="HK87" s="176"/>
      <c r="HL87" s="176"/>
      <c r="HM87" s="176"/>
      <c r="HN87" s="176"/>
      <c r="HO87" s="176"/>
      <c r="HP87" s="176"/>
      <c r="HQ87" s="176"/>
      <c r="HR87" s="176"/>
      <c r="HS87" s="176"/>
      <c r="HT87" s="176"/>
      <c r="HU87" s="176"/>
      <c r="HV87" s="176"/>
      <c r="HW87" s="176"/>
      <c r="HX87" s="176"/>
      <c r="HY87" s="176"/>
      <c r="HZ87" s="176"/>
      <c r="IA87" s="176"/>
      <c r="IB87" s="176"/>
      <c r="IC87" s="176"/>
      <c r="ID87" s="176"/>
      <c r="IE87" s="176"/>
      <c r="IF87" s="176"/>
      <c r="IG87" s="176"/>
      <c r="IH87" s="176"/>
      <c r="II87" s="176"/>
      <c r="IJ87" s="176"/>
      <c r="IK87" s="176"/>
      <c r="IL87" s="176"/>
      <c r="IM87" s="176"/>
      <c r="IN87" s="176"/>
      <c r="IO87" s="176"/>
      <c r="IP87" s="176"/>
      <c r="IQ87" s="176"/>
      <c r="IR87" s="176"/>
      <c r="IS87" s="176"/>
      <c r="IT87" s="176"/>
      <c r="IU87" s="176"/>
      <c r="IV87" s="176"/>
      <c r="IW87" s="176"/>
    </row>
    <row r="88" customFormat="false" ht="12.75" hidden="false" customHeight="false" outlineLevel="0" collapsed="false">
      <c r="A88" s="166" t="s">
        <v>144</v>
      </c>
      <c r="B88" s="167" t="s">
        <v>196</v>
      </c>
      <c r="C88" s="167" t="s">
        <v>336</v>
      </c>
      <c r="D88" s="168" t="n">
        <v>36617</v>
      </c>
      <c r="E88" s="168" t="n">
        <v>36646</v>
      </c>
      <c r="F88" s="166" t="s">
        <v>337</v>
      </c>
      <c r="G88" s="166" t="s">
        <v>337</v>
      </c>
      <c r="H88" s="167" t="s">
        <v>236</v>
      </c>
      <c r="I88" s="169" t="n">
        <f aca="false">0.3042/30</f>
        <v>0.01014</v>
      </c>
      <c r="J88" s="170"/>
      <c r="K88" s="170"/>
      <c r="L88" s="170"/>
      <c r="M88" s="170"/>
      <c r="N88" s="170"/>
      <c r="O88" s="171"/>
      <c r="P88" s="170" t="n">
        <f aca="false">SUM(I88:N88)</f>
        <v>0.01014</v>
      </c>
      <c r="Q88" s="172" t="n">
        <v>893058</v>
      </c>
      <c r="R88" s="167" t="n">
        <v>5000</v>
      </c>
      <c r="S88" s="166" t="s">
        <v>338</v>
      </c>
      <c r="T88" s="173" t="n">
        <f aca="false">+I88*I$1*R88</f>
        <v>1521</v>
      </c>
      <c r="U88" s="174"/>
      <c r="V88" s="175" t="n">
        <v>893058</v>
      </c>
      <c r="W88" s="175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6"/>
      <c r="CT88" s="176"/>
      <c r="CU88" s="176"/>
      <c r="CV88" s="176"/>
      <c r="CW88" s="176"/>
      <c r="CX88" s="176"/>
      <c r="CY88" s="176"/>
      <c r="CZ88" s="176"/>
      <c r="DA88" s="176"/>
      <c r="DB88" s="176"/>
      <c r="DC88" s="176"/>
      <c r="DD88" s="176"/>
      <c r="DE88" s="176"/>
      <c r="DF88" s="176"/>
      <c r="DG88" s="176"/>
      <c r="DH88" s="176"/>
      <c r="DI88" s="176"/>
      <c r="DJ88" s="176"/>
      <c r="DK88" s="176"/>
      <c r="DL88" s="176"/>
      <c r="DM88" s="176"/>
      <c r="DN88" s="176"/>
      <c r="DO88" s="176"/>
      <c r="DP88" s="176"/>
      <c r="DQ88" s="176"/>
      <c r="DR88" s="176"/>
      <c r="DS88" s="176"/>
      <c r="DT88" s="176"/>
      <c r="DU88" s="176"/>
      <c r="DV88" s="176"/>
      <c r="DW88" s="176"/>
      <c r="DX88" s="176"/>
      <c r="DY88" s="176"/>
      <c r="DZ88" s="176"/>
      <c r="EA88" s="176"/>
      <c r="EB88" s="176"/>
      <c r="EC88" s="176"/>
      <c r="ED88" s="176"/>
      <c r="EE88" s="176"/>
      <c r="EF88" s="176"/>
      <c r="EG88" s="176"/>
      <c r="EH88" s="176"/>
      <c r="EI88" s="176"/>
      <c r="EJ88" s="176"/>
      <c r="EK88" s="176"/>
      <c r="EL88" s="176"/>
      <c r="EM88" s="176"/>
      <c r="EN88" s="176"/>
      <c r="EO88" s="176"/>
      <c r="EP88" s="176"/>
      <c r="EQ88" s="176"/>
      <c r="ER88" s="176"/>
      <c r="ES88" s="176"/>
      <c r="ET88" s="176"/>
      <c r="EU88" s="176"/>
      <c r="EV88" s="176"/>
      <c r="EW88" s="176"/>
      <c r="EX88" s="176"/>
      <c r="EY88" s="176"/>
      <c r="EZ88" s="176"/>
      <c r="FA88" s="176"/>
      <c r="FB88" s="176"/>
      <c r="FC88" s="176"/>
      <c r="FD88" s="176"/>
      <c r="FE88" s="176"/>
      <c r="FF88" s="176"/>
      <c r="FG88" s="176"/>
      <c r="FH88" s="176"/>
      <c r="FI88" s="176"/>
      <c r="FJ88" s="176"/>
      <c r="FK88" s="176"/>
      <c r="FL88" s="176"/>
      <c r="FM88" s="176"/>
      <c r="FN88" s="176"/>
      <c r="FO88" s="176"/>
      <c r="FP88" s="176"/>
      <c r="FQ88" s="176"/>
      <c r="FR88" s="176"/>
      <c r="FS88" s="176"/>
      <c r="FT88" s="176"/>
      <c r="FU88" s="176"/>
      <c r="FV88" s="176"/>
      <c r="FW88" s="176"/>
      <c r="FX88" s="176"/>
      <c r="FY88" s="176"/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C88" s="176"/>
      <c r="HD88" s="176"/>
      <c r="HE88" s="176"/>
      <c r="HF88" s="176"/>
      <c r="HG88" s="176"/>
      <c r="HH88" s="176"/>
      <c r="HI88" s="176"/>
      <c r="HJ88" s="176"/>
      <c r="HK88" s="176"/>
      <c r="HL88" s="176"/>
      <c r="HM88" s="176"/>
      <c r="HN88" s="176"/>
      <c r="HO88" s="176"/>
      <c r="HP88" s="176"/>
      <c r="HQ88" s="176"/>
      <c r="HR88" s="176"/>
      <c r="HS88" s="176"/>
      <c r="HT88" s="176"/>
      <c r="HU88" s="176"/>
      <c r="HV88" s="176"/>
      <c r="HW88" s="176"/>
      <c r="HX88" s="176"/>
      <c r="HY88" s="176"/>
      <c r="HZ88" s="176"/>
      <c r="IA88" s="176"/>
      <c r="IB88" s="176"/>
      <c r="IC88" s="176"/>
      <c r="ID88" s="176"/>
      <c r="IE88" s="176"/>
      <c r="IF88" s="176"/>
      <c r="IG88" s="176"/>
      <c r="IH88" s="176"/>
      <c r="II88" s="176"/>
      <c r="IJ88" s="176"/>
      <c r="IK88" s="176"/>
      <c r="IL88" s="176"/>
      <c r="IM88" s="176"/>
      <c r="IN88" s="176"/>
      <c r="IO88" s="176"/>
      <c r="IP88" s="176"/>
      <c r="IQ88" s="176"/>
      <c r="IR88" s="176"/>
      <c r="IS88" s="176"/>
      <c r="IT88" s="176"/>
      <c r="IU88" s="176"/>
      <c r="IV88" s="176"/>
      <c r="IW88" s="176"/>
    </row>
    <row r="89" customFormat="false" ht="12.75" hidden="false" customHeight="false" outlineLevel="0" collapsed="false">
      <c r="A89" s="166" t="s">
        <v>144</v>
      </c>
      <c r="B89" s="167" t="s">
        <v>196</v>
      </c>
      <c r="C89" s="167" t="s">
        <v>336</v>
      </c>
      <c r="D89" s="168" t="n">
        <v>36617</v>
      </c>
      <c r="E89" s="168" t="n">
        <v>36646</v>
      </c>
      <c r="F89" s="166" t="s">
        <v>337</v>
      </c>
      <c r="G89" s="166" t="s">
        <v>337</v>
      </c>
      <c r="H89" s="167" t="s">
        <v>236</v>
      </c>
      <c r="I89" s="169" t="n">
        <f aca="false">0.3042/30</f>
        <v>0.01014</v>
      </c>
      <c r="J89" s="170"/>
      <c r="K89" s="170"/>
      <c r="L89" s="170"/>
      <c r="M89" s="170"/>
      <c r="N89" s="170"/>
      <c r="O89" s="171"/>
      <c r="P89" s="170" t="n">
        <f aca="false">SUM(I89:N89)</f>
        <v>0.01014</v>
      </c>
      <c r="Q89" s="172" t="n">
        <v>893059</v>
      </c>
      <c r="R89" s="167" t="n">
        <v>5000</v>
      </c>
      <c r="S89" s="166" t="s">
        <v>339</v>
      </c>
      <c r="T89" s="173" t="n">
        <f aca="false">+I89*I$1*R89</f>
        <v>1521</v>
      </c>
      <c r="U89" s="174"/>
      <c r="V89" s="175" t="n">
        <v>893059</v>
      </c>
      <c r="W89" s="175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6"/>
      <c r="CQ89" s="176"/>
      <c r="CR89" s="176"/>
      <c r="CS89" s="176"/>
      <c r="CT89" s="176"/>
      <c r="CU89" s="176"/>
      <c r="CV89" s="176"/>
      <c r="CW89" s="176"/>
      <c r="CX89" s="176"/>
      <c r="CY89" s="176"/>
      <c r="CZ89" s="176"/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6"/>
      <c r="DR89" s="176"/>
      <c r="DS89" s="176"/>
      <c r="DT89" s="176"/>
      <c r="DU89" s="176"/>
      <c r="DV89" s="176"/>
      <c r="DW89" s="176"/>
      <c r="DX89" s="176"/>
      <c r="DY89" s="176"/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76"/>
      <c r="EL89" s="176"/>
      <c r="EM89" s="176"/>
      <c r="EN89" s="176"/>
      <c r="EO89" s="176"/>
      <c r="EP89" s="176"/>
      <c r="EQ89" s="176"/>
      <c r="ER89" s="176"/>
      <c r="ES89" s="176"/>
      <c r="ET89" s="176"/>
      <c r="EU89" s="176"/>
      <c r="EV89" s="176"/>
      <c r="EW89" s="176"/>
      <c r="EX89" s="176"/>
      <c r="EY89" s="176"/>
      <c r="EZ89" s="176"/>
      <c r="FA89" s="176"/>
      <c r="FB89" s="176"/>
      <c r="FC89" s="176"/>
      <c r="FD89" s="176"/>
      <c r="FE89" s="176"/>
      <c r="FF89" s="176"/>
      <c r="FG89" s="176"/>
      <c r="FH89" s="176"/>
      <c r="FI89" s="176"/>
      <c r="FJ89" s="176"/>
      <c r="FK89" s="176"/>
      <c r="FL89" s="176"/>
      <c r="FM89" s="176"/>
      <c r="FN89" s="176"/>
      <c r="FO89" s="176"/>
      <c r="FP89" s="176"/>
      <c r="FQ89" s="176"/>
      <c r="FR89" s="176"/>
      <c r="FS89" s="176"/>
      <c r="FT89" s="176"/>
      <c r="FU89" s="176"/>
      <c r="FV89" s="176"/>
      <c r="FW89" s="176"/>
      <c r="FX89" s="176"/>
      <c r="FY89" s="176"/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C89" s="176"/>
      <c r="HD89" s="176"/>
      <c r="HE89" s="176"/>
      <c r="HF89" s="176"/>
      <c r="HG89" s="176"/>
      <c r="HH89" s="176"/>
      <c r="HI89" s="176"/>
      <c r="HJ89" s="176"/>
      <c r="HK89" s="176"/>
      <c r="HL89" s="176"/>
      <c r="HM89" s="176"/>
      <c r="HN89" s="176"/>
      <c r="HO89" s="176"/>
      <c r="HP89" s="176"/>
      <c r="HQ89" s="176"/>
      <c r="HR89" s="176"/>
      <c r="HS89" s="176"/>
      <c r="HT89" s="176"/>
      <c r="HU89" s="176"/>
      <c r="HV89" s="176"/>
      <c r="HW89" s="176"/>
      <c r="HX89" s="176"/>
      <c r="HY89" s="176"/>
      <c r="HZ89" s="176"/>
      <c r="IA89" s="176"/>
      <c r="IB89" s="176"/>
      <c r="IC89" s="176"/>
      <c r="ID89" s="176"/>
      <c r="IE89" s="176"/>
      <c r="IF89" s="176"/>
      <c r="IG89" s="176"/>
      <c r="IH89" s="176"/>
      <c r="II89" s="176"/>
      <c r="IJ89" s="176"/>
      <c r="IK89" s="176"/>
      <c r="IL89" s="176"/>
      <c r="IM89" s="176"/>
      <c r="IN89" s="176"/>
      <c r="IO89" s="176"/>
      <c r="IP89" s="176"/>
      <c r="IQ89" s="176"/>
      <c r="IR89" s="176"/>
      <c r="IS89" s="176"/>
      <c r="IT89" s="176"/>
      <c r="IU89" s="176"/>
      <c r="IV89" s="176"/>
      <c r="IW89" s="176"/>
    </row>
    <row r="90" customFormat="false" ht="12.75" hidden="false" customHeight="false" outlineLevel="0" collapsed="false">
      <c r="A90" s="166" t="s">
        <v>144</v>
      </c>
      <c r="B90" s="167" t="s">
        <v>196</v>
      </c>
      <c r="C90" s="167" t="s">
        <v>336</v>
      </c>
      <c r="D90" s="168" t="n">
        <v>36617</v>
      </c>
      <c r="E90" s="168" t="n">
        <v>36646</v>
      </c>
      <c r="F90" s="166" t="s">
        <v>340</v>
      </c>
      <c r="G90" s="166" t="s">
        <v>340</v>
      </c>
      <c r="H90" s="167" t="s">
        <v>222</v>
      </c>
      <c r="I90" s="169" t="n">
        <f aca="false">0.3802/30</f>
        <v>0.0126733333333333</v>
      </c>
      <c r="J90" s="170"/>
      <c r="K90" s="170"/>
      <c r="L90" s="170"/>
      <c r="M90" s="170"/>
      <c r="N90" s="170"/>
      <c r="O90" s="171"/>
      <c r="P90" s="170" t="n">
        <f aca="false">SUM(I90:N90)</f>
        <v>0.0126733333333333</v>
      </c>
      <c r="Q90" s="172" t="n">
        <v>893113</v>
      </c>
      <c r="R90" s="167" t="n">
        <v>1878</v>
      </c>
      <c r="S90" s="166" t="s">
        <v>341</v>
      </c>
      <c r="T90" s="173" t="n">
        <f aca="false">+I90*I$1*R90</f>
        <v>714.0156</v>
      </c>
      <c r="U90" s="174"/>
      <c r="V90" s="175" t="n">
        <v>234521</v>
      </c>
      <c r="W90" s="175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  <c r="AW90" s="176"/>
      <c r="AX90" s="176"/>
      <c r="AY90" s="176"/>
      <c r="AZ90" s="176"/>
      <c r="BA90" s="176"/>
      <c r="BB90" s="176"/>
      <c r="BC90" s="176"/>
      <c r="BD90" s="176"/>
      <c r="BE90" s="176"/>
      <c r="BF90" s="176"/>
      <c r="BG90" s="176"/>
      <c r="BH90" s="176"/>
      <c r="BI90" s="176"/>
      <c r="BJ90" s="176"/>
      <c r="BK90" s="176"/>
      <c r="BL90" s="176"/>
      <c r="BM90" s="176"/>
      <c r="BN90" s="176"/>
      <c r="BO90" s="176"/>
      <c r="BP90" s="176"/>
      <c r="BQ90" s="176"/>
      <c r="BR90" s="176"/>
      <c r="BS90" s="176"/>
      <c r="BT90" s="176"/>
      <c r="BU90" s="176"/>
      <c r="BV90" s="176"/>
      <c r="BW90" s="176"/>
      <c r="BX90" s="176"/>
      <c r="BY90" s="176"/>
      <c r="BZ90" s="176"/>
      <c r="CA90" s="176"/>
      <c r="CB90" s="176"/>
      <c r="CC90" s="176"/>
      <c r="CD90" s="176"/>
      <c r="CE90" s="176"/>
      <c r="CF90" s="176"/>
      <c r="CG90" s="176"/>
      <c r="CH90" s="176"/>
      <c r="CI90" s="176"/>
      <c r="CJ90" s="176"/>
      <c r="CK90" s="176"/>
      <c r="CL90" s="176"/>
      <c r="CM90" s="176"/>
      <c r="CN90" s="176"/>
      <c r="CO90" s="176"/>
      <c r="CP90" s="176"/>
      <c r="CQ90" s="176"/>
      <c r="CR90" s="176"/>
      <c r="CS90" s="176"/>
      <c r="CT90" s="176"/>
      <c r="CU90" s="176"/>
      <c r="CV90" s="176"/>
      <c r="CW90" s="176"/>
      <c r="CX90" s="176"/>
      <c r="CY90" s="176"/>
      <c r="CZ90" s="176"/>
      <c r="DA90" s="176"/>
      <c r="DB90" s="176"/>
      <c r="DC90" s="176"/>
      <c r="DD90" s="176"/>
      <c r="DE90" s="176"/>
      <c r="DF90" s="176"/>
      <c r="DG90" s="176"/>
      <c r="DH90" s="176"/>
      <c r="DI90" s="176"/>
      <c r="DJ90" s="176"/>
      <c r="DK90" s="176"/>
      <c r="DL90" s="176"/>
      <c r="DM90" s="176"/>
      <c r="DN90" s="176"/>
      <c r="DO90" s="176"/>
      <c r="DP90" s="176"/>
      <c r="DQ90" s="176"/>
      <c r="DR90" s="176"/>
      <c r="DS90" s="176"/>
      <c r="DT90" s="176"/>
      <c r="DU90" s="176"/>
      <c r="DV90" s="176"/>
      <c r="DW90" s="176"/>
      <c r="DX90" s="176"/>
      <c r="DY90" s="176"/>
      <c r="DZ90" s="176"/>
      <c r="EA90" s="176"/>
      <c r="EB90" s="176"/>
      <c r="EC90" s="176"/>
      <c r="ED90" s="176"/>
      <c r="EE90" s="176"/>
      <c r="EF90" s="176"/>
      <c r="EG90" s="176"/>
      <c r="EH90" s="176"/>
      <c r="EI90" s="176"/>
      <c r="EJ90" s="176"/>
      <c r="EK90" s="176"/>
      <c r="EL90" s="176"/>
      <c r="EM90" s="176"/>
      <c r="EN90" s="176"/>
      <c r="EO90" s="176"/>
      <c r="EP90" s="176"/>
      <c r="EQ90" s="176"/>
      <c r="ER90" s="176"/>
      <c r="ES90" s="176"/>
      <c r="ET90" s="176"/>
      <c r="EU90" s="176"/>
      <c r="EV90" s="176"/>
      <c r="EW90" s="176"/>
      <c r="EX90" s="176"/>
      <c r="EY90" s="176"/>
      <c r="EZ90" s="176"/>
      <c r="FA90" s="176"/>
      <c r="FB90" s="176"/>
      <c r="FC90" s="176"/>
      <c r="FD90" s="176"/>
      <c r="FE90" s="176"/>
      <c r="FF90" s="176"/>
      <c r="FG90" s="176"/>
      <c r="FH90" s="176"/>
      <c r="FI90" s="176"/>
      <c r="FJ90" s="176"/>
      <c r="FK90" s="176"/>
      <c r="FL90" s="176"/>
      <c r="FM90" s="176"/>
      <c r="FN90" s="176"/>
      <c r="FO90" s="176"/>
      <c r="FP90" s="176"/>
      <c r="FQ90" s="176"/>
      <c r="FR90" s="176"/>
      <c r="FS90" s="176"/>
      <c r="FT90" s="176"/>
      <c r="FU90" s="176"/>
      <c r="FV90" s="176"/>
      <c r="FW90" s="176"/>
      <c r="FX90" s="176"/>
      <c r="FY90" s="176"/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C90" s="176"/>
      <c r="HD90" s="176"/>
      <c r="HE90" s="176"/>
      <c r="HF90" s="176"/>
      <c r="HG90" s="176"/>
      <c r="HH90" s="176"/>
      <c r="HI90" s="176"/>
      <c r="HJ90" s="176"/>
      <c r="HK90" s="176"/>
      <c r="HL90" s="176"/>
      <c r="HM90" s="176"/>
      <c r="HN90" s="176"/>
      <c r="HO90" s="176"/>
      <c r="HP90" s="176"/>
      <c r="HQ90" s="176"/>
      <c r="HR90" s="176"/>
      <c r="HS90" s="176"/>
      <c r="HT90" s="176"/>
      <c r="HU90" s="176"/>
      <c r="HV90" s="176"/>
      <c r="HW90" s="176"/>
      <c r="HX90" s="176"/>
      <c r="HY90" s="176"/>
      <c r="HZ90" s="176"/>
      <c r="IA90" s="176"/>
      <c r="IB90" s="176"/>
      <c r="IC90" s="176"/>
      <c r="ID90" s="176"/>
      <c r="IE90" s="176"/>
      <c r="IF90" s="176"/>
      <c r="IG90" s="176"/>
      <c r="IH90" s="176"/>
      <c r="II90" s="176"/>
      <c r="IJ90" s="176"/>
      <c r="IK90" s="176"/>
      <c r="IL90" s="176"/>
      <c r="IM90" s="176"/>
      <c r="IN90" s="176"/>
      <c r="IO90" s="176"/>
      <c r="IP90" s="176"/>
      <c r="IQ90" s="176"/>
      <c r="IR90" s="176"/>
      <c r="IS90" s="176"/>
      <c r="IT90" s="176"/>
      <c r="IU90" s="176"/>
      <c r="IV90" s="176"/>
      <c r="IW90" s="176"/>
    </row>
    <row r="91" customFormat="false" ht="12.75" hidden="false" customHeight="false" outlineLevel="0" collapsed="false">
      <c r="A91" s="166" t="s">
        <v>144</v>
      </c>
      <c r="B91" s="167" t="s">
        <v>196</v>
      </c>
      <c r="C91" s="167" t="s">
        <v>336</v>
      </c>
      <c r="D91" s="168" t="n">
        <v>36617</v>
      </c>
      <c r="E91" s="168" t="n">
        <v>36646</v>
      </c>
      <c r="F91" s="166" t="s">
        <v>340</v>
      </c>
      <c r="G91" s="166" t="s">
        <v>340</v>
      </c>
      <c r="H91" s="167" t="s">
        <v>222</v>
      </c>
      <c r="I91" s="169" t="n">
        <f aca="false">0.3802/30</f>
        <v>0.0126733333333333</v>
      </c>
      <c r="J91" s="170"/>
      <c r="K91" s="170"/>
      <c r="L91" s="170"/>
      <c r="M91" s="170"/>
      <c r="N91" s="170"/>
      <c r="O91" s="171"/>
      <c r="P91" s="170" t="n">
        <f aca="false">SUM(I91:N91)</f>
        <v>0.0126733333333333</v>
      </c>
      <c r="Q91" s="172" t="n">
        <v>893114</v>
      </c>
      <c r="R91" s="167" t="n">
        <v>2171</v>
      </c>
      <c r="S91" s="166" t="s">
        <v>342</v>
      </c>
      <c r="T91" s="173" t="n">
        <f aca="false">+I91*I$1*R91</f>
        <v>825.4142</v>
      </c>
      <c r="U91" s="174"/>
      <c r="V91" s="175" t="n">
        <v>234531</v>
      </c>
      <c r="W91" s="175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  <c r="AZ91" s="176"/>
      <c r="BA91" s="176"/>
      <c r="BB91" s="176"/>
      <c r="BC91" s="176"/>
      <c r="BD91" s="176"/>
      <c r="BE91" s="176"/>
      <c r="BF91" s="176"/>
      <c r="BG91" s="176"/>
      <c r="BH91" s="176"/>
      <c r="BI91" s="176"/>
      <c r="BJ91" s="176"/>
      <c r="BK91" s="176"/>
      <c r="BL91" s="176"/>
      <c r="BM91" s="176"/>
      <c r="BN91" s="176"/>
      <c r="BO91" s="176"/>
      <c r="BP91" s="176"/>
      <c r="BQ91" s="176"/>
      <c r="BR91" s="176"/>
      <c r="BS91" s="176"/>
      <c r="BT91" s="176"/>
      <c r="BU91" s="176"/>
      <c r="BV91" s="176"/>
      <c r="BW91" s="176"/>
      <c r="BX91" s="176"/>
      <c r="BY91" s="176"/>
      <c r="BZ91" s="176"/>
      <c r="CA91" s="176"/>
      <c r="CB91" s="176"/>
      <c r="CC91" s="176"/>
      <c r="CD91" s="176"/>
      <c r="CE91" s="176"/>
      <c r="CF91" s="176"/>
      <c r="CG91" s="176"/>
      <c r="CH91" s="176"/>
      <c r="CI91" s="176"/>
      <c r="CJ91" s="176"/>
      <c r="CK91" s="176"/>
      <c r="CL91" s="176"/>
      <c r="CM91" s="176"/>
      <c r="CN91" s="176"/>
      <c r="CO91" s="176"/>
      <c r="CP91" s="176"/>
      <c r="CQ91" s="176"/>
      <c r="CR91" s="176"/>
      <c r="CS91" s="176"/>
      <c r="CT91" s="176"/>
      <c r="CU91" s="176"/>
      <c r="CV91" s="176"/>
      <c r="CW91" s="176"/>
      <c r="CX91" s="176"/>
      <c r="CY91" s="176"/>
      <c r="CZ91" s="176"/>
      <c r="DA91" s="176"/>
      <c r="DB91" s="176"/>
      <c r="DC91" s="176"/>
      <c r="DD91" s="176"/>
      <c r="DE91" s="176"/>
      <c r="DF91" s="176"/>
      <c r="DG91" s="176"/>
      <c r="DH91" s="176"/>
      <c r="DI91" s="176"/>
      <c r="DJ91" s="176"/>
      <c r="DK91" s="176"/>
      <c r="DL91" s="176"/>
      <c r="DM91" s="176"/>
      <c r="DN91" s="176"/>
      <c r="DO91" s="176"/>
      <c r="DP91" s="176"/>
      <c r="DQ91" s="176"/>
      <c r="DR91" s="176"/>
      <c r="DS91" s="176"/>
      <c r="DT91" s="176"/>
      <c r="DU91" s="176"/>
      <c r="DV91" s="176"/>
      <c r="DW91" s="176"/>
      <c r="DX91" s="176"/>
      <c r="DY91" s="176"/>
      <c r="DZ91" s="176"/>
      <c r="EA91" s="176"/>
      <c r="EB91" s="176"/>
      <c r="EC91" s="176"/>
      <c r="ED91" s="176"/>
      <c r="EE91" s="176"/>
      <c r="EF91" s="176"/>
      <c r="EG91" s="176"/>
      <c r="EH91" s="176"/>
      <c r="EI91" s="176"/>
      <c r="EJ91" s="176"/>
      <c r="EK91" s="176"/>
      <c r="EL91" s="176"/>
      <c r="EM91" s="176"/>
      <c r="EN91" s="176"/>
      <c r="EO91" s="176"/>
      <c r="EP91" s="176"/>
      <c r="EQ91" s="176"/>
      <c r="ER91" s="176"/>
      <c r="ES91" s="176"/>
      <c r="ET91" s="176"/>
      <c r="EU91" s="176"/>
      <c r="EV91" s="176"/>
      <c r="EW91" s="176"/>
      <c r="EX91" s="176"/>
      <c r="EY91" s="176"/>
      <c r="EZ91" s="176"/>
      <c r="FA91" s="176"/>
      <c r="FB91" s="176"/>
      <c r="FC91" s="176"/>
      <c r="FD91" s="176"/>
      <c r="FE91" s="176"/>
      <c r="FF91" s="176"/>
      <c r="FG91" s="176"/>
      <c r="FH91" s="176"/>
      <c r="FI91" s="176"/>
      <c r="FJ91" s="176"/>
      <c r="FK91" s="176"/>
      <c r="FL91" s="176"/>
      <c r="FM91" s="176"/>
      <c r="FN91" s="176"/>
      <c r="FO91" s="176"/>
      <c r="FP91" s="176"/>
      <c r="FQ91" s="176"/>
      <c r="FR91" s="176"/>
      <c r="FS91" s="176"/>
      <c r="FT91" s="176"/>
      <c r="FU91" s="176"/>
      <c r="FV91" s="176"/>
      <c r="FW91" s="176"/>
      <c r="FX91" s="176"/>
      <c r="FY91" s="176"/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C91" s="176"/>
      <c r="HD91" s="176"/>
      <c r="HE91" s="176"/>
      <c r="HF91" s="176"/>
      <c r="HG91" s="176"/>
      <c r="HH91" s="176"/>
      <c r="HI91" s="176"/>
      <c r="HJ91" s="176"/>
      <c r="HK91" s="176"/>
      <c r="HL91" s="176"/>
      <c r="HM91" s="176"/>
      <c r="HN91" s="176"/>
      <c r="HO91" s="176"/>
      <c r="HP91" s="176"/>
      <c r="HQ91" s="176"/>
      <c r="HR91" s="176"/>
      <c r="HS91" s="176"/>
      <c r="HT91" s="176"/>
      <c r="HU91" s="176"/>
      <c r="HV91" s="176"/>
      <c r="HW91" s="176"/>
      <c r="HX91" s="176"/>
      <c r="HY91" s="176"/>
      <c r="HZ91" s="176"/>
      <c r="IA91" s="176"/>
      <c r="IB91" s="176"/>
      <c r="IC91" s="176"/>
      <c r="ID91" s="176"/>
      <c r="IE91" s="176"/>
      <c r="IF91" s="176"/>
      <c r="IG91" s="176"/>
      <c r="IH91" s="176"/>
      <c r="II91" s="176"/>
      <c r="IJ91" s="176"/>
      <c r="IK91" s="176"/>
      <c r="IL91" s="176"/>
      <c r="IM91" s="176"/>
      <c r="IN91" s="176"/>
      <c r="IO91" s="176"/>
      <c r="IP91" s="176"/>
      <c r="IQ91" s="176"/>
      <c r="IR91" s="176"/>
      <c r="IS91" s="176"/>
      <c r="IT91" s="176"/>
      <c r="IU91" s="176"/>
      <c r="IV91" s="176"/>
      <c r="IW91" s="176"/>
    </row>
    <row r="92" customFormat="false" ht="12.75" hidden="false" customHeight="false" outlineLevel="0" collapsed="false">
      <c r="A92" s="166" t="s">
        <v>144</v>
      </c>
      <c r="B92" s="167" t="s">
        <v>196</v>
      </c>
      <c r="C92" s="167" t="s">
        <v>336</v>
      </c>
      <c r="D92" s="168" t="n">
        <v>36617</v>
      </c>
      <c r="E92" s="168" t="n">
        <v>36646</v>
      </c>
      <c r="F92" s="166" t="s">
        <v>340</v>
      </c>
      <c r="G92" s="166" t="s">
        <v>340</v>
      </c>
      <c r="H92" s="167" t="s">
        <v>222</v>
      </c>
      <c r="I92" s="169" t="n">
        <f aca="false">0.3802/30</f>
        <v>0.0126733333333333</v>
      </c>
      <c r="J92" s="170"/>
      <c r="K92" s="170"/>
      <c r="L92" s="170"/>
      <c r="M92" s="170"/>
      <c r="N92" s="170"/>
      <c r="O92" s="171"/>
      <c r="P92" s="170" t="n">
        <f aca="false">SUM(I92:N92)</f>
        <v>0.0126733333333333</v>
      </c>
      <c r="Q92" s="172" t="n">
        <v>893115</v>
      </c>
      <c r="R92" s="167" t="n">
        <v>2951</v>
      </c>
      <c r="S92" s="166" t="s">
        <v>343</v>
      </c>
      <c r="T92" s="173" t="n">
        <f aca="false">+I92*I$1*R92</f>
        <v>1121.9702</v>
      </c>
      <c r="U92" s="174"/>
      <c r="V92" s="175" t="n">
        <v>234534</v>
      </c>
      <c r="W92" s="175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176"/>
      <c r="CM92" s="176"/>
      <c r="CN92" s="176"/>
      <c r="CO92" s="176"/>
      <c r="CP92" s="176"/>
      <c r="CQ92" s="176"/>
      <c r="CR92" s="176"/>
      <c r="CS92" s="176"/>
      <c r="CT92" s="176"/>
      <c r="CU92" s="176"/>
      <c r="CV92" s="176"/>
      <c r="CW92" s="176"/>
      <c r="CX92" s="176"/>
      <c r="CY92" s="176"/>
      <c r="CZ92" s="176"/>
      <c r="DA92" s="176"/>
      <c r="DB92" s="176"/>
      <c r="DC92" s="176"/>
      <c r="DD92" s="176"/>
      <c r="DE92" s="176"/>
      <c r="DF92" s="176"/>
      <c r="DG92" s="176"/>
      <c r="DH92" s="176"/>
      <c r="DI92" s="176"/>
      <c r="DJ92" s="176"/>
      <c r="DK92" s="176"/>
      <c r="DL92" s="176"/>
      <c r="DM92" s="176"/>
      <c r="DN92" s="176"/>
      <c r="DO92" s="176"/>
      <c r="DP92" s="176"/>
      <c r="DQ92" s="176"/>
      <c r="DR92" s="176"/>
      <c r="DS92" s="176"/>
      <c r="DT92" s="176"/>
      <c r="DU92" s="176"/>
      <c r="DV92" s="176"/>
      <c r="DW92" s="176"/>
      <c r="DX92" s="176"/>
      <c r="DY92" s="176"/>
      <c r="DZ92" s="176"/>
      <c r="EA92" s="176"/>
      <c r="EB92" s="176"/>
      <c r="EC92" s="176"/>
      <c r="ED92" s="176"/>
      <c r="EE92" s="176"/>
      <c r="EF92" s="176"/>
      <c r="EG92" s="176"/>
      <c r="EH92" s="176"/>
      <c r="EI92" s="176"/>
      <c r="EJ92" s="176"/>
      <c r="EK92" s="176"/>
      <c r="EL92" s="176"/>
      <c r="EM92" s="176"/>
      <c r="EN92" s="176"/>
      <c r="EO92" s="176"/>
      <c r="EP92" s="176"/>
      <c r="EQ92" s="176"/>
      <c r="ER92" s="176"/>
      <c r="ES92" s="176"/>
      <c r="ET92" s="176"/>
      <c r="EU92" s="176"/>
      <c r="EV92" s="176"/>
      <c r="EW92" s="176"/>
      <c r="EX92" s="176"/>
      <c r="EY92" s="176"/>
      <c r="EZ92" s="176"/>
      <c r="FA92" s="176"/>
      <c r="FB92" s="176"/>
      <c r="FC92" s="176"/>
      <c r="FD92" s="176"/>
      <c r="FE92" s="176"/>
      <c r="FF92" s="176"/>
      <c r="FG92" s="176"/>
      <c r="FH92" s="176"/>
      <c r="FI92" s="176"/>
      <c r="FJ92" s="176"/>
      <c r="FK92" s="176"/>
      <c r="FL92" s="176"/>
      <c r="FM92" s="176"/>
      <c r="FN92" s="176"/>
      <c r="FO92" s="176"/>
      <c r="FP92" s="176"/>
      <c r="FQ92" s="176"/>
      <c r="FR92" s="176"/>
      <c r="FS92" s="176"/>
      <c r="FT92" s="176"/>
      <c r="FU92" s="176"/>
      <c r="FV92" s="176"/>
      <c r="FW92" s="176"/>
      <c r="FX92" s="176"/>
      <c r="FY92" s="176"/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C92" s="176"/>
      <c r="HD92" s="176"/>
      <c r="HE92" s="176"/>
      <c r="HF92" s="176"/>
      <c r="HG92" s="176"/>
      <c r="HH92" s="176"/>
      <c r="HI92" s="176"/>
      <c r="HJ92" s="176"/>
      <c r="HK92" s="176"/>
      <c r="HL92" s="176"/>
      <c r="HM92" s="176"/>
      <c r="HN92" s="176"/>
      <c r="HO92" s="176"/>
      <c r="HP92" s="176"/>
      <c r="HQ92" s="176"/>
      <c r="HR92" s="176"/>
      <c r="HS92" s="176"/>
      <c r="HT92" s="176"/>
      <c r="HU92" s="176"/>
      <c r="HV92" s="176"/>
      <c r="HW92" s="176"/>
      <c r="HX92" s="176"/>
      <c r="HY92" s="176"/>
      <c r="HZ92" s="176"/>
      <c r="IA92" s="176"/>
      <c r="IB92" s="176"/>
      <c r="IC92" s="176"/>
      <c r="ID92" s="176"/>
      <c r="IE92" s="176"/>
      <c r="IF92" s="176"/>
      <c r="IG92" s="176"/>
      <c r="IH92" s="176"/>
      <c r="II92" s="176"/>
      <c r="IJ92" s="176"/>
      <c r="IK92" s="176"/>
      <c r="IL92" s="176"/>
      <c r="IM92" s="176"/>
      <c r="IN92" s="176"/>
      <c r="IO92" s="176"/>
      <c r="IP92" s="176"/>
      <c r="IQ92" s="176"/>
      <c r="IR92" s="176"/>
      <c r="IS92" s="176"/>
      <c r="IT92" s="176"/>
      <c r="IU92" s="176"/>
      <c r="IV92" s="176"/>
      <c r="IW92" s="176"/>
    </row>
    <row r="93" customFormat="false" ht="12.75" hidden="false" customHeight="false" outlineLevel="0" collapsed="false">
      <c r="A93" s="166" t="s">
        <v>144</v>
      </c>
      <c r="B93" s="167" t="s">
        <v>196</v>
      </c>
      <c r="C93" s="167" t="s">
        <v>336</v>
      </c>
      <c r="D93" s="168" t="n">
        <v>36617</v>
      </c>
      <c r="E93" s="168" t="n">
        <v>36646</v>
      </c>
      <c r="F93" s="166" t="s">
        <v>340</v>
      </c>
      <c r="G93" s="166" t="s">
        <v>340</v>
      </c>
      <c r="H93" s="167" t="s">
        <v>222</v>
      </c>
      <c r="I93" s="169" t="n">
        <f aca="false">0.3802/30</f>
        <v>0.0126733333333333</v>
      </c>
      <c r="J93" s="170"/>
      <c r="K93" s="170"/>
      <c r="L93" s="170"/>
      <c r="M93" s="170"/>
      <c r="N93" s="170"/>
      <c r="O93" s="171"/>
      <c r="P93" s="170" t="n">
        <f aca="false">SUM(I93:N93)</f>
        <v>0.0126733333333333</v>
      </c>
      <c r="Q93" s="172" t="n">
        <v>893116</v>
      </c>
      <c r="R93" s="167" t="n">
        <v>3000</v>
      </c>
      <c r="S93" s="166" t="s">
        <v>344</v>
      </c>
      <c r="T93" s="173" t="n">
        <f aca="false">+I93*I$1*R93</f>
        <v>1140.6</v>
      </c>
      <c r="U93" s="174"/>
      <c r="V93" s="175" t="n">
        <v>234540</v>
      </c>
      <c r="W93" s="175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76"/>
      <c r="AW93" s="176"/>
      <c r="AX93" s="176"/>
      <c r="AY93" s="176"/>
      <c r="AZ93" s="176"/>
      <c r="BA93" s="176"/>
      <c r="BB93" s="176"/>
      <c r="BC93" s="176"/>
      <c r="BD93" s="176"/>
      <c r="BE93" s="176"/>
      <c r="BF93" s="176"/>
      <c r="BG93" s="176"/>
      <c r="BH93" s="176"/>
      <c r="BI93" s="176"/>
      <c r="BJ93" s="176"/>
      <c r="BK93" s="176"/>
      <c r="BL93" s="176"/>
      <c r="BM93" s="176"/>
      <c r="BN93" s="176"/>
      <c r="BO93" s="176"/>
      <c r="BP93" s="176"/>
      <c r="BQ93" s="176"/>
      <c r="BR93" s="176"/>
      <c r="BS93" s="176"/>
      <c r="BT93" s="176"/>
      <c r="BU93" s="176"/>
      <c r="BV93" s="176"/>
      <c r="BW93" s="176"/>
      <c r="BX93" s="176"/>
      <c r="BY93" s="176"/>
      <c r="BZ93" s="176"/>
      <c r="CA93" s="176"/>
      <c r="CB93" s="176"/>
      <c r="CC93" s="176"/>
      <c r="CD93" s="176"/>
      <c r="CE93" s="176"/>
      <c r="CF93" s="176"/>
      <c r="CG93" s="176"/>
      <c r="CH93" s="176"/>
      <c r="CI93" s="176"/>
      <c r="CJ93" s="176"/>
      <c r="CK93" s="176"/>
      <c r="CL93" s="176"/>
      <c r="CM93" s="176"/>
      <c r="CN93" s="176"/>
      <c r="CO93" s="176"/>
      <c r="CP93" s="176"/>
      <c r="CQ93" s="176"/>
      <c r="CR93" s="176"/>
      <c r="CS93" s="176"/>
      <c r="CT93" s="176"/>
      <c r="CU93" s="176"/>
      <c r="CV93" s="176"/>
      <c r="CW93" s="176"/>
      <c r="CX93" s="176"/>
      <c r="CY93" s="176"/>
      <c r="CZ93" s="176"/>
      <c r="DA93" s="176"/>
      <c r="DB93" s="176"/>
      <c r="DC93" s="176"/>
      <c r="DD93" s="176"/>
      <c r="DE93" s="176"/>
      <c r="DF93" s="176"/>
      <c r="DG93" s="176"/>
      <c r="DH93" s="176"/>
      <c r="DI93" s="176"/>
      <c r="DJ93" s="176"/>
      <c r="DK93" s="176"/>
      <c r="DL93" s="176"/>
      <c r="DM93" s="176"/>
      <c r="DN93" s="176"/>
      <c r="DO93" s="176"/>
      <c r="DP93" s="176"/>
      <c r="DQ93" s="176"/>
      <c r="DR93" s="176"/>
      <c r="DS93" s="176"/>
      <c r="DT93" s="176"/>
      <c r="DU93" s="176"/>
      <c r="DV93" s="176"/>
      <c r="DW93" s="176"/>
      <c r="DX93" s="176"/>
      <c r="DY93" s="176"/>
      <c r="DZ93" s="176"/>
      <c r="EA93" s="176"/>
      <c r="EB93" s="176"/>
      <c r="EC93" s="176"/>
      <c r="ED93" s="176"/>
      <c r="EE93" s="176"/>
      <c r="EF93" s="176"/>
      <c r="EG93" s="176"/>
      <c r="EH93" s="176"/>
      <c r="EI93" s="176"/>
      <c r="EJ93" s="176"/>
      <c r="EK93" s="176"/>
      <c r="EL93" s="176"/>
      <c r="EM93" s="176"/>
      <c r="EN93" s="176"/>
      <c r="EO93" s="176"/>
      <c r="EP93" s="176"/>
      <c r="EQ93" s="176"/>
      <c r="ER93" s="176"/>
      <c r="ES93" s="176"/>
      <c r="ET93" s="176"/>
      <c r="EU93" s="176"/>
      <c r="EV93" s="176"/>
      <c r="EW93" s="176"/>
      <c r="EX93" s="176"/>
      <c r="EY93" s="176"/>
      <c r="EZ93" s="176"/>
      <c r="FA93" s="176"/>
      <c r="FB93" s="176"/>
      <c r="FC93" s="176"/>
      <c r="FD93" s="176"/>
      <c r="FE93" s="176"/>
      <c r="FF93" s="176"/>
      <c r="FG93" s="176"/>
      <c r="FH93" s="176"/>
      <c r="FI93" s="176"/>
      <c r="FJ93" s="176"/>
      <c r="FK93" s="176"/>
      <c r="FL93" s="176"/>
      <c r="FM93" s="176"/>
      <c r="FN93" s="176"/>
      <c r="FO93" s="176"/>
      <c r="FP93" s="176"/>
      <c r="FQ93" s="176"/>
      <c r="FR93" s="176"/>
      <c r="FS93" s="176"/>
      <c r="FT93" s="176"/>
      <c r="FU93" s="176"/>
      <c r="FV93" s="176"/>
      <c r="FW93" s="176"/>
      <c r="FX93" s="176"/>
      <c r="FY93" s="176"/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C93" s="176"/>
      <c r="HD93" s="176"/>
      <c r="HE93" s="176"/>
      <c r="HF93" s="176"/>
      <c r="HG93" s="176"/>
      <c r="HH93" s="176"/>
      <c r="HI93" s="176"/>
      <c r="HJ93" s="176"/>
      <c r="HK93" s="176"/>
      <c r="HL93" s="176"/>
      <c r="HM93" s="176"/>
      <c r="HN93" s="176"/>
      <c r="HO93" s="176"/>
      <c r="HP93" s="176"/>
      <c r="HQ93" s="176"/>
      <c r="HR93" s="176"/>
      <c r="HS93" s="176"/>
      <c r="HT93" s="176"/>
      <c r="HU93" s="176"/>
      <c r="HV93" s="176"/>
      <c r="HW93" s="176"/>
      <c r="HX93" s="176"/>
      <c r="HY93" s="176"/>
      <c r="HZ93" s="176"/>
      <c r="IA93" s="176"/>
      <c r="IB93" s="176"/>
      <c r="IC93" s="176"/>
      <c r="ID93" s="176"/>
      <c r="IE93" s="176"/>
      <c r="IF93" s="176"/>
      <c r="IG93" s="176"/>
      <c r="IH93" s="176"/>
      <c r="II93" s="176"/>
      <c r="IJ93" s="176"/>
      <c r="IK93" s="176"/>
      <c r="IL93" s="176"/>
      <c r="IM93" s="176"/>
      <c r="IN93" s="176"/>
      <c r="IO93" s="176"/>
      <c r="IP93" s="176"/>
      <c r="IQ93" s="176"/>
      <c r="IR93" s="176"/>
      <c r="IS93" s="176"/>
      <c r="IT93" s="176"/>
      <c r="IU93" s="176"/>
      <c r="IV93" s="176"/>
      <c r="IW93" s="176"/>
    </row>
    <row r="94" customFormat="false" ht="12.75" hidden="false" customHeight="false" outlineLevel="0" collapsed="false">
      <c r="A94" s="177" t="s">
        <v>345</v>
      </c>
      <c r="B94" s="69" t="s">
        <v>346</v>
      </c>
      <c r="C94" s="69" t="s">
        <v>347</v>
      </c>
      <c r="D94" s="178" t="n">
        <v>36568</v>
      </c>
      <c r="E94" s="178" t="n">
        <v>36570</v>
      </c>
      <c r="F94" s="177" t="s">
        <v>334</v>
      </c>
      <c r="G94" s="177" t="s">
        <v>348</v>
      </c>
      <c r="H94" s="69"/>
      <c r="I94" s="179" t="n">
        <v>0</v>
      </c>
      <c r="J94" s="68" t="n">
        <v>0.075</v>
      </c>
      <c r="K94" s="68" t="n">
        <v>0.0022</v>
      </c>
      <c r="L94" s="68" t="n">
        <v>0</v>
      </c>
      <c r="M94" s="68" t="n">
        <v>0</v>
      </c>
      <c r="N94" s="68" t="n">
        <f aca="false">+O94*2.28</f>
        <v>0</v>
      </c>
      <c r="O94" s="155" t="n">
        <v>0</v>
      </c>
      <c r="P94" s="68" t="n">
        <f aca="false">SUM(I94:N94)</f>
        <v>0.0772</v>
      </c>
      <c r="Q94" s="108" t="s">
        <v>349</v>
      </c>
      <c r="R94" s="69" t="n">
        <v>10000</v>
      </c>
      <c r="S94" s="177" t="s">
        <v>350</v>
      </c>
      <c r="T94" s="115" t="n">
        <f aca="false">+I94*I$1*R94</f>
        <v>0</v>
      </c>
      <c r="U94" s="35"/>
      <c r="V94" s="37" t="n">
        <v>98243</v>
      </c>
      <c r="W94" s="37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180"/>
      <c r="AK94" s="180"/>
      <c r="AL94" s="180"/>
      <c r="AM94" s="180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0"/>
      <c r="BR94" s="180"/>
      <c r="BS94" s="180"/>
      <c r="BT94" s="180"/>
      <c r="BU94" s="180"/>
      <c r="BV94" s="180"/>
      <c r="BW94" s="180"/>
      <c r="BX94" s="180"/>
      <c r="BY94" s="180"/>
      <c r="BZ94" s="180"/>
      <c r="CA94" s="180"/>
      <c r="CB94" s="180"/>
      <c r="CC94" s="180"/>
      <c r="CD94" s="180"/>
      <c r="CE94" s="180"/>
      <c r="CF94" s="180"/>
      <c r="CG94" s="180"/>
      <c r="CH94" s="180"/>
      <c r="CI94" s="180"/>
      <c r="CJ94" s="180"/>
      <c r="CK94" s="180"/>
      <c r="CL94" s="180"/>
      <c r="CM94" s="180"/>
      <c r="CN94" s="180"/>
      <c r="CO94" s="180"/>
      <c r="CP94" s="180"/>
      <c r="CQ94" s="180"/>
      <c r="CR94" s="180"/>
      <c r="CS94" s="180"/>
      <c r="CT94" s="180"/>
      <c r="CU94" s="180"/>
      <c r="CV94" s="180"/>
      <c r="CW94" s="180"/>
      <c r="CX94" s="180"/>
      <c r="CY94" s="180"/>
      <c r="CZ94" s="180"/>
      <c r="DA94" s="180"/>
      <c r="DB94" s="180"/>
      <c r="DC94" s="180"/>
      <c r="DD94" s="180"/>
      <c r="DE94" s="180"/>
      <c r="DF94" s="180"/>
      <c r="DG94" s="180"/>
      <c r="DH94" s="180"/>
      <c r="DI94" s="180"/>
      <c r="DJ94" s="180"/>
      <c r="DK94" s="180"/>
      <c r="DL94" s="180"/>
      <c r="DM94" s="180"/>
      <c r="DN94" s="180"/>
      <c r="DO94" s="180"/>
      <c r="DP94" s="180"/>
      <c r="DQ94" s="180"/>
      <c r="DR94" s="180"/>
      <c r="DS94" s="180"/>
      <c r="DT94" s="180"/>
      <c r="DU94" s="180"/>
      <c r="DV94" s="180"/>
      <c r="DW94" s="180"/>
      <c r="DX94" s="180"/>
      <c r="DY94" s="180"/>
      <c r="DZ94" s="180"/>
      <c r="EA94" s="180"/>
      <c r="EB94" s="180"/>
      <c r="EC94" s="180"/>
      <c r="ED94" s="180"/>
      <c r="EE94" s="180"/>
      <c r="EF94" s="180"/>
      <c r="EG94" s="180"/>
      <c r="EH94" s="180"/>
      <c r="EI94" s="180"/>
      <c r="EJ94" s="180"/>
      <c r="EK94" s="180"/>
      <c r="EL94" s="180"/>
      <c r="EM94" s="180"/>
      <c r="EN94" s="180"/>
      <c r="EO94" s="180"/>
      <c r="EP94" s="180"/>
      <c r="EQ94" s="180"/>
      <c r="ER94" s="180"/>
      <c r="ES94" s="180"/>
      <c r="ET94" s="180"/>
      <c r="EU94" s="180"/>
      <c r="EV94" s="180"/>
      <c r="EW94" s="180"/>
      <c r="EX94" s="180"/>
      <c r="EY94" s="180"/>
      <c r="EZ94" s="180"/>
      <c r="FA94" s="180"/>
      <c r="FB94" s="180"/>
      <c r="FC94" s="180"/>
      <c r="FD94" s="180"/>
      <c r="FE94" s="180"/>
      <c r="FF94" s="180"/>
      <c r="FG94" s="180"/>
      <c r="FH94" s="180"/>
      <c r="FI94" s="180"/>
      <c r="FJ94" s="180"/>
      <c r="FK94" s="180"/>
      <c r="FL94" s="180"/>
      <c r="FM94" s="180"/>
      <c r="FN94" s="180"/>
      <c r="FO94" s="180"/>
      <c r="FP94" s="180"/>
      <c r="FQ94" s="180"/>
      <c r="FR94" s="180"/>
      <c r="FS94" s="180"/>
      <c r="FT94" s="180"/>
      <c r="FU94" s="180"/>
      <c r="FV94" s="180"/>
      <c r="FW94" s="180"/>
      <c r="FX94" s="180"/>
      <c r="FY94" s="180"/>
      <c r="FZ94" s="180"/>
      <c r="GA94" s="180"/>
      <c r="GB94" s="180"/>
      <c r="GC94" s="180"/>
      <c r="GD94" s="180"/>
      <c r="GE94" s="180"/>
      <c r="GF94" s="180"/>
      <c r="GG94" s="180"/>
      <c r="GH94" s="180"/>
      <c r="GI94" s="180"/>
      <c r="GJ94" s="180"/>
      <c r="GK94" s="180"/>
      <c r="GL94" s="180"/>
      <c r="GM94" s="180"/>
      <c r="GN94" s="180"/>
      <c r="GO94" s="180"/>
      <c r="GP94" s="180"/>
      <c r="GQ94" s="180"/>
      <c r="GR94" s="180"/>
      <c r="GS94" s="180"/>
      <c r="GT94" s="180"/>
      <c r="GU94" s="180"/>
      <c r="GV94" s="180"/>
      <c r="GW94" s="180"/>
      <c r="GX94" s="180"/>
      <c r="GY94" s="180"/>
      <c r="GZ94" s="180"/>
      <c r="HA94" s="180"/>
      <c r="HB94" s="180"/>
      <c r="HC94" s="180"/>
      <c r="HD94" s="180"/>
      <c r="HE94" s="180"/>
      <c r="HF94" s="180"/>
      <c r="HG94" s="180"/>
      <c r="HH94" s="180"/>
      <c r="HI94" s="180"/>
      <c r="HJ94" s="180"/>
      <c r="HK94" s="180"/>
      <c r="HL94" s="180"/>
      <c r="HM94" s="180"/>
      <c r="HN94" s="180"/>
      <c r="HO94" s="180"/>
      <c r="HP94" s="180"/>
      <c r="HQ94" s="180"/>
      <c r="HR94" s="180"/>
      <c r="HS94" s="180"/>
      <c r="HT94" s="180"/>
      <c r="HU94" s="180"/>
      <c r="HV94" s="180"/>
      <c r="HW94" s="180"/>
      <c r="HX94" s="180"/>
      <c r="HY94" s="180"/>
      <c r="HZ94" s="180"/>
      <c r="IA94" s="180"/>
      <c r="IB94" s="180"/>
      <c r="IC94" s="180"/>
      <c r="ID94" s="180"/>
      <c r="IE94" s="180"/>
      <c r="IF94" s="180"/>
      <c r="IG94" s="180"/>
      <c r="IH94" s="180"/>
      <c r="II94" s="180"/>
      <c r="IJ94" s="180"/>
      <c r="IK94" s="180"/>
      <c r="IL94" s="180"/>
      <c r="IM94" s="180"/>
      <c r="IN94" s="180"/>
      <c r="IO94" s="180"/>
      <c r="IP94" s="180"/>
      <c r="IQ94" s="180"/>
      <c r="IR94" s="180"/>
      <c r="IS94" s="180"/>
      <c r="IT94" s="180"/>
      <c r="IU94" s="180"/>
      <c r="IV94" s="180"/>
      <c r="IW94" s="180"/>
    </row>
    <row r="95" customFormat="false" ht="12.75" hidden="false" customHeight="false" outlineLevel="0" collapsed="false">
      <c r="A95" s="56"/>
      <c r="B95" s="58"/>
      <c r="C95" s="58"/>
      <c r="D95" s="59"/>
      <c r="E95" s="59"/>
      <c r="F95" s="56"/>
      <c r="G95" s="56"/>
      <c r="H95" s="58"/>
      <c r="I95" s="61"/>
      <c r="J95" s="62"/>
      <c r="K95" s="62"/>
      <c r="L95" s="62"/>
      <c r="M95" s="62"/>
      <c r="N95" s="62"/>
      <c r="O95" s="163" t="s">
        <v>1</v>
      </c>
      <c r="P95" s="62"/>
      <c r="Q95" s="164"/>
      <c r="R95" s="58"/>
      <c r="S95" s="56" t="s">
        <v>1</v>
      </c>
      <c r="T95" s="165" t="n">
        <f aca="false">SUM(T85:T94)</f>
        <v>19015.945572505</v>
      </c>
      <c r="U95" s="67" t="n">
        <f aca="false">SUM(U94)</f>
        <v>0</v>
      </c>
      <c r="V95" s="24"/>
      <c r="W95" s="24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false" customHeight="false" outlineLevel="0" collapsed="false">
      <c r="A96" s="116" t="s">
        <v>108</v>
      </c>
      <c r="B96" s="117" t="s">
        <v>109</v>
      </c>
      <c r="C96" s="117" t="s">
        <v>110</v>
      </c>
      <c r="D96" s="118" t="s">
        <v>111</v>
      </c>
      <c r="E96" s="118"/>
      <c r="F96" s="116" t="s">
        <v>112</v>
      </c>
      <c r="G96" s="116" t="s">
        <v>113</v>
      </c>
      <c r="H96" s="117" t="s">
        <v>114</v>
      </c>
      <c r="I96" s="119" t="s">
        <v>115</v>
      </c>
      <c r="J96" s="117" t="s">
        <v>116</v>
      </c>
      <c r="K96" s="117" t="s">
        <v>117</v>
      </c>
      <c r="L96" s="117" t="s">
        <v>118</v>
      </c>
      <c r="M96" s="117" t="s">
        <v>119</v>
      </c>
      <c r="N96" s="117" t="s">
        <v>211</v>
      </c>
      <c r="O96" s="120" t="s">
        <v>120</v>
      </c>
      <c r="P96" s="117" t="s">
        <v>121</v>
      </c>
      <c r="Q96" s="121" t="s">
        <v>122</v>
      </c>
      <c r="R96" s="117" t="s">
        <v>123</v>
      </c>
      <c r="S96" s="116" t="s">
        <v>124</v>
      </c>
      <c r="T96" s="122" t="s">
        <v>212</v>
      </c>
      <c r="U96" s="123" t="s">
        <v>213</v>
      </c>
      <c r="V96" s="24"/>
      <c r="W96" s="24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false" customHeight="false" outlineLevel="0" collapsed="false">
      <c r="A97" s="15" t="s">
        <v>52</v>
      </c>
      <c r="B97" s="16" t="s">
        <v>351</v>
      </c>
      <c r="C97" s="16" t="s">
        <v>352</v>
      </c>
      <c r="D97" s="17" t="n">
        <v>34274</v>
      </c>
      <c r="E97" s="17" t="n">
        <v>37042</v>
      </c>
      <c r="F97" s="15" t="s">
        <v>353</v>
      </c>
      <c r="G97" s="15" t="s">
        <v>354</v>
      </c>
      <c r="H97" s="16" t="s">
        <v>231</v>
      </c>
      <c r="I97" s="19" t="n">
        <f aca="false">1.0603/I$1</f>
        <v>0.0353433333333333</v>
      </c>
      <c r="J97" s="20" t="n">
        <v>0.0017</v>
      </c>
      <c r="K97" s="20" t="n">
        <v>0.0022</v>
      </c>
      <c r="L97" s="20" t="n">
        <v>0</v>
      </c>
      <c r="M97" s="20" t="n">
        <v>0</v>
      </c>
      <c r="N97" s="20" t="n">
        <f aca="false">+O97*2.02</f>
        <v>0.0123018</v>
      </c>
      <c r="O97" s="21" t="n">
        <v>0.00609</v>
      </c>
      <c r="P97" s="20" t="n">
        <f aca="false">SUM(I97:N97)</f>
        <v>0.0515451333333333</v>
      </c>
      <c r="Q97" s="22" t="n">
        <v>37393</v>
      </c>
      <c r="R97" s="16" t="n">
        <v>20000</v>
      </c>
      <c r="S97" s="15" t="s">
        <v>355</v>
      </c>
      <c r="T97" s="153" t="n">
        <f aca="false">I97*I$1*R97</f>
        <v>21206</v>
      </c>
      <c r="U97" s="23"/>
      <c r="V97" s="24" t="n">
        <v>92346</v>
      </c>
      <c r="W97" s="24" t="n">
        <v>96006364</v>
      </c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false" customHeight="false" outlineLevel="0" collapsed="false">
      <c r="A98" s="15" t="s">
        <v>52</v>
      </c>
      <c r="B98" s="16" t="s">
        <v>351</v>
      </c>
      <c r="C98" s="16" t="s">
        <v>352</v>
      </c>
      <c r="D98" s="17" t="n">
        <v>36434</v>
      </c>
      <c r="E98" s="17" t="n">
        <v>36799</v>
      </c>
      <c r="F98" s="15" t="s">
        <v>356</v>
      </c>
      <c r="G98" s="15" t="s">
        <v>321</v>
      </c>
      <c r="H98" s="16" t="s">
        <v>231</v>
      </c>
      <c r="I98" s="19" t="n">
        <v>0.015</v>
      </c>
      <c r="J98" s="20" t="n">
        <v>0.0017</v>
      </c>
      <c r="K98" s="20" t="n">
        <v>0.0022</v>
      </c>
      <c r="L98" s="20" t="n">
        <v>0</v>
      </c>
      <c r="M98" s="20" t="n">
        <v>0</v>
      </c>
      <c r="N98" s="20" t="n">
        <f aca="false">+O98*2.02</f>
        <v>0.0123018</v>
      </c>
      <c r="O98" s="21" t="n">
        <v>0.00609</v>
      </c>
      <c r="P98" s="20" t="n">
        <f aca="false">SUM(I98:N98)</f>
        <v>0.0312018</v>
      </c>
      <c r="Q98" s="22" t="n">
        <v>64937</v>
      </c>
      <c r="R98" s="16" t="n">
        <v>10000</v>
      </c>
      <c r="S98" s="15"/>
      <c r="T98" s="153" t="n">
        <f aca="false">I98*I$1*R98</f>
        <v>4500</v>
      </c>
      <c r="U98" s="23"/>
      <c r="V98" s="24"/>
      <c r="W98" s="24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2.75" hidden="false" customHeight="false" outlineLevel="0" collapsed="false">
      <c r="A99" s="38" t="s">
        <v>52</v>
      </c>
      <c r="B99" s="87" t="s">
        <v>351</v>
      </c>
      <c r="C99" s="87" t="s">
        <v>352</v>
      </c>
      <c r="D99" s="88" t="n">
        <v>36617</v>
      </c>
      <c r="E99" s="88" t="n">
        <v>36981</v>
      </c>
      <c r="F99" s="38" t="s">
        <v>357</v>
      </c>
      <c r="G99" s="38" t="s">
        <v>358</v>
      </c>
      <c r="H99" s="87" t="s">
        <v>231</v>
      </c>
      <c r="I99" s="75" t="n">
        <f aca="false">1.5238/I$1</f>
        <v>0.0507933333333333</v>
      </c>
      <c r="J99" s="89" t="n">
        <v>0.002</v>
      </c>
      <c r="K99" s="89" t="n">
        <v>0.0022</v>
      </c>
      <c r="L99" s="89" t="n">
        <v>0</v>
      </c>
      <c r="M99" s="89" t="n">
        <v>0</v>
      </c>
      <c r="N99" s="89" t="n">
        <f aca="false">+O99*2.02</f>
        <v>0</v>
      </c>
      <c r="O99" s="139" t="n">
        <v>0</v>
      </c>
      <c r="P99" s="89" t="n">
        <f aca="false">SUM(I99:N99)</f>
        <v>0.0549933333333333</v>
      </c>
      <c r="Q99" s="91" t="n">
        <v>66973</v>
      </c>
      <c r="R99" s="87" t="n">
        <v>10000</v>
      </c>
      <c r="S99" s="38" t="s">
        <v>359</v>
      </c>
      <c r="T99" s="104" t="n">
        <f aca="false">I99*I$1*R99</f>
        <v>15238</v>
      </c>
      <c r="U99" s="93"/>
      <c r="V99" s="95" t="n">
        <v>231728</v>
      </c>
      <c r="W99" s="95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2.75" hidden="false" customHeight="false" outlineLevel="0" collapsed="false">
      <c r="A100" s="15" t="s">
        <v>52</v>
      </c>
      <c r="B100" s="16" t="s">
        <v>351</v>
      </c>
      <c r="C100" s="16" t="s">
        <v>352</v>
      </c>
      <c r="D100" s="17" t="n">
        <v>34274</v>
      </c>
      <c r="E100" s="17" t="n">
        <v>40117</v>
      </c>
      <c r="F100" s="15" t="s">
        <v>354</v>
      </c>
      <c r="G100" s="15" t="s">
        <v>360</v>
      </c>
      <c r="H100" s="16" t="s">
        <v>231</v>
      </c>
      <c r="I100" s="19" t="n">
        <f aca="false">3.145/I$1</f>
        <v>0.104833333333333</v>
      </c>
      <c r="J100" s="20" t="n">
        <v>0.0171</v>
      </c>
      <c r="K100" s="20" t="n">
        <v>0.0022</v>
      </c>
      <c r="L100" s="20" t="n">
        <v>0</v>
      </c>
      <c r="M100" s="20" t="n">
        <v>0</v>
      </c>
      <c r="N100" s="20" t="n">
        <f aca="false">+O100*2.07</f>
        <v>0.0618516</v>
      </c>
      <c r="O100" s="21" t="n">
        <v>0.02988</v>
      </c>
      <c r="P100" s="20" t="n">
        <f aca="false">SUM(I100:N100)</f>
        <v>0.185984933333333</v>
      </c>
      <c r="Q100" s="22" t="n">
        <v>37861</v>
      </c>
      <c r="R100" s="16" t="n">
        <v>15000</v>
      </c>
      <c r="S100" s="15"/>
      <c r="T100" s="153" t="n">
        <f aca="false">I100*I$1*R100</f>
        <v>47175</v>
      </c>
      <c r="U100" s="23"/>
      <c r="V100" s="24" t="n">
        <v>93034</v>
      </c>
      <c r="W100" s="24" t="n">
        <v>96005325</v>
      </c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2.75" hidden="false" customHeight="false" outlineLevel="0" collapsed="false">
      <c r="A101" s="56" t="s">
        <v>1</v>
      </c>
      <c r="B101" s="58" t="s">
        <v>1</v>
      </c>
      <c r="C101" s="58" t="s">
        <v>1</v>
      </c>
      <c r="D101" s="59" t="s">
        <v>1</v>
      </c>
      <c r="E101" s="59"/>
      <c r="F101" s="56" t="s">
        <v>1</v>
      </c>
      <c r="G101" s="56" t="s">
        <v>1</v>
      </c>
      <c r="H101" s="58" t="s">
        <v>1</v>
      </c>
      <c r="I101" s="61"/>
      <c r="J101" s="62"/>
      <c r="K101" s="62"/>
      <c r="L101" s="62"/>
      <c r="M101" s="62"/>
      <c r="N101" s="62"/>
      <c r="O101" s="163"/>
      <c r="P101" s="62"/>
      <c r="Q101" s="164" t="s">
        <v>1</v>
      </c>
      <c r="R101" s="58" t="s">
        <v>1</v>
      </c>
      <c r="S101" s="56" t="s">
        <v>1</v>
      </c>
      <c r="T101" s="165" t="n">
        <f aca="false">SUM(T97:T100)</f>
        <v>88119</v>
      </c>
      <c r="U101" s="67" t="n">
        <f aca="false">SUM(U97:U100)</f>
        <v>0</v>
      </c>
      <c r="V101" s="24"/>
      <c r="W101" s="24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false" customHeight="false" outlineLevel="0" collapsed="false">
      <c r="A102" s="116" t="s">
        <v>108</v>
      </c>
      <c r="B102" s="117" t="s">
        <v>109</v>
      </c>
      <c r="C102" s="117" t="s">
        <v>110</v>
      </c>
      <c r="D102" s="118" t="s">
        <v>111</v>
      </c>
      <c r="E102" s="118"/>
      <c r="F102" s="116" t="s">
        <v>112</v>
      </c>
      <c r="G102" s="116" t="s">
        <v>113</v>
      </c>
      <c r="H102" s="117" t="s">
        <v>114</v>
      </c>
      <c r="I102" s="119" t="s">
        <v>115</v>
      </c>
      <c r="J102" s="117" t="s">
        <v>116</v>
      </c>
      <c r="K102" s="117" t="s">
        <v>117</v>
      </c>
      <c r="L102" s="117" t="s">
        <v>118</v>
      </c>
      <c r="M102" s="117" t="s">
        <v>119</v>
      </c>
      <c r="N102" s="117" t="s">
        <v>211</v>
      </c>
      <c r="O102" s="120" t="s">
        <v>120</v>
      </c>
      <c r="P102" s="117" t="s">
        <v>121</v>
      </c>
      <c r="Q102" s="121" t="s">
        <v>122</v>
      </c>
      <c r="R102" s="117" t="s">
        <v>123</v>
      </c>
      <c r="S102" s="116" t="s">
        <v>124</v>
      </c>
      <c r="T102" s="122" t="s">
        <v>212</v>
      </c>
      <c r="U102" s="123" t="s">
        <v>213</v>
      </c>
      <c r="V102" s="24"/>
      <c r="W102" s="24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3.5" hidden="false" customHeight="true" outlineLevel="0" collapsed="false">
      <c r="A103" s="15" t="s">
        <v>52</v>
      </c>
      <c r="B103" s="16" t="s">
        <v>134</v>
      </c>
      <c r="C103" s="16" t="s">
        <v>318</v>
      </c>
      <c r="D103" s="17" t="n">
        <v>36251</v>
      </c>
      <c r="E103" s="17" t="n">
        <v>36281</v>
      </c>
      <c r="F103" s="15" t="s">
        <v>361</v>
      </c>
      <c r="G103" s="15"/>
      <c r="H103" s="16"/>
      <c r="I103" s="19" t="n">
        <f aca="false">0/I$1</f>
        <v>0</v>
      </c>
      <c r="J103" s="20" t="n">
        <v>0</v>
      </c>
      <c r="K103" s="20" t="n">
        <v>0</v>
      </c>
      <c r="L103" s="20" t="n">
        <v>0</v>
      </c>
      <c r="M103" s="20" t="n">
        <v>0</v>
      </c>
      <c r="N103" s="20" t="n">
        <f aca="false">+O103*2.2</f>
        <v>0</v>
      </c>
      <c r="O103" s="21" t="n">
        <v>0</v>
      </c>
      <c r="P103" s="20" t="n">
        <f aca="false">SUM(I103:N103)</f>
        <v>0</v>
      </c>
      <c r="Q103" s="22" t="s">
        <v>362</v>
      </c>
      <c r="R103" s="16"/>
      <c r="S103" s="15" t="s">
        <v>363</v>
      </c>
      <c r="T103" s="153" t="n">
        <v>0</v>
      </c>
      <c r="U103" s="23"/>
      <c r="V103" s="24"/>
      <c r="W103" s="24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3.5" hidden="false" customHeight="true" outlineLevel="0" collapsed="false">
      <c r="A104" s="38" t="s">
        <v>52</v>
      </c>
      <c r="B104" s="87" t="s">
        <v>134</v>
      </c>
      <c r="C104" s="87" t="s">
        <v>151</v>
      </c>
      <c r="D104" s="88" t="n">
        <v>36617</v>
      </c>
      <c r="E104" s="88" t="n">
        <v>36981</v>
      </c>
      <c r="F104" s="38" t="s">
        <v>364</v>
      </c>
      <c r="G104" s="38" t="n">
        <v>19</v>
      </c>
      <c r="H104" s="87" t="s">
        <v>365</v>
      </c>
      <c r="I104" s="75" t="n">
        <f aca="false">4.41/+I1</f>
        <v>0.147</v>
      </c>
      <c r="J104" s="89"/>
      <c r="K104" s="89"/>
      <c r="L104" s="89"/>
      <c r="M104" s="89"/>
      <c r="N104" s="89"/>
      <c r="O104" s="139"/>
      <c r="P104" s="89" t="n">
        <f aca="false">SUM(I104:N104)</f>
        <v>0.147</v>
      </c>
      <c r="Q104" s="91" t="n">
        <v>66930</v>
      </c>
      <c r="R104" s="87" t="n">
        <v>4000</v>
      </c>
      <c r="S104" s="38" t="s">
        <v>366</v>
      </c>
      <c r="T104" s="104" t="n">
        <f aca="false">(+I104*R104)*I1</f>
        <v>17640</v>
      </c>
      <c r="U104" s="93"/>
      <c r="V104" s="95" t="n">
        <v>227986</v>
      </c>
      <c r="W104" s="95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13.5" hidden="false" customHeight="true" outlineLevel="0" collapsed="false">
      <c r="A105" s="15" t="s">
        <v>144</v>
      </c>
      <c r="B105" s="16" t="s">
        <v>134</v>
      </c>
      <c r="C105" s="16" t="s">
        <v>151</v>
      </c>
      <c r="D105" s="17" t="n">
        <v>36617</v>
      </c>
      <c r="E105" s="17" t="n">
        <v>36646</v>
      </c>
      <c r="F105" s="15"/>
      <c r="G105" s="15"/>
      <c r="H105" s="16"/>
      <c r="I105" s="19"/>
      <c r="J105" s="20"/>
      <c r="K105" s="20"/>
      <c r="L105" s="20"/>
      <c r="M105" s="20"/>
      <c r="N105" s="20"/>
      <c r="O105" s="21"/>
      <c r="P105" s="20" t="n">
        <f aca="false">SUM(I105:N105)</f>
        <v>0</v>
      </c>
      <c r="Q105" s="22"/>
      <c r="R105" s="16"/>
      <c r="S105" s="15"/>
      <c r="T105" s="153"/>
      <c r="U105" s="23"/>
      <c r="V105" s="24"/>
      <c r="W105" s="24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3.5" hidden="false" customHeight="true" outlineLevel="0" collapsed="false">
      <c r="A106" s="38" t="s">
        <v>144</v>
      </c>
      <c r="B106" s="87" t="s">
        <v>134</v>
      </c>
      <c r="C106" s="87" t="s">
        <v>151</v>
      </c>
      <c r="D106" s="88" t="n">
        <v>36617</v>
      </c>
      <c r="E106" s="88" t="n">
        <v>36646</v>
      </c>
      <c r="F106" s="38" t="s">
        <v>364</v>
      </c>
      <c r="G106" s="38" t="s">
        <v>367</v>
      </c>
      <c r="H106" s="87" t="s">
        <v>365</v>
      </c>
      <c r="I106" s="75" t="n">
        <f aca="false">2.4/30</f>
        <v>0.08</v>
      </c>
      <c r="J106" s="89"/>
      <c r="K106" s="89"/>
      <c r="L106" s="89"/>
      <c r="M106" s="89"/>
      <c r="N106" s="89"/>
      <c r="O106" s="139"/>
      <c r="P106" s="89" t="n">
        <f aca="false">SUM(I106:N106)</f>
        <v>0.08</v>
      </c>
      <c r="Q106" s="91" t="n">
        <v>67776</v>
      </c>
      <c r="R106" s="87" t="n">
        <v>7500</v>
      </c>
      <c r="S106" s="38" t="s">
        <v>368</v>
      </c>
      <c r="T106" s="104" t="n">
        <f aca="false">+I106*R106*I1</f>
        <v>18000</v>
      </c>
      <c r="U106" s="93"/>
      <c r="V106" s="95" t="n">
        <v>234251</v>
      </c>
      <c r="W106" s="95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13.5" hidden="false" customHeight="true" outlineLevel="0" collapsed="false">
      <c r="A107" s="38" t="s">
        <v>52</v>
      </c>
      <c r="B107" s="87" t="s">
        <v>134</v>
      </c>
      <c r="C107" s="87" t="s">
        <v>151</v>
      </c>
      <c r="D107" s="88" t="n">
        <v>36617</v>
      </c>
      <c r="E107" s="88" t="n">
        <v>36981</v>
      </c>
      <c r="F107" s="38" t="s">
        <v>364</v>
      </c>
      <c r="G107" s="38" t="s">
        <v>369</v>
      </c>
      <c r="H107" s="87" t="s">
        <v>365</v>
      </c>
      <c r="I107" s="75" t="n">
        <f aca="false">4.41/I1</f>
        <v>0.147</v>
      </c>
      <c r="J107" s="89"/>
      <c r="K107" s="89"/>
      <c r="L107" s="89"/>
      <c r="M107" s="89"/>
      <c r="N107" s="89"/>
      <c r="O107" s="139"/>
      <c r="P107" s="89" t="n">
        <f aca="false">SUM(I107:N107)</f>
        <v>0.147</v>
      </c>
      <c r="Q107" s="91" t="n">
        <v>66931</v>
      </c>
      <c r="R107" s="87" t="n">
        <v>4000</v>
      </c>
      <c r="S107" s="38" t="s">
        <v>370</v>
      </c>
      <c r="T107" s="104" t="n">
        <f aca="false">+I107*R107*I1</f>
        <v>17640</v>
      </c>
      <c r="U107" s="93"/>
      <c r="V107" s="95" t="n">
        <v>227996</v>
      </c>
      <c r="W107" s="95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13.5" hidden="false" customHeight="true" outlineLevel="0" collapsed="false">
      <c r="A108" s="38" t="s">
        <v>144</v>
      </c>
      <c r="B108" s="87" t="s">
        <v>134</v>
      </c>
      <c r="C108" s="87" t="s">
        <v>151</v>
      </c>
      <c r="D108" s="88" t="n">
        <v>36617</v>
      </c>
      <c r="E108" s="88" t="n">
        <v>36830</v>
      </c>
      <c r="F108" s="38" t="s">
        <v>371</v>
      </c>
      <c r="G108" s="38" t="s">
        <v>372</v>
      </c>
      <c r="H108" s="87" t="s">
        <v>373</v>
      </c>
      <c r="I108" s="75" t="n">
        <v>1.5286</v>
      </c>
      <c r="J108" s="89"/>
      <c r="K108" s="89"/>
      <c r="L108" s="89"/>
      <c r="M108" s="89"/>
      <c r="N108" s="89"/>
      <c r="O108" s="139"/>
      <c r="P108" s="89"/>
      <c r="Q108" s="91" t="n">
        <v>66965</v>
      </c>
      <c r="R108" s="87" t="n">
        <v>20000</v>
      </c>
      <c r="S108" s="38" t="s">
        <v>374</v>
      </c>
      <c r="T108" s="104" t="n">
        <f aca="false">+I108*R108</f>
        <v>30572</v>
      </c>
      <c r="U108" s="93"/>
      <c r="V108" s="95" t="n">
        <v>229727</v>
      </c>
      <c r="W108" s="95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13.5" hidden="false" customHeight="true" outlineLevel="0" collapsed="false">
      <c r="A109" s="38" t="s">
        <v>52</v>
      </c>
      <c r="B109" s="87" t="s">
        <v>134</v>
      </c>
      <c r="C109" s="87" t="s">
        <v>151</v>
      </c>
      <c r="D109" s="88" t="n">
        <v>36617</v>
      </c>
      <c r="E109" s="88" t="n">
        <v>36981</v>
      </c>
      <c r="F109" s="38" t="s">
        <v>364</v>
      </c>
      <c r="G109" s="38" t="s">
        <v>375</v>
      </c>
      <c r="H109" s="87" t="s">
        <v>376</v>
      </c>
      <c r="I109" s="75" t="n">
        <f aca="false">6.201/I1</f>
        <v>0.2067</v>
      </c>
      <c r="J109" s="89"/>
      <c r="K109" s="89"/>
      <c r="L109" s="89"/>
      <c r="M109" s="89"/>
      <c r="N109" s="89"/>
      <c r="O109" s="139"/>
      <c r="P109" s="89" t="n">
        <f aca="false">SUM(I109:N109)</f>
        <v>0.2067</v>
      </c>
      <c r="Q109" s="91" t="n">
        <v>66932</v>
      </c>
      <c r="R109" s="87" t="n">
        <v>4000</v>
      </c>
      <c r="S109" s="38" t="s">
        <v>377</v>
      </c>
      <c r="T109" s="104" t="n">
        <f aca="false">+I109*R109*I1</f>
        <v>24804</v>
      </c>
      <c r="U109" s="93"/>
      <c r="V109" s="95" t="n">
        <v>228003</v>
      </c>
      <c r="W109" s="95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12.75" hidden="false" customHeight="false" outlineLevel="0" collapsed="false">
      <c r="A110" s="56" t="s">
        <v>1</v>
      </c>
      <c r="B110" s="58" t="s">
        <v>1</v>
      </c>
      <c r="C110" s="58" t="s">
        <v>1</v>
      </c>
      <c r="D110" s="59" t="s">
        <v>1</v>
      </c>
      <c r="E110" s="59" t="s">
        <v>1</v>
      </c>
      <c r="F110" s="56" t="s">
        <v>1</v>
      </c>
      <c r="G110" s="56" t="s">
        <v>1</v>
      </c>
      <c r="H110" s="58" t="s">
        <v>1</v>
      </c>
      <c r="I110" s="61"/>
      <c r="J110" s="62"/>
      <c r="K110" s="62"/>
      <c r="L110" s="62"/>
      <c r="M110" s="62"/>
      <c r="N110" s="62"/>
      <c r="O110" s="163"/>
      <c r="P110" s="62"/>
      <c r="Q110" s="164" t="s">
        <v>1</v>
      </c>
      <c r="R110" s="58" t="s">
        <v>1</v>
      </c>
      <c r="S110" s="56" t="s">
        <v>1</v>
      </c>
      <c r="T110" s="165" t="n">
        <f aca="false">SUM(T103:T109)</f>
        <v>108656</v>
      </c>
      <c r="U110" s="67" t="n">
        <f aca="false">SUM(U103)</f>
        <v>0</v>
      </c>
      <c r="V110" s="24"/>
      <c r="W110" s="24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16" t="s">
        <v>108</v>
      </c>
      <c r="B111" s="117" t="s">
        <v>109</v>
      </c>
      <c r="C111" s="117" t="s">
        <v>110</v>
      </c>
      <c r="D111" s="118" t="s">
        <v>111</v>
      </c>
      <c r="E111" s="118"/>
      <c r="F111" s="116" t="s">
        <v>112</v>
      </c>
      <c r="G111" s="116" t="s">
        <v>113</v>
      </c>
      <c r="H111" s="117" t="s">
        <v>114</v>
      </c>
      <c r="I111" s="119" t="s">
        <v>115</v>
      </c>
      <c r="J111" s="117" t="s">
        <v>116</v>
      </c>
      <c r="K111" s="117" t="s">
        <v>117</v>
      </c>
      <c r="L111" s="117" t="s">
        <v>118</v>
      </c>
      <c r="M111" s="117" t="s">
        <v>119</v>
      </c>
      <c r="N111" s="117" t="s">
        <v>211</v>
      </c>
      <c r="O111" s="120" t="s">
        <v>120</v>
      </c>
      <c r="P111" s="117" t="s">
        <v>121</v>
      </c>
      <c r="Q111" s="121" t="s">
        <v>122</v>
      </c>
      <c r="R111" s="117" t="s">
        <v>123</v>
      </c>
      <c r="S111" s="116" t="s">
        <v>124</v>
      </c>
      <c r="T111" s="122" t="s">
        <v>212</v>
      </c>
      <c r="U111" s="123" t="s">
        <v>213</v>
      </c>
      <c r="V111" s="24"/>
      <c r="W111" s="24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12.75" hidden="false" customHeight="false" outlineLevel="0" collapsed="false">
      <c r="A112" s="15" t="s">
        <v>52</v>
      </c>
      <c r="B112" s="16" t="s">
        <v>378</v>
      </c>
      <c r="C112" s="16" t="s">
        <v>378</v>
      </c>
      <c r="D112" s="17" t="n">
        <v>36100</v>
      </c>
      <c r="E112" s="17" t="n">
        <v>39022</v>
      </c>
      <c r="F112" s="15" t="n">
        <v>1</v>
      </c>
      <c r="G112" s="15" t="n">
        <v>2</v>
      </c>
      <c r="H112" s="16" t="s">
        <v>231</v>
      </c>
      <c r="I112" s="19" t="n">
        <f aca="false">(14.1123+0.2)/I$1</f>
        <v>0.477076666666667</v>
      </c>
      <c r="J112" s="20" t="n">
        <v>0.0054</v>
      </c>
      <c r="K112" s="20" t="n">
        <v>0.0022</v>
      </c>
      <c r="L112" s="20" t="n">
        <v>0.0075</v>
      </c>
      <c r="M112" s="20" t="n">
        <v>0.0012</v>
      </c>
      <c r="N112" s="20" t="n">
        <f aca="false">+O112*2.3</f>
        <v>0.0161</v>
      </c>
      <c r="O112" s="21" t="n">
        <v>0.007</v>
      </c>
      <c r="P112" s="20" t="n">
        <f aca="false">SUM(I112:N112)</f>
        <v>0.509476666666667</v>
      </c>
      <c r="Q112" s="22" t="s">
        <v>379</v>
      </c>
      <c r="R112" s="16" t="n">
        <v>2017</v>
      </c>
      <c r="S112" s="15" t="s">
        <v>380</v>
      </c>
      <c r="T112" s="153" t="n">
        <f aca="false">I112*I$1*R112</f>
        <v>28867.9091</v>
      </c>
      <c r="U112" s="23"/>
      <c r="V112" s="24" t="n">
        <v>77758</v>
      </c>
      <c r="W112" s="24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5" t="s">
        <v>52</v>
      </c>
      <c r="B113" s="16" t="s">
        <v>378</v>
      </c>
      <c r="C113" s="16" t="s">
        <v>279</v>
      </c>
      <c r="D113" s="17" t="n">
        <v>36100</v>
      </c>
      <c r="E113" s="17" t="n">
        <v>39539</v>
      </c>
      <c r="F113" s="15" t="s">
        <v>381</v>
      </c>
      <c r="G113" s="15" t="s">
        <v>382</v>
      </c>
      <c r="H113" s="16" t="s">
        <v>1</v>
      </c>
      <c r="I113" s="19" t="n">
        <f aca="false">(8.5058)/I$1</f>
        <v>0.283526666666667</v>
      </c>
      <c r="J113" s="20" t="n">
        <v>0.003</v>
      </c>
      <c r="K113" s="20" t="n">
        <v>0.0022</v>
      </c>
      <c r="L113" s="20" t="n">
        <v>0</v>
      </c>
      <c r="M113" s="20" t="n">
        <v>0.0007</v>
      </c>
      <c r="N113" s="20" t="n">
        <f aca="false">+O113*2.3</f>
        <v>0</v>
      </c>
      <c r="O113" s="21" t="n">
        <v>0</v>
      </c>
      <c r="P113" s="20" t="n">
        <f aca="false">SUM(I113:N113)</f>
        <v>0.289426666666667</v>
      </c>
      <c r="Q113" s="22" t="s">
        <v>383</v>
      </c>
      <c r="R113" s="16" t="n">
        <v>35465</v>
      </c>
      <c r="S113" s="15" t="s">
        <v>384</v>
      </c>
      <c r="T113" s="153" t="n">
        <f aca="false">I113*I$1*R113</f>
        <v>301658.197</v>
      </c>
      <c r="U113" s="23"/>
      <c r="V113" s="24" t="n">
        <v>77729</v>
      </c>
      <c r="W113" s="24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2.75" hidden="false" customHeight="false" outlineLevel="0" collapsed="false">
      <c r="A114" s="15"/>
      <c r="B114" s="16"/>
      <c r="C114" s="16"/>
      <c r="D114" s="17"/>
      <c r="E114" s="17"/>
      <c r="F114" s="15"/>
      <c r="G114" s="15"/>
      <c r="H114" s="16"/>
      <c r="I114" s="19"/>
      <c r="J114" s="20"/>
      <c r="K114" s="20"/>
      <c r="L114" s="20"/>
      <c r="M114" s="20"/>
      <c r="N114" s="20"/>
      <c r="O114" s="21"/>
      <c r="P114" s="20"/>
      <c r="Q114" s="22"/>
      <c r="R114" s="16"/>
      <c r="S114" s="15"/>
      <c r="T114" s="153" t="n">
        <f aca="false">SUM(T112:T113)</f>
        <v>330526.1061</v>
      </c>
      <c r="U114" s="23" t="n">
        <f aca="false">SUM(U112:U113)</f>
        <v>0</v>
      </c>
      <c r="V114" s="24"/>
      <c r="W114" s="24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false" customHeight="false" outlineLevel="0" collapsed="false">
      <c r="A115" s="116" t="s">
        <v>108</v>
      </c>
      <c r="B115" s="117" t="s">
        <v>109</v>
      </c>
      <c r="C115" s="117" t="s">
        <v>110</v>
      </c>
      <c r="D115" s="118" t="s">
        <v>111</v>
      </c>
      <c r="E115" s="118"/>
      <c r="F115" s="116" t="s">
        <v>112</v>
      </c>
      <c r="G115" s="116" t="s">
        <v>113</v>
      </c>
      <c r="H115" s="117" t="s">
        <v>114</v>
      </c>
      <c r="I115" s="119" t="s">
        <v>115</v>
      </c>
      <c r="J115" s="117" t="s">
        <v>116</v>
      </c>
      <c r="K115" s="117" t="s">
        <v>117</v>
      </c>
      <c r="L115" s="117" t="s">
        <v>118</v>
      </c>
      <c r="M115" s="117" t="s">
        <v>119</v>
      </c>
      <c r="N115" s="117" t="s">
        <v>211</v>
      </c>
      <c r="O115" s="120" t="s">
        <v>120</v>
      </c>
      <c r="P115" s="117" t="s">
        <v>121</v>
      </c>
      <c r="Q115" s="121" t="s">
        <v>122</v>
      </c>
      <c r="R115" s="117" t="s">
        <v>123</v>
      </c>
      <c r="S115" s="116" t="s">
        <v>124</v>
      </c>
      <c r="T115" s="122" t="s">
        <v>212</v>
      </c>
      <c r="U115" s="123" t="s">
        <v>213</v>
      </c>
      <c r="V115" s="24"/>
      <c r="W115" s="24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false" customHeight="false" outlineLevel="0" collapsed="false">
      <c r="A116" s="38" t="s">
        <v>52</v>
      </c>
      <c r="B116" s="87" t="s">
        <v>48</v>
      </c>
      <c r="C116" s="87" t="s">
        <v>242</v>
      </c>
      <c r="D116" s="88" t="n">
        <v>36617</v>
      </c>
      <c r="E116" s="88" t="n">
        <v>36830</v>
      </c>
      <c r="F116" s="38" t="s">
        <v>385</v>
      </c>
      <c r="G116" s="38" t="s">
        <v>242</v>
      </c>
      <c r="H116" s="87" t="s">
        <v>231</v>
      </c>
      <c r="I116" s="75" t="n">
        <f aca="false">0.988/I$1</f>
        <v>0.0329333333333333</v>
      </c>
      <c r="J116" s="89" t="n">
        <v>0.0054</v>
      </c>
      <c r="K116" s="89" t="n">
        <v>0.0022</v>
      </c>
      <c r="L116" s="89" t="n">
        <v>0.0075</v>
      </c>
      <c r="M116" s="89" t="n">
        <v>0.0012</v>
      </c>
      <c r="N116" s="89" t="n">
        <f aca="false">+O116*2.3</f>
        <v>0.0161</v>
      </c>
      <c r="O116" s="139" t="n">
        <v>0.007</v>
      </c>
      <c r="P116" s="89" t="n">
        <f aca="false">SUM(I116:N116)</f>
        <v>0.0653333333333333</v>
      </c>
      <c r="Q116" s="91" t="s">
        <v>386</v>
      </c>
      <c r="R116" s="87" t="n">
        <v>15000</v>
      </c>
      <c r="S116" s="38" t="s">
        <v>387</v>
      </c>
      <c r="T116" s="104" t="n">
        <f aca="false">I116*I$1*R116</f>
        <v>14820</v>
      </c>
      <c r="U116" s="93"/>
      <c r="V116" s="95" t="n">
        <v>229957</v>
      </c>
      <c r="W116" s="95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2.75" hidden="false" customHeight="false" outlineLevel="0" collapsed="false">
      <c r="A117" s="38" t="s">
        <v>52</v>
      </c>
      <c r="B117" s="87" t="s">
        <v>48</v>
      </c>
      <c r="C117" s="87" t="s">
        <v>242</v>
      </c>
      <c r="D117" s="88" t="n">
        <v>36617</v>
      </c>
      <c r="E117" s="88" t="n">
        <v>36830</v>
      </c>
      <c r="F117" s="38" t="s">
        <v>388</v>
      </c>
      <c r="G117" s="38" t="s">
        <v>242</v>
      </c>
      <c r="H117" s="87" t="s">
        <v>231</v>
      </c>
      <c r="I117" s="75" t="n">
        <f aca="false">0.912/I$1</f>
        <v>0.0304</v>
      </c>
      <c r="J117" s="89" t="n">
        <v>0.0054</v>
      </c>
      <c r="K117" s="89" t="n">
        <v>0.0022</v>
      </c>
      <c r="L117" s="89" t="n">
        <v>0.0075</v>
      </c>
      <c r="M117" s="89" t="n">
        <v>0.0012</v>
      </c>
      <c r="N117" s="89" t="n">
        <f aca="false">+O117*2.3</f>
        <v>0.0161</v>
      </c>
      <c r="O117" s="139" t="n">
        <v>0.007</v>
      </c>
      <c r="P117" s="89" t="n">
        <f aca="false">SUM(I117:N117)</f>
        <v>0.0628</v>
      </c>
      <c r="Q117" s="91" t="s">
        <v>389</v>
      </c>
      <c r="R117" s="87" t="n">
        <v>4003</v>
      </c>
      <c r="S117" s="38" t="s">
        <v>390</v>
      </c>
      <c r="T117" s="104" t="n">
        <f aca="false">I117*I$1*R117</f>
        <v>3650.736</v>
      </c>
      <c r="U117" s="93"/>
      <c r="V117" s="95" t="n">
        <v>233047</v>
      </c>
      <c r="W117" s="95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2.75" hidden="false" customHeight="false" outlineLevel="0" collapsed="false">
      <c r="A118" s="38" t="s">
        <v>52</v>
      </c>
      <c r="B118" s="87" t="s">
        <v>48</v>
      </c>
      <c r="C118" s="87" t="s">
        <v>242</v>
      </c>
      <c r="D118" s="88" t="n">
        <v>36617</v>
      </c>
      <c r="E118" s="88" t="n">
        <v>36830</v>
      </c>
      <c r="F118" s="38" t="s">
        <v>391</v>
      </c>
      <c r="G118" s="38" t="s">
        <v>242</v>
      </c>
      <c r="H118" s="87" t="s">
        <v>231</v>
      </c>
      <c r="I118" s="75" t="n">
        <f aca="false">0.912/I$1</f>
        <v>0.0304</v>
      </c>
      <c r="J118" s="89" t="n">
        <v>0.0054</v>
      </c>
      <c r="K118" s="89" t="n">
        <v>0.0022</v>
      </c>
      <c r="L118" s="89" t="n">
        <v>0.0075</v>
      </c>
      <c r="M118" s="89" t="n">
        <v>0.0012</v>
      </c>
      <c r="N118" s="89" t="n">
        <f aca="false">+O118*2.3</f>
        <v>0.0161</v>
      </c>
      <c r="O118" s="139" t="n">
        <v>0.007</v>
      </c>
      <c r="P118" s="89" t="n">
        <f aca="false">SUM(I118:N118)</f>
        <v>0.0628</v>
      </c>
      <c r="Q118" s="91" t="s">
        <v>389</v>
      </c>
      <c r="R118" s="87" t="n">
        <v>383</v>
      </c>
      <c r="S118" s="38" t="s">
        <v>390</v>
      </c>
      <c r="T118" s="104" t="n">
        <f aca="false">I118*I$1*R118</f>
        <v>349.296</v>
      </c>
      <c r="U118" s="93"/>
      <c r="V118" s="95" t="n">
        <v>233047</v>
      </c>
      <c r="W118" s="95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2.75" hidden="false" customHeight="false" outlineLevel="0" collapsed="false">
      <c r="A119" s="38" t="n">
        <v>0.5322</v>
      </c>
      <c r="B119" s="87" t="s">
        <v>48</v>
      </c>
      <c r="C119" s="87" t="s">
        <v>392</v>
      </c>
      <c r="D119" s="88" t="n">
        <v>36617</v>
      </c>
      <c r="E119" s="88" t="n">
        <v>36830</v>
      </c>
      <c r="F119" s="38" t="s">
        <v>388</v>
      </c>
      <c r="G119" s="38" t="s">
        <v>393</v>
      </c>
      <c r="H119" s="87" t="s">
        <v>231</v>
      </c>
      <c r="I119" s="75" t="n">
        <f aca="false">0.608/I$1</f>
        <v>0.0202666666666667</v>
      </c>
      <c r="J119" s="89" t="n">
        <v>0.0054</v>
      </c>
      <c r="K119" s="89" t="n">
        <v>0.0022</v>
      </c>
      <c r="L119" s="89" t="n">
        <v>0.0075</v>
      </c>
      <c r="M119" s="89" t="n">
        <v>0.0012</v>
      </c>
      <c r="N119" s="89" t="n">
        <f aca="false">+O119*2.3</f>
        <v>0.0161</v>
      </c>
      <c r="O119" s="139" t="n">
        <v>0.007</v>
      </c>
      <c r="P119" s="89" t="n">
        <f aca="false">SUM(I119:N119)</f>
        <v>0.0526666666666667</v>
      </c>
      <c r="Q119" s="91" t="s">
        <v>394</v>
      </c>
      <c r="R119" s="87" t="n">
        <v>3947</v>
      </c>
      <c r="S119" s="38" t="s">
        <v>395</v>
      </c>
      <c r="T119" s="104" t="n">
        <f aca="false">I119*I$1*R119</f>
        <v>2399.776</v>
      </c>
      <c r="U119" s="93"/>
      <c r="V119" s="95" t="n">
        <v>231229</v>
      </c>
      <c r="W119" s="95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2.75" hidden="false" customHeight="false" outlineLevel="0" collapsed="false">
      <c r="A120" s="15" t="s">
        <v>308</v>
      </c>
      <c r="B120" s="16" t="s">
        <v>48</v>
      </c>
      <c r="C120" s="16" t="s">
        <v>378</v>
      </c>
      <c r="D120" s="17" t="n">
        <v>36466</v>
      </c>
      <c r="E120" s="17" t="n">
        <v>36495</v>
      </c>
      <c r="F120" s="15" t="s">
        <v>396</v>
      </c>
      <c r="G120" s="15" t="s">
        <v>397</v>
      </c>
      <c r="H120" s="16" t="s">
        <v>1</v>
      </c>
      <c r="I120" s="19" t="n">
        <v>0</v>
      </c>
      <c r="J120" s="20" t="n">
        <v>0.15</v>
      </c>
      <c r="K120" s="20" t="n">
        <v>0.0022</v>
      </c>
      <c r="L120" s="20" t="n">
        <v>0</v>
      </c>
      <c r="M120" s="20" t="n">
        <v>0.0012</v>
      </c>
      <c r="N120" s="20" t="n">
        <f aca="false">+O120*2.43</f>
        <v>0.055404</v>
      </c>
      <c r="O120" s="21" t="n">
        <v>0.0228</v>
      </c>
      <c r="P120" s="20" t="n">
        <f aca="false">SUM(I120:N120)</f>
        <v>0.208804</v>
      </c>
      <c r="Q120" s="22" t="s">
        <v>398</v>
      </c>
      <c r="R120" s="16" t="n">
        <v>12000</v>
      </c>
      <c r="S120" s="15" t="s">
        <v>399</v>
      </c>
      <c r="T120" s="153" t="n">
        <f aca="false">I120*I$1*R120</f>
        <v>0</v>
      </c>
      <c r="U120" s="23"/>
      <c r="V120" s="24"/>
      <c r="W120" s="24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15"/>
      <c r="B121" s="16"/>
      <c r="C121" s="16"/>
      <c r="D121" s="17"/>
      <c r="E121" s="17"/>
      <c r="F121" s="15"/>
      <c r="G121" s="15"/>
      <c r="H121" s="16"/>
      <c r="I121" s="19"/>
      <c r="J121" s="20"/>
      <c r="K121" s="20"/>
      <c r="L121" s="20"/>
      <c r="M121" s="20"/>
      <c r="N121" s="20"/>
      <c r="O121" s="21"/>
      <c r="P121" s="20"/>
      <c r="Q121" s="22"/>
      <c r="R121" s="16"/>
      <c r="S121" s="15"/>
      <c r="T121" s="153" t="n">
        <f aca="false">SUM(T116:T120)</f>
        <v>21219.808</v>
      </c>
      <c r="U121" s="23"/>
      <c r="V121" s="24"/>
      <c r="W121" s="24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116" t="s">
        <v>108</v>
      </c>
      <c r="B122" s="117" t="s">
        <v>109</v>
      </c>
      <c r="C122" s="117" t="s">
        <v>110</v>
      </c>
      <c r="D122" s="118" t="s">
        <v>111</v>
      </c>
      <c r="E122" s="118"/>
      <c r="F122" s="116" t="s">
        <v>112</v>
      </c>
      <c r="G122" s="116" t="s">
        <v>113</v>
      </c>
      <c r="H122" s="117" t="s">
        <v>114</v>
      </c>
      <c r="I122" s="119" t="s">
        <v>115</v>
      </c>
      <c r="J122" s="117" t="s">
        <v>116</v>
      </c>
      <c r="K122" s="117" t="s">
        <v>117</v>
      </c>
      <c r="L122" s="117" t="s">
        <v>118</v>
      </c>
      <c r="M122" s="117" t="s">
        <v>119</v>
      </c>
      <c r="N122" s="117" t="s">
        <v>211</v>
      </c>
      <c r="O122" s="120" t="s">
        <v>120</v>
      </c>
      <c r="P122" s="117" t="s">
        <v>121</v>
      </c>
      <c r="Q122" s="121" t="s">
        <v>122</v>
      </c>
      <c r="R122" s="117" t="s">
        <v>123</v>
      </c>
      <c r="S122" s="116" t="s">
        <v>124</v>
      </c>
      <c r="T122" s="122" t="s">
        <v>212</v>
      </c>
      <c r="U122" s="123" t="s">
        <v>213</v>
      </c>
      <c r="V122" s="24"/>
      <c r="W122" s="24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15" t="s">
        <v>52</v>
      </c>
      <c r="B123" s="16" t="s">
        <v>400</v>
      </c>
      <c r="C123" s="16" t="s">
        <v>347</v>
      </c>
      <c r="D123" s="17" t="n">
        <v>36100</v>
      </c>
      <c r="E123" s="17" t="n">
        <v>39387</v>
      </c>
      <c r="F123" s="15" t="s">
        <v>401</v>
      </c>
      <c r="G123" s="15" t="s">
        <v>397</v>
      </c>
      <c r="H123" s="16" t="s">
        <v>1</v>
      </c>
      <c r="I123" s="20" t="n">
        <f aca="false">6.1038/I$1</f>
        <v>0.20346</v>
      </c>
      <c r="J123" s="20" t="n">
        <v>0.0013</v>
      </c>
      <c r="K123" s="20" t="n">
        <v>0.0022</v>
      </c>
      <c r="L123" s="20" t="n">
        <v>0</v>
      </c>
      <c r="M123" s="20" t="n">
        <v>0</v>
      </c>
      <c r="N123" s="20" t="n">
        <f aca="false">+O123*2.02</f>
        <v>0.0404</v>
      </c>
      <c r="O123" s="21" t="n">
        <v>0.02</v>
      </c>
      <c r="P123" s="20" t="n">
        <f aca="false">SUM(I123:N123)</f>
        <v>0.24736</v>
      </c>
      <c r="Q123" s="22" t="s">
        <v>402</v>
      </c>
      <c r="R123" s="16" t="n">
        <v>117</v>
      </c>
      <c r="S123" s="15" t="s">
        <v>403</v>
      </c>
      <c r="T123" s="158" t="n">
        <f aca="false">I123*I$1*R123</f>
        <v>714.1446</v>
      </c>
      <c r="U123" s="105"/>
      <c r="V123" s="24" t="n">
        <v>79923</v>
      </c>
      <c r="W123" s="24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15" t="s">
        <v>52</v>
      </c>
      <c r="B124" s="16" t="s">
        <v>400</v>
      </c>
      <c r="C124" s="16" t="s">
        <v>347</v>
      </c>
      <c r="D124" s="17" t="n">
        <v>36465</v>
      </c>
      <c r="E124" s="17" t="n">
        <v>36831</v>
      </c>
      <c r="F124" s="15" t="s">
        <v>401</v>
      </c>
      <c r="G124" s="15" t="s">
        <v>397</v>
      </c>
      <c r="H124" s="16" t="s">
        <v>1</v>
      </c>
      <c r="I124" s="20" t="n">
        <f aca="false">6.1038/I$1</f>
        <v>0.20346</v>
      </c>
      <c r="J124" s="20" t="n">
        <v>0.0013</v>
      </c>
      <c r="K124" s="20" t="n">
        <v>0.0022</v>
      </c>
      <c r="L124" s="20" t="n">
        <v>0</v>
      </c>
      <c r="M124" s="20" t="n">
        <v>0</v>
      </c>
      <c r="N124" s="20" t="n">
        <f aca="false">+O124*2.02</f>
        <v>0.0404</v>
      </c>
      <c r="O124" s="21" t="n">
        <v>0.02</v>
      </c>
      <c r="P124" s="20" t="n">
        <f aca="false">SUM(I124:N124)</f>
        <v>0.24736</v>
      </c>
      <c r="Q124" s="22" t="s">
        <v>404</v>
      </c>
      <c r="R124" s="16" t="n">
        <v>9005</v>
      </c>
      <c r="S124" s="15" t="s">
        <v>403</v>
      </c>
      <c r="T124" s="158" t="n">
        <f aca="false">I124*I$1*R124</f>
        <v>54964.719</v>
      </c>
      <c r="U124" s="105"/>
      <c r="V124" s="24"/>
      <c r="W124" s="24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12.75" hidden="false" customHeight="false" outlineLevel="0" collapsed="false">
      <c r="A125" s="15"/>
      <c r="B125" s="16"/>
      <c r="C125" s="16"/>
      <c r="D125" s="17"/>
      <c r="E125" s="17"/>
      <c r="F125" s="15"/>
      <c r="G125" s="15"/>
      <c r="H125" s="16"/>
      <c r="I125" s="19"/>
      <c r="J125" s="20"/>
      <c r="K125" s="20"/>
      <c r="L125" s="20"/>
      <c r="M125" s="20"/>
      <c r="N125" s="20"/>
      <c r="O125" s="21"/>
      <c r="P125" s="20"/>
      <c r="Q125" s="22"/>
      <c r="R125" s="16"/>
      <c r="S125" s="15"/>
      <c r="T125" s="153" t="n">
        <f aca="false">SUM(T123:T124)</f>
        <v>55678.8636</v>
      </c>
      <c r="U125" s="23" t="n">
        <f aca="false">SUM(U123:U124)</f>
        <v>0</v>
      </c>
      <c r="V125" s="24"/>
      <c r="W125" s="24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15"/>
      <c r="B126" s="16"/>
      <c r="C126" s="16"/>
      <c r="D126" s="17"/>
      <c r="E126" s="17"/>
      <c r="F126" s="15"/>
      <c r="G126" s="15"/>
      <c r="H126" s="16"/>
      <c r="I126" s="19"/>
      <c r="J126" s="20"/>
      <c r="K126" s="20"/>
      <c r="L126" s="20"/>
      <c r="M126" s="20"/>
      <c r="N126" s="20"/>
      <c r="O126" s="21"/>
      <c r="P126" s="20"/>
      <c r="Q126" s="22"/>
      <c r="R126" s="16"/>
      <c r="S126" s="15"/>
      <c r="T126" s="153"/>
      <c r="U126" s="23"/>
      <c r="V126" s="24"/>
      <c r="W126" s="24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12.75" hidden="false" customHeight="false" outlineLevel="0" collapsed="false">
      <c r="A127" s="116" t="s">
        <v>108</v>
      </c>
      <c r="B127" s="117" t="s">
        <v>109</v>
      </c>
      <c r="C127" s="117" t="s">
        <v>110</v>
      </c>
      <c r="D127" s="118" t="s">
        <v>111</v>
      </c>
      <c r="E127" s="118"/>
      <c r="F127" s="116" t="s">
        <v>112</v>
      </c>
      <c r="G127" s="116" t="s">
        <v>113</v>
      </c>
      <c r="H127" s="117" t="s">
        <v>114</v>
      </c>
      <c r="I127" s="119" t="s">
        <v>115</v>
      </c>
      <c r="J127" s="117" t="s">
        <v>116</v>
      </c>
      <c r="K127" s="117" t="s">
        <v>117</v>
      </c>
      <c r="L127" s="117" t="s">
        <v>118</v>
      </c>
      <c r="M127" s="117" t="s">
        <v>119</v>
      </c>
      <c r="N127" s="117" t="s">
        <v>211</v>
      </c>
      <c r="O127" s="120" t="s">
        <v>120</v>
      </c>
      <c r="P127" s="117" t="s">
        <v>121</v>
      </c>
      <c r="Q127" s="121" t="s">
        <v>122</v>
      </c>
      <c r="R127" s="117" t="s">
        <v>123</v>
      </c>
      <c r="S127" s="116" t="s">
        <v>124</v>
      </c>
      <c r="T127" s="122" t="s">
        <v>212</v>
      </c>
      <c r="U127" s="123" t="s">
        <v>213</v>
      </c>
      <c r="V127" s="24"/>
      <c r="W127" s="24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2.75" hidden="false" customHeight="false" outlineLevel="0" collapsed="false">
      <c r="A128" s="15" t="s">
        <v>52</v>
      </c>
      <c r="B128" s="16" t="s">
        <v>405</v>
      </c>
      <c r="C128" s="16" t="s">
        <v>347</v>
      </c>
      <c r="D128" s="17" t="n">
        <v>36281</v>
      </c>
      <c r="E128" s="17" t="n">
        <v>36831</v>
      </c>
      <c r="F128" s="15" t="s">
        <v>406</v>
      </c>
      <c r="G128" s="15" t="s">
        <v>407</v>
      </c>
      <c r="H128" s="16" t="s">
        <v>1</v>
      </c>
      <c r="I128" s="20" t="n">
        <v>0.039</v>
      </c>
      <c r="J128" s="20" t="n">
        <v>0.003</v>
      </c>
      <c r="K128" s="20" t="n">
        <v>0.0022</v>
      </c>
      <c r="L128" s="20" t="n">
        <v>0</v>
      </c>
      <c r="M128" s="20" t="n">
        <v>0</v>
      </c>
      <c r="N128" s="20" t="n">
        <f aca="false">+O128*2.02</f>
        <v>0</v>
      </c>
      <c r="O128" s="21" t="n">
        <v>0</v>
      </c>
      <c r="P128" s="20" t="n">
        <f aca="false">SUM(I128:N128)</f>
        <v>0.0442</v>
      </c>
      <c r="Q128" s="22" t="n">
        <v>105431</v>
      </c>
      <c r="R128" s="16" t="n">
        <v>5000</v>
      </c>
      <c r="S128" s="15" t="s">
        <v>408</v>
      </c>
      <c r="T128" s="158" t="n">
        <f aca="false">I128*I$1*R128</f>
        <v>5850</v>
      </c>
      <c r="U128" s="105"/>
      <c r="V128" s="24" t="n">
        <v>93729</v>
      </c>
      <c r="W128" s="24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2.75" hidden="false" customHeight="false" outlineLevel="0" collapsed="false">
      <c r="A129" s="15"/>
      <c r="B129" s="16"/>
      <c r="C129" s="16"/>
      <c r="D129" s="17"/>
      <c r="E129" s="17"/>
      <c r="F129" s="15"/>
      <c r="G129" s="15"/>
      <c r="H129" s="16"/>
      <c r="I129" s="19"/>
      <c r="J129" s="20"/>
      <c r="K129" s="68"/>
      <c r="L129" s="20"/>
      <c r="M129" s="20"/>
      <c r="N129" s="20"/>
      <c r="O129" s="21"/>
      <c r="P129" s="20"/>
      <c r="Q129" s="22"/>
      <c r="R129" s="16"/>
      <c r="S129" s="16"/>
      <c r="T129" s="181" t="n">
        <f aca="false">SUM(T128)</f>
        <v>5850</v>
      </c>
      <c r="U129" s="182" t="n">
        <f aca="false">SUM(U128)</f>
        <v>0</v>
      </c>
      <c r="V129" s="24"/>
      <c r="W129" s="24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2.75" hidden="false" customHeight="false" outlineLevel="0" collapsed="false">
      <c r="A130" s="15"/>
      <c r="B130" s="16"/>
      <c r="C130" s="16"/>
      <c r="D130" s="17"/>
      <c r="E130" s="17"/>
      <c r="F130" s="15"/>
      <c r="G130" s="15"/>
      <c r="H130" s="16"/>
      <c r="I130" s="19"/>
      <c r="J130" s="20"/>
      <c r="K130" s="68"/>
      <c r="L130" s="20"/>
      <c r="M130" s="20"/>
      <c r="N130" s="20"/>
      <c r="O130" s="21"/>
      <c r="P130" s="20"/>
      <c r="Q130" s="22"/>
      <c r="R130" s="16"/>
      <c r="S130" s="16"/>
      <c r="T130" s="153"/>
      <c r="U130" s="23"/>
      <c r="V130" s="24"/>
      <c r="W130" s="24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false" customHeight="false" outlineLevel="0" collapsed="false">
      <c r="A131" s="116" t="s">
        <v>108</v>
      </c>
      <c r="B131" s="117" t="s">
        <v>109</v>
      </c>
      <c r="C131" s="117" t="s">
        <v>110</v>
      </c>
      <c r="D131" s="118" t="s">
        <v>111</v>
      </c>
      <c r="E131" s="118"/>
      <c r="F131" s="116" t="s">
        <v>112</v>
      </c>
      <c r="G131" s="116" t="s">
        <v>113</v>
      </c>
      <c r="H131" s="117" t="s">
        <v>114</v>
      </c>
      <c r="I131" s="119" t="s">
        <v>115</v>
      </c>
      <c r="J131" s="117" t="s">
        <v>116</v>
      </c>
      <c r="K131" s="117" t="s">
        <v>117</v>
      </c>
      <c r="L131" s="117" t="s">
        <v>118</v>
      </c>
      <c r="M131" s="117" t="s">
        <v>119</v>
      </c>
      <c r="N131" s="117" t="s">
        <v>211</v>
      </c>
      <c r="O131" s="120" t="s">
        <v>120</v>
      </c>
      <c r="P131" s="117" t="s">
        <v>121</v>
      </c>
      <c r="Q131" s="121" t="s">
        <v>122</v>
      </c>
      <c r="R131" s="117" t="s">
        <v>123</v>
      </c>
      <c r="S131" s="116" t="s">
        <v>124</v>
      </c>
      <c r="T131" s="122" t="s">
        <v>212</v>
      </c>
      <c r="U131" s="123" t="s">
        <v>213</v>
      </c>
      <c r="V131" s="24"/>
      <c r="W131" s="24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13.5" hidden="false" customHeight="true" outlineLevel="0" collapsed="false">
      <c r="A132" s="15" t="s">
        <v>268</v>
      </c>
      <c r="B132" s="16" t="s">
        <v>409</v>
      </c>
      <c r="C132" s="16" t="s">
        <v>309</v>
      </c>
      <c r="D132" s="17" t="n">
        <v>36526</v>
      </c>
      <c r="E132" s="17" t="n">
        <v>36556</v>
      </c>
      <c r="F132" s="15" t="s">
        <v>294</v>
      </c>
      <c r="G132" s="15" t="s">
        <v>309</v>
      </c>
      <c r="H132" s="16"/>
      <c r="I132" s="19" t="n">
        <v>0.1275</v>
      </c>
      <c r="J132" s="20" t="n">
        <v>0</v>
      </c>
      <c r="K132" s="20" t="n">
        <v>0</v>
      </c>
      <c r="L132" s="20" t="n">
        <v>0</v>
      </c>
      <c r="M132" s="20" t="n">
        <v>0</v>
      </c>
      <c r="N132" s="20" t="n">
        <f aca="false">+O132*2.2</f>
        <v>0.0176</v>
      </c>
      <c r="O132" s="21" t="n">
        <v>0.008</v>
      </c>
      <c r="P132" s="20" t="n">
        <f aca="false">SUM(I132:N132)</f>
        <v>0.1451</v>
      </c>
      <c r="Q132" s="22" t="n">
        <v>6025</v>
      </c>
      <c r="R132" s="16" t="n">
        <v>4581</v>
      </c>
      <c r="S132" s="15"/>
      <c r="T132" s="158" t="n">
        <f aca="false">I132*I$1*R132</f>
        <v>17522.325</v>
      </c>
      <c r="U132" s="23"/>
      <c r="V132" s="24" t="n">
        <v>145032</v>
      </c>
      <c r="W132" s="24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.75" hidden="false" customHeight="false" outlineLevel="0" collapsed="false">
      <c r="A133" s="15" t="s">
        <v>268</v>
      </c>
      <c r="B133" s="16" t="s">
        <v>409</v>
      </c>
      <c r="C133" s="16" t="s">
        <v>309</v>
      </c>
      <c r="D133" s="17" t="n">
        <v>36526</v>
      </c>
      <c r="E133" s="17" t="n">
        <v>36556</v>
      </c>
      <c r="F133" s="15" t="s">
        <v>294</v>
      </c>
      <c r="G133" s="15" t="s">
        <v>309</v>
      </c>
      <c r="H133" s="16"/>
      <c r="I133" s="19" t="n">
        <v>0.1275</v>
      </c>
      <c r="J133" s="20" t="n">
        <v>0</v>
      </c>
      <c r="K133" s="20" t="n">
        <v>0</v>
      </c>
      <c r="L133" s="20" t="n">
        <v>0</v>
      </c>
      <c r="M133" s="20" t="n">
        <v>0</v>
      </c>
      <c r="N133" s="20" t="n">
        <f aca="false">+O133*2.2</f>
        <v>0.0176</v>
      </c>
      <c r="O133" s="21" t="n">
        <v>0.008</v>
      </c>
      <c r="P133" s="20" t="n">
        <f aca="false">SUM(I133:N133)</f>
        <v>0.1451</v>
      </c>
      <c r="Q133" s="22" t="n">
        <v>6041</v>
      </c>
      <c r="R133" s="16" t="n">
        <v>835</v>
      </c>
      <c r="S133" s="15"/>
      <c r="T133" s="158" t="n">
        <f aca="false">I133*I$1*R133</f>
        <v>3193.875</v>
      </c>
      <c r="U133" s="23"/>
      <c r="V133" s="24" t="n">
        <v>145036</v>
      </c>
      <c r="W133" s="24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2.75" hidden="false" customHeight="false" outlineLevel="0" collapsed="false">
      <c r="A134" s="15" t="s">
        <v>268</v>
      </c>
      <c r="B134" s="16" t="s">
        <v>409</v>
      </c>
      <c r="C134" s="16" t="s">
        <v>311</v>
      </c>
      <c r="D134" s="17" t="n">
        <v>36526</v>
      </c>
      <c r="E134" s="17" t="n">
        <v>36556</v>
      </c>
      <c r="F134" s="15" t="s">
        <v>294</v>
      </c>
      <c r="G134" s="15" t="s">
        <v>410</v>
      </c>
      <c r="H134" s="16"/>
      <c r="I134" s="19" t="n">
        <v>0.1275</v>
      </c>
      <c r="J134" s="20" t="n">
        <v>0</v>
      </c>
      <c r="K134" s="20" t="n">
        <v>0</v>
      </c>
      <c r="L134" s="20" t="n">
        <v>0</v>
      </c>
      <c r="M134" s="20" t="n">
        <v>0</v>
      </c>
      <c r="N134" s="20" t="n">
        <f aca="false">+O134*2.2</f>
        <v>0.0176</v>
      </c>
      <c r="O134" s="21" t="n">
        <v>0.008</v>
      </c>
      <c r="P134" s="20" t="n">
        <f aca="false">SUM(I134:N134)</f>
        <v>0.1451</v>
      </c>
      <c r="Q134" s="22" t="n">
        <v>6011</v>
      </c>
      <c r="R134" s="16" t="n">
        <v>500</v>
      </c>
      <c r="S134" s="15"/>
      <c r="T134" s="158" t="n">
        <f aca="false">I134*I$1*R134</f>
        <v>1912.5</v>
      </c>
      <c r="U134" s="23"/>
      <c r="V134" s="24" t="n">
        <v>145040</v>
      </c>
      <c r="W134" s="24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12.75" hidden="false" customHeight="false" outlineLevel="0" collapsed="false">
      <c r="A135" s="15" t="s">
        <v>268</v>
      </c>
      <c r="B135" s="16" t="s">
        <v>409</v>
      </c>
      <c r="C135" s="16" t="s">
        <v>314</v>
      </c>
      <c r="D135" s="17" t="n">
        <v>36526</v>
      </c>
      <c r="E135" s="17" t="n">
        <v>36556</v>
      </c>
      <c r="F135" s="15" t="s">
        <v>294</v>
      </c>
      <c r="G135" s="15" t="s">
        <v>314</v>
      </c>
      <c r="H135" s="16"/>
      <c r="I135" s="19" t="n">
        <v>0.1275</v>
      </c>
      <c r="J135" s="20" t="n">
        <v>0</v>
      </c>
      <c r="K135" s="20" t="n">
        <v>0</v>
      </c>
      <c r="L135" s="20" t="n">
        <v>0</v>
      </c>
      <c r="M135" s="20" t="n">
        <v>0</v>
      </c>
      <c r="N135" s="20" t="n">
        <f aca="false">+O135*2.2</f>
        <v>0.0176</v>
      </c>
      <c r="O135" s="21" t="n">
        <v>0.008</v>
      </c>
      <c r="P135" s="20" t="n">
        <f aca="false">SUM(I135:N135)</f>
        <v>0.1451</v>
      </c>
      <c r="Q135" s="22" t="n">
        <v>6500</v>
      </c>
      <c r="R135" s="16" t="n">
        <v>359</v>
      </c>
      <c r="S135" s="15"/>
      <c r="T135" s="158" t="n">
        <f aca="false">I135*I$1*R135</f>
        <v>1373.175</v>
      </c>
      <c r="U135" s="23"/>
      <c r="V135" s="24" t="n">
        <v>145042</v>
      </c>
      <c r="W135" s="24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false" customHeight="false" outlineLevel="0" collapsed="false">
      <c r="A136" s="15" t="s">
        <v>268</v>
      </c>
      <c r="B136" s="16" t="s">
        <v>409</v>
      </c>
      <c r="C136" s="16" t="s">
        <v>316</v>
      </c>
      <c r="D136" s="17" t="n">
        <v>36526</v>
      </c>
      <c r="E136" s="17" t="n">
        <v>36556</v>
      </c>
      <c r="F136" s="15" t="s">
        <v>294</v>
      </c>
      <c r="G136" s="15" t="s">
        <v>314</v>
      </c>
      <c r="H136" s="16"/>
      <c r="I136" s="19" t="n">
        <v>0.1275</v>
      </c>
      <c r="J136" s="20" t="n">
        <v>0</v>
      </c>
      <c r="K136" s="20" t="n">
        <v>0</v>
      </c>
      <c r="L136" s="20" t="n">
        <v>0</v>
      </c>
      <c r="M136" s="20" t="n">
        <v>0</v>
      </c>
      <c r="N136" s="20" t="n">
        <f aca="false">+O136*2.2</f>
        <v>0.0176</v>
      </c>
      <c r="O136" s="21" t="n">
        <v>0.008</v>
      </c>
      <c r="P136" s="20" t="n">
        <f aca="false">SUM(I136:N136)</f>
        <v>0.1451</v>
      </c>
      <c r="Q136" s="22" t="n">
        <v>6005</v>
      </c>
      <c r="R136" s="16" t="n">
        <v>1690</v>
      </c>
      <c r="S136" s="15"/>
      <c r="T136" s="158" t="n">
        <f aca="false">I136*I$1*R136</f>
        <v>6464.25</v>
      </c>
      <c r="U136" s="23"/>
      <c r="V136" s="24" t="n">
        <v>144644</v>
      </c>
      <c r="W136" s="24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2.75" hidden="false" customHeight="false" outlineLevel="0" collapsed="false">
      <c r="A137" s="15" t="s">
        <v>268</v>
      </c>
      <c r="B137" s="16" t="s">
        <v>409</v>
      </c>
      <c r="C137" s="16" t="s">
        <v>316</v>
      </c>
      <c r="D137" s="17" t="n">
        <v>36526</v>
      </c>
      <c r="E137" s="17" t="n">
        <v>36556</v>
      </c>
      <c r="F137" s="15" t="s">
        <v>294</v>
      </c>
      <c r="G137" s="15" t="s">
        <v>314</v>
      </c>
      <c r="H137" s="16"/>
      <c r="I137" s="19" t="n">
        <v>0.1275</v>
      </c>
      <c r="J137" s="20" t="n">
        <v>0</v>
      </c>
      <c r="K137" s="20" t="n">
        <v>0</v>
      </c>
      <c r="L137" s="20" t="n">
        <v>0</v>
      </c>
      <c r="M137" s="20" t="n">
        <v>0</v>
      </c>
      <c r="N137" s="20" t="n">
        <f aca="false">+O137*2.2</f>
        <v>0.0176</v>
      </c>
      <c r="O137" s="21" t="n">
        <v>0.008</v>
      </c>
      <c r="P137" s="20" t="n">
        <f aca="false">SUM(I137:N137)</f>
        <v>0.1451</v>
      </c>
      <c r="Q137" s="22" t="n">
        <v>6047</v>
      </c>
      <c r="R137" s="16" t="n">
        <v>1758</v>
      </c>
      <c r="S137" s="15"/>
      <c r="T137" s="158" t="n">
        <f aca="false">I137*I$1*R137</f>
        <v>6724.35</v>
      </c>
      <c r="U137" s="23"/>
      <c r="V137" s="24" t="n">
        <v>145016</v>
      </c>
      <c r="W137" s="24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false" customHeight="false" outlineLevel="0" collapsed="false">
      <c r="A138" s="15" t="s">
        <v>268</v>
      </c>
      <c r="B138" s="16" t="s">
        <v>409</v>
      </c>
      <c r="C138" s="16" t="s">
        <v>316</v>
      </c>
      <c r="D138" s="17" t="n">
        <v>36526</v>
      </c>
      <c r="E138" s="17" t="n">
        <v>36556</v>
      </c>
      <c r="F138" s="15" t="s">
        <v>294</v>
      </c>
      <c r="G138" s="15" t="s">
        <v>314</v>
      </c>
      <c r="H138" s="16"/>
      <c r="I138" s="19" t="n">
        <v>0.1275</v>
      </c>
      <c r="J138" s="20" t="n">
        <v>0</v>
      </c>
      <c r="K138" s="20" t="n">
        <v>0</v>
      </c>
      <c r="L138" s="20" t="n">
        <v>0</v>
      </c>
      <c r="M138" s="20" t="n">
        <v>0</v>
      </c>
      <c r="N138" s="20" t="n">
        <f aca="false">+O138*2.2</f>
        <v>0.0176</v>
      </c>
      <c r="O138" s="21" t="n">
        <v>0.008</v>
      </c>
      <c r="P138" s="20" t="n">
        <f aca="false">SUM(I138:N138)</f>
        <v>0.1451</v>
      </c>
      <c r="Q138" s="22" t="n">
        <v>6048</v>
      </c>
      <c r="R138" s="16" t="n">
        <v>2500</v>
      </c>
      <c r="S138" s="15"/>
      <c r="T138" s="158" t="n">
        <f aca="false">I138*I$1*R138</f>
        <v>9562.5</v>
      </c>
      <c r="U138" s="23"/>
      <c r="V138" s="24" t="n">
        <v>145019</v>
      </c>
      <c r="W138" s="24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false" customHeight="false" outlineLevel="0" collapsed="false">
      <c r="A139" s="15" t="s">
        <v>268</v>
      </c>
      <c r="B139" s="16" t="s">
        <v>409</v>
      </c>
      <c r="C139" s="16" t="s">
        <v>316</v>
      </c>
      <c r="D139" s="17" t="n">
        <v>36526</v>
      </c>
      <c r="E139" s="17" t="n">
        <v>36556</v>
      </c>
      <c r="F139" s="15" t="s">
        <v>294</v>
      </c>
      <c r="G139" s="15" t="s">
        <v>314</v>
      </c>
      <c r="H139" s="16"/>
      <c r="I139" s="19" t="n">
        <v>0.1275</v>
      </c>
      <c r="J139" s="20" t="n">
        <v>0</v>
      </c>
      <c r="K139" s="20" t="n">
        <v>0</v>
      </c>
      <c r="L139" s="20" t="n">
        <v>0</v>
      </c>
      <c r="M139" s="20" t="n">
        <v>0</v>
      </c>
      <c r="N139" s="20" t="n">
        <f aca="false">+O139*2.2</f>
        <v>0.0176</v>
      </c>
      <c r="O139" s="21" t="n">
        <v>0.008</v>
      </c>
      <c r="P139" s="20" t="n">
        <f aca="false">SUM(I139:N139)</f>
        <v>0.1451</v>
      </c>
      <c r="Q139" s="22" t="n">
        <v>6049</v>
      </c>
      <c r="R139" s="16" t="n">
        <v>12000</v>
      </c>
      <c r="S139" s="15"/>
      <c r="T139" s="158" t="n">
        <f aca="false">I139*I$1*R139</f>
        <v>45900</v>
      </c>
      <c r="U139" s="23"/>
      <c r="V139" s="24" t="n">
        <v>145020</v>
      </c>
      <c r="W139" s="24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false" outlineLevel="0" collapsed="false">
      <c r="A140" s="15" t="s">
        <v>268</v>
      </c>
      <c r="B140" s="16" t="s">
        <v>409</v>
      </c>
      <c r="C140" s="16" t="s">
        <v>316</v>
      </c>
      <c r="D140" s="17" t="n">
        <v>36526</v>
      </c>
      <c r="E140" s="17" t="n">
        <v>36556</v>
      </c>
      <c r="F140" s="15" t="s">
        <v>294</v>
      </c>
      <c r="G140" s="15" t="s">
        <v>314</v>
      </c>
      <c r="H140" s="16"/>
      <c r="I140" s="19" t="n">
        <v>0.1275</v>
      </c>
      <c r="J140" s="20" t="n">
        <v>0</v>
      </c>
      <c r="K140" s="20" t="n">
        <v>0</v>
      </c>
      <c r="L140" s="20" t="n">
        <v>0</v>
      </c>
      <c r="M140" s="20" t="n">
        <v>0</v>
      </c>
      <c r="N140" s="20" t="n">
        <f aca="false">+O140*2.2</f>
        <v>0.0176</v>
      </c>
      <c r="O140" s="21" t="n">
        <v>0.008</v>
      </c>
      <c r="P140" s="20" t="n">
        <f aca="false">SUM(I140:N140)</f>
        <v>0.1451</v>
      </c>
      <c r="Q140" s="22" t="n">
        <v>6050</v>
      </c>
      <c r="R140" s="16" t="n">
        <v>1745</v>
      </c>
      <c r="S140" s="15"/>
      <c r="T140" s="158" t="n">
        <f aca="false">I140*I$1*R140</f>
        <v>6674.625</v>
      </c>
      <c r="U140" s="23"/>
      <c r="V140" s="24" t="n">
        <v>145025</v>
      </c>
      <c r="W140" s="24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false" customHeight="false" outlineLevel="0" collapsed="false">
      <c r="A141" s="15" t="s">
        <v>268</v>
      </c>
      <c r="B141" s="16" t="s">
        <v>409</v>
      </c>
      <c r="C141" s="16" t="s">
        <v>316</v>
      </c>
      <c r="D141" s="17" t="n">
        <v>36526</v>
      </c>
      <c r="E141" s="17" t="n">
        <v>36556</v>
      </c>
      <c r="F141" s="15" t="s">
        <v>294</v>
      </c>
      <c r="G141" s="15" t="s">
        <v>314</v>
      </c>
      <c r="H141" s="16"/>
      <c r="I141" s="19" t="n">
        <v>0.1275</v>
      </c>
      <c r="J141" s="20" t="n">
        <v>0</v>
      </c>
      <c r="K141" s="20" t="n">
        <v>0</v>
      </c>
      <c r="L141" s="20" t="n">
        <v>0</v>
      </c>
      <c r="M141" s="20" t="n">
        <v>0</v>
      </c>
      <c r="N141" s="20" t="n">
        <f aca="false">+O141*2.2</f>
        <v>0.0176</v>
      </c>
      <c r="O141" s="21" t="n">
        <v>0.008</v>
      </c>
      <c r="P141" s="20" t="n">
        <f aca="false">SUM(I141:N141)</f>
        <v>0.1451</v>
      </c>
      <c r="Q141" s="22" t="n">
        <v>6051</v>
      </c>
      <c r="R141" s="16" t="n">
        <v>2800</v>
      </c>
      <c r="S141" s="15"/>
      <c r="T141" s="158" t="n">
        <f aca="false">I141*I$1*R141</f>
        <v>10710</v>
      </c>
      <c r="U141" s="23"/>
      <c r="V141" s="24" t="n">
        <v>145028</v>
      </c>
      <c r="W141" s="24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12.75" hidden="false" customHeight="false" outlineLevel="0" collapsed="false">
      <c r="A142" s="15" t="s">
        <v>268</v>
      </c>
      <c r="B142" s="16" t="s">
        <v>409</v>
      </c>
      <c r="C142" s="16" t="s">
        <v>316</v>
      </c>
      <c r="D142" s="17" t="n">
        <v>36526</v>
      </c>
      <c r="E142" s="17" t="n">
        <v>36556</v>
      </c>
      <c r="F142" s="15" t="s">
        <v>294</v>
      </c>
      <c r="G142" s="15" t="s">
        <v>314</v>
      </c>
      <c r="H142" s="16"/>
      <c r="I142" s="19" t="n">
        <v>0.1275</v>
      </c>
      <c r="J142" s="20" t="n">
        <v>0</v>
      </c>
      <c r="K142" s="20" t="n">
        <v>0</v>
      </c>
      <c r="L142" s="20" t="n">
        <v>0</v>
      </c>
      <c r="M142" s="20" t="n">
        <v>0</v>
      </c>
      <c r="N142" s="20" t="n">
        <f aca="false">+O142*2.2</f>
        <v>0.0176</v>
      </c>
      <c r="O142" s="21" t="n">
        <v>0.008</v>
      </c>
      <c r="P142" s="20" t="n">
        <f aca="false">SUM(I142:N142)</f>
        <v>0.1451</v>
      </c>
      <c r="Q142" s="22" t="n">
        <v>6052</v>
      </c>
      <c r="R142" s="16" t="n">
        <v>1241</v>
      </c>
      <c r="S142" s="15"/>
      <c r="T142" s="158" t="n">
        <f aca="false">I142*I$1*R142</f>
        <v>4746.825</v>
      </c>
      <c r="U142" s="23"/>
      <c r="V142" s="24" t="n">
        <v>145029</v>
      </c>
      <c r="W142" s="24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2.75" hidden="false" customHeight="false" outlineLevel="0" collapsed="false">
      <c r="A143" s="15" t="s">
        <v>268</v>
      </c>
      <c r="B143" s="16" t="s">
        <v>409</v>
      </c>
      <c r="C143" s="16" t="s">
        <v>316</v>
      </c>
      <c r="D143" s="17" t="n">
        <v>36526</v>
      </c>
      <c r="E143" s="17" t="n">
        <v>36556</v>
      </c>
      <c r="F143" s="15" t="s">
        <v>294</v>
      </c>
      <c r="G143" s="15" t="s">
        <v>314</v>
      </c>
      <c r="H143" s="16"/>
      <c r="I143" s="19" t="n">
        <v>0.1275</v>
      </c>
      <c r="J143" s="20" t="n">
        <v>0</v>
      </c>
      <c r="K143" s="20" t="n">
        <v>0</v>
      </c>
      <c r="L143" s="20" t="n">
        <v>0</v>
      </c>
      <c r="M143" s="20" t="n">
        <v>0</v>
      </c>
      <c r="N143" s="20" t="n">
        <f aca="false">+O143*2.2</f>
        <v>0.0176</v>
      </c>
      <c r="O143" s="21" t="n">
        <v>0.008</v>
      </c>
      <c r="P143" s="20" t="n">
        <f aca="false">SUM(I143:N143)</f>
        <v>0.1451</v>
      </c>
      <c r="Q143" s="22" t="n">
        <v>6053</v>
      </c>
      <c r="R143" s="16" t="n">
        <v>2500</v>
      </c>
      <c r="S143" s="15"/>
      <c r="T143" s="158" t="n">
        <f aca="false">I143*I$1*R143</f>
        <v>9562.5</v>
      </c>
      <c r="U143" s="23"/>
      <c r="V143" s="24" t="n">
        <v>145030</v>
      </c>
      <c r="W143" s="24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2.75" hidden="false" customHeight="false" outlineLevel="0" collapsed="false">
      <c r="A144" s="15" t="s">
        <v>268</v>
      </c>
      <c r="B144" s="16" t="s">
        <v>409</v>
      </c>
      <c r="C144" s="16" t="s">
        <v>317</v>
      </c>
      <c r="D144" s="17" t="n">
        <v>36526</v>
      </c>
      <c r="E144" s="17" t="n">
        <v>36556</v>
      </c>
      <c r="F144" s="15" t="s">
        <v>294</v>
      </c>
      <c r="G144" s="15" t="s">
        <v>317</v>
      </c>
      <c r="H144" s="16"/>
      <c r="I144" s="19" t="n">
        <v>0.1275</v>
      </c>
      <c r="J144" s="20" t="n">
        <v>0</v>
      </c>
      <c r="K144" s="20" t="n">
        <v>0</v>
      </c>
      <c r="L144" s="20" t="n">
        <v>0</v>
      </c>
      <c r="M144" s="20" t="n">
        <v>0</v>
      </c>
      <c r="N144" s="20" t="n">
        <f aca="false">+O144*2.2</f>
        <v>0.0176</v>
      </c>
      <c r="O144" s="21" t="n">
        <v>0.008</v>
      </c>
      <c r="P144" s="20" t="n">
        <f aca="false">SUM(I144:N144)</f>
        <v>0.1451</v>
      </c>
      <c r="Q144" s="22" t="n">
        <v>6009</v>
      </c>
      <c r="R144" s="16" t="n">
        <v>5281</v>
      </c>
      <c r="S144" s="15"/>
      <c r="T144" s="158" t="n">
        <f aca="false">I144*I$1*R144</f>
        <v>20199.825</v>
      </c>
      <c r="U144" s="23"/>
      <c r="V144" s="24" t="n">
        <v>145645</v>
      </c>
      <c r="W144" s="24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false" outlineLevel="0" collapsed="false">
      <c r="A145" s="15" t="s">
        <v>268</v>
      </c>
      <c r="B145" s="16" t="s">
        <v>409</v>
      </c>
      <c r="C145" s="16" t="s">
        <v>317</v>
      </c>
      <c r="D145" s="17" t="n">
        <v>36526</v>
      </c>
      <c r="E145" s="17" t="n">
        <v>36556</v>
      </c>
      <c r="F145" s="15" t="s">
        <v>294</v>
      </c>
      <c r="G145" s="15" t="s">
        <v>317</v>
      </c>
      <c r="H145" s="16"/>
      <c r="I145" s="19" t="n">
        <v>0.1275</v>
      </c>
      <c r="J145" s="20" t="n">
        <v>0</v>
      </c>
      <c r="K145" s="20" t="n">
        <v>0</v>
      </c>
      <c r="L145" s="20" t="n">
        <v>0</v>
      </c>
      <c r="M145" s="20" t="n">
        <v>0</v>
      </c>
      <c r="N145" s="20" t="n">
        <f aca="false">+O145*2.2</f>
        <v>0.0176</v>
      </c>
      <c r="O145" s="21" t="n">
        <v>0.008</v>
      </c>
      <c r="P145" s="20" t="n">
        <f aca="false">SUM(I145:N145)</f>
        <v>0.1451</v>
      </c>
      <c r="Q145" s="22" t="n">
        <v>6055</v>
      </c>
      <c r="R145" s="16" t="n">
        <v>23254</v>
      </c>
      <c r="S145" s="15"/>
      <c r="T145" s="158" t="n">
        <f aca="false">I145*I$1*R145</f>
        <v>88946.55</v>
      </c>
      <c r="U145" s="23"/>
      <c r="V145" s="24" t="n">
        <v>145048</v>
      </c>
      <c r="W145" s="24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.75" hidden="false" customHeight="false" outlineLevel="0" collapsed="false">
      <c r="A146" s="15" t="s">
        <v>268</v>
      </c>
      <c r="B146" s="16" t="s">
        <v>409</v>
      </c>
      <c r="C146" s="16" t="s">
        <v>317</v>
      </c>
      <c r="D146" s="17" t="n">
        <v>36526</v>
      </c>
      <c r="E146" s="17" t="n">
        <v>36556</v>
      </c>
      <c r="F146" s="15" t="s">
        <v>294</v>
      </c>
      <c r="G146" s="15" t="s">
        <v>317</v>
      </c>
      <c r="H146" s="16"/>
      <c r="I146" s="19" t="n">
        <v>0.1275</v>
      </c>
      <c r="J146" s="20" t="n">
        <v>0</v>
      </c>
      <c r="K146" s="20" t="n">
        <v>0</v>
      </c>
      <c r="L146" s="20" t="n">
        <v>0</v>
      </c>
      <c r="M146" s="20" t="n">
        <v>0</v>
      </c>
      <c r="N146" s="20" t="n">
        <f aca="false">+O146*2.2</f>
        <v>0.0176</v>
      </c>
      <c r="O146" s="21" t="n">
        <v>0.008</v>
      </c>
      <c r="P146" s="20" t="n">
        <f aca="false">SUM(I146:N146)</f>
        <v>0.1451</v>
      </c>
      <c r="Q146" s="22" t="n">
        <v>6056</v>
      </c>
      <c r="R146" s="16" t="n">
        <v>10000</v>
      </c>
      <c r="S146" s="15"/>
      <c r="T146" s="158" t="n">
        <f aca="false">I146*I$1*R146</f>
        <v>38250</v>
      </c>
      <c r="U146" s="23"/>
      <c r="V146" s="24" t="n">
        <v>145049</v>
      </c>
      <c r="W146" s="24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.75" hidden="false" customHeight="false" outlineLevel="0" collapsed="false">
      <c r="A147" s="15" t="s">
        <v>268</v>
      </c>
      <c r="B147" s="16" t="s">
        <v>409</v>
      </c>
      <c r="C147" s="16" t="s">
        <v>317</v>
      </c>
      <c r="D147" s="17" t="n">
        <v>36526</v>
      </c>
      <c r="E147" s="17" t="n">
        <v>36556</v>
      </c>
      <c r="F147" s="15" t="s">
        <v>294</v>
      </c>
      <c r="G147" s="15" t="s">
        <v>317</v>
      </c>
      <c r="H147" s="16"/>
      <c r="I147" s="19" t="n">
        <v>0.1275</v>
      </c>
      <c r="J147" s="20" t="n">
        <v>0</v>
      </c>
      <c r="K147" s="20" t="n">
        <v>0</v>
      </c>
      <c r="L147" s="20" t="n">
        <v>0</v>
      </c>
      <c r="M147" s="20" t="n">
        <v>0</v>
      </c>
      <c r="N147" s="20" t="n">
        <f aca="false">+O147*2.2</f>
        <v>0.0176</v>
      </c>
      <c r="O147" s="21" t="n">
        <v>0.008</v>
      </c>
      <c r="P147" s="20" t="n">
        <f aca="false">SUM(I147:N147)</f>
        <v>0.1451</v>
      </c>
      <c r="Q147" s="22" t="n">
        <v>6063</v>
      </c>
      <c r="R147" s="16" t="n">
        <v>5000</v>
      </c>
      <c r="S147" s="15"/>
      <c r="T147" s="158" t="n">
        <f aca="false">I147*I$1*R147</f>
        <v>19125</v>
      </c>
      <c r="U147" s="23"/>
      <c r="V147" s="24" t="n">
        <v>145050</v>
      </c>
      <c r="W147" s="24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15" t="s">
        <v>268</v>
      </c>
      <c r="B148" s="16" t="s">
        <v>409</v>
      </c>
      <c r="C148" s="16" t="s">
        <v>318</v>
      </c>
      <c r="D148" s="17" t="n">
        <v>36526</v>
      </c>
      <c r="E148" s="17" t="n">
        <v>36556</v>
      </c>
      <c r="F148" s="15" t="s">
        <v>294</v>
      </c>
      <c r="G148" s="15" t="s">
        <v>309</v>
      </c>
      <c r="H148" s="16"/>
      <c r="I148" s="19" t="n">
        <v>0.1275</v>
      </c>
      <c r="J148" s="20" t="n">
        <v>0</v>
      </c>
      <c r="K148" s="20" t="n">
        <v>0</v>
      </c>
      <c r="L148" s="20" t="n">
        <v>0</v>
      </c>
      <c r="M148" s="20" t="n">
        <v>0</v>
      </c>
      <c r="N148" s="20" t="n">
        <f aca="false">+O148*2.2</f>
        <v>0.0176</v>
      </c>
      <c r="O148" s="21" t="n">
        <v>0.008</v>
      </c>
      <c r="P148" s="20" t="n">
        <f aca="false">SUM(I148:N148)</f>
        <v>0.1451</v>
      </c>
      <c r="Q148" s="22" t="n">
        <v>6056</v>
      </c>
      <c r="R148" s="16"/>
      <c r="S148" s="15"/>
      <c r="T148" s="153"/>
      <c r="U148" s="23"/>
      <c r="V148" s="24"/>
      <c r="W148" s="24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15"/>
      <c r="B149" s="16"/>
      <c r="C149" s="16"/>
      <c r="D149" s="17"/>
      <c r="E149" s="17"/>
      <c r="F149" s="15"/>
      <c r="G149" s="15"/>
      <c r="H149" s="16"/>
      <c r="I149" s="19"/>
      <c r="J149" s="20"/>
      <c r="K149" s="68"/>
      <c r="L149" s="20"/>
      <c r="M149" s="20"/>
      <c r="N149" s="20"/>
      <c r="O149" s="21"/>
      <c r="P149" s="20"/>
      <c r="Q149" s="22"/>
      <c r="R149" s="16"/>
      <c r="S149" s="16"/>
      <c r="T149" s="153"/>
      <c r="U149" s="23"/>
      <c r="V149" s="24"/>
      <c r="W149" s="24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15"/>
      <c r="B150" s="16"/>
      <c r="C150" s="16"/>
      <c r="D150" s="17"/>
      <c r="E150" s="17"/>
      <c r="F150" s="15"/>
      <c r="G150" s="15"/>
      <c r="H150" s="16"/>
      <c r="I150" s="19"/>
      <c r="J150" s="20"/>
      <c r="K150" s="68"/>
      <c r="L150" s="20"/>
      <c r="M150" s="20"/>
      <c r="N150" s="20"/>
      <c r="O150" s="21"/>
      <c r="P150" s="20"/>
      <c r="Q150" s="22"/>
      <c r="R150" s="16"/>
      <c r="S150" s="16"/>
      <c r="T150" s="153" t="n">
        <f aca="false">SUM(T132:T149)</f>
        <v>290868.3</v>
      </c>
      <c r="U150" s="23"/>
      <c r="V150" s="24"/>
      <c r="W150" s="24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15"/>
      <c r="B151" s="16"/>
      <c r="C151" s="16"/>
      <c r="D151" s="17"/>
      <c r="E151" s="17"/>
      <c r="F151" s="15"/>
      <c r="G151" s="15"/>
      <c r="H151" s="16"/>
      <c r="I151" s="19"/>
      <c r="J151" s="20"/>
      <c r="K151" s="68"/>
      <c r="L151" s="20"/>
      <c r="M151" s="20"/>
      <c r="N151" s="20"/>
      <c r="O151" s="21"/>
      <c r="P151" s="20"/>
      <c r="Q151" s="22"/>
      <c r="R151" s="16"/>
      <c r="S151" s="16"/>
      <c r="T151" s="153"/>
      <c r="U151" s="23"/>
      <c r="V151" s="24"/>
      <c r="W151" s="24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15"/>
      <c r="B152" s="16"/>
      <c r="C152" s="16"/>
      <c r="D152" s="17"/>
      <c r="E152" s="17"/>
      <c r="F152" s="15"/>
      <c r="G152" s="15"/>
      <c r="H152" s="16"/>
      <c r="I152" s="19"/>
      <c r="J152" s="20"/>
      <c r="K152" s="68"/>
      <c r="L152" s="20"/>
      <c r="M152" s="20"/>
      <c r="N152" s="20"/>
      <c r="O152" s="21"/>
      <c r="P152" s="20"/>
      <c r="Q152" s="22"/>
      <c r="R152" s="16"/>
      <c r="S152" s="16"/>
      <c r="T152" s="153"/>
      <c r="U152" s="23"/>
      <c r="V152" s="16"/>
      <c r="W152" s="24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5"/>
      <c r="B153" s="16"/>
      <c r="C153" s="16"/>
      <c r="D153" s="17"/>
      <c r="E153" s="17"/>
      <c r="F153" s="15"/>
      <c r="G153" s="15"/>
      <c r="H153" s="16"/>
      <c r="I153" s="19"/>
      <c r="J153" s="20"/>
      <c r="K153" s="68"/>
      <c r="L153" s="20"/>
      <c r="M153" s="20"/>
      <c r="N153" s="20"/>
      <c r="O153" s="15"/>
      <c r="P153" s="20"/>
      <c r="Q153" s="22"/>
      <c r="R153" s="16"/>
      <c r="S153" s="16"/>
      <c r="U153" s="1"/>
      <c r="V153" s="37"/>
      <c r="W153" s="37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15"/>
      <c r="B154" s="16"/>
      <c r="C154" s="16"/>
      <c r="D154" s="17" t="s">
        <v>1</v>
      </c>
      <c r="E154" s="17"/>
      <c r="F154" s="15"/>
      <c r="G154" s="15"/>
      <c r="H154" s="16"/>
      <c r="I154" s="19"/>
      <c r="J154" s="20"/>
      <c r="K154" s="68"/>
      <c r="L154" s="20"/>
      <c r="M154" s="20"/>
      <c r="N154" s="20"/>
      <c r="O154" s="21"/>
      <c r="P154" s="20"/>
      <c r="Q154" s="22"/>
      <c r="R154" s="15" t="s">
        <v>197</v>
      </c>
      <c r="S154" s="1"/>
      <c r="T154" s="153" t="n">
        <v>0</v>
      </c>
      <c r="U154" s="23" t="n">
        <v>0</v>
      </c>
      <c r="V154" s="37"/>
      <c r="W154" s="37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4"/>
      <c r="B155" s="16"/>
      <c r="C155" s="16"/>
      <c r="D155" s="17"/>
      <c r="E155" s="17"/>
      <c r="F155" s="15"/>
      <c r="G155" s="15"/>
      <c r="H155" s="16"/>
      <c r="I155" s="19"/>
      <c r="J155" s="20"/>
      <c r="K155" s="20"/>
      <c r="L155" s="20"/>
      <c r="M155" s="20"/>
      <c r="N155" s="20"/>
      <c r="O155" s="21"/>
      <c r="P155" s="20"/>
      <c r="Q155" s="22"/>
      <c r="R155" s="15" t="s">
        <v>411</v>
      </c>
      <c r="S155" s="1"/>
      <c r="T155" s="153" t="n">
        <f aca="false">+SUM(T132:T147)+SUM(T57:T74)</f>
        <v>795279.876</v>
      </c>
      <c r="U155" s="23" t="n">
        <v>0</v>
      </c>
      <c r="V155" s="37"/>
      <c r="W155" s="37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4"/>
      <c r="B156" s="16"/>
      <c r="C156" s="16"/>
      <c r="D156" s="17"/>
      <c r="E156" s="17"/>
      <c r="F156" s="15"/>
      <c r="G156" s="15"/>
      <c r="H156" s="16"/>
      <c r="I156" s="20"/>
      <c r="J156" s="20"/>
      <c r="K156" s="20"/>
      <c r="L156" s="20"/>
      <c r="M156" s="20"/>
      <c r="N156" s="20"/>
      <c r="O156" s="21"/>
      <c r="P156" s="20"/>
      <c r="Q156" s="22"/>
      <c r="R156" s="15" t="s">
        <v>412</v>
      </c>
      <c r="S156" s="1"/>
      <c r="T156" s="153" t="n">
        <f aca="false">SUM('IT &amp; Pooling'!V39)</f>
        <v>0</v>
      </c>
      <c r="U156" s="23" t="n">
        <f aca="false">SUM('IT &amp; Pooling'!V39)</f>
        <v>0</v>
      </c>
      <c r="V156" s="37"/>
      <c r="W156" s="37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A157" s="4"/>
      <c r="B157" s="16"/>
      <c r="C157" s="16"/>
      <c r="D157" s="17"/>
      <c r="E157" s="17"/>
      <c r="F157" s="15"/>
      <c r="G157" s="15"/>
      <c r="H157" s="16"/>
      <c r="I157" s="19"/>
      <c r="J157" s="20"/>
      <c r="K157" s="20"/>
      <c r="L157" s="20"/>
      <c r="M157" s="20"/>
      <c r="N157" s="20"/>
      <c r="O157" s="21"/>
      <c r="P157" s="20"/>
      <c r="Q157" s="22"/>
      <c r="R157" s="15" t="s">
        <v>413</v>
      </c>
      <c r="S157" s="1"/>
      <c r="T157" s="153" t="n">
        <f aca="false">SUM('IT &amp; Pooling'!U39)</f>
        <v>0</v>
      </c>
      <c r="U157" s="23" t="n">
        <f aca="false">SUM('IT &amp; Pooling'!V39)</f>
        <v>0</v>
      </c>
      <c r="V157" s="37"/>
      <c r="W157" s="37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false" outlineLevel="0" collapsed="false">
      <c r="A158" s="4"/>
      <c r="B158" s="16"/>
      <c r="C158" s="16"/>
      <c r="D158" s="17"/>
      <c r="E158" s="17"/>
      <c r="F158" s="15"/>
      <c r="G158" s="15"/>
      <c r="H158" s="16"/>
      <c r="I158" s="19"/>
      <c r="J158" s="20"/>
      <c r="K158" s="20"/>
      <c r="L158" s="20"/>
      <c r="M158" s="20"/>
      <c r="N158" s="20"/>
      <c r="O158" s="21"/>
      <c r="P158" s="20"/>
      <c r="Q158" s="22"/>
      <c r="R158" s="15" t="s">
        <v>414</v>
      </c>
      <c r="S158" s="1"/>
      <c r="T158" s="153" t="n">
        <f aca="false">SUM(T30:T31)</f>
        <v>145189.91</v>
      </c>
      <c r="U158" s="23" t="n">
        <f aca="false">SUM(U29)</f>
        <v>0</v>
      </c>
      <c r="V158" s="37"/>
      <c r="W158" s="37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false" outlineLevel="0" collapsed="false">
      <c r="A159" s="4"/>
      <c r="B159" s="16"/>
      <c r="C159" s="16"/>
      <c r="D159" s="17"/>
      <c r="E159" s="17"/>
      <c r="F159" s="15"/>
      <c r="G159" s="15"/>
      <c r="H159" s="16"/>
      <c r="I159" s="19"/>
      <c r="J159" s="20"/>
      <c r="K159" s="20"/>
      <c r="L159" s="20"/>
      <c r="M159" s="20"/>
      <c r="N159" s="20"/>
      <c r="O159" s="21"/>
      <c r="P159" s="20"/>
      <c r="Q159" s="22"/>
      <c r="R159" s="15" t="s">
        <v>415</v>
      </c>
      <c r="S159" s="1"/>
      <c r="T159" s="153" t="n">
        <f aca="false">SUM(T32:T33)</f>
        <v>2489.73</v>
      </c>
      <c r="U159" s="23"/>
      <c r="V159" s="37"/>
      <c r="W159" s="37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false" outlineLevel="0" collapsed="false">
      <c r="A160" s="4"/>
      <c r="B160" s="16"/>
      <c r="C160" s="16"/>
      <c r="D160" s="17"/>
      <c r="E160" s="17"/>
      <c r="F160" s="15"/>
      <c r="G160" s="15"/>
      <c r="H160" s="16"/>
      <c r="I160" s="20"/>
      <c r="J160" s="20"/>
      <c r="K160" s="20"/>
      <c r="L160" s="20"/>
      <c r="M160" s="20"/>
      <c r="N160" s="20"/>
      <c r="O160" s="21"/>
      <c r="P160" s="20"/>
      <c r="Q160" s="22"/>
      <c r="R160" s="15" t="s">
        <v>416</v>
      </c>
      <c r="S160" s="1"/>
      <c r="T160" s="153" t="n">
        <f aca="false">(T113)*0.103</f>
        <v>31070.794291</v>
      </c>
      <c r="U160" s="23" t="n">
        <f aca="false">(U113)*0.103</f>
        <v>0</v>
      </c>
      <c r="V160" s="37"/>
      <c r="W160" s="37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4"/>
      <c r="B161" s="16"/>
      <c r="C161" s="16"/>
      <c r="D161" s="17"/>
      <c r="E161" s="17"/>
      <c r="F161" s="15"/>
      <c r="G161" s="15"/>
      <c r="H161" s="16"/>
      <c r="I161" s="20"/>
      <c r="J161" s="20"/>
      <c r="K161" s="20"/>
      <c r="L161" s="20"/>
      <c r="M161" s="20"/>
      <c r="N161" s="20"/>
      <c r="O161" s="21"/>
      <c r="P161" s="20"/>
      <c r="Q161" s="22"/>
      <c r="R161" s="15" t="s">
        <v>417</v>
      </c>
      <c r="S161" s="1"/>
      <c r="T161" s="153" t="n">
        <f aca="false">(T113)*0.897</f>
        <v>270587.402709</v>
      </c>
      <c r="U161" s="23" t="n">
        <f aca="false">(U113)*0.897</f>
        <v>0</v>
      </c>
      <c r="V161" s="69"/>
      <c r="W161" s="37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false" outlineLevel="0" collapsed="false">
      <c r="A162" s="4"/>
      <c r="B162" s="16"/>
      <c r="C162" s="16"/>
      <c r="D162" s="17"/>
      <c r="E162" s="17"/>
      <c r="F162" s="15"/>
      <c r="G162" s="15"/>
      <c r="H162" s="16"/>
      <c r="I162" s="20"/>
      <c r="J162" s="20"/>
      <c r="K162" s="20"/>
      <c r="L162" s="20"/>
      <c r="M162" s="20"/>
      <c r="N162" s="20"/>
      <c r="O162" s="21"/>
      <c r="P162" s="20"/>
      <c r="Q162" s="22"/>
      <c r="R162" s="15" t="s">
        <v>418</v>
      </c>
      <c r="S162" s="1"/>
      <c r="T162" s="153" t="n">
        <f aca="false">(+T37)*0.103</f>
        <v>40808.6</v>
      </c>
      <c r="U162" s="23" t="n">
        <f aca="false">(+U37)*0.103</f>
        <v>0</v>
      </c>
      <c r="V162" s="37"/>
      <c r="W162" s="37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false" outlineLevel="0" collapsed="false">
      <c r="A163" s="4"/>
      <c r="B163" s="16"/>
      <c r="C163" s="16"/>
      <c r="D163" s="17"/>
      <c r="E163" s="17"/>
      <c r="F163" s="15"/>
      <c r="G163" s="15"/>
      <c r="H163" s="16"/>
      <c r="I163" s="20"/>
      <c r="J163" s="20"/>
      <c r="K163" s="20"/>
      <c r="L163" s="20"/>
      <c r="M163" s="20"/>
      <c r="N163" s="20"/>
      <c r="O163" s="21"/>
      <c r="P163" s="20"/>
      <c r="Q163" s="22"/>
      <c r="R163" s="15" t="s">
        <v>419</v>
      </c>
      <c r="S163" s="1"/>
      <c r="T163" s="153" t="n">
        <f aca="false">(+T37)*0.897</f>
        <v>355391.4</v>
      </c>
      <c r="U163" s="23" t="n">
        <f aca="false">(+U37)*0.897</f>
        <v>0</v>
      </c>
      <c r="V163" s="37"/>
      <c r="W163" s="37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A164" s="4"/>
      <c r="B164" s="16"/>
      <c r="C164" s="16"/>
      <c r="D164" s="17"/>
      <c r="E164" s="17"/>
      <c r="F164" s="15"/>
      <c r="G164" s="15"/>
      <c r="H164" s="16"/>
      <c r="I164" s="19"/>
      <c r="J164" s="20"/>
      <c r="K164" s="20"/>
      <c r="L164" s="20"/>
      <c r="M164" s="20"/>
      <c r="N164" s="20"/>
      <c r="O164" s="21"/>
      <c r="P164" s="20"/>
      <c r="Q164" s="22"/>
      <c r="R164" s="15" t="s">
        <v>347</v>
      </c>
      <c r="S164" s="1"/>
      <c r="T164" s="153" t="n">
        <f aca="false">SUM(T3:T153)/2-SUM(T154:T163)</f>
        <v>546756.019369279</v>
      </c>
      <c r="U164" s="23" t="n">
        <f aca="false">SUM(U3:U153)/2-SUM(U154:U163)</f>
        <v>0</v>
      </c>
      <c r="V164" s="37"/>
      <c r="W164" s="37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3.5" hidden="false" customHeight="false" outlineLevel="0" collapsed="false">
      <c r="A165" s="4"/>
      <c r="B165" s="16"/>
      <c r="C165" s="16"/>
      <c r="D165" s="17"/>
      <c r="E165" s="17"/>
      <c r="F165" s="15"/>
      <c r="G165" s="15"/>
      <c r="H165" s="16"/>
      <c r="I165" s="19"/>
      <c r="J165" s="20"/>
      <c r="K165" s="20"/>
      <c r="L165" s="20"/>
      <c r="M165" s="20"/>
      <c r="N165" s="20"/>
      <c r="O165" s="21"/>
      <c r="P165" s="20"/>
      <c r="Q165" s="22"/>
      <c r="R165" s="16"/>
      <c r="S165" s="16" t="s">
        <v>420</v>
      </c>
      <c r="T165" s="183" t="n">
        <f aca="false">SUM(T154:T164)</f>
        <v>2187573.73236928</v>
      </c>
      <c r="U165" s="184" t="n">
        <f aca="false">SUM(U154:U164)</f>
        <v>0</v>
      </c>
      <c r="V165" s="37"/>
      <c r="W165" s="37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3.5" hidden="false" customHeight="false" outlineLevel="0" collapsed="false">
      <c r="A166" s="1"/>
      <c r="B166" s="1"/>
      <c r="C166" s="1"/>
      <c r="D166" s="1"/>
      <c r="E166" s="1"/>
      <c r="F166" s="4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U166" s="1"/>
      <c r="V166" s="3"/>
      <c r="W166" s="3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</sheetData>
  <printOptions headings="false" gridLines="false" gridLinesSet="true" horizontalCentered="false" verticalCentered="false"/>
  <pageMargins left="0.279861111111111" right="0.240277777777778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&amp;L&amp;D&amp;C&amp;A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false" hidden="false" outlineLevel="0" max="3" min="2" style="1" width="9.14"/>
    <col collapsed="false" customWidth="true" hidden="false" outlineLevel="0" max="5" min="4" style="1" width="9.85"/>
    <col collapsed="false" customWidth="true" hidden="false" outlineLevel="0" max="6" min="6" style="1" width="10.13"/>
    <col collapsed="false" customWidth="false" hidden="false" outlineLevel="0" max="7" min="7" style="1" width="9.14"/>
    <col collapsed="false" customWidth="true" hidden="false" outlineLevel="0" max="8" min="8" style="1" width="14.56"/>
    <col collapsed="false" customWidth="true" hidden="false" outlineLevel="0" max="9" min="9" style="1" width="7.7"/>
    <col collapsed="false" customWidth="true" hidden="false" outlineLevel="0" max="10" min="10" style="1" width="13.99"/>
    <col collapsed="false" customWidth="true" hidden="false" outlineLevel="0" max="11" min="11" style="1" width="8.14"/>
    <col collapsed="false" customWidth="true" hidden="false" outlineLevel="0" max="12" min="12" style="1" width="9.99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114" t="s">
        <v>1</v>
      </c>
      <c r="B1" s="114"/>
    </row>
    <row r="2" customFormat="false" ht="12.75" hidden="false" customHeight="false" outlineLevel="0" collapsed="false">
      <c r="B2" s="114"/>
    </row>
    <row r="3" customFormat="false" ht="12.75" hidden="false" customHeight="false" outlineLevel="0" collapsed="false">
      <c r="A3" s="114" t="s">
        <v>421</v>
      </c>
      <c r="J3" s="185" t="s">
        <v>422</v>
      </c>
      <c r="K3" s="186" t="n">
        <f aca="false">+Rates!W17</f>
        <v>0.097397579128159</v>
      </c>
      <c r="Z3" s="1" t="n">
        <v>2.8</v>
      </c>
      <c r="AC3" s="1" t="n">
        <v>3.03</v>
      </c>
    </row>
    <row r="4" customFormat="false" ht="12.75" hidden="false" customHeight="false" outlineLevel="0" collapsed="false">
      <c r="B4" s="187" t="n">
        <v>1</v>
      </c>
      <c r="C4" s="187" t="n">
        <v>2</v>
      </c>
      <c r="D4" s="187" t="n">
        <v>3</v>
      </c>
      <c r="E4" s="187" t="n">
        <v>4</v>
      </c>
      <c r="F4" s="187" t="s">
        <v>423</v>
      </c>
      <c r="G4" s="187" t="n">
        <v>5</v>
      </c>
      <c r="H4" s="187" t="n">
        <v>6</v>
      </c>
      <c r="J4" s="188" t="s">
        <v>424</v>
      </c>
      <c r="K4" s="189" t="n">
        <f aca="false">(E60/(1-0.02184))-Rates!W3</f>
        <v>0.074797579128159</v>
      </c>
    </row>
    <row r="5" customFormat="false" ht="12.75" hidden="false" customHeight="false" outlineLevel="0" collapsed="false">
      <c r="A5" s="190" t="n">
        <v>1</v>
      </c>
      <c r="B5" s="191" t="n">
        <f aca="false">+Rates!B17</f>
        <v>0.0356827395885596</v>
      </c>
      <c r="C5" s="191" t="n">
        <f aca="false">+Rates!B22</f>
        <v>0.0525700675471318</v>
      </c>
      <c r="D5" s="191" t="n">
        <f aca="false">+Rates!B27</f>
        <v>0.0691756127202751</v>
      </c>
      <c r="E5" s="191"/>
      <c r="F5" s="191"/>
      <c r="G5" s="191" t="n">
        <f aca="false">+Rates!B37</f>
        <v>0.20096809358934</v>
      </c>
      <c r="H5" s="191" t="n">
        <f aca="false">+Rates!B42</f>
        <v>0.234208902297026</v>
      </c>
      <c r="J5" s="187"/>
    </row>
    <row r="6" customFormat="false" ht="12.75" hidden="false" customHeight="false" outlineLevel="0" collapsed="false">
      <c r="A6" s="190" t="n">
        <v>2</v>
      </c>
      <c r="B6" s="191"/>
      <c r="C6" s="191"/>
      <c r="D6" s="191" t="n">
        <f aca="false">+Rates!B52</f>
        <v>0.0363986577858515</v>
      </c>
      <c r="E6" s="191"/>
      <c r="F6" s="191"/>
      <c r="G6" s="191" t="n">
        <f aca="false">+Rates!B62</f>
        <v>0.189678172694961</v>
      </c>
      <c r="H6" s="191" t="n">
        <f aca="false">+Rates!B67</f>
        <v>0.223218202910778</v>
      </c>
      <c r="J6" s="185" t="s">
        <v>425</v>
      </c>
      <c r="K6" s="192" t="n">
        <f aca="false">+Rates!Z17</f>
        <v>0.119978755628326</v>
      </c>
    </row>
    <row r="7" customFormat="false" ht="12.75" hidden="false" customHeight="false" outlineLevel="0" collapsed="false">
      <c r="A7" s="190" t="n">
        <v>3</v>
      </c>
      <c r="B7" s="191"/>
      <c r="C7" s="191"/>
      <c r="D7" s="191" t="n">
        <f aca="false">+Rates!B72</f>
        <v>0.0390062280261173</v>
      </c>
      <c r="E7" s="191" t="n">
        <f aca="false">+Rates!B77</f>
        <v>0.108937275985663</v>
      </c>
      <c r="F7" s="191"/>
      <c r="G7" s="191" t="n">
        <f aca="false">+Rates!B82</f>
        <v>0.166802288805659</v>
      </c>
      <c r="H7" s="191" t="n">
        <f aca="false">+Rates!B87</f>
        <v>0.199009991603694</v>
      </c>
      <c r="J7" s="188" t="s">
        <v>426</v>
      </c>
      <c r="K7" s="189" t="n">
        <f aca="false">(E59/(1-0.0228))-Rates!Z3</f>
        <v>0.0782787556283258</v>
      </c>
    </row>
    <row r="8" customFormat="false" ht="12.75" hidden="false" customHeight="false" outlineLevel="0" collapsed="false">
      <c r="A8" s="190" t="n">
        <v>4</v>
      </c>
      <c r="B8" s="191"/>
      <c r="C8" s="191"/>
      <c r="D8" s="191"/>
      <c r="E8" s="191" t="n">
        <f aca="false">+Rates!B92</f>
        <v>0.0952028542303773</v>
      </c>
      <c r="F8" s="191"/>
      <c r="G8" s="191"/>
      <c r="H8" s="191" t="n">
        <f aca="false">+Rates!B102</f>
        <v>0.188350590201609</v>
      </c>
      <c r="J8" s="114"/>
      <c r="K8" s="190"/>
    </row>
    <row r="9" customFormat="false" ht="12.75" hidden="false" customHeight="false" outlineLevel="0" collapsed="false">
      <c r="A9" s="193" t="s">
        <v>423</v>
      </c>
      <c r="B9" s="191"/>
      <c r="C9" s="191"/>
      <c r="D9" s="191"/>
      <c r="E9" s="191"/>
      <c r="F9" s="191" t="n">
        <f aca="false">+Rates!B107</f>
        <v>0.0216205009556382</v>
      </c>
      <c r="G9" s="191"/>
      <c r="H9" s="191"/>
      <c r="K9" s="194"/>
    </row>
    <row r="10" customFormat="false" ht="12.75" hidden="false" customHeight="false" outlineLevel="0" collapsed="false">
      <c r="A10" s="190" t="n">
        <v>5</v>
      </c>
      <c r="B10" s="191"/>
      <c r="C10" s="191"/>
      <c r="D10" s="191"/>
      <c r="E10" s="191"/>
      <c r="F10" s="191"/>
      <c r="G10" s="191" t="n">
        <f aca="false">+Rates!B112</f>
        <v>0.0674367726211027</v>
      </c>
      <c r="H10" s="191"/>
      <c r="K10" s="190"/>
    </row>
    <row r="11" customFormat="false" ht="12.75" hidden="false" customHeight="false" outlineLevel="0" collapsed="false">
      <c r="A11" s="190" t="n">
        <v>6</v>
      </c>
      <c r="H11" s="191" t="n">
        <f aca="false">+Rates!B122</f>
        <v>0.0576573215006048</v>
      </c>
      <c r="J11" s="195" t="s">
        <v>427</v>
      </c>
      <c r="K11" s="196"/>
    </row>
    <row r="12" customFormat="false" ht="12.75" hidden="false" customHeight="false" outlineLevel="0" collapsed="false">
      <c r="A12" s="190"/>
      <c r="B12" s="1" t="s">
        <v>428</v>
      </c>
      <c r="H12" s="191"/>
      <c r="J12" s="197" t="s">
        <v>429</v>
      </c>
      <c r="K12" s="198" t="n">
        <f aca="false">SUM(Rates!AI17)-0.0072</f>
        <v>0.0192534136546185</v>
      </c>
    </row>
    <row r="13" customFormat="false" ht="12.75" hidden="false" customHeight="false" outlineLevel="0" collapsed="false">
      <c r="A13" s="190"/>
      <c r="J13" s="197" t="s">
        <v>430</v>
      </c>
      <c r="K13" s="199" t="n">
        <f aca="false">SUM(Rates!H112)</f>
        <v>0.0560868170218617</v>
      </c>
    </row>
    <row r="14" customFormat="false" ht="13.5" hidden="false" customHeight="false" outlineLevel="0" collapsed="false">
      <c r="J14" s="200" t="s">
        <v>420</v>
      </c>
      <c r="K14" s="201" t="n">
        <f aca="false">SUM(K12:K13)</f>
        <v>0.0753402306764803</v>
      </c>
    </row>
    <row r="15" customFormat="false" ht="13.5" hidden="false" customHeight="false" outlineLevel="0" collapsed="false">
      <c r="A15" s="202"/>
      <c r="J15" s="203"/>
      <c r="K15" s="204"/>
    </row>
    <row r="16" customFormat="false" ht="12.75" hidden="false" customHeight="false" outlineLevel="0" collapsed="false">
      <c r="A16" s="202" t="s">
        <v>431</v>
      </c>
      <c r="K16" s="205"/>
    </row>
    <row r="17" customFormat="false" ht="12.75" hidden="false" customHeight="false" outlineLevel="0" collapsed="false">
      <c r="A17" s="202"/>
      <c r="C17" s="187" t="s">
        <v>432</v>
      </c>
      <c r="K17" s="190"/>
    </row>
    <row r="18" customFormat="false" ht="12.75" hidden="false" customHeight="false" outlineLevel="0" collapsed="false">
      <c r="A18" s="202"/>
      <c r="C18" s="187" t="s">
        <v>433</v>
      </c>
      <c r="D18" s="1" t="s">
        <v>434</v>
      </c>
      <c r="K18" s="190"/>
    </row>
    <row r="19" customFormat="false" ht="12.75" hidden="false" customHeight="false" outlineLevel="0" collapsed="false">
      <c r="A19" s="190"/>
      <c r="B19" s="187" t="s">
        <v>435</v>
      </c>
      <c r="C19" s="187" t="s">
        <v>436</v>
      </c>
      <c r="D19" s="187" t="s">
        <v>437</v>
      </c>
      <c r="E19" s="187" t="s">
        <v>438</v>
      </c>
      <c r="F19" s="187" t="s">
        <v>439</v>
      </c>
      <c r="G19" s="1" t="s">
        <v>440</v>
      </c>
      <c r="H19" s="187" t="s">
        <v>441</v>
      </c>
      <c r="I19" s="187" t="s">
        <v>442</v>
      </c>
      <c r="J19" s="190" t="s">
        <v>302</v>
      </c>
      <c r="K19" s="1" t="s">
        <v>301</v>
      </c>
    </row>
    <row r="20" customFormat="false" ht="12.75" hidden="false" customHeight="false" outlineLevel="0" collapsed="false">
      <c r="A20" s="193" t="s">
        <v>443</v>
      </c>
      <c r="B20" s="191" t="n">
        <f aca="false">+Rates!H22-0.0225+B26+B27</f>
        <v>0.195153819539978</v>
      </c>
      <c r="C20" s="191" t="n">
        <f aca="false">+Rates!H22-0.0072</f>
        <v>0.167381057810578</v>
      </c>
      <c r="D20" s="191" t="n">
        <f aca="false">+C20-0.0072</f>
        <v>0.160181057810578</v>
      </c>
      <c r="E20" s="191" t="n">
        <f aca="false">+D20-0.0225</f>
        <v>0.137681057810578</v>
      </c>
      <c r="F20" s="191" t="n">
        <f aca="false">+D20+0.0072</f>
        <v>0.167381057810578</v>
      </c>
      <c r="G20" s="191" t="n">
        <f aca="false">+Rates!H27</f>
        <v>0.237850978340483</v>
      </c>
      <c r="H20" s="191" t="n">
        <f aca="false">+Rates!H32</f>
        <v>0.260817186183656</v>
      </c>
      <c r="I20" s="191" t="n">
        <f aca="false">+Rates!H37</f>
        <v>0.30776050955414</v>
      </c>
      <c r="J20" s="194" t="n">
        <f aca="false">+Rates!H42</f>
        <v>0.350784734133791</v>
      </c>
      <c r="K20" s="191" t="n">
        <f aca="false">+Rates!H47</f>
        <v>0.413045106934543</v>
      </c>
    </row>
    <row r="21" customFormat="false" ht="12.75" hidden="false" customHeight="false" outlineLevel="0" collapsed="false">
      <c r="A21" s="193" t="s">
        <v>444</v>
      </c>
      <c r="B21" s="191"/>
      <c r="C21" s="191" t="n">
        <f aca="false">+Rates!H52-0.0072</f>
        <v>0.0829845027763752</v>
      </c>
      <c r="D21" s="191"/>
      <c r="E21" s="191"/>
      <c r="F21" s="191" t="n">
        <f aca="false">+C21+0.0072</f>
        <v>0.0901845027763752</v>
      </c>
      <c r="G21" s="191"/>
      <c r="H21" s="191"/>
      <c r="I21" s="191"/>
      <c r="J21" s="193"/>
    </row>
    <row r="22" customFormat="false" ht="12.75" hidden="false" customHeight="false" outlineLevel="0" collapsed="false">
      <c r="A22" s="190" t="n">
        <v>1</v>
      </c>
      <c r="B22" s="191" t="n">
        <f aca="false">+Rates!H57-0.0225+B26+B27</f>
        <v>0.16319768543235</v>
      </c>
      <c r="C22" s="191"/>
      <c r="D22" s="191" t="n">
        <f aca="false">+Rates!H57-0.0072</f>
        <v>0.13542492370295</v>
      </c>
      <c r="E22" s="191" t="n">
        <f aca="false">+D22-0.0225</f>
        <v>0.11292492370295</v>
      </c>
      <c r="F22" s="191"/>
      <c r="G22" s="191" t="n">
        <f aca="false">+Rates!H62</f>
        <v>0.205581144221784</v>
      </c>
      <c r="H22" s="191" t="n">
        <f aca="false">+Rates!H67</f>
        <v>0.228326883293282</v>
      </c>
      <c r="I22" s="191" t="n">
        <f aca="false">+Rates!H72</f>
        <v>0.275753654939962</v>
      </c>
      <c r="J22" s="191" t="n">
        <f aca="false">+Rates!H77</f>
        <v>0.318502711900457</v>
      </c>
      <c r="K22" s="191" t="n">
        <f aca="false">+Rates!H82</f>
        <v>0.380889863923712</v>
      </c>
    </row>
    <row r="23" customFormat="false" ht="12.75" hidden="false" customHeight="false" outlineLevel="0" collapsed="false">
      <c r="A23" s="190" t="n">
        <v>2</v>
      </c>
      <c r="B23" s="191"/>
      <c r="C23" s="191"/>
      <c r="D23" s="191"/>
      <c r="E23" s="191"/>
      <c r="F23" s="191"/>
      <c r="G23" s="191"/>
      <c r="H23" s="191"/>
      <c r="I23" s="191"/>
      <c r="J23" s="191" t="n">
        <f aca="false">SUM(Rates!H87)</f>
        <v>0.202614955403444</v>
      </c>
      <c r="K23" s="191"/>
    </row>
    <row r="24" customFormat="false" ht="12.75" hidden="false" customHeight="false" outlineLevel="0" collapsed="false">
      <c r="A24" s="190" t="n">
        <v>4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 t="n">
        <f aca="false">+Rates!H97</f>
        <v>0.157989722675367</v>
      </c>
    </row>
    <row r="25" customFormat="false" ht="12.75" hidden="false" customHeight="false" outlineLevel="0" collapsed="false">
      <c r="A25" s="190" t="n">
        <v>5</v>
      </c>
      <c r="B25" s="191"/>
      <c r="C25" s="191"/>
      <c r="D25" s="191"/>
      <c r="E25" s="191"/>
      <c r="F25" s="191"/>
      <c r="G25" s="191"/>
      <c r="H25" s="191"/>
      <c r="I25" s="191" t="n">
        <f aca="false">+Rates!H117</f>
        <v>0.0912622965733348</v>
      </c>
      <c r="J25" s="191" t="n">
        <f aca="false">+Rates!H102</f>
        <v>0.0914630476575941</v>
      </c>
      <c r="K25" s="191" t="n">
        <f aca="false">+Rates!H107</f>
        <v>0.148917118402282</v>
      </c>
    </row>
    <row r="26" customFormat="false" ht="12.75" hidden="false" customHeight="false" outlineLevel="0" collapsed="false">
      <c r="A26" s="206" t="s">
        <v>445</v>
      </c>
      <c r="B26" s="186" t="n">
        <f aca="false">0.0009+0.0022+0.0075</f>
        <v>0.0106</v>
      </c>
      <c r="F26" s="114" t="s">
        <v>446</v>
      </c>
    </row>
    <row r="27" customFormat="false" ht="12.75" hidden="false" customHeight="false" outlineLevel="0" collapsed="false">
      <c r="A27" s="203" t="s">
        <v>447</v>
      </c>
      <c r="B27" s="207" t="n">
        <f aca="false">0.0101*(+Rates!H4+Rates!H57-0.0225)</f>
        <v>0.0324727617293998</v>
      </c>
      <c r="F27" s="114" t="s">
        <v>448</v>
      </c>
      <c r="I27" s="208" t="n">
        <f aca="false">+I20-I25</f>
        <v>0.216498212980805</v>
      </c>
      <c r="J27" s="208" t="n">
        <f aca="false">+J20-J25</f>
        <v>0.259321686476197</v>
      </c>
      <c r="K27" s="208" t="n">
        <f aca="false">+K20-K25</f>
        <v>0.264127988532261</v>
      </c>
    </row>
    <row r="28" customFormat="false" ht="12.75" hidden="false" customHeight="false" outlineLevel="0" collapsed="false">
      <c r="A28" s="180"/>
      <c r="B28" s="191"/>
      <c r="F28" s="114" t="s">
        <v>449</v>
      </c>
      <c r="I28" s="209" t="n">
        <f aca="false">+I22-I25</f>
        <v>0.184491358366627</v>
      </c>
      <c r="J28" s="209" t="n">
        <f aca="false">+J22-J25</f>
        <v>0.227039664242863</v>
      </c>
      <c r="K28" s="208" t="n">
        <f aca="false">+K22-K25</f>
        <v>0.231972745521429</v>
      </c>
    </row>
    <row r="29" customFormat="false" ht="12.75" hidden="false" customHeight="false" outlineLevel="0" collapsed="false">
      <c r="A29" s="180"/>
      <c r="B29" s="191"/>
    </row>
    <row r="30" customFormat="false" ht="12.75" hidden="false" customHeight="false" outlineLevel="0" collapsed="false">
      <c r="A30" s="210" t="s">
        <v>450</v>
      </c>
      <c r="B30" s="211"/>
      <c r="C30" s="211"/>
      <c r="D30" s="211"/>
      <c r="E30" s="211"/>
      <c r="F30" s="211"/>
      <c r="G30" s="211"/>
      <c r="H30" s="211"/>
      <c r="I30" s="211"/>
      <c r="J30" s="212"/>
      <c r="K30" s="213"/>
      <c r="L30" s="180"/>
    </row>
    <row r="31" customFormat="false" ht="12.75" hidden="false" customHeight="false" outlineLevel="0" collapsed="false">
      <c r="A31" s="214"/>
      <c r="B31" s="187" t="s">
        <v>340</v>
      </c>
      <c r="C31" s="187" t="s">
        <v>451</v>
      </c>
      <c r="D31" s="187" t="s">
        <v>452</v>
      </c>
      <c r="E31" s="187" t="s">
        <v>453</v>
      </c>
      <c r="F31" s="187" t="s">
        <v>454</v>
      </c>
      <c r="G31" s="187" t="s">
        <v>455</v>
      </c>
      <c r="H31" s="215" t="s">
        <v>456</v>
      </c>
      <c r="I31" s="180"/>
      <c r="J31" s="215" t="s">
        <v>457</v>
      </c>
      <c r="K31" s="216" t="s">
        <v>458</v>
      </c>
      <c r="L31" s="180"/>
    </row>
    <row r="32" customFormat="false" ht="12.75" hidden="false" customHeight="false" outlineLevel="0" collapsed="false">
      <c r="A32" s="217" t="s">
        <v>340</v>
      </c>
      <c r="B32" s="191" t="n">
        <f aca="false">+Rates!K17</f>
        <v>0.102096495183439</v>
      </c>
      <c r="C32" s="191" t="n">
        <f aca="false">+Rates!K27</f>
        <v>0.136707074886223</v>
      </c>
      <c r="D32" s="191" t="n">
        <f aca="false">+Rates!K22</f>
        <v>0.100561295288926</v>
      </c>
      <c r="E32" s="191" t="n">
        <f aca="false">+Rates!K32</f>
        <v>0.260708690122934</v>
      </c>
      <c r="F32" s="191" t="n">
        <f aca="false">+Rates!K37</f>
        <v>0.330309122203098</v>
      </c>
      <c r="G32" s="191" t="n">
        <f aca="false">+Rates!K42</f>
        <v>0.37803862870803</v>
      </c>
      <c r="H32" s="218" t="n">
        <f aca="false">ROUND(+F32*0.6+G32*0.4,3)</f>
        <v>0.349</v>
      </c>
      <c r="I32" s="180"/>
      <c r="J32" s="219" t="n">
        <f aca="false">+Rates!N17</f>
        <v>0.798409122203098</v>
      </c>
      <c r="K32" s="220" t="n">
        <f aca="false">SUM(Rates!N22)</f>
        <v>12.5311472906404</v>
      </c>
      <c r="L32" s="180"/>
    </row>
    <row r="33" customFormat="false" ht="12.75" hidden="false" customHeight="false" outlineLevel="0" collapsed="false">
      <c r="A33" s="217" t="s">
        <v>459</v>
      </c>
      <c r="B33" s="191"/>
      <c r="C33" s="191" t="n">
        <f aca="false">+Rates!K87</f>
        <v>0.102591803278688</v>
      </c>
      <c r="D33" s="221" t="n">
        <f aca="false">+D35</f>
        <v>0.0971918032786884</v>
      </c>
      <c r="E33" s="191" t="n">
        <f aca="false">+E35</f>
        <v>0.22638228379513</v>
      </c>
      <c r="F33" s="191" t="n">
        <f aca="false">+F35</f>
        <v>0.295832083510865</v>
      </c>
      <c r="G33" s="191" t="n">
        <f aca="false">+G35</f>
        <v>0.343450995158688</v>
      </c>
      <c r="H33" s="218" t="n">
        <f aca="false">ROUND(+F33*0.6+G33*0.4,3)</f>
        <v>0.315</v>
      </c>
      <c r="I33" s="180"/>
      <c r="J33" s="219" t="n">
        <f aca="false">SUM(Rates!N37)</f>
        <v>0.594794162760971</v>
      </c>
      <c r="K33" s="220" t="n">
        <f aca="false">SUM(Rates!N42)</f>
        <v>0.729981549220011</v>
      </c>
      <c r="L33" s="180"/>
    </row>
    <row r="34" customFormat="false" ht="12.75" hidden="false" customHeight="false" outlineLevel="0" collapsed="false">
      <c r="A34" s="217" t="s">
        <v>337</v>
      </c>
      <c r="B34" s="191"/>
      <c r="C34" s="191" t="n">
        <f aca="false">+Rates!K52</f>
        <v>0.113441718043568</v>
      </c>
      <c r="D34" s="191" t="n">
        <f aca="false">+Rates!K47</f>
        <v>0.07667877459476</v>
      </c>
      <c r="E34" s="191" t="n">
        <f aca="false">+Rates!K57</f>
        <v>0.237678947368421</v>
      </c>
      <c r="F34" s="191" t="n">
        <f aca="false">+Rates!K62</f>
        <v>0.30741452991453</v>
      </c>
      <c r="G34" s="191" t="n">
        <f aca="false">+Rates!K67</f>
        <v>0.355230473723967</v>
      </c>
      <c r="H34" s="218" t="n">
        <f aca="false">ROUND(+F34*0.6+G34*0.4,3)</f>
        <v>0.327</v>
      </c>
      <c r="I34" s="180"/>
      <c r="J34" s="219" t="n">
        <f aca="false">SUM(Rates!N27)</f>
        <v>0.63571452991453</v>
      </c>
      <c r="K34" s="220" t="n">
        <f aca="false">SUM(Rates!N32)</f>
        <v>0.773230473723967</v>
      </c>
      <c r="L34" s="180"/>
    </row>
    <row r="35" customFormat="false" ht="12.75" hidden="false" customHeight="false" outlineLevel="0" collapsed="false">
      <c r="A35" s="217" t="s">
        <v>460</v>
      </c>
      <c r="B35" s="191"/>
      <c r="C35" s="191" t="n">
        <f aca="false">+Rates!K87</f>
        <v>0.102591803278688</v>
      </c>
      <c r="D35" s="191" t="n">
        <f aca="false">+Rates!K77</f>
        <v>0.0971918032786884</v>
      </c>
      <c r="E35" s="191" t="n">
        <f aca="false">+Rates!K97</f>
        <v>0.22638228379513</v>
      </c>
      <c r="F35" s="191" t="n">
        <f aca="false">+Rates!K102</f>
        <v>0.295832083510865</v>
      </c>
      <c r="G35" s="191" t="n">
        <f aca="false">+Rates!K107</f>
        <v>0.343450995158688</v>
      </c>
      <c r="H35" s="218" t="n">
        <f aca="false">ROUND(+F35*0.6+G35*0.4,3)</f>
        <v>0.315</v>
      </c>
      <c r="I35" s="180"/>
      <c r="J35" s="219" t="n">
        <f aca="false">SUM(Rates!N37)</f>
        <v>0.594794162760971</v>
      </c>
      <c r="K35" s="220" t="n">
        <f aca="false">SUM(Rates!N42)</f>
        <v>0.729981549220011</v>
      </c>
      <c r="L35" s="180"/>
    </row>
    <row r="36" customFormat="false" ht="12.75" hidden="false" customHeight="false" outlineLevel="0" collapsed="false">
      <c r="A36" s="222" t="s">
        <v>461</v>
      </c>
      <c r="B36" s="180"/>
      <c r="C36" s="180"/>
      <c r="D36" s="180"/>
      <c r="E36" s="223" t="n">
        <f aca="false">+Rates!K112</f>
        <v>0.13153447993448</v>
      </c>
      <c r="F36" s="191" t="n">
        <f aca="false">+Rates!K117</f>
        <v>0.199900706273369</v>
      </c>
      <c r="G36" s="191" t="n">
        <f aca="false">+Rates!K122</f>
        <v>0.246762087047719</v>
      </c>
      <c r="H36" s="191" t="n">
        <f aca="false">ROUND(+F36*0.6+G36*0.4,3)</f>
        <v>0.219</v>
      </c>
      <c r="I36" s="180"/>
      <c r="J36" s="219" t="n">
        <f aca="false">SUM(Rates!N47)</f>
        <v>0.445100706273369</v>
      </c>
      <c r="K36" s="220" t="n">
        <f aca="false">SUM(Rates!N52)</f>
        <v>0.581662087047719</v>
      </c>
    </row>
    <row r="37" customFormat="false" ht="12.75" hidden="false" customHeight="false" outlineLevel="0" collapsed="false">
      <c r="A37" s="222" t="s">
        <v>330</v>
      </c>
      <c r="B37" s="180"/>
      <c r="C37" s="180"/>
      <c r="D37" s="180"/>
      <c r="E37" s="223"/>
      <c r="F37" s="191" t="n">
        <f aca="false">+Rates!K127</f>
        <v>0.159419141914192</v>
      </c>
      <c r="G37" s="191" t="n">
        <f aca="false">+Rates!K132</f>
        <v>0.213616029580252</v>
      </c>
      <c r="H37" s="218" t="n">
        <f aca="false">ROUND(+F37*0.6+G37*0.4,3)</f>
        <v>0.181</v>
      </c>
      <c r="I37" s="180"/>
      <c r="J37" s="219"/>
      <c r="K37" s="220" t="n">
        <f aca="false">SUM(Rates!N57)</f>
        <v>0.484416029580252</v>
      </c>
    </row>
    <row r="38" customFormat="false" ht="12.75" hidden="false" customHeight="false" outlineLevel="0" collapsed="false">
      <c r="A38" s="224" t="s">
        <v>198</v>
      </c>
      <c r="B38" s="225"/>
      <c r="C38" s="225"/>
      <c r="D38" s="225"/>
      <c r="E38" s="226"/>
      <c r="F38" s="225"/>
      <c r="G38" s="227" t="n">
        <f aca="false">+Rates!K137</f>
        <v>0.12096160164271</v>
      </c>
      <c r="H38" s="228"/>
      <c r="I38" s="225"/>
      <c r="J38" s="229"/>
      <c r="K38" s="230" t="n">
        <f aca="false">SUM(Rates!N62)</f>
        <v>0.293228747433265</v>
      </c>
    </row>
    <row r="39" customFormat="false" ht="12.75" hidden="false" customHeight="false" outlineLevel="0" collapsed="false">
      <c r="A39" s="231"/>
      <c r="E39" s="223"/>
      <c r="G39" s="191"/>
      <c r="H39" s="232"/>
      <c r="J39" s="219"/>
      <c r="K39" s="219"/>
    </row>
    <row r="40" customFormat="false" ht="12.75" hidden="false" customHeight="false" outlineLevel="0" collapsed="false">
      <c r="F40" s="114" t="s">
        <v>462</v>
      </c>
    </row>
    <row r="41" customFormat="false" ht="12.75" hidden="false" customHeight="false" outlineLevel="0" collapsed="false">
      <c r="A41" s="195" t="s">
        <v>463</v>
      </c>
      <c r="B41" s="233" t="s">
        <v>464</v>
      </c>
      <c r="C41" s="233" t="s">
        <v>465</v>
      </c>
      <c r="D41" s="233" t="s">
        <v>466</v>
      </c>
      <c r="E41" s="234" t="s">
        <v>467</v>
      </c>
      <c r="G41" s="1" t="s">
        <v>468</v>
      </c>
      <c r="H41" s="1" t="s">
        <v>469</v>
      </c>
      <c r="I41" s="187" t="s">
        <v>470</v>
      </c>
      <c r="J41" s="187" t="s">
        <v>471</v>
      </c>
    </row>
    <row r="42" customFormat="false" ht="12.75" hidden="false" customHeight="false" outlineLevel="0" collapsed="false">
      <c r="A42" s="203"/>
      <c r="B42" s="235" t="n">
        <f aca="false">+Rates!Q17</f>
        <v>0.0630649746192894</v>
      </c>
      <c r="C42" s="235" t="n">
        <f aca="false">SUM(Rates!Q22)</f>
        <v>0.0650649746192894</v>
      </c>
      <c r="D42" s="235" t="n">
        <f aca="false">SUM(Rates!Q27)</f>
        <v>0.0960847492323438</v>
      </c>
      <c r="E42" s="236" t="n">
        <f aca="false">SUM(Rates!Q32)</f>
        <v>0.113952361396304</v>
      </c>
      <c r="F42" s="237" t="s">
        <v>472</v>
      </c>
      <c r="G42" s="191" t="n">
        <f aca="false">+Rates!AF17</f>
        <v>0.0232901583483663</v>
      </c>
      <c r="H42" s="209" t="n">
        <f aca="false">0.0075+G47</f>
        <v>0.0075</v>
      </c>
      <c r="I42" s="238" t="n">
        <f aca="false">+Rates!AF35</f>
        <v>0.0823203743261112</v>
      </c>
      <c r="J42" s="191" t="n">
        <f aca="false">+Rates!AF23</f>
        <v>0.127756309083436</v>
      </c>
    </row>
    <row r="43" customFormat="false" ht="12.75" hidden="false" customHeight="false" outlineLevel="0" collapsed="false">
      <c r="F43" s="1" t="n">
        <v>1</v>
      </c>
      <c r="J43" s="239" t="n">
        <f aca="false">SUM(Rates!AF29)</f>
        <v>0.124956309083436</v>
      </c>
    </row>
    <row r="44" customFormat="false" ht="12.75" hidden="false" customHeight="false" outlineLevel="0" collapsed="false">
      <c r="I44" s="195" t="s">
        <v>473</v>
      </c>
      <c r="J44" s="211"/>
      <c r="K44" s="211"/>
      <c r="L44" s="240"/>
      <c r="M44" s="180"/>
    </row>
    <row r="45" customFormat="false" ht="13.5" hidden="false" customHeight="false" outlineLevel="0" collapsed="false">
      <c r="A45" s="114" t="s">
        <v>474</v>
      </c>
      <c r="F45" s="114"/>
      <c r="I45" s="200"/>
      <c r="J45" s="241" t="s">
        <v>475</v>
      </c>
      <c r="K45" s="180"/>
      <c r="L45" s="242" t="s">
        <v>476</v>
      </c>
      <c r="M45" s="180"/>
    </row>
    <row r="46" customFormat="false" ht="13.5" hidden="false" customHeight="false" outlineLevel="0" collapsed="false">
      <c r="A46" s="190"/>
      <c r="B46" s="187" t="s">
        <v>477</v>
      </c>
      <c r="C46" s="187" t="s">
        <v>478</v>
      </c>
      <c r="D46" s="187" t="s">
        <v>159</v>
      </c>
      <c r="E46" s="187"/>
      <c r="I46" s="243" t="n">
        <v>41101</v>
      </c>
      <c r="J46" s="244" t="s">
        <v>479</v>
      </c>
      <c r="K46" s="245" t="n">
        <v>20500</v>
      </c>
      <c r="L46" s="244" t="s">
        <v>480</v>
      </c>
      <c r="M46" s="200"/>
    </row>
    <row r="47" customFormat="false" ht="12.75" hidden="false" customHeight="false" outlineLevel="0" collapsed="false">
      <c r="A47" s="193" t="s">
        <v>477</v>
      </c>
      <c r="B47" s="191" t="n">
        <f aca="false">+Rates!T32</f>
        <v>0.105574136873951</v>
      </c>
      <c r="C47" s="191" t="n">
        <f aca="false">+C48+B47</f>
        <v>0.163015932723338</v>
      </c>
      <c r="D47" s="191" t="n">
        <f aca="false">SUM(Rates!T27,Rates!T37,Rates!T32)</f>
        <v>0.280314930785433</v>
      </c>
      <c r="E47" s="191"/>
      <c r="F47" s="237"/>
      <c r="G47" s="191"/>
      <c r="H47" s="209"/>
      <c r="I47" s="246"/>
      <c r="J47" s="247"/>
      <c r="K47" s="248" t="n">
        <v>20550</v>
      </c>
      <c r="L47" s="247" t="s">
        <v>481</v>
      </c>
      <c r="M47" s="200"/>
    </row>
    <row r="48" customFormat="false" ht="12.75" hidden="false" customHeight="false" outlineLevel="0" collapsed="false">
      <c r="A48" s="193" t="s">
        <v>478</v>
      </c>
      <c r="B48" s="191"/>
      <c r="C48" s="191" t="n">
        <f aca="false">+Rates!T37</f>
        <v>0.057441795849387</v>
      </c>
      <c r="D48" s="191" t="n">
        <f aca="false">+Rates!T37+Rates!T27</f>
        <v>0.174740793911482</v>
      </c>
      <c r="E48" s="191"/>
      <c r="I48" s="246"/>
      <c r="J48" s="247"/>
      <c r="K48" s="248" t="n">
        <v>20600</v>
      </c>
      <c r="L48" s="247" t="s">
        <v>482</v>
      </c>
      <c r="M48" s="200"/>
    </row>
    <row r="49" customFormat="false" ht="12.75" hidden="false" customHeight="false" outlineLevel="0" collapsed="false">
      <c r="A49" s="193" t="s">
        <v>483</v>
      </c>
      <c r="B49" s="191"/>
      <c r="C49" s="191"/>
      <c r="D49" s="191" t="n">
        <f aca="false">+Rates!T27</f>
        <v>0.117298998062095</v>
      </c>
      <c r="E49" s="191"/>
      <c r="F49" s="191"/>
      <c r="G49" s="191"/>
      <c r="I49" s="246"/>
      <c r="J49" s="247"/>
      <c r="K49" s="248" t="n">
        <v>20700</v>
      </c>
      <c r="L49" s="247" t="s">
        <v>484</v>
      </c>
      <c r="M49" s="200"/>
    </row>
    <row r="50" customFormat="false" ht="12.75" hidden="false" customHeight="false" outlineLevel="0" collapsed="false">
      <c r="A50" s="249"/>
      <c r="B50" s="191" t="s">
        <v>485</v>
      </c>
      <c r="C50" s="191"/>
      <c r="D50" s="191"/>
      <c r="E50" s="191"/>
      <c r="F50" s="191"/>
      <c r="G50" s="191"/>
      <c r="I50" s="246"/>
      <c r="J50" s="247"/>
      <c r="K50" s="248" t="n">
        <v>21100</v>
      </c>
      <c r="L50" s="247" t="s">
        <v>486</v>
      </c>
      <c r="M50" s="200"/>
    </row>
    <row r="51" customFormat="false" ht="12.75" hidden="false" customHeight="false" outlineLevel="0" collapsed="false">
      <c r="I51" s="246"/>
      <c r="J51" s="247"/>
      <c r="K51" s="248"/>
      <c r="L51" s="247"/>
      <c r="M51" s="200"/>
    </row>
    <row r="52" customFormat="false" ht="13.5" hidden="false" customHeight="false" outlineLevel="0" collapsed="false">
      <c r="F52" s="180"/>
      <c r="I52" s="246" t="n">
        <v>40206</v>
      </c>
      <c r="J52" s="247" t="s">
        <v>487</v>
      </c>
      <c r="K52" s="248" t="n">
        <v>40301</v>
      </c>
      <c r="L52" s="247" t="s">
        <v>488</v>
      </c>
      <c r="M52" s="200"/>
    </row>
    <row r="53" customFormat="false" ht="13.5" hidden="false" customHeight="false" outlineLevel="0" collapsed="false">
      <c r="A53" s="250" t="s">
        <v>489</v>
      </c>
      <c r="B53" s="251"/>
      <c r="C53" s="251"/>
      <c r="D53" s="251"/>
      <c r="E53" s="252"/>
      <c r="F53" s="253" t="str">
        <f aca="false">Rates!A2</f>
        <v>Gas Daily </v>
      </c>
      <c r="G53" s="254" t="str">
        <f aca="false">Rates!B2</f>
        <v>Even</v>
      </c>
      <c r="H53" s="180"/>
      <c r="I53" s="246"/>
      <c r="J53" s="247"/>
      <c r="K53" s="248"/>
      <c r="L53" s="247"/>
      <c r="M53" s="200"/>
    </row>
    <row r="54" customFormat="false" ht="12.75" hidden="false" customHeight="false" outlineLevel="0" collapsed="false">
      <c r="A54" s="232" t="s">
        <v>490</v>
      </c>
      <c r="B54" s="223" t="n">
        <f aca="false">+Rates!B6</f>
        <v>3.07</v>
      </c>
      <c r="D54" s="237" t="s">
        <v>491</v>
      </c>
      <c r="E54" s="223" t="n">
        <f aca="false">Rates!T3</f>
        <v>3.125</v>
      </c>
      <c r="F54" s="180"/>
      <c r="I54" s="246" t="n">
        <v>40120</v>
      </c>
      <c r="J54" s="247" t="s">
        <v>492</v>
      </c>
      <c r="K54" s="248" t="n">
        <v>21100</v>
      </c>
      <c r="L54" s="247" t="s">
        <v>486</v>
      </c>
      <c r="M54" s="200"/>
    </row>
    <row r="55" customFormat="false" ht="12.75" hidden="false" customHeight="false" outlineLevel="0" collapsed="false">
      <c r="A55" s="187" t="s">
        <v>493</v>
      </c>
      <c r="B55" s="255" t="n">
        <f aca="false">+Rates!B5</f>
        <v>3.125</v>
      </c>
      <c r="C55" s="187"/>
      <c r="D55" s="193" t="s">
        <v>494</v>
      </c>
      <c r="E55" s="223" t="n">
        <f aca="false">Rates!T4</f>
        <v>3.185</v>
      </c>
      <c r="F55" s="180"/>
      <c r="I55" s="246"/>
      <c r="J55" s="247"/>
      <c r="K55" s="248" t="n">
        <v>20100</v>
      </c>
      <c r="L55" s="247" t="s">
        <v>495</v>
      </c>
      <c r="M55" s="200"/>
    </row>
    <row r="56" customFormat="false" ht="12.75" hidden="false" customHeight="false" outlineLevel="0" collapsed="false">
      <c r="A56" s="187" t="s">
        <v>496</v>
      </c>
      <c r="B56" s="223" t="n">
        <f aca="false">Rates!B4</f>
        <v>3.01</v>
      </c>
      <c r="C56" s="191"/>
      <c r="D56" s="194" t="s">
        <v>497</v>
      </c>
      <c r="E56" s="223" t="n">
        <f aca="false">+Rates!AF3</f>
        <v>3.125</v>
      </c>
      <c r="I56" s="246"/>
      <c r="J56" s="247"/>
      <c r="K56" s="248"/>
      <c r="L56" s="247"/>
      <c r="M56" s="200"/>
    </row>
    <row r="57" customFormat="false" ht="12.75" hidden="false" customHeight="false" outlineLevel="0" collapsed="false">
      <c r="A57" s="232" t="s">
        <v>498</v>
      </c>
      <c r="B57" s="223" t="n">
        <f aca="false">Rates!B3</f>
        <v>3.16</v>
      </c>
      <c r="C57" s="191"/>
      <c r="D57" s="1" t="s">
        <v>499</v>
      </c>
      <c r="E57" s="223" t="n">
        <f aca="false">+Rates!H4</f>
        <v>3.095</v>
      </c>
      <c r="I57" s="246" t="n">
        <v>40103</v>
      </c>
      <c r="J57" s="247" t="s">
        <v>500</v>
      </c>
      <c r="K57" s="248" t="n">
        <v>20500</v>
      </c>
      <c r="L57" s="247" t="s">
        <v>480</v>
      </c>
      <c r="M57" s="200"/>
    </row>
    <row r="58" customFormat="false" ht="12.75" hidden="false" customHeight="false" outlineLevel="0" collapsed="false">
      <c r="A58" s="232" t="s">
        <v>501</v>
      </c>
      <c r="B58" s="223" t="n">
        <f aca="false">Rates!B7</f>
        <v>3.56</v>
      </c>
      <c r="C58" s="191"/>
      <c r="D58" s="237" t="s">
        <v>502</v>
      </c>
      <c r="E58" s="223" t="n">
        <f aca="false">+Rates!H5</f>
        <v>3.325</v>
      </c>
      <c r="I58" s="246"/>
      <c r="J58" s="247"/>
      <c r="K58" s="248" t="n">
        <v>20550</v>
      </c>
      <c r="L58" s="247" t="s">
        <v>481</v>
      </c>
      <c r="M58" s="200"/>
    </row>
    <row r="59" customFormat="false" ht="12.75" hidden="false" customHeight="false" outlineLevel="0" collapsed="false">
      <c r="A59" s="187" t="s">
        <v>326</v>
      </c>
      <c r="B59" s="223" t="n">
        <f aca="false">Rates!K5</f>
        <v>3.02</v>
      </c>
      <c r="D59" s="194" t="s">
        <v>503</v>
      </c>
      <c r="E59" s="223" t="n">
        <f aca="false">Rates!Z3</f>
        <v>3.355</v>
      </c>
      <c r="I59" s="246"/>
      <c r="J59" s="247"/>
      <c r="K59" s="248" t="n">
        <v>20600</v>
      </c>
      <c r="L59" s="247" t="s">
        <v>482</v>
      </c>
      <c r="M59" s="200"/>
    </row>
    <row r="60" customFormat="false" ht="12.75" hidden="false" customHeight="false" outlineLevel="0" collapsed="false">
      <c r="A60" s="187" t="s">
        <v>504</v>
      </c>
      <c r="B60" s="223" t="n">
        <f aca="false">Rates!K4</f>
        <v>3.07</v>
      </c>
      <c r="D60" s="194" t="s">
        <v>46</v>
      </c>
      <c r="E60" s="223" t="n">
        <f aca="false">Rates!W3</f>
        <v>3.35</v>
      </c>
      <c r="I60" s="246"/>
      <c r="J60" s="247"/>
      <c r="K60" s="248" t="n">
        <v>20700</v>
      </c>
      <c r="L60" s="247" t="s">
        <v>484</v>
      </c>
      <c r="M60" s="200"/>
    </row>
    <row r="61" customFormat="false" ht="12.75" hidden="false" customHeight="false" outlineLevel="0" collapsed="false">
      <c r="A61" s="232" t="s">
        <v>505</v>
      </c>
      <c r="B61" s="223" t="n">
        <f aca="false">Rates!K3</f>
        <v>3.07</v>
      </c>
      <c r="D61" s="237" t="s">
        <v>84</v>
      </c>
      <c r="E61" s="223" t="n">
        <f aca="false">Rates!AI3</f>
        <v>3.325</v>
      </c>
      <c r="I61" s="246"/>
      <c r="J61" s="247"/>
      <c r="K61" s="248" t="n">
        <v>21100</v>
      </c>
      <c r="L61" s="247" t="s">
        <v>486</v>
      </c>
      <c r="M61" s="200"/>
    </row>
    <row r="62" customFormat="false" ht="12.75" hidden="false" customHeight="false" outlineLevel="0" collapsed="false">
      <c r="A62" s="232" t="s">
        <v>461</v>
      </c>
      <c r="B62" s="223" t="n">
        <f aca="false">Rates!K6</f>
        <v>3.155</v>
      </c>
      <c r="E62" s="223"/>
      <c r="I62" s="246"/>
      <c r="J62" s="247"/>
      <c r="K62" s="248" t="n">
        <v>20100</v>
      </c>
      <c r="L62" s="247" t="s">
        <v>495</v>
      </c>
      <c r="M62" s="200"/>
    </row>
    <row r="63" customFormat="false" ht="12.75" hidden="false" customHeight="false" outlineLevel="0" collapsed="false">
      <c r="A63" s="232" t="s">
        <v>198</v>
      </c>
      <c r="B63" s="223" t="n">
        <f aca="false">Rates!K7</f>
        <v>3.485</v>
      </c>
      <c r="E63" s="223"/>
      <c r="I63" s="246"/>
      <c r="J63" s="247"/>
      <c r="K63" s="248" t="n">
        <v>20200</v>
      </c>
      <c r="L63" s="247" t="s">
        <v>506</v>
      </c>
      <c r="M63" s="200"/>
    </row>
    <row r="64" customFormat="false" ht="12.75" hidden="false" customHeight="false" outlineLevel="0" collapsed="false">
      <c r="I64" s="246"/>
      <c r="J64" s="256"/>
      <c r="K64" s="248"/>
      <c r="L64" s="257"/>
      <c r="M64" s="180"/>
    </row>
    <row r="65" customFormat="false" ht="12.75" hidden="false" customHeight="false" outlineLevel="0" collapsed="false">
      <c r="I65" s="246" t="n">
        <v>40114</v>
      </c>
      <c r="J65" s="247" t="s">
        <v>507</v>
      </c>
      <c r="K65" s="248" t="n">
        <v>20500</v>
      </c>
      <c r="L65" s="257" t="s">
        <v>480</v>
      </c>
      <c r="M65" s="180"/>
    </row>
    <row r="66" customFormat="false" ht="12.75" hidden="false" customHeight="false" outlineLevel="0" collapsed="false">
      <c r="I66" s="246"/>
      <c r="J66" s="247"/>
      <c r="K66" s="248" t="n">
        <v>20600</v>
      </c>
      <c r="L66" s="257" t="s">
        <v>482</v>
      </c>
      <c r="M66" s="180"/>
    </row>
    <row r="67" customFormat="false" ht="12.75" hidden="false" customHeight="false" outlineLevel="0" collapsed="false">
      <c r="I67" s="246"/>
      <c r="J67" s="247"/>
      <c r="K67" s="248" t="n">
        <v>20700</v>
      </c>
      <c r="L67" s="257" t="s">
        <v>484</v>
      </c>
      <c r="M67" s="180"/>
    </row>
    <row r="68" customFormat="false" ht="12.75" hidden="false" customHeight="false" outlineLevel="0" collapsed="false">
      <c r="I68" s="246"/>
      <c r="J68" s="247"/>
      <c r="K68" s="248" t="n">
        <v>21100</v>
      </c>
      <c r="L68" s="257" t="s">
        <v>486</v>
      </c>
      <c r="M68" s="180"/>
    </row>
    <row r="69" customFormat="false" ht="12.75" hidden="false" customHeight="false" outlineLevel="0" collapsed="false">
      <c r="I69" s="246"/>
      <c r="J69" s="247"/>
      <c r="K69" s="248" t="n">
        <v>20100</v>
      </c>
      <c r="L69" s="257" t="s">
        <v>495</v>
      </c>
      <c r="M69" s="180"/>
    </row>
    <row r="70" customFormat="false" ht="12.75" hidden="false" customHeight="false" outlineLevel="0" collapsed="false">
      <c r="I70" s="246"/>
      <c r="J70" s="247"/>
      <c r="K70" s="248" t="n">
        <v>20200</v>
      </c>
      <c r="L70" s="257" t="s">
        <v>506</v>
      </c>
      <c r="M70" s="180"/>
    </row>
    <row r="71" customFormat="false" ht="12.75" hidden="false" customHeight="false" outlineLevel="0" collapsed="false">
      <c r="I71" s="258"/>
      <c r="J71" s="259"/>
      <c r="K71" s="260"/>
      <c r="L71" s="261"/>
      <c r="M71" s="180"/>
    </row>
    <row r="72" customFormat="false" ht="12.75" hidden="false" customHeight="false" outlineLevel="0" collapsed="false">
      <c r="I72" s="247"/>
      <c r="J72" s="247"/>
      <c r="K72" s="247"/>
      <c r="L72" s="247"/>
      <c r="M72" s="180"/>
    </row>
    <row r="73" customFormat="false" ht="12.75" hidden="false" customHeight="false" outlineLevel="0" collapsed="false">
      <c r="I73" s="247"/>
      <c r="J73" s="247"/>
      <c r="K73" s="247"/>
      <c r="L73" s="247"/>
      <c r="M73" s="180"/>
    </row>
    <row r="74" customFormat="false" ht="12.75" hidden="false" customHeight="false" outlineLevel="0" collapsed="false">
      <c r="I74" s="247"/>
      <c r="J74" s="247"/>
      <c r="K74" s="247"/>
      <c r="L74" s="247"/>
      <c r="M74" s="180"/>
    </row>
    <row r="75" customFormat="false" ht="12.75" hidden="false" customHeight="false" outlineLevel="0" collapsed="false">
      <c r="I75" s="262"/>
      <c r="J75" s="262"/>
      <c r="K75" s="262"/>
      <c r="L75" s="262"/>
    </row>
    <row r="76" customFormat="false" ht="12.75" hidden="false" customHeight="false" outlineLevel="0" collapsed="false">
      <c r="I76" s="262"/>
      <c r="J76" s="262"/>
      <c r="K76" s="262"/>
      <c r="L76" s="262"/>
    </row>
    <row r="77" customFormat="false" ht="12.75" hidden="false" customHeight="false" outlineLevel="0" collapsed="false">
      <c r="I77" s="262"/>
      <c r="J77" s="262"/>
      <c r="K77" s="262"/>
      <c r="L77" s="262"/>
    </row>
    <row r="78" customFormat="false" ht="12.75" hidden="false" customHeight="false" outlineLevel="0" collapsed="false">
      <c r="I78" s="262"/>
      <c r="J78" s="262"/>
      <c r="K78" s="262"/>
      <c r="L78" s="262"/>
    </row>
    <row r="79" customFormat="false" ht="12.75" hidden="false" customHeight="false" outlineLevel="0" collapsed="false">
      <c r="I79" s="262"/>
      <c r="J79" s="262"/>
      <c r="K79" s="262"/>
      <c r="L79" s="2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&amp;C&amp;14April 2000 Rates Using Current Cash Prices</oddHeader>
    <oddFooter>&amp;L&amp;D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3"/>
  <sheetViews>
    <sheetView showFormulas="false" showGridLines="true" showRowColHeaders="true" showZeros="true" rightToLeft="false" tabSelected="true" showOutlineSymbols="true" defaultGridColor="true" view="normal" topLeftCell="L1" colorId="64" zoomScale="100" zoomScaleNormal="100" zoomScalePageLayoutView="100" workbookViewId="0">
      <pane xSplit="0" ySplit="7" topLeftCell="BM8" activePane="bottomLeft" state="frozen"/>
      <selection pane="topLeft" activeCell="L1" activeCellId="0" sqref="L1"/>
      <selection pane="bottomLeft" activeCell="W17" activeCellId="0" sqref="W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11.85"/>
    <col collapsed="false" customWidth="true" hidden="false" outlineLevel="0" max="2" min="2" style="27" width="10.85"/>
    <col collapsed="false" customWidth="true" hidden="false" outlineLevel="0" max="3" min="3" style="27" width="3.99"/>
    <col collapsed="false" customWidth="true" hidden="false" outlineLevel="0" max="4" min="4" style="27" width="11.85"/>
    <col collapsed="false" customWidth="true" hidden="false" outlineLevel="0" max="5" min="5" style="27" width="11.99"/>
    <col collapsed="false" customWidth="true" hidden="false" outlineLevel="0" max="6" min="6" style="27" width="2.84"/>
    <col collapsed="false" customWidth="true" hidden="false" outlineLevel="0" max="8" min="7" style="141" width="10.85"/>
    <col collapsed="false" customWidth="true" hidden="false" outlineLevel="0" max="9" min="9" style="27" width="2.84"/>
    <col collapsed="false" customWidth="true" hidden="false" outlineLevel="0" max="11" min="10" style="141" width="10.85"/>
    <col collapsed="false" customWidth="true" hidden="false" outlineLevel="0" max="12" min="12" style="27" width="2.84"/>
    <col collapsed="false" customWidth="true" hidden="false" outlineLevel="0" max="14" min="13" style="141" width="10.85"/>
    <col collapsed="false" customWidth="true" hidden="false" outlineLevel="0" max="15" min="15" style="27" width="2.84"/>
    <col collapsed="false" customWidth="true" hidden="false" outlineLevel="0" max="17" min="16" style="136" width="10.85"/>
    <col collapsed="false" customWidth="true" hidden="false" outlineLevel="0" max="18" min="18" style="136" width="2.84"/>
    <col collapsed="false" customWidth="true" hidden="false" outlineLevel="0" max="20" min="19" style="27" width="10.85"/>
    <col collapsed="false" customWidth="true" hidden="false" outlineLevel="0" max="21" min="21" style="27" width="2.84"/>
    <col collapsed="false" customWidth="true" hidden="false" outlineLevel="0" max="23" min="22" style="27" width="10.85"/>
    <col collapsed="false" customWidth="true" hidden="false" outlineLevel="0" max="24" min="24" style="27" width="2.84"/>
    <col collapsed="false" customWidth="true" hidden="false" outlineLevel="0" max="26" min="25" style="27" width="10.85"/>
    <col collapsed="false" customWidth="true" hidden="false" outlineLevel="0" max="27" min="27" style="27" width="3.42"/>
    <col collapsed="false" customWidth="false" hidden="false" outlineLevel="0" max="29" min="28" style="141" width="9.14"/>
    <col collapsed="false" customWidth="true" hidden="false" outlineLevel="0" max="30" min="30" style="27" width="3.42"/>
    <col collapsed="false" customWidth="false" hidden="false" outlineLevel="0" max="32" min="31" style="263" width="9.14"/>
    <col collapsed="false" customWidth="true" hidden="false" outlineLevel="0" max="33" min="33" style="27" width="3.42"/>
    <col collapsed="false" customWidth="false" hidden="false" outlineLevel="0" max="35" min="34" style="27" width="9.14"/>
    <col collapsed="false" customWidth="true" hidden="false" outlineLevel="0" max="36" min="36" style="27" width="3.42"/>
    <col collapsed="false" customWidth="false" hidden="false" outlineLevel="0" max="38" min="37" style="27" width="9.14"/>
    <col collapsed="false" customWidth="true" hidden="false" outlineLevel="0" max="39" min="39" style="27" width="3.42"/>
    <col collapsed="false" customWidth="false" hidden="false" outlineLevel="0" max="257" min="40" style="27" width="9.14"/>
  </cols>
  <sheetData>
    <row r="1" customFormat="false" ht="13.5" hidden="false" customHeight="false" outlineLevel="0" collapsed="false">
      <c r="A1" s="264" t="n">
        <v>36635</v>
      </c>
      <c r="AK1" s="27" t="s">
        <v>508</v>
      </c>
    </row>
    <row r="2" customFormat="false" ht="13.5" hidden="false" customHeight="false" outlineLevel="0" collapsed="false">
      <c r="A2" s="265" t="s">
        <v>509</v>
      </c>
      <c r="B2" s="266" t="s">
        <v>510</v>
      </c>
      <c r="C2" s="265"/>
      <c r="D2" s="267"/>
      <c r="E2" s="268" t="s">
        <v>511</v>
      </c>
      <c r="F2" s="265"/>
      <c r="G2" s="269" t="s">
        <v>1</v>
      </c>
      <c r="H2" s="269"/>
      <c r="I2" s="269"/>
      <c r="J2" s="269"/>
      <c r="K2" s="270"/>
      <c r="L2" s="265"/>
      <c r="M2" s="269"/>
      <c r="N2" s="268" t="s">
        <v>511</v>
      </c>
      <c r="O2" s="265"/>
      <c r="P2" s="271"/>
      <c r="Q2" s="272"/>
      <c r="R2" s="271"/>
      <c r="S2" s="265"/>
      <c r="T2" s="273"/>
      <c r="U2" s="265"/>
      <c r="V2" s="265"/>
      <c r="W2" s="273"/>
      <c r="X2" s="265" t="s">
        <v>1</v>
      </c>
      <c r="Y2" s="265" t="s">
        <v>1</v>
      </c>
      <c r="Z2" s="265" t="s">
        <v>1</v>
      </c>
      <c r="AL2" s="274" t="s">
        <v>512</v>
      </c>
      <c r="AO2" s="274" t="s">
        <v>512</v>
      </c>
    </row>
    <row r="3" customFormat="false" ht="12.75" hidden="false" customHeight="false" outlineLevel="0" collapsed="false">
      <c r="A3" s="275" t="s">
        <v>513</v>
      </c>
      <c r="B3" s="276" t="n">
        <v>3.16</v>
      </c>
      <c r="C3" s="265"/>
      <c r="D3" s="275" t="s">
        <v>513</v>
      </c>
      <c r="E3" s="277" t="n">
        <f aca="false">+B3</f>
        <v>3.16</v>
      </c>
      <c r="F3" s="265"/>
      <c r="G3" s="278" t="s">
        <v>514</v>
      </c>
      <c r="H3" s="279" t="n">
        <v>3.03</v>
      </c>
      <c r="I3" s="265"/>
      <c r="J3" s="280" t="s">
        <v>515</v>
      </c>
      <c r="K3" s="281" t="n">
        <v>3.07</v>
      </c>
      <c r="L3" s="265"/>
      <c r="M3" s="280" t="s">
        <v>515</v>
      </c>
      <c r="N3" s="277" t="n">
        <v>2.87</v>
      </c>
      <c r="O3" s="265"/>
      <c r="P3" s="282" t="s">
        <v>516</v>
      </c>
      <c r="Q3" s="283" t="n">
        <v>3.13</v>
      </c>
      <c r="R3" s="271" t="s">
        <v>1</v>
      </c>
      <c r="S3" s="275" t="s">
        <v>517</v>
      </c>
      <c r="T3" s="284" t="n">
        <v>3.125</v>
      </c>
      <c r="U3" s="265" t="s">
        <v>1</v>
      </c>
      <c r="V3" s="275" t="s">
        <v>46</v>
      </c>
      <c r="W3" s="284" t="n">
        <v>3.35</v>
      </c>
      <c r="X3" s="265"/>
      <c r="Y3" s="275" t="s">
        <v>518</v>
      </c>
      <c r="Z3" s="284" t="n">
        <v>3.355</v>
      </c>
      <c r="AB3" s="280" t="s">
        <v>198</v>
      </c>
      <c r="AC3" s="285" t="n">
        <f aca="false">K7</f>
        <v>3.485</v>
      </c>
      <c r="AE3" s="286" t="s">
        <v>519</v>
      </c>
      <c r="AF3" s="287" t="n">
        <v>3.125</v>
      </c>
      <c r="AH3" s="275" t="s">
        <v>520</v>
      </c>
      <c r="AI3" s="284" t="n">
        <v>3.325</v>
      </c>
      <c r="AK3" s="275" t="s">
        <v>48</v>
      </c>
      <c r="AL3" s="288" t="n">
        <f aca="false">+Z3</f>
        <v>3.355</v>
      </c>
      <c r="AN3" s="275" t="s">
        <v>521</v>
      </c>
      <c r="AO3" s="288" t="n">
        <f aca="false">+H3</f>
        <v>3.03</v>
      </c>
    </row>
    <row r="4" customFormat="false" ht="12.75" hidden="false" customHeight="false" outlineLevel="0" collapsed="false">
      <c r="A4" s="275" t="s">
        <v>522</v>
      </c>
      <c r="B4" s="289" t="n">
        <v>3.01</v>
      </c>
      <c r="C4" s="187"/>
      <c r="D4" s="275" t="s">
        <v>522</v>
      </c>
      <c r="E4" s="277" t="n">
        <f aca="false">+B4</f>
        <v>3.01</v>
      </c>
      <c r="F4" s="187"/>
      <c r="G4" s="278" t="s">
        <v>523</v>
      </c>
      <c r="H4" s="290" t="n">
        <v>3.095</v>
      </c>
      <c r="I4" s="265"/>
      <c r="J4" s="280" t="s">
        <v>524</v>
      </c>
      <c r="K4" s="281" t="n">
        <v>3.07</v>
      </c>
      <c r="L4" s="265"/>
      <c r="M4" s="280" t="s">
        <v>524</v>
      </c>
      <c r="N4" s="277" t="n">
        <f aca="false">+K4</f>
        <v>3.07</v>
      </c>
      <c r="O4" s="265"/>
      <c r="P4" s="282"/>
      <c r="Q4" s="283"/>
      <c r="R4" s="271"/>
      <c r="S4" s="275" t="s">
        <v>525</v>
      </c>
      <c r="T4" s="284" t="n">
        <v>3.185</v>
      </c>
      <c r="U4" s="265"/>
      <c r="V4" s="275"/>
      <c r="W4" s="284" t="n">
        <f aca="false">+W17+W3</f>
        <v>3.44739757912816</v>
      </c>
      <c r="X4" s="265"/>
      <c r="Y4" s="265"/>
      <c r="Z4" s="265"/>
      <c r="AB4" s="291" t="s">
        <v>526</v>
      </c>
      <c r="AE4" s="286" t="s">
        <v>527</v>
      </c>
    </row>
    <row r="5" customFormat="false" ht="12.75" hidden="false" customHeight="false" outlineLevel="0" collapsed="false">
      <c r="A5" s="275" t="s">
        <v>528</v>
      </c>
      <c r="B5" s="292" t="n">
        <v>3.125</v>
      </c>
      <c r="C5" s="191"/>
      <c r="D5" s="275" t="s">
        <v>528</v>
      </c>
      <c r="E5" s="277" t="n">
        <f aca="false">+B5</f>
        <v>3.125</v>
      </c>
      <c r="F5" s="191"/>
      <c r="G5" s="278" t="s">
        <v>401</v>
      </c>
      <c r="H5" s="293" t="n">
        <v>3.325</v>
      </c>
      <c r="I5" s="265"/>
      <c r="J5" s="280" t="s">
        <v>529</v>
      </c>
      <c r="K5" s="281" t="n">
        <v>3.02</v>
      </c>
      <c r="L5" s="265"/>
      <c r="M5" s="280" t="s">
        <v>529</v>
      </c>
      <c r="N5" s="277" t="n">
        <f aca="false">+K5</f>
        <v>3.02</v>
      </c>
      <c r="O5" s="265"/>
      <c r="P5" s="282"/>
      <c r="Q5" s="272"/>
      <c r="R5" s="271"/>
      <c r="S5" s="275"/>
      <c r="T5" s="273"/>
      <c r="U5" s="265"/>
      <c r="V5" s="275"/>
      <c r="W5" s="273"/>
      <c r="X5" s="265"/>
      <c r="Y5" s="265"/>
      <c r="Z5" s="294"/>
    </row>
    <row r="6" customFormat="false" ht="12.75" hidden="false" customHeight="false" outlineLevel="0" collapsed="false">
      <c r="A6" s="295" t="s">
        <v>530</v>
      </c>
      <c r="B6" s="292" t="n">
        <v>3.07</v>
      </c>
      <c r="C6" s="191"/>
      <c r="D6" s="295" t="s">
        <v>530</v>
      </c>
      <c r="E6" s="277" t="n">
        <f aca="false">+B6</f>
        <v>3.07</v>
      </c>
      <c r="F6" s="191"/>
      <c r="G6" s="176"/>
      <c r="H6" s="176"/>
      <c r="I6" s="296"/>
      <c r="J6" s="278" t="s">
        <v>531</v>
      </c>
      <c r="K6" s="297" t="n">
        <v>3.155</v>
      </c>
      <c r="L6" s="296"/>
      <c r="M6" s="278" t="s">
        <v>531</v>
      </c>
      <c r="N6" s="277" t="n">
        <f aca="false">+K6</f>
        <v>3.155</v>
      </c>
      <c r="O6" s="296"/>
      <c r="P6" s="298"/>
      <c r="Q6" s="299"/>
      <c r="R6" s="300"/>
      <c r="S6" s="295"/>
      <c r="T6" s="301" t="n">
        <f aca="false">+T4-T3</f>
        <v>0.0600000000000001</v>
      </c>
      <c r="U6" s="296"/>
      <c r="V6" s="295"/>
      <c r="W6" s="301"/>
      <c r="X6" s="296"/>
      <c r="Y6" s="296"/>
      <c r="Z6" s="301"/>
      <c r="AA6" s="180"/>
      <c r="AB6" s="176"/>
      <c r="AC6" s="176"/>
      <c r="AD6" s="180"/>
      <c r="AE6" s="302"/>
      <c r="AF6" s="302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  <c r="FE6" s="180"/>
      <c r="FF6" s="180"/>
      <c r="FG6" s="180"/>
      <c r="FH6" s="180"/>
      <c r="FI6" s="180"/>
      <c r="FJ6" s="180"/>
      <c r="FK6" s="180"/>
      <c r="FL6" s="180"/>
      <c r="FM6" s="180"/>
      <c r="FN6" s="180"/>
      <c r="FO6" s="180"/>
      <c r="FP6" s="180"/>
      <c r="FQ6" s="180"/>
      <c r="FR6" s="180"/>
      <c r="FS6" s="180"/>
      <c r="FT6" s="180"/>
      <c r="FU6" s="180"/>
      <c r="FV6" s="180"/>
      <c r="FW6" s="180"/>
      <c r="FX6" s="180"/>
      <c r="FY6" s="180"/>
      <c r="FZ6" s="180"/>
      <c r="GA6" s="180"/>
      <c r="GB6" s="180"/>
      <c r="GC6" s="180"/>
      <c r="GD6" s="180"/>
      <c r="GE6" s="180"/>
      <c r="GF6" s="180"/>
      <c r="GG6" s="180"/>
      <c r="GH6" s="180"/>
      <c r="GI6" s="180"/>
      <c r="GJ6" s="180"/>
      <c r="GK6" s="180"/>
      <c r="GL6" s="180"/>
      <c r="GM6" s="180"/>
      <c r="GN6" s="180"/>
      <c r="GO6" s="180"/>
      <c r="GP6" s="180"/>
      <c r="GQ6" s="180"/>
      <c r="GR6" s="180"/>
      <c r="GS6" s="180"/>
      <c r="GT6" s="180"/>
      <c r="GU6" s="180"/>
      <c r="GV6" s="180"/>
      <c r="GW6" s="180"/>
      <c r="GX6" s="180"/>
      <c r="GY6" s="180"/>
      <c r="GZ6" s="180"/>
      <c r="HA6" s="180"/>
      <c r="HB6" s="180"/>
      <c r="HC6" s="180"/>
      <c r="HD6" s="180"/>
      <c r="HE6" s="180"/>
      <c r="HF6" s="180"/>
      <c r="HG6" s="180"/>
      <c r="HH6" s="180"/>
      <c r="HI6" s="180"/>
      <c r="HJ6" s="180"/>
      <c r="HK6" s="180"/>
      <c r="HL6" s="180"/>
      <c r="HM6" s="180"/>
      <c r="HN6" s="180"/>
      <c r="HO6" s="180"/>
      <c r="HP6" s="180"/>
      <c r="HQ6" s="180"/>
      <c r="HR6" s="180"/>
      <c r="HS6" s="180"/>
      <c r="HT6" s="180"/>
      <c r="HU6" s="180"/>
      <c r="HV6" s="180"/>
      <c r="HW6" s="180"/>
      <c r="HX6" s="180"/>
      <c r="HY6" s="180"/>
      <c r="HZ6" s="180"/>
      <c r="IA6" s="180"/>
      <c r="IB6" s="180"/>
      <c r="IC6" s="180"/>
      <c r="ID6" s="180"/>
      <c r="IE6" s="180"/>
      <c r="IF6" s="180"/>
      <c r="IG6" s="180"/>
      <c r="IH6" s="180"/>
      <c r="II6" s="180"/>
      <c r="IJ6" s="180"/>
      <c r="IK6" s="180"/>
      <c r="IL6" s="180"/>
      <c r="IM6" s="180"/>
      <c r="IN6" s="180"/>
      <c r="IO6" s="180"/>
      <c r="IP6" s="180"/>
      <c r="IQ6" s="180"/>
      <c r="IR6" s="180"/>
      <c r="IS6" s="180"/>
      <c r="IT6" s="180"/>
      <c r="IU6" s="180"/>
      <c r="IV6" s="180"/>
      <c r="IW6" s="180"/>
    </row>
    <row r="7" customFormat="false" ht="12.75" hidden="false" customHeight="false" outlineLevel="0" collapsed="false">
      <c r="A7" s="303" t="s">
        <v>532</v>
      </c>
      <c r="B7" s="292" t="n">
        <v>3.56</v>
      </c>
      <c r="C7" s="191"/>
      <c r="D7" s="303" t="s">
        <v>532</v>
      </c>
      <c r="E7" s="277" t="n">
        <f aca="false">+B7</f>
        <v>3.56</v>
      </c>
      <c r="F7" s="191"/>
      <c r="G7" s="304"/>
      <c r="H7" s="304"/>
      <c r="I7" s="305"/>
      <c r="J7" s="306" t="s">
        <v>198</v>
      </c>
      <c r="K7" s="307" t="n">
        <v>3.485</v>
      </c>
      <c r="L7" s="305"/>
      <c r="M7" s="306" t="s">
        <v>198</v>
      </c>
      <c r="N7" s="277" t="n">
        <f aca="false">+K7</f>
        <v>3.485</v>
      </c>
      <c r="O7" s="305"/>
      <c r="P7" s="308"/>
      <c r="Q7" s="309"/>
      <c r="R7" s="310"/>
      <c r="S7" s="303"/>
      <c r="T7" s="311"/>
      <c r="U7" s="305"/>
      <c r="V7" s="303"/>
      <c r="W7" s="311"/>
      <c r="X7" s="305"/>
      <c r="Y7" s="305"/>
      <c r="Z7" s="311"/>
      <c r="AA7" s="225"/>
      <c r="AB7" s="312"/>
      <c r="AC7" s="312"/>
      <c r="AD7" s="225"/>
      <c r="AE7" s="313"/>
      <c r="AF7" s="313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  <c r="IW7" s="225"/>
    </row>
    <row r="8" customFormat="false" ht="12.75" hidden="false" customHeight="false" outlineLevel="0" collapsed="false">
      <c r="A8" s="275" t="s">
        <v>533</v>
      </c>
      <c r="B8" s="191"/>
      <c r="C8" s="191"/>
      <c r="D8" s="191"/>
      <c r="E8" s="191"/>
      <c r="F8" s="191"/>
      <c r="G8" s="314" t="s">
        <v>534</v>
      </c>
      <c r="H8" s="315"/>
      <c r="I8" s="316"/>
      <c r="J8" s="317" t="s">
        <v>535</v>
      </c>
      <c r="K8" s="318"/>
      <c r="L8" s="265"/>
      <c r="M8" s="278" t="s">
        <v>536</v>
      </c>
      <c r="N8" s="297"/>
      <c r="O8" s="265"/>
      <c r="P8" s="282"/>
      <c r="Q8" s="272"/>
      <c r="R8" s="271"/>
      <c r="S8" s="275"/>
      <c r="T8" s="273"/>
      <c r="U8" s="265"/>
      <c r="V8" s="275" t="s">
        <v>537</v>
      </c>
      <c r="W8" s="273"/>
      <c r="X8" s="265"/>
      <c r="Y8" s="275" t="s">
        <v>538</v>
      </c>
      <c r="Z8" s="265"/>
      <c r="AB8" s="141" t="s">
        <v>539</v>
      </c>
      <c r="AE8" s="263" t="s">
        <v>540</v>
      </c>
      <c r="AH8" s="27" t="s">
        <v>541</v>
      </c>
      <c r="AK8" s="27" t="s">
        <v>542</v>
      </c>
    </row>
    <row r="9" customFormat="false" ht="12.75" hidden="false" customHeight="false" outlineLevel="0" collapsed="false">
      <c r="A9" s="295" t="s">
        <v>543</v>
      </c>
      <c r="B9" s="191"/>
      <c r="C9" s="191"/>
      <c r="D9" s="191"/>
      <c r="E9" s="191"/>
      <c r="F9" s="191"/>
      <c r="G9" s="315" t="s">
        <v>544</v>
      </c>
      <c r="H9" s="315"/>
      <c r="I9" s="319"/>
      <c r="J9" s="320" t="s">
        <v>545</v>
      </c>
      <c r="K9" s="318"/>
      <c r="L9" s="265"/>
      <c r="M9" s="96" t="s">
        <v>546</v>
      </c>
      <c r="N9" s="297"/>
      <c r="O9" s="265"/>
      <c r="P9" s="321" t="s">
        <v>547</v>
      </c>
      <c r="Q9" s="299"/>
      <c r="R9" s="300"/>
      <c r="S9" s="295" t="s">
        <v>548</v>
      </c>
      <c r="T9" s="301"/>
      <c r="U9" s="296"/>
      <c r="V9" s="295" t="s">
        <v>447</v>
      </c>
      <c r="W9" s="301"/>
      <c r="X9" s="265"/>
      <c r="Y9" s="275" t="s">
        <v>447</v>
      </c>
      <c r="Z9" s="265"/>
      <c r="AB9" s="141" t="s">
        <v>549</v>
      </c>
      <c r="AE9" s="263" t="s">
        <v>550</v>
      </c>
      <c r="AH9" s="27" t="s">
        <v>551</v>
      </c>
      <c r="AK9" s="27" t="s">
        <v>552</v>
      </c>
    </row>
    <row r="10" customFormat="false" ht="12.75" hidden="false" customHeight="false" outlineLevel="0" collapsed="false">
      <c r="A10" s="295"/>
      <c r="B10" s="191"/>
      <c r="C10" s="191"/>
      <c r="D10" s="191"/>
      <c r="E10" s="191"/>
      <c r="F10" s="191"/>
      <c r="G10" s="315" t="s">
        <v>553</v>
      </c>
      <c r="H10" s="315"/>
      <c r="I10" s="319"/>
      <c r="J10" s="322" t="s">
        <v>554</v>
      </c>
      <c r="K10" s="318"/>
      <c r="L10" s="265"/>
      <c r="M10" s="323" t="s">
        <v>554</v>
      </c>
      <c r="N10" s="297"/>
      <c r="O10" s="265"/>
      <c r="P10" s="321" t="s">
        <v>555</v>
      </c>
      <c r="Q10" s="299"/>
      <c r="R10" s="300"/>
      <c r="S10" s="295" t="s">
        <v>556</v>
      </c>
      <c r="T10" s="301"/>
      <c r="U10" s="296"/>
      <c r="V10" s="295" t="s">
        <v>557</v>
      </c>
      <c r="W10" s="301"/>
      <c r="X10" s="265"/>
      <c r="Y10" s="280" t="s">
        <v>558</v>
      </c>
      <c r="Z10" s="275"/>
      <c r="AB10" s="141" t="s">
        <v>559</v>
      </c>
      <c r="AE10" s="263" t="s">
        <v>560</v>
      </c>
      <c r="AH10" s="27" t="s">
        <v>561</v>
      </c>
      <c r="AK10" s="324" t="n">
        <v>36526</v>
      </c>
      <c r="AN10" s="324"/>
    </row>
    <row r="11" customFormat="false" ht="12.75" hidden="false" customHeight="false" outlineLevel="0" collapsed="false">
      <c r="A11" s="295"/>
      <c r="B11" s="1"/>
      <c r="C11" s="1"/>
      <c r="D11" s="1"/>
      <c r="E11" s="1"/>
      <c r="F11" s="1"/>
      <c r="G11" s="320" t="s">
        <v>562</v>
      </c>
      <c r="H11" s="315"/>
      <c r="I11" s="319"/>
      <c r="J11" s="323" t="s">
        <v>563</v>
      </c>
      <c r="K11" s="297"/>
      <c r="L11" s="265"/>
      <c r="M11" s="323" t="s">
        <v>564</v>
      </c>
      <c r="N11" s="297"/>
      <c r="O11" s="265"/>
      <c r="P11" s="321" t="s">
        <v>565</v>
      </c>
      <c r="Q11" s="299"/>
      <c r="R11" s="300"/>
      <c r="S11" s="295"/>
      <c r="T11" s="301"/>
      <c r="U11" s="296"/>
      <c r="V11" s="278" t="s">
        <v>566</v>
      </c>
      <c r="W11" s="301"/>
      <c r="X11" s="265"/>
      <c r="Y11" s="275"/>
      <c r="Z11" s="275"/>
      <c r="AB11" s="141" t="s">
        <v>567</v>
      </c>
      <c r="AE11" s="263" t="s">
        <v>568</v>
      </c>
      <c r="AK11" s="324"/>
      <c r="AN11" s="324"/>
    </row>
    <row r="12" customFormat="false" ht="12.75" hidden="false" customHeight="false" outlineLevel="0" collapsed="false">
      <c r="A12" s="278" t="s">
        <v>569</v>
      </c>
      <c r="B12" s="325"/>
      <c r="C12" s="265"/>
      <c r="D12" s="280" t="s">
        <v>569</v>
      </c>
      <c r="E12" s="326"/>
      <c r="F12" s="327"/>
      <c r="G12" s="328" t="s">
        <v>570</v>
      </c>
      <c r="H12" s="329"/>
      <c r="I12" s="265"/>
      <c r="J12" s="323" t="s">
        <v>571</v>
      </c>
      <c r="K12" s="281"/>
      <c r="L12" s="265"/>
      <c r="M12" s="280" t="s">
        <v>11</v>
      </c>
      <c r="N12" s="281"/>
      <c r="O12" s="265"/>
      <c r="P12" s="298" t="s">
        <v>572</v>
      </c>
      <c r="Q12" s="272"/>
      <c r="R12" s="271"/>
      <c r="S12" s="275"/>
      <c r="T12" s="273"/>
      <c r="U12" s="265"/>
      <c r="V12" s="275"/>
      <c r="W12" s="273"/>
      <c r="X12" s="265"/>
      <c r="Y12" s="275"/>
      <c r="Z12" s="275"/>
      <c r="AE12" s="141" t="s">
        <v>573</v>
      </c>
      <c r="AK12" s="324" t="s">
        <v>574</v>
      </c>
      <c r="AN12" s="324"/>
      <c r="AR12" s="27" t="s">
        <v>575</v>
      </c>
      <c r="AS12" s="330" t="n">
        <v>2.025</v>
      </c>
    </row>
    <row r="13" customFormat="false" ht="12.75" hidden="false" customHeight="false" outlineLevel="0" collapsed="false">
      <c r="A13" s="331" t="s">
        <v>93</v>
      </c>
      <c r="B13" s="332" t="s">
        <v>576</v>
      </c>
      <c r="C13" s="333"/>
      <c r="D13" s="27" t="s">
        <v>93</v>
      </c>
      <c r="E13" s="27" t="s">
        <v>577</v>
      </c>
      <c r="F13" s="334"/>
      <c r="G13" s="335" t="s">
        <v>578</v>
      </c>
      <c r="H13" s="336" t="s">
        <v>579</v>
      </c>
      <c r="I13" s="327"/>
      <c r="J13" s="337" t="s">
        <v>580</v>
      </c>
      <c r="K13" s="338" t="s">
        <v>581</v>
      </c>
      <c r="L13" s="327"/>
      <c r="M13" s="339" t="s">
        <v>580</v>
      </c>
      <c r="N13" s="340" t="s">
        <v>582</v>
      </c>
      <c r="O13" s="327"/>
      <c r="P13" s="341" t="s">
        <v>463</v>
      </c>
      <c r="Q13" s="342" t="s">
        <v>583</v>
      </c>
      <c r="R13" s="343"/>
      <c r="S13" s="331" t="s">
        <v>584</v>
      </c>
      <c r="T13" s="344" t="s">
        <v>585</v>
      </c>
      <c r="U13" s="333"/>
      <c r="V13" s="331" t="s">
        <v>586</v>
      </c>
      <c r="W13" s="344" t="s">
        <v>587</v>
      </c>
      <c r="X13" s="333"/>
      <c r="Y13" s="331" t="s">
        <v>48</v>
      </c>
      <c r="Z13" s="344" t="s">
        <v>588</v>
      </c>
      <c r="AB13" s="345" t="s">
        <v>214</v>
      </c>
      <c r="AC13" s="346" t="s">
        <v>589</v>
      </c>
      <c r="AE13" s="263" t="s">
        <v>590</v>
      </c>
      <c r="AH13" s="331" t="s">
        <v>591</v>
      </c>
      <c r="AI13" s="344" t="s">
        <v>592</v>
      </c>
      <c r="AK13" s="331" t="s">
        <v>593</v>
      </c>
      <c r="AL13" s="344" t="s">
        <v>594</v>
      </c>
      <c r="AN13" s="331" t="s">
        <v>595</v>
      </c>
      <c r="AO13" s="344" t="s">
        <v>11</v>
      </c>
      <c r="AR13" s="114" t="s">
        <v>596</v>
      </c>
      <c r="AS13" s="330"/>
    </row>
    <row r="14" customFormat="false" ht="12.75" hidden="false" customHeight="false" outlineLevel="0" collapsed="false">
      <c r="A14" s="347" t="s">
        <v>597</v>
      </c>
      <c r="B14" s="348" t="n">
        <v>0.0024</v>
      </c>
      <c r="C14" s="334"/>
      <c r="D14" s="347" t="s">
        <v>598</v>
      </c>
      <c r="E14" s="349" t="n">
        <v>0.0653</v>
      </c>
      <c r="F14" s="334"/>
      <c r="G14" s="350" t="s">
        <v>597</v>
      </c>
      <c r="H14" s="351" t="n">
        <v>0.0439</v>
      </c>
      <c r="I14" s="334"/>
      <c r="J14" s="352" t="s">
        <v>597</v>
      </c>
      <c r="K14" s="351" t="n">
        <v>0.0178</v>
      </c>
      <c r="L14" s="334"/>
      <c r="M14" s="353" t="s">
        <v>597</v>
      </c>
      <c r="N14" s="354" t="n">
        <v>0.5603</v>
      </c>
      <c r="O14" s="334"/>
      <c r="P14" s="355" t="s">
        <v>597</v>
      </c>
      <c r="Q14" s="356" t="n">
        <v>0.006</v>
      </c>
      <c r="R14" s="357"/>
      <c r="S14" s="347" t="s">
        <v>597</v>
      </c>
      <c r="T14" s="348" t="n">
        <v>0.0002</v>
      </c>
      <c r="U14" s="334"/>
      <c r="V14" s="347" t="s">
        <v>597</v>
      </c>
      <c r="W14" s="348" t="n">
        <v>0.0132</v>
      </c>
      <c r="X14" s="334"/>
      <c r="Y14" s="347" t="s">
        <v>597</v>
      </c>
      <c r="Z14" s="348" t="n">
        <v>0.0395</v>
      </c>
      <c r="AB14" s="358" t="s">
        <v>597</v>
      </c>
      <c r="AC14" s="354" t="n">
        <v>0.0112</v>
      </c>
      <c r="AE14" s="350" t="s">
        <v>597</v>
      </c>
      <c r="AF14" s="351" t="n">
        <f aca="false">0.005+0.002</f>
        <v>0.007</v>
      </c>
      <c r="AH14" s="347" t="s">
        <v>597</v>
      </c>
      <c r="AI14" s="348" t="n">
        <v>0.003</v>
      </c>
      <c r="AK14" s="347" t="s">
        <v>597</v>
      </c>
      <c r="AL14" s="348" t="n">
        <v>0.2127</v>
      </c>
      <c r="AN14" s="347" t="s">
        <v>597</v>
      </c>
      <c r="AO14" s="348" t="n">
        <v>0.017</v>
      </c>
      <c r="AR14" s="27" t="s">
        <v>598</v>
      </c>
      <c r="AS14" s="330" t="n">
        <v>0.01</v>
      </c>
    </row>
    <row r="15" customFormat="false" ht="12.75" hidden="false" customHeight="false" outlineLevel="0" collapsed="false">
      <c r="A15" s="347" t="s">
        <v>119</v>
      </c>
      <c r="B15" s="348" t="n">
        <f aca="false">0.0022+0.0072+0.0131</f>
        <v>0.0225</v>
      </c>
      <c r="C15" s="334"/>
      <c r="D15" s="347" t="s">
        <v>119</v>
      </c>
      <c r="E15" s="349" t="n">
        <f aca="false">0.0072+0.0022+0.0131</f>
        <v>0.0225</v>
      </c>
      <c r="F15" s="359"/>
      <c r="G15" s="350" t="s">
        <v>119</v>
      </c>
      <c r="H15" s="351" t="n">
        <f aca="false">0.0022+0.0072+0.0225</f>
        <v>0.0319</v>
      </c>
      <c r="I15" s="334"/>
      <c r="J15" s="352" t="s">
        <v>119</v>
      </c>
      <c r="K15" s="351" t="n">
        <f aca="false">0.0022+0.0072</f>
        <v>0.0094</v>
      </c>
      <c r="L15" s="334"/>
      <c r="M15" s="353" t="s">
        <v>119</v>
      </c>
      <c r="N15" s="354" t="n">
        <f aca="false">0.0022+0.0072</f>
        <v>0.0094</v>
      </c>
      <c r="O15" s="334"/>
      <c r="P15" s="355" t="s">
        <v>119</v>
      </c>
      <c r="Q15" s="356" t="n">
        <f aca="false">0.0022+0.0072</f>
        <v>0.0094</v>
      </c>
      <c r="R15" s="357"/>
      <c r="S15" s="347" t="s">
        <v>119</v>
      </c>
      <c r="T15" s="348" t="n">
        <v>0.0022</v>
      </c>
      <c r="U15" s="334"/>
      <c r="V15" s="347" t="s">
        <v>119</v>
      </c>
      <c r="W15" s="348" t="n">
        <f aca="false">0.0022+0.0072</f>
        <v>0.0094</v>
      </c>
      <c r="X15" s="334"/>
      <c r="Y15" s="347" t="s">
        <v>119</v>
      </c>
      <c r="Z15" s="348" t="n">
        <v>0.0022</v>
      </c>
      <c r="AB15" s="358" t="s">
        <v>119</v>
      </c>
      <c r="AC15" s="354" t="n">
        <f aca="false">0.0022+0.0072</f>
        <v>0.0094</v>
      </c>
      <c r="AE15" s="350" t="s">
        <v>119</v>
      </c>
      <c r="AF15" s="351" t="n">
        <f aca="false">0.0022+0.0072</f>
        <v>0.0094</v>
      </c>
      <c r="AH15" s="347" t="s">
        <v>119</v>
      </c>
      <c r="AI15" s="348" t="n">
        <f aca="false">0.0022+0.0072+0.0007</f>
        <v>0.0101</v>
      </c>
      <c r="AK15" s="347" t="s">
        <v>119</v>
      </c>
      <c r="AL15" s="348" t="n">
        <f aca="false">0.0022+0.0072</f>
        <v>0.0094</v>
      </c>
      <c r="AN15" s="347" t="s">
        <v>119</v>
      </c>
      <c r="AO15" s="348" t="n">
        <v>0</v>
      </c>
      <c r="AR15" s="27" t="s">
        <v>599</v>
      </c>
      <c r="AS15" s="330" t="n">
        <v>0.0022</v>
      </c>
    </row>
    <row r="16" customFormat="false" ht="12.75" hidden="false" customHeight="false" outlineLevel="0" collapsed="false">
      <c r="A16" s="347" t="s">
        <v>600</v>
      </c>
      <c r="B16" s="360" t="n">
        <f aca="false">B6/(1-0.0035)-B6</f>
        <v>0.0107827395885596</v>
      </c>
      <c r="C16" s="359"/>
      <c r="D16" s="347" t="s">
        <v>600</v>
      </c>
      <c r="E16" s="360" t="n">
        <f aca="false">(E6)/(1-0.0035)-E6</f>
        <v>0.0107827395885596</v>
      </c>
      <c r="F16" s="361"/>
      <c r="G16" s="350" t="s">
        <v>601</v>
      </c>
      <c r="H16" s="362" t="n">
        <f aca="false">(H3)/(1-0.0084)-H3</f>
        <v>0.025667607906414</v>
      </c>
      <c r="I16" s="359"/>
      <c r="J16" s="352" t="s">
        <v>602</v>
      </c>
      <c r="K16" s="363" t="n">
        <f aca="false">(K5)/(1-0.0242)-K5</f>
        <v>0.0748964951834394</v>
      </c>
      <c r="L16" s="359"/>
      <c r="M16" s="353" t="s">
        <v>603</v>
      </c>
      <c r="N16" s="364" t="n">
        <f aca="false">(N5)/(1-0.0704)-N5</f>
        <v>0.228709122203098</v>
      </c>
      <c r="O16" s="359"/>
      <c r="P16" s="355" t="s">
        <v>604</v>
      </c>
      <c r="Q16" s="365" t="n">
        <f aca="false">+Q$3/(1-0.015)-Q$3</f>
        <v>0.0476649746192894</v>
      </c>
      <c r="R16" s="366"/>
      <c r="S16" s="347" t="s">
        <v>605</v>
      </c>
      <c r="T16" s="360" t="n">
        <f aca="false">(+T3-0.108)/(1-0.00507)-(T3-0.108)</f>
        <v>0.0153741368739508</v>
      </c>
      <c r="U16" s="359"/>
      <c r="V16" s="367" t="n">
        <v>0.02184</v>
      </c>
      <c r="W16" s="360" t="n">
        <f aca="false">+W3/(1-0.02184)-W3</f>
        <v>0.074797579128159</v>
      </c>
      <c r="X16" s="359"/>
      <c r="Y16" s="347" t="s">
        <v>606</v>
      </c>
      <c r="Z16" s="360" t="n">
        <f aca="false">Z3/(1-0.0228)-Z3</f>
        <v>0.0782787556283258</v>
      </c>
      <c r="AB16" s="358" t="s">
        <v>607</v>
      </c>
      <c r="AC16" s="364" t="n">
        <f aca="false">+AC3/(1-0.0111)-AC3</f>
        <v>0.0391177065426231</v>
      </c>
      <c r="AE16" s="350" t="s">
        <v>608</v>
      </c>
      <c r="AF16" s="363" t="n">
        <f aca="false">+AF3/(1-0.0022)-AF3</f>
        <v>0.00689015834836626</v>
      </c>
      <c r="AH16" s="347" t="s">
        <v>609</v>
      </c>
      <c r="AI16" s="360" t="n">
        <f aca="false">+AI3/(1-0.004)-AI3</f>
        <v>0.0133534136546185</v>
      </c>
      <c r="AK16" s="347" t="s">
        <v>610</v>
      </c>
      <c r="AL16" s="360" t="n">
        <f aca="false">+AL3/(1-0.03)-AL3</f>
        <v>0.103762886597938</v>
      </c>
      <c r="AN16" s="347" t="s">
        <v>611</v>
      </c>
      <c r="AO16" s="360" t="n">
        <f aca="false">+AO3/(1-0)-AO3</f>
        <v>0</v>
      </c>
      <c r="AR16" s="27" t="s">
        <v>612</v>
      </c>
      <c r="AS16" s="330" t="n">
        <v>0</v>
      </c>
    </row>
    <row r="17" customFormat="false" ht="12.75" hidden="false" customHeight="false" outlineLevel="0" collapsed="false">
      <c r="A17" s="368"/>
      <c r="B17" s="369" t="n">
        <f aca="false">SUM(B14:B16)</f>
        <v>0.0356827395885596</v>
      </c>
      <c r="C17" s="361"/>
      <c r="D17" s="347"/>
      <c r="E17" s="369" t="n">
        <f aca="false">SUM(E14:E16)</f>
        <v>0.0985827395885596</v>
      </c>
      <c r="F17" s="327"/>
      <c r="G17" s="370"/>
      <c r="H17" s="371" t="n">
        <f aca="false">SUM(H14:H16)</f>
        <v>0.101467607906414</v>
      </c>
      <c r="I17" s="361"/>
      <c r="J17" s="352"/>
      <c r="K17" s="371" t="n">
        <f aca="false">SUM(K14:K16)</f>
        <v>0.102096495183439</v>
      </c>
      <c r="L17" s="361"/>
      <c r="M17" s="353"/>
      <c r="N17" s="372" t="n">
        <f aca="false">SUM(N14:N16)</f>
        <v>0.798409122203098</v>
      </c>
      <c r="O17" s="361"/>
      <c r="P17" s="373"/>
      <c r="Q17" s="374" t="n">
        <f aca="false">SUM(Q14:Q16)</f>
        <v>0.0630649746192894</v>
      </c>
      <c r="R17" s="375"/>
      <c r="S17" s="368"/>
      <c r="T17" s="369" t="n">
        <f aca="false">SUM(T14:T16)</f>
        <v>0.0177741368739508</v>
      </c>
      <c r="U17" s="361"/>
      <c r="V17" s="368"/>
      <c r="W17" s="369" t="n">
        <f aca="false">SUM(W14:W16)</f>
        <v>0.097397579128159</v>
      </c>
      <c r="X17" s="361" t="n">
        <v>0</v>
      </c>
      <c r="Y17" s="368"/>
      <c r="Z17" s="369" t="n">
        <f aca="false">SUM(Z14:Z16)</f>
        <v>0.119978755628326</v>
      </c>
      <c r="AB17" s="376"/>
      <c r="AC17" s="372" t="n">
        <f aca="false">SUM(AC14:AC16)</f>
        <v>0.0597177065426231</v>
      </c>
      <c r="AE17" s="370"/>
      <c r="AF17" s="371" t="n">
        <f aca="false">SUM(AF14:AF16)</f>
        <v>0.0232901583483663</v>
      </c>
      <c r="AH17" s="368"/>
      <c r="AI17" s="369" t="n">
        <f aca="false">SUM(AI14:AI16)</f>
        <v>0.0264534136546185</v>
      </c>
      <c r="AK17" s="368"/>
      <c r="AL17" s="369" t="n">
        <f aca="false">SUM(AL14:AL16)</f>
        <v>0.325862886597938</v>
      </c>
      <c r="AN17" s="368"/>
      <c r="AO17" s="369" t="n">
        <f aca="false">SUM(AO14:AO16)</f>
        <v>0.017</v>
      </c>
      <c r="AR17" s="27" t="s">
        <v>613</v>
      </c>
      <c r="AS17" s="27" t="n">
        <v>0.016</v>
      </c>
    </row>
    <row r="18" customFormat="false" ht="12.75" hidden="false" customHeight="false" outlineLevel="0" collapsed="false">
      <c r="A18" s="377" t="s">
        <v>93</v>
      </c>
      <c r="B18" s="332" t="s">
        <v>614</v>
      </c>
      <c r="C18" s="333"/>
      <c r="D18" s="27" t="s">
        <v>93</v>
      </c>
      <c r="E18" s="27" t="s">
        <v>615</v>
      </c>
      <c r="F18" s="334"/>
      <c r="G18" s="378" t="s">
        <v>578</v>
      </c>
      <c r="H18" s="379" t="s">
        <v>616</v>
      </c>
      <c r="I18" s="327"/>
      <c r="J18" s="337" t="s">
        <v>580</v>
      </c>
      <c r="K18" s="338" t="s">
        <v>617</v>
      </c>
      <c r="L18" s="327"/>
      <c r="M18" s="339" t="s">
        <v>580</v>
      </c>
      <c r="N18" s="340" t="s">
        <v>618</v>
      </c>
      <c r="O18" s="327"/>
      <c r="P18" s="380" t="s">
        <v>463</v>
      </c>
      <c r="Q18" s="381" t="s">
        <v>619</v>
      </c>
      <c r="R18" s="343"/>
      <c r="S18" s="377" t="s">
        <v>584</v>
      </c>
      <c r="T18" s="382" t="s">
        <v>620</v>
      </c>
      <c r="U18" s="333"/>
      <c r="V18" s="377" t="s">
        <v>586</v>
      </c>
      <c r="W18" s="382" t="s">
        <v>621</v>
      </c>
      <c r="X18" s="333"/>
      <c r="Y18" s="331" t="s">
        <v>48</v>
      </c>
      <c r="Z18" s="344" t="s">
        <v>622</v>
      </c>
      <c r="AN18" s="73"/>
      <c r="AO18" s="73"/>
      <c r="AR18" s="27" t="s">
        <v>623</v>
      </c>
      <c r="AS18" s="330" t="n">
        <f aca="false">+AS12/(1-AS17)-AS12</f>
        <v>0.0329268292682925</v>
      </c>
    </row>
    <row r="19" customFormat="false" ht="12.75" hidden="false" customHeight="false" outlineLevel="0" collapsed="false">
      <c r="A19" s="347" t="s">
        <v>597</v>
      </c>
      <c r="B19" s="348" t="n">
        <v>0.005</v>
      </c>
      <c r="C19" s="334"/>
      <c r="D19" s="347" t="s">
        <v>597</v>
      </c>
      <c r="E19" s="349" t="n">
        <v>0.0899</v>
      </c>
      <c r="F19" s="334"/>
      <c r="G19" s="350" t="s">
        <v>597</v>
      </c>
      <c r="H19" s="351" t="n">
        <v>0.0669</v>
      </c>
      <c r="I19" s="334"/>
      <c r="J19" s="352" t="s">
        <v>597</v>
      </c>
      <c r="K19" s="351" t="n">
        <v>0.0187</v>
      </c>
      <c r="L19" s="334"/>
      <c r="M19" s="353" t="s">
        <v>597</v>
      </c>
      <c r="N19" s="354" t="n">
        <v>0.6649</v>
      </c>
      <c r="O19" s="334"/>
      <c r="P19" s="355" t="s">
        <v>597</v>
      </c>
      <c r="Q19" s="356" t="n">
        <v>0.008</v>
      </c>
      <c r="R19" s="357"/>
      <c r="S19" s="347" t="s">
        <v>597</v>
      </c>
      <c r="T19" s="348" t="n">
        <v>0.0017</v>
      </c>
      <c r="U19" s="334"/>
      <c r="V19" s="347" t="s">
        <v>597</v>
      </c>
      <c r="W19" s="348" t="n">
        <v>0.1583</v>
      </c>
      <c r="X19" s="334"/>
      <c r="Y19" s="347" t="s">
        <v>597</v>
      </c>
      <c r="Z19" s="348" t="n">
        <v>0.1943</v>
      </c>
      <c r="AB19" s="345" t="s">
        <v>214</v>
      </c>
      <c r="AC19" s="346" t="s">
        <v>624</v>
      </c>
      <c r="AE19" s="263" t="s">
        <v>625</v>
      </c>
      <c r="AH19" s="331" t="s">
        <v>591</v>
      </c>
      <c r="AI19" s="344" t="s">
        <v>626</v>
      </c>
      <c r="AK19" s="331" t="s">
        <v>593</v>
      </c>
      <c r="AL19" s="344" t="s">
        <v>194</v>
      </c>
      <c r="AN19" s="383"/>
      <c r="AO19" s="333"/>
      <c r="AR19" s="27" t="s">
        <v>627</v>
      </c>
      <c r="AS19" s="384" t="n">
        <f aca="false">+AS18+AS16+AS15+AS14</f>
        <v>0.0451268292682925</v>
      </c>
    </row>
    <row r="20" customFormat="false" ht="13.5" hidden="false" customHeight="false" outlineLevel="0" collapsed="false">
      <c r="A20" s="347" t="s">
        <v>119</v>
      </c>
      <c r="B20" s="348" t="n">
        <f aca="false">0.0022+0.0072+0.0131</f>
        <v>0.0225</v>
      </c>
      <c r="C20" s="334"/>
      <c r="D20" s="347" t="s">
        <v>119</v>
      </c>
      <c r="E20" s="349" t="n">
        <f aca="false">0.0072+0.0022+0.0131</f>
        <v>0.0225</v>
      </c>
      <c r="F20" s="359"/>
      <c r="G20" s="350" t="s">
        <v>119</v>
      </c>
      <c r="H20" s="351" t="n">
        <f aca="false">0.0022+0.0072+0.0225</f>
        <v>0.0319</v>
      </c>
      <c r="I20" s="334"/>
      <c r="J20" s="352" t="s">
        <v>119</v>
      </c>
      <c r="K20" s="351" t="n">
        <f aca="false">0.0022</f>
        <v>0.0022</v>
      </c>
      <c r="L20" s="334"/>
      <c r="M20" s="353" t="s">
        <v>119</v>
      </c>
      <c r="N20" s="354" t="n">
        <f aca="false">0.0022+0.0072</f>
        <v>0.0094</v>
      </c>
      <c r="O20" s="334"/>
      <c r="P20" s="355" t="s">
        <v>119</v>
      </c>
      <c r="Q20" s="356" t="n">
        <f aca="false">0.0022+0.0072</f>
        <v>0.0094</v>
      </c>
      <c r="R20" s="357"/>
      <c r="S20" s="347" t="s">
        <v>119</v>
      </c>
      <c r="T20" s="348" t="n">
        <v>0.0022</v>
      </c>
      <c r="U20" s="334"/>
      <c r="V20" s="347" t="s">
        <v>119</v>
      </c>
      <c r="W20" s="348" t="n">
        <f aca="false">0.0022+0.0072</f>
        <v>0.0094</v>
      </c>
      <c r="X20" s="334"/>
      <c r="Y20" s="347" t="s">
        <v>119</v>
      </c>
      <c r="Z20" s="348" t="n">
        <v>0.0022</v>
      </c>
      <c r="AB20" s="358" t="s">
        <v>597</v>
      </c>
      <c r="AC20" s="354" t="n">
        <v>0</v>
      </c>
      <c r="AE20" s="350" t="s">
        <v>597</v>
      </c>
      <c r="AF20" s="351" t="n">
        <f aca="false">0.0303+0.002</f>
        <v>0.0323</v>
      </c>
      <c r="AH20" s="347" t="s">
        <v>597</v>
      </c>
      <c r="AI20" s="348" t="n">
        <v>0.0054</v>
      </c>
      <c r="AK20" s="347" t="s">
        <v>597</v>
      </c>
      <c r="AL20" s="348" t="n">
        <v>0.0092</v>
      </c>
      <c r="AN20" s="385"/>
      <c r="AO20" s="334"/>
      <c r="AR20" s="27" t="s">
        <v>628</v>
      </c>
      <c r="AS20" s="386"/>
      <c r="AU20" s="27" t="s">
        <v>629</v>
      </c>
    </row>
    <row r="21" customFormat="false" ht="13.5" hidden="false" customHeight="false" outlineLevel="0" collapsed="false">
      <c r="A21" s="347" t="s">
        <v>630</v>
      </c>
      <c r="B21" s="360" t="n">
        <f aca="false">B6/(1-0.0081)-B6</f>
        <v>0.0250700675471318</v>
      </c>
      <c r="C21" s="359"/>
      <c r="D21" s="347" t="s">
        <v>630</v>
      </c>
      <c r="E21" s="360" t="n">
        <f aca="false">(E6)/(1-0.0081)-E6</f>
        <v>0.0250700675471318</v>
      </c>
      <c r="F21" s="361"/>
      <c r="G21" s="350" t="s">
        <v>631</v>
      </c>
      <c r="H21" s="362" t="n">
        <f aca="false">(H3)/(1-0.0244)-H3</f>
        <v>0.0757810578105782</v>
      </c>
      <c r="I21" s="359"/>
      <c r="J21" s="352" t="s">
        <v>632</v>
      </c>
      <c r="K21" s="363" t="n">
        <f aca="false">(K5)/(1-0.0257)-K5</f>
        <v>0.0796612952889255</v>
      </c>
      <c r="L21" s="359"/>
      <c r="M21" s="353" t="s">
        <v>633</v>
      </c>
      <c r="N21" s="364" t="n">
        <f aca="false">(N5)/(1-0.797)-N5</f>
        <v>11.8568472906404</v>
      </c>
      <c r="O21" s="359"/>
      <c r="P21" s="355" t="s">
        <v>604</v>
      </c>
      <c r="Q21" s="365" t="n">
        <f aca="false">+Q$3/(1-0.015)-Q$3</f>
        <v>0.0476649746192894</v>
      </c>
      <c r="R21" s="366"/>
      <c r="S21" s="347" t="s">
        <v>634</v>
      </c>
      <c r="T21" s="360" t="n">
        <f aca="false">+T3/(1-0.00593)-T3</f>
        <v>0.018641795849387</v>
      </c>
      <c r="U21" s="359"/>
      <c r="V21" s="347" t="s">
        <v>635</v>
      </c>
      <c r="W21" s="360" t="n">
        <f aca="false">+W3/(1-0.02184)-W3</f>
        <v>0.074797579128159</v>
      </c>
      <c r="X21" s="359"/>
      <c r="Y21" s="347" t="s">
        <v>606</v>
      </c>
      <c r="Z21" s="360" t="n">
        <f aca="false">(Z3)/(1-0.0228)-Z3</f>
        <v>0.0782787556283258</v>
      </c>
      <c r="AB21" s="358" t="s">
        <v>119</v>
      </c>
      <c r="AC21" s="354" t="n">
        <f aca="false">0.0022+0.0072</f>
        <v>0.0094</v>
      </c>
      <c r="AE21" s="350" t="s">
        <v>119</v>
      </c>
      <c r="AF21" s="351" t="n">
        <f aca="false">0.0072+0.0022</f>
        <v>0.0094</v>
      </c>
      <c r="AH21" s="347" t="s">
        <v>119</v>
      </c>
      <c r="AI21" s="348" t="n">
        <f aca="false">0.0022+0.0072+0.0012</f>
        <v>0.0106</v>
      </c>
      <c r="AK21" s="347" t="s">
        <v>119</v>
      </c>
      <c r="AL21" s="348" t="n">
        <f aca="false">0.0022+0.0072</f>
        <v>0.0094</v>
      </c>
      <c r="AN21" s="385"/>
      <c r="AO21" s="334"/>
    </row>
    <row r="22" customFormat="false" ht="12.75" hidden="false" customHeight="false" outlineLevel="0" collapsed="false">
      <c r="A22" s="368" t="s">
        <v>1</v>
      </c>
      <c r="B22" s="369" t="n">
        <f aca="false">SUM(B19:B21)</f>
        <v>0.0525700675471318</v>
      </c>
      <c r="C22" s="361"/>
      <c r="D22" s="347"/>
      <c r="E22" s="369" t="n">
        <f aca="false">SUM(E19:E21)</f>
        <v>0.137470067547132</v>
      </c>
      <c r="F22" s="361"/>
      <c r="G22" s="370"/>
      <c r="H22" s="371" t="n">
        <f aca="false">SUM(H19:H21)</f>
        <v>0.174581057810578</v>
      </c>
      <c r="I22" s="361"/>
      <c r="J22" s="352"/>
      <c r="K22" s="371" t="n">
        <f aca="false">SUM(K19:K21)</f>
        <v>0.100561295288926</v>
      </c>
      <c r="L22" s="361"/>
      <c r="M22" s="353"/>
      <c r="N22" s="372" t="n">
        <f aca="false">SUM(N19:N21)</f>
        <v>12.5311472906404</v>
      </c>
      <c r="O22" s="361"/>
      <c r="P22" s="373"/>
      <c r="Q22" s="374" t="n">
        <f aca="false">SUM(Q19:Q21)</f>
        <v>0.0650649746192894</v>
      </c>
      <c r="R22" s="375"/>
      <c r="S22" s="368"/>
      <c r="T22" s="369" t="n">
        <f aca="false">SUM(T19:T21)</f>
        <v>0.022541795849387</v>
      </c>
      <c r="U22" s="361"/>
      <c r="V22" s="368"/>
      <c r="W22" s="369" t="n">
        <f aca="false">SUM(W19:W21)</f>
        <v>0.242497579128159</v>
      </c>
      <c r="X22" s="361"/>
      <c r="Y22" s="368"/>
      <c r="Z22" s="369" t="n">
        <f aca="false">SUM(Z19:Z21)</f>
        <v>0.274778755628326</v>
      </c>
      <c r="AB22" s="358" t="s">
        <v>607</v>
      </c>
      <c r="AC22" s="364" t="n">
        <f aca="false">+AC3/(1-0.0111)-AC3</f>
        <v>0.0391177065426231</v>
      </c>
      <c r="AE22" s="350" t="s">
        <v>636</v>
      </c>
      <c r="AF22" s="363" t="n">
        <f aca="false">+AF3/(1-0.0268)-AF3</f>
        <v>0.0860563090834363</v>
      </c>
      <c r="AH22" s="347" t="s">
        <v>637</v>
      </c>
      <c r="AI22" s="360" t="n">
        <f aca="false">+AI3/(1-0.008)-AI3</f>
        <v>0.0268145161290323</v>
      </c>
      <c r="AK22" s="347" t="s">
        <v>610</v>
      </c>
      <c r="AL22" s="360" t="n">
        <f aca="false">+AL3/(1-0.03)-AL3</f>
        <v>0.103762886597938</v>
      </c>
      <c r="AN22" s="385"/>
      <c r="AO22" s="359"/>
    </row>
    <row r="23" customFormat="false" ht="12.75" hidden="false" customHeight="false" outlineLevel="0" collapsed="false">
      <c r="A23" s="377" t="s">
        <v>93</v>
      </c>
      <c r="B23" s="332" t="s">
        <v>638</v>
      </c>
      <c r="C23" s="333"/>
      <c r="D23" s="387" t="s">
        <v>93</v>
      </c>
      <c r="E23" s="369" t="s">
        <v>639</v>
      </c>
      <c r="F23" s="388"/>
      <c r="G23" s="378" t="s">
        <v>578</v>
      </c>
      <c r="H23" s="379" t="s">
        <v>640</v>
      </c>
      <c r="I23" s="361"/>
      <c r="J23" s="389" t="s">
        <v>580</v>
      </c>
      <c r="K23" s="390" t="s">
        <v>641</v>
      </c>
      <c r="L23" s="361"/>
      <c r="M23" s="339" t="s">
        <v>580</v>
      </c>
      <c r="N23" s="340" t="s">
        <v>642</v>
      </c>
      <c r="O23" s="361"/>
      <c r="P23" s="380" t="s">
        <v>463</v>
      </c>
      <c r="Q23" s="381" t="s">
        <v>643</v>
      </c>
      <c r="R23" s="343"/>
      <c r="S23" s="377" t="s">
        <v>584</v>
      </c>
      <c r="T23" s="382" t="s">
        <v>644</v>
      </c>
      <c r="U23" s="333"/>
      <c r="V23" s="377" t="s">
        <v>586</v>
      </c>
      <c r="W23" s="382" t="s">
        <v>645</v>
      </c>
      <c r="X23" s="333"/>
      <c r="Y23" s="333"/>
      <c r="Z23" s="333"/>
      <c r="AB23" s="376"/>
      <c r="AC23" s="372" t="n">
        <f aca="false">SUM(AC20:AC22)</f>
        <v>0.0485177065426231</v>
      </c>
      <c r="AE23" s="370"/>
      <c r="AF23" s="371" t="n">
        <f aca="false">SUM(AF20:AF22)</f>
        <v>0.127756309083436</v>
      </c>
      <c r="AH23" s="368"/>
      <c r="AI23" s="369" t="n">
        <f aca="false">SUM(AI20:AI22)</f>
        <v>0.0428145161290323</v>
      </c>
      <c r="AK23" s="368"/>
      <c r="AL23" s="369" t="n">
        <f aca="false">SUM(AL20:AL22)</f>
        <v>0.122362886597938</v>
      </c>
      <c r="AN23" s="73"/>
      <c r="AO23" s="361"/>
    </row>
    <row r="24" customFormat="false" ht="12.75" hidden="false" customHeight="false" outlineLevel="0" collapsed="false">
      <c r="A24" s="347" t="s">
        <v>597</v>
      </c>
      <c r="B24" s="348" t="n">
        <v>0.0075</v>
      </c>
      <c r="C24" s="334"/>
      <c r="D24" s="347" t="s">
        <v>597</v>
      </c>
      <c r="E24" s="349" t="n">
        <v>0.1243</v>
      </c>
      <c r="F24" s="388"/>
      <c r="G24" s="350" t="s">
        <v>597</v>
      </c>
      <c r="H24" s="351" t="n">
        <v>0.088</v>
      </c>
      <c r="I24" s="388"/>
      <c r="J24" s="352" t="s">
        <v>597</v>
      </c>
      <c r="K24" s="351" t="n">
        <v>0.0236</v>
      </c>
      <c r="L24" s="388"/>
      <c r="M24" s="353" t="s">
        <v>597</v>
      </c>
      <c r="N24" s="354" t="n">
        <v>0.4164</v>
      </c>
      <c r="O24" s="388"/>
      <c r="P24" s="355" t="s">
        <v>597</v>
      </c>
      <c r="Q24" s="356" t="n">
        <v>0.013</v>
      </c>
      <c r="R24" s="357"/>
      <c r="S24" s="347" t="s">
        <v>597</v>
      </c>
      <c r="T24" s="348" t="n">
        <v>0.017</v>
      </c>
      <c r="U24" s="334"/>
      <c r="V24" s="347" t="s">
        <v>597</v>
      </c>
      <c r="W24" s="348" t="n">
        <v>0.2228</v>
      </c>
      <c r="X24" s="334"/>
      <c r="Y24" s="331" t="s">
        <v>48</v>
      </c>
      <c r="Z24" s="344" t="s">
        <v>646</v>
      </c>
      <c r="AN24" s="73"/>
      <c r="AO24" s="73"/>
    </row>
    <row r="25" customFormat="false" ht="12.75" hidden="false" customHeight="false" outlineLevel="0" collapsed="false">
      <c r="A25" s="347" t="s">
        <v>119</v>
      </c>
      <c r="B25" s="348" t="n">
        <f aca="false">0.0022+0.0072+0.0131</f>
        <v>0.0225</v>
      </c>
      <c r="C25" s="334"/>
      <c r="D25" s="347" t="s">
        <v>119</v>
      </c>
      <c r="E25" s="349" t="n">
        <f aca="false">0.0072+0.0022+0.0131</f>
        <v>0.0225</v>
      </c>
      <c r="F25" s="359"/>
      <c r="G25" s="350" t="s">
        <v>119</v>
      </c>
      <c r="H25" s="351" t="n">
        <f aca="false">0.0022+0.0072</f>
        <v>0.0094</v>
      </c>
      <c r="I25" s="388"/>
      <c r="J25" s="352" t="s">
        <v>119</v>
      </c>
      <c r="K25" s="351" t="n">
        <f aca="false">0.0022+0.0072</f>
        <v>0.0094</v>
      </c>
      <c r="L25" s="388"/>
      <c r="M25" s="353" t="s">
        <v>119</v>
      </c>
      <c r="N25" s="354" t="n">
        <f aca="false">0.0022+0.0072</f>
        <v>0.0094</v>
      </c>
      <c r="O25" s="388"/>
      <c r="P25" s="355" t="s">
        <v>119</v>
      </c>
      <c r="Q25" s="356" t="n">
        <f aca="false">0.0022+0.0072</f>
        <v>0.0094</v>
      </c>
      <c r="R25" s="357"/>
      <c r="S25" s="347" t="s">
        <v>119</v>
      </c>
      <c r="T25" s="348" t="n">
        <v>0.0022</v>
      </c>
      <c r="U25" s="334"/>
      <c r="V25" s="347" t="s">
        <v>119</v>
      </c>
      <c r="W25" s="348" t="n">
        <f aca="false">0.0022+0.0072</f>
        <v>0.0094</v>
      </c>
      <c r="X25" s="334"/>
      <c r="Y25" s="347" t="s">
        <v>597</v>
      </c>
      <c r="Z25" s="348" t="n">
        <v>0.15</v>
      </c>
      <c r="AE25" s="263" t="s">
        <v>647</v>
      </c>
      <c r="AH25" s="331" t="s">
        <v>591</v>
      </c>
      <c r="AI25" s="344" t="s">
        <v>648</v>
      </c>
      <c r="AK25" s="331"/>
      <c r="AL25" s="344"/>
      <c r="AN25" s="383"/>
      <c r="AO25" s="333"/>
    </row>
    <row r="26" customFormat="false" ht="12.75" hidden="false" customHeight="false" outlineLevel="0" collapsed="false">
      <c r="A26" s="347" t="s">
        <v>649</v>
      </c>
      <c r="B26" s="360" t="n">
        <f aca="false">B6/(1-0.0126)-B6</f>
        <v>0.0391756127202751</v>
      </c>
      <c r="C26" s="359"/>
      <c r="D26" s="347" t="s">
        <v>649</v>
      </c>
      <c r="E26" s="360" t="n">
        <f aca="false">E6/(1-0.0126)-E6</f>
        <v>0.0391756127202751</v>
      </c>
      <c r="F26" s="361"/>
      <c r="G26" s="350" t="s">
        <v>650</v>
      </c>
      <c r="H26" s="362" t="n">
        <f aca="false">(H3)/(1-0.0443)-H3</f>
        <v>0.140450978340483</v>
      </c>
      <c r="I26" s="359"/>
      <c r="J26" s="352" t="s">
        <v>651</v>
      </c>
      <c r="K26" s="363" t="n">
        <f aca="false">(K5)/(1-0.0332)-K5</f>
        <v>0.103707074886223</v>
      </c>
      <c r="L26" s="359"/>
      <c r="M26" s="353" t="s">
        <v>652</v>
      </c>
      <c r="N26" s="364" t="n">
        <f aca="false">(N4)/(1-0.064)-N4</f>
        <v>0.20991452991453</v>
      </c>
      <c r="O26" s="359"/>
      <c r="P26" s="355" t="s">
        <v>653</v>
      </c>
      <c r="Q26" s="365" t="n">
        <f aca="false">+Q$3/(1-0.023)-Q$3</f>
        <v>0.0736847492323438</v>
      </c>
      <c r="R26" s="366"/>
      <c r="S26" s="347" t="s">
        <v>654</v>
      </c>
      <c r="T26" s="360" t="n">
        <f aca="false">+T4/(1-0.02988)-T4</f>
        <v>0.0980989980620954</v>
      </c>
      <c r="U26" s="359"/>
      <c r="V26" s="347" t="s">
        <v>635</v>
      </c>
      <c r="W26" s="360" t="n">
        <f aca="false">+W3/(1-0.02184)-W3</f>
        <v>0.074797579128159</v>
      </c>
      <c r="X26" s="359"/>
      <c r="Y26" s="347" t="s">
        <v>119</v>
      </c>
      <c r="Z26" s="348" t="n">
        <v>0.0022</v>
      </c>
      <c r="AE26" s="350" t="s">
        <v>597</v>
      </c>
      <c r="AF26" s="351" t="n">
        <f aca="false">0.0275+0.002</f>
        <v>0.0295</v>
      </c>
      <c r="AH26" s="347" t="s">
        <v>597</v>
      </c>
      <c r="AI26" s="348" t="n">
        <v>0.4693</v>
      </c>
      <c r="AK26" s="347"/>
      <c r="AL26" s="348"/>
      <c r="AN26" s="385"/>
      <c r="AO26" s="334"/>
    </row>
    <row r="27" customFormat="false" ht="12.75" hidden="false" customHeight="false" outlineLevel="0" collapsed="false">
      <c r="A27" s="368"/>
      <c r="B27" s="369" t="n">
        <f aca="false">SUM(B24:B26)</f>
        <v>0.0691756127202751</v>
      </c>
      <c r="C27" s="361"/>
      <c r="D27" s="347"/>
      <c r="E27" s="369" t="n">
        <f aca="false">SUM(E24:E26)</f>
        <v>0.185975612720275</v>
      </c>
      <c r="F27" s="333"/>
      <c r="G27" s="370"/>
      <c r="H27" s="371" t="n">
        <f aca="false">SUM(H24:H26)</f>
        <v>0.237850978340483</v>
      </c>
      <c r="I27" s="361"/>
      <c r="J27" s="352"/>
      <c r="K27" s="371" t="n">
        <f aca="false">SUM(K24:K26)</f>
        <v>0.136707074886223</v>
      </c>
      <c r="L27" s="361"/>
      <c r="M27" s="353"/>
      <c r="N27" s="372" t="n">
        <f aca="false">SUM(N24:N26)</f>
        <v>0.63571452991453</v>
      </c>
      <c r="O27" s="361"/>
      <c r="P27" s="373"/>
      <c r="Q27" s="374" t="n">
        <f aca="false">SUM(Q24:Q26)</f>
        <v>0.0960847492323438</v>
      </c>
      <c r="R27" s="375"/>
      <c r="S27" s="368"/>
      <c r="T27" s="369" t="n">
        <f aca="false">SUM(T24:T26)</f>
        <v>0.117298998062095</v>
      </c>
      <c r="U27" s="361"/>
      <c r="V27" s="368"/>
      <c r="W27" s="369" t="n">
        <f aca="false">SUM(W24:W26)</f>
        <v>0.306997579128159</v>
      </c>
      <c r="X27" s="361"/>
      <c r="Y27" s="347" t="s">
        <v>606</v>
      </c>
      <c r="Z27" s="360" t="n">
        <f aca="false">(Z3)/(1-0.0228)-Z3</f>
        <v>0.0782787556283258</v>
      </c>
      <c r="AE27" s="350" t="s">
        <v>119</v>
      </c>
      <c r="AF27" s="351" t="n">
        <f aca="false">0.0072+0.0022</f>
        <v>0.0094</v>
      </c>
      <c r="AH27" s="347" t="s">
        <v>119</v>
      </c>
      <c r="AI27" s="348" t="n">
        <f aca="false">0.0022+0.0072+0.0012</f>
        <v>0.0106</v>
      </c>
      <c r="AK27" s="347"/>
      <c r="AL27" s="348"/>
      <c r="AN27" s="385"/>
      <c r="AO27" s="334"/>
    </row>
    <row r="28" customFormat="false" ht="12.75" hidden="false" customHeight="false" outlineLevel="0" collapsed="false">
      <c r="A28" s="331" t="s">
        <v>93</v>
      </c>
      <c r="B28" s="332" t="s">
        <v>655</v>
      </c>
      <c r="D28" s="27" t="s">
        <v>93</v>
      </c>
      <c r="E28" s="27" t="s">
        <v>656</v>
      </c>
      <c r="F28" s="334"/>
      <c r="G28" s="378" t="s">
        <v>578</v>
      </c>
      <c r="H28" s="391" t="s">
        <v>657</v>
      </c>
      <c r="I28" s="333"/>
      <c r="J28" s="337" t="s">
        <v>580</v>
      </c>
      <c r="K28" s="338" t="s">
        <v>658</v>
      </c>
      <c r="L28" s="333"/>
      <c r="M28" s="339" t="s">
        <v>580</v>
      </c>
      <c r="N28" s="340" t="s">
        <v>659</v>
      </c>
      <c r="O28" s="333"/>
      <c r="P28" s="380" t="s">
        <v>463</v>
      </c>
      <c r="Q28" s="381" t="s">
        <v>660</v>
      </c>
      <c r="S28" s="331" t="s">
        <v>584</v>
      </c>
      <c r="T28" s="344" t="s">
        <v>661</v>
      </c>
      <c r="V28" s="331" t="s">
        <v>586</v>
      </c>
      <c r="W28" s="344" t="s">
        <v>662</v>
      </c>
      <c r="Y28" s="368"/>
      <c r="Z28" s="369" t="n">
        <f aca="false">SUM(Z25:Z27)</f>
        <v>0.230478755628326</v>
      </c>
      <c r="AE28" s="350" t="s">
        <v>636</v>
      </c>
      <c r="AF28" s="363" t="n">
        <f aca="false">+AF3/(1-0.0268)-AF3</f>
        <v>0.0860563090834363</v>
      </c>
      <c r="AH28" s="347" t="s">
        <v>637</v>
      </c>
      <c r="AI28" s="360" t="n">
        <f aca="false">+AI3/(1-0.008)-AI3</f>
        <v>0.0268145161290323</v>
      </c>
      <c r="AK28" s="347"/>
      <c r="AL28" s="360"/>
      <c r="AN28" s="385"/>
      <c r="AO28" s="359"/>
    </row>
    <row r="29" customFormat="false" ht="12.75" hidden="false" customHeight="false" outlineLevel="0" collapsed="false">
      <c r="A29" s="347" t="s">
        <v>597</v>
      </c>
      <c r="B29" s="348" t="n">
        <v>0.0186</v>
      </c>
      <c r="D29" s="347" t="s">
        <v>597</v>
      </c>
      <c r="E29" s="349" t="n">
        <v>0.2511</v>
      </c>
      <c r="F29" s="334"/>
      <c r="G29" s="370" t="s">
        <v>597</v>
      </c>
      <c r="H29" s="351" t="n">
        <v>0.0978</v>
      </c>
      <c r="I29" s="334"/>
      <c r="J29" s="352" t="s">
        <v>597</v>
      </c>
      <c r="K29" s="351" t="n">
        <v>0.0708</v>
      </c>
      <c r="L29" s="334"/>
      <c r="M29" s="353" t="s">
        <v>597</v>
      </c>
      <c r="N29" s="354" t="n">
        <v>0.521</v>
      </c>
      <c r="O29" s="334"/>
      <c r="P29" s="355" t="s">
        <v>597</v>
      </c>
      <c r="Q29" s="356" t="n">
        <v>0.021</v>
      </c>
      <c r="S29" s="347" t="s">
        <v>597</v>
      </c>
      <c r="T29" s="348" t="n">
        <v>0.088</v>
      </c>
      <c r="V29" s="347" t="s">
        <v>597</v>
      </c>
      <c r="W29" s="348" t="s">
        <v>663</v>
      </c>
      <c r="Y29" s="334" t="s">
        <v>1</v>
      </c>
      <c r="Z29" s="334" t="s">
        <v>1</v>
      </c>
      <c r="AE29" s="370"/>
      <c r="AF29" s="371" t="n">
        <f aca="false">SUM(AF26:AF28)</f>
        <v>0.124956309083436</v>
      </c>
      <c r="AH29" s="368"/>
      <c r="AI29" s="369" t="n">
        <f aca="false">SUM(AI26:AI28)</f>
        <v>0.506714516129032</v>
      </c>
      <c r="AK29" s="368"/>
      <c r="AL29" s="369"/>
      <c r="AN29" s="73"/>
      <c r="AO29" s="361"/>
    </row>
    <row r="30" customFormat="false" ht="12.75" hidden="false" customHeight="false" outlineLevel="0" collapsed="false">
      <c r="A30" s="347" t="s">
        <v>119</v>
      </c>
      <c r="B30" s="348" t="n">
        <f aca="false">0.0022+0.0072+0.0131</f>
        <v>0.0225</v>
      </c>
      <c r="C30" s="388"/>
      <c r="D30" s="347" t="s">
        <v>119</v>
      </c>
      <c r="E30" s="349" t="n">
        <f aca="false">0.0072+0.0131+0.0022</f>
        <v>0.0225</v>
      </c>
      <c r="F30" s="359"/>
      <c r="G30" s="370" t="s">
        <v>119</v>
      </c>
      <c r="H30" s="351" t="n">
        <f aca="false">0.0022</f>
        <v>0.0022</v>
      </c>
      <c r="I30" s="334"/>
      <c r="J30" s="352" t="s">
        <v>119</v>
      </c>
      <c r="K30" s="351" t="n">
        <f aca="false">0.0022+0.0072</f>
        <v>0.0094</v>
      </c>
      <c r="L30" s="334"/>
      <c r="M30" s="353" t="s">
        <v>119</v>
      </c>
      <c r="N30" s="354" t="n">
        <f aca="false">0.0022+0.0072</f>
        <v>0.0094</v>
      </c>
      <c r="O30" s="334"/>
      <c r="P30" s="355" t="s">
        <v>119</v>
      </c>
      <c r="Q30" s="356" t="n">
        <f aca="false">0.0022+0.0072</f>
        <v>0.0094</v>
      </c>
      <c r="R30" s="392"/>
      <c r="S30" s="347" t="s">
        <v>119</v>
      </c>
      <c r="T30" s="348" t="n">
        <v>0.0022</v>
      </c>
      <c r="U30" s="388"/>
      <c r="V30" s="347" t="s">
        <v>119</v>
      </c>
      <c r="W30" s="348" t="n">
        <v>0</v>
      </c>
      <c r="X30" s="388"/>
      <c r="Y30" s="334" t="s">
        <v>1</v>
      </c>
      <c r="Z30" s="334" t="s">
        <v>1</v>
      </c>
      <c r="AL30" s="393"/>
      <c r="AN30" s="73"/>
      <c r="AO30" s="393"/>
    </row>
    <row r="31" customFormat="false" ht="12.75" hidden="false" customHeight="false" outlineLevel="0" collapsed="false">
      <c r="A31" s="347" t="s">
        <v>664</v>
      </c>
      <c r="B31" s="360" t="n">
        <f aca="false">B6/(1-0.0316)-B6</f>
        <v>0.100177612556795</v>
      </c>
      <c r="C31" s="359"/>
      <c r="D31" s="347" t="s">
        <v>664</v>
      </c>
      <c r="E31" s="360" t="n">
        <f aca="false">+E6/(1-0.0316)-E6</f>
        <v>0.100177612556795</v>
      </c>
      <c r="F31" s="361"/>
      <c r="G31" s="370" t="s">
        <v>665</v>
      </c>
      <c r="H31" s="362" t="n">
        <f aca="false">(H3)/(1-0.0504)-H3</f>
        <v>0.160817186183656</v>
      </c>
      <c r="I31" s="359"/>
      <c r="J31" s="352" t="s">
        <v>666</v>
      </c>
      <c r="K31" s="363" t="n">
        <f aca="false">(K5)/(1-0.0564)-K5</f>
        <v>0.180508690122934</v>
      </c>
      <c r="L31" s="359"/>
      <c r="M31" s="353" t="s">
        <v>667</v>
      </c>
      <c r="N31" s="364" t="n">
        <f aca="false">(N4)/(1-0.0733)-N4</f>
        <v>0.242830473723967</v>
      </c>
      <c r="O31" s="359"/>
      <c r="P31" s="355" t="s">
        <v>668</v>
      </c>
      <c r="Q31" s="365" t="n">
        <f aca="false">+Q$3/(1-0.026)-Q$3</f>
        <v>0.0835523613963041</v>
      </c>
      <c r="R31" s="366"/>
      <c r="S31" s="347" t="s">
        <v>605</v>
      </c>
      <c r="T31" s="360" t="n">
        <f aca="false">(+T3-0.108)/(1-0.00507)-(T3-0.108)</f>
        <v>0.0153741368739508</v>
      </c>
      <c r="U31" s="359"/>
      <c r="V31" s="347" t="s">
        <v>635</v>
      </c>
      <c r="W31" s="360" t="n">
        <f aca="false">+W3/(1-0.02184)-W3</f>
        <v>0.074797579128159</v>
      </c>
      <c r="X31" s="359"/>
      <c r="Y31" s="359"/>
      <c r="Z31" s="359"/>
      <c r="AE31" s="263" t="s">
        <v>669</v>
      </c>
      <c r="AH31" s="331" t="s">
        <v>591</v>
      </c>
      <c r="AI31" s="344" t="s">
        <v>670</v>
      </c>
      <c r="AL31" s="393"/>
      <c r="AO31" s="393"/>
    </row>
    <row r="32" customFormat="false" ht="12.75" hidden="false" customHeight="false" outlineLevel="0" collapsed="false">
      <c r="A32" s="368"/>
      <c r="B32" s="369" t="n">
        <f aca="false">SUM(B29:B31)</f>
        <v>0.141277612556795</v>
      </c>
      <c r="C32" s="361"/>
      <c r="D32" s="347"/>
      <c r="E32" s="369" t="n">
        <f aca="false">SUM(E29:E31)</f>
        <v>0.373777612556795</v>
      </c>
      <c r="F32" s="333"/>
      <c r="G32" s="370"/>
      <c r="H32" s="371" t="n">
        <f aca="false">SUM(H29:H31)</f>
        <v>0.260817186183656</v>
      </c>
      <c r="I32" s="361"/>
      <c r="J32" s="352"/>
      <c r="K32" s="371" t="n">
        <f aca="false">SUM(K29:K31)</f>
        <v>0.260708690122934</v>
      </c>
      <c r="L32" s="361"/>
      <c r="M32" s="353"/>
      <c r="N32" s="372" t="n">
        <f aca="false">SUM(N29:N31)</f>
        <v>0.773230473723967</v>
      </c>
      <c r="O32" s="361"/>
      <c r="P32" s="373"/>
      <c r="Q32" s="374" t="n">
        <f aca="false">SUM(Q29:Q31)</f>
        <v>0.113952361396304</v>
      </c>
      <c r="R32" s="375"/>
      <c r="S32" s="368"/>
      <c r="T32" s="369" t="n">
        <f aca="false">SUM(T29:T31)</f>
        <v>0.105574136873951</v>
      </c>
      <c r="U32" s="361"/>
      <c r="V32" s="368"/>
      <c r="W32" s="369" t="n">
        <f aca="false">SUM(W29:W31)</f>
        <v>0.074797579128159</v>
      </c>
      <c r="X32" s="361"/>
      <c r="Y32" s="361"/>
      <c r="Z32" s="361"/>
      <c r="AE32" s="350" t="s">
        <v>597</v>
      </c>
      <c r="AF32" s="351" t="n">
        <f aca="false">0.0152+0.002</f>
        <v>0.0172</v>
      </c>
      <c r="AH32" s="347" t="s">
        <v>597</v>
      </c>
      <c r="AI32" s="348" t="n">
        <v>0.35</v>
      </c>
      <c r="AK32" s="394"/>
      <c r="AN32" s="394"/>
    </row>
    <row r="33" customFormat="false" ht="12.75" hidden="false" customHeight="false" outlineLevel="0" collapsed="false">
      <c r="A33" s="331" t="s">
        <v>93</v>
      </c>
      <c r="B33" s="332" t="s">
        <v>671</v>
      </c>
      <c r="C33" s="333"/>
      <c r="D33" s="27" t="s">
        <v>93</v>
      </c>
      <c r="E33" s="27" t="s">
        <v>672</v>
      </c>
      <c r="F33" s="334"/>
      <c r="G33" s="378" t="s">
        <v>578</v>
      </c>
      <c r="H33" s="391" t="s">
        <v>673</v>
      </c>
      <c r="I33" s="333"/>
      <c r="J33" s="337" t="s">
        <v>580</v>
      </c>
      <c r="K33" s="338" t="s">
        <v>582</v>
      </c>
      <c r="L33" s="333"/>
      <c r="M33" s="339" t="s">
        <v>580</v>
      </c>
      <c r="N33" s="340" t="s">
        <v>674</v>
      </c>
      <c r="O33" s="333"/>
      <c r="P33" s="395"/>
      <c r="Q33" s="343"/>
      <c r="R33" s="343"/>
      <c r="S33" s="377" t="s">
        <v>584</v>
      </c>
      <c r="T33" s="382" t="s">
        <v>675</v>
      </c>
      <c r="U33" s="333"/>
      <c r="V33" s="377" t="s">
        <v>586</v>
      </c>
      <c r="W33" s="382" t="s">
        <v>676</v>
      </c>
      <c r="X33" s="333"/>
      <c r="Y33" s="333"/>
      <c r="Z33" s="333"/>
      <c r="AE33" s="350" t="s">
        <v>119</v>
      </c>
      <c r="AF33" s="351" t="n">
        <f aca="false">0.002+0.0072+0.0022</f>
        <v>0.0114</v>
      </c>
      <c r="AH33" s="347" t="s">
        <v>119</v>
      </c>
      <c r="AI33" s="348" t="n">
        <f aca="false">0.0022+0.0012</f>
        <v>0.0034</v>
      </c>
      <c r="AK33" s="396"/>
      <c r="AL33" s="393"/>
      <c r="AN33" s="396"/>
      <c r="AO33" s="393"/>
    </row>
    <row r="34" customFormat="false" ht="12.75" hidden="false" customHeight="false" outlineLevel="0" collapsed="false">
      <c r="A34" s="347" t="s">
        <v>597</v>
      </c>
      <c r="B34" s="348" t="n">
        <v>0.0274</v>
      </c>
      <c r="C34" s="334"/>
      <c r="D34" s="347" t="s">
        <v>597</v>
      </c>
      <c r="E34" s="349" t="n">
        <v>0.0694</v>
      </c>
      <c r="F34" s="334"/>
      <c r="G34" s="370" t="s">
        <v>597</v>
      </c>
      <c r="H34" s="351" t="n">
        <v>0.1118</v>
      </c>
      <c r="I34" s="334"/>
      <c r="J34" s="352" t="s">
        <v>597</v>
      </c>
      <c r="K34" s="351" t="n">
        <v>0.0922</v>
      </c>
      <c r="L34" s="334"/>
      <c r="M34" s="353" t="s">
        <v>597</v>
      </c>
      <c r="N34" s="354" t="n">
        <v>0.3983</v>
      </c>
      <c r="O34" s="334"/>
      <c r="P34" s="397"/>
      <c r="Q34" s="357"/>
      <c r="R34" s="357"/>
      <c r="S34" s="347" t="s">
        <v>597</v>
      </c>
      <c r="T34" s="348" t="n">
        <v>0.0366</v>
      </c>
      <c r="U34" s="334"/>
      <c r="V34" s="347" t="s">
        <v>597</v>
      </c>
      <c r="W34" s="348" t="n">
        <v>0.05</v>
      </c>
      <c r="X34" s="334"/>
      <c r="Y34" s="334"/>
      <c r="Z34" s="334"/>
      <c r="AE34" s="350" t="s">
        <v>677</v>
      </c>
      <c r="AF34" s="363" t="n">
        <f aca="false">+AF3/(1-0.0169)-AF3</f>
        <v>0.0537203743261112</v>
      </c>
      <c r="AH34" s="347" t="s">
        <v>637</v>
      </c>
      <c r="AI34" s="360" t="n">
        <f aca="false">+AI3/(1-0.008)-AI3</f>
        <v>0.0268145161290323</v>
      </c>
      <c r="AL34" s="393"/>
      <c r="AO34" s="393"/>
    </row>
    <row r="35" customFormat="false" ht="12.75" hidden="false" customHeight="false" outlineLevel="0" collapsed="false">
      <c r="A35" s="347" t="s">
        <v>119</v>
      </c>
      <c r="B35" s="348" t="n">
        <f aca="false">0.0022+0.0072+0.0131</f>
        <v>0.0225</v>
      </c>
      <c r="C35" s="334"/>
      <c r="D35" s="347" t="s">
        <v>119</v>
      </c>
      <c r="E35" s="349" t="n">
        <v>0</v>
      </c>
      <c r="F35" s="359"/>
      <c r="G35" s="370" t="s">
        <v>119</v>
      </c>
      <c r="H35" s="351" t="n">
        <f aca="false">0.0022+0.0072</f>
        <v>0.0094</v>
      </c>
      <c r="I35" s="334"/>
      <c r="J35" s="352" t="s">
        <v>119</v>
      </c>
      <c r="K35" s="351" t="n">
        <f aca="false">0.0022+0.0072</f>
        <v>0.0094</v>
      </c>
      <c r="L35" s="334"/>
      <c r="M35" s="353" t="s">
        <v>119</v>
      </c>
      <c r="N35" s="354" t="n">
        <f aca="false">0.0022+0.0072</f>
        <v>0.0094</v>
      </c>
      <c r="O35" s="334"/>
      <c r="P35" s="397"/>
      <c r="Q35" s="357"/>
      <c r="R35" s="357"/>
      <c r="S35" s="347" t="s">
        <v>119</v>
      </c>
      <c r="T35" s="348" t="n">
        <v>0.0022</v>
      </c>
      <c r="U35" s="334"/>
      <c r="V35" s="347" t="s">
        <v>119</v>
      </c>
      <c r="W35" s="348" t="n">
        <f aca="false">0.0022</f>
        <v>0.0022</v>
      </c>
      <c r="X35" s="334"/>
      <c r="Y35" s="334"/>
      <c r="Z35" s="334"/>
      <c r="AE35" s="370"/>
      <c r="AF35" s="371" t="n">
        <f aca="false">SUM(AF32:AF34)</f>
        <v>0.0823203743261112</v>
      </c>
      <c r="AH35" s="368"/>
      <c r="AI35" s="369" t="n">
        <f aca="false">SUM(AI32:AI34)</f>
        <v>0.380214516129032</v>
      </c>
      <c r="AL35" s="393"/>
      <c r="AO35" s="393"/>
    </row>
    <row r="36" customFormat="false" ht="12.75" hidden="false" customHeight="false" outlineLevel="0" collapsed="false">
      <c r="A36" s="347" t="s">
        <v>678</v>
      </c>
      <c r="B36" s="360" t="n">
        <f aca="false">B6/(1-0.0469)-B6</f>
        <v>0.15106809358934</v>
      </c>
      <c r="C36" s="359"/>
      <c r="D36" s="347" t="s">
        <v>679</v>
      </c>
      <c r="E36" s="360" t="n">
        <f aca="false">+E5/(1-0.0046)-E5</f>
        <v>0.0144414305806713</v>
      </c>
      <c r="F36" s="361"/>
      <c r="G36" s="370" t="s">
        <v>680</v>
      </c>
      <c r="H36" s="362" t="n">
        <f aca="false">(H3)/(1-0.058)-H3</f>
        <v>0.18656050955414</v>
      </c>
      <c r="I36" s="359"/>
      <c r="J36" s="352" t="s">
        <v>603</v>
      </c>
      <c r="K36" s="363" t="n">
        <f aca="false">(K5)/(1-0.0704)-K5</f>
        <v>0.228709122203098</v>
      </c>
      <c r="L36" s="359"/>
      <c r="M36" s="353" t="s">
        <v>681</v>
      </c>
      <c r="N36" s="364" t="n">
        <f aca="false">(N3)/(1-0.0612)-N3</f>
        <v>0.187094162760971</v>
      </c>
      <c r="O36" s="359"/>
      <c r="P36" s="397"/>
      <c r="Q36" s="366"/>
      <c r="R36" s="366"/>
      <c r="S36" s="347" t="s">
        <v>634</v>
      </c>
      <c r="T36" s="360" t="n">
        <f aca="false">T3/(1-0.00593)-T3</f>
        <v>0.018641795849387</v>
      </c>
      <c r="U36" s="359"/>
      <c r="V36" s="347" t="s">
        <v>635</v>
      </c>
      <c r="W36" s="360" t="n">
        <f aca="false">+W3/(1-0.02184)-W3</f>
        <v>0.074797579128159</v>
      </c>
      <c r="X36" s="359"/>
      <c r="Y36" s="359"/>
      <c r="Z36" s="359"/>
      <c r="AI36" s="398" t="n">
        <f aca="false">SUM(AI35,AI3)</f>
        <v>3.70521451612903</v>
      </c>
    </row>
    <row r="37" customFormat="false" ht="12.75" hidden="false" customHeight="false" outlineLevel="0" collapsed="false">
      <c r="A37" s="368"/>
      <c r="B37" s="369" t="n">
        <f aca="false">SUM(B34:B36)</f>
        <v>0.20096809358934</v>
      </c>
      <c r="C37" s="361"/>
      <c r="D37" s="347"/>
      <c r="E37" s="369" t="n">
        <f aca="false">SUM(E34:E36)</f>
        <v>0.0838414305806713</v>
      </c>
      <c r="F37" s="333"/>
      <c r="G37" s="370"/>
      <c r="H37" s="371" t="n">
        <f aca="false">SUM(H34:H36)</f>
        <v>0.30776050955414</v>
      </c>
      <c r="I37" s="361"/>
      <c r="J37" s="352"/>
      <c r="K37" s="371" t="n">
        <f aca="false">SUM(K34:K36)</f>
        <v>0.330309122203098</v>
      </c>
      <c r="L37" s="361"/>
      <c r="M37" s="353"/>
      <c r="N37" s="372" t="n">
        <f aca="false">SUM(N34:N36)</f>
        <v>0.594794162760971</v>
      </c>
      <c r="O37" s="361"/>
      <c r="P37" s="399"/>
      <c r="Q37" s="400"/>
      <c r="R37" s="375"/>
      <c r="S37" s="368"/>
      <c r="T37" s="401" t="n">
        <f aca="false">SUM(T34:T36)</f>
        <v>0.057441795849387</v>
      </c>
      <c r="U37" s="361"/>
      <c r="V37" s="368"/>
      <c r="W37" s="369" t="n">
        <f aca="false">SUM(W34:W36)</f>
        <v>0.126997579128159</v>
      </c>
      <c r="X37" s="361"/>
      <c r="Y37" s="361"/>
      <c r="Z37" s="361"/>
      <c r="AE37" s="263" t="s">
        <v>682</v>
      </c>
      <c r="AH37" s="331" t="s">
        <v>591</v>
      </c>
      <c r="AI37" s="344" t="s">
        <v>683</v>
      </c>
      <c r="AK37" s="394"/>
      <c r="AN37" s="394"/>
    </row>
    <row r="38" customFormat="false" ht="12.75" hidden="false" customHeight="false" outlineLevel="0" collapsed="false">
      <c r="A38" s="377" t="s">
        <v>93</v>
      </c>
      <c r="B38" s="332" t="s">
        <v>684</v>
      </c>
      <c r="C38" s="333"/>
      <c r="D38" s="387" t="s">
        <v>93</v>
      </c>
      <c r="E38" s="369" t="s">
        <v>685</v>
      </c>
      <c r="F38" s="334"/>
      <c r="G38" s="378" t="s">
        <v>578</v>
      </c>
      <c r="H38" s="391" t="s">
        <v>686</v>
      </c>
      <c r="I38" s="333"/>
      <c r="J38" s="337" t="s">
        <v>580</v>
      </c>
      <c r="K38" s="338" t="s">
        <v>618</v>
      </c>
      <c r="L38" s="333"/>
      <c r="M38" s="339" t="s">
        <v>580</v>
      </c>
      <c r="N38" s="340" t="s">
        <v>687</v>
      </c>
      <c r="O38" s="333"/>
      <c r="P38" s="395"/>
      <c r="Q38" s="343"/>
      <c r="R38" s="343"/>
      <c r="S38" s="377" t="s">
        <v>584</v>
      </c>
      <c r="T38" s="382" t="s">
        <v>688</v>
      </c>
      <c r="U38" s="333"/>
      <c r="V38" s="377"/>
      <c r="W38" s="382"/>
      <c r="X38" s="333"/>
      <c r="Y38" s="333"/>
      <c r="Z38" s="333"/>
      <c r="AE38" s="350" t="s">
        <v>597</v>
      </c>
      <c r="AF38" s="351" t="n">
        <f aca="false">0.0152+0.002</f>
        <v>0.0172</v>
      </c>
      <c r="AH38" s="347" t="s">
        <v>597</v>
      </c>
      <c r="AI38" s="348" t="n">
        <v>0.07</v>
      </c>
      <c r="AK38" s="396"/>
      <c r="AL38" s="393"/>
      <c r="AN38" s="396"/>
      <c r="AO38" s="393"/>
    </row>
    <row r="39" customFormat="false" ht="12.75" hidden="false" customHeight="false" outlineLevel="0" collapsed="false">
      <c r="A39" s="347" t="s">
        <v>597</v>
      </c>
      <c r="B39" s="348" t="n">
        <v>0.032</v>
      </c>
      <c r="C39" s="334"/>
      <c r="D39" s="347" t="s">
        <v>597</v>
      </c>
      <c r="E39" s="349" t="n">
        <v>0.1038</v>
      </c>
      <c r="F39" s="334"/>
      <c r="G39" s="370" t="s">
        <v>597</v>
      </c>
      <c r="H39" s="351" t="n">
        <v>0.1231</v>
      </c>
      <c r="I39" s="334"/>
      <c r="J39" s="352" t="s">
        <v>597</v>
      </c>
      <c r="K39" s="351" t="n">
        <v>0.1071</v>
      </c>
      <c r="L39" s="334"/>
      <c r="M39" s="353" t="s">
        <v>597</v>
      </c>
      <c r="N39" s="354" t="n">
        <v>0.5029</v>
      </c>
      <c r="O39" s="334"/>
      <c r="P39" s="397"/>
      <c r="Q39" s="357"/>
      <c r="R39" s="357"/>
      <c r="S39" s="347" t="s">
        <v>597</v>
      </c>
      <c r="T39" s="348" t="n">
        <v>0.1204</v>
      </c>
      <c r="U39" s="334"/>
      <c r="V39" s="347"/>
      <c r="W39" s="348"/>
      <c r="X39" s="334"/>
      <c r="Y39" s="334"/>
      <c r="Z39" s="334"/>
      <c r="AE39" s="350" t="s">
        <v>119</v>
      </c>
      <c r="AF39" s="351" t="n">
        <f aca="false">0.0072+0.0022</f>
        <v>0.0094</v>
      </c>
      <c r="AH39" s="347" t="s">
        <v>119</v>
      </c>
      <c r="AI39" s="348" t="n">
        <f aca="false">0.0022+0.0007</f>
        <v>0.0029</v>
      </c>
      <c r="AL39" s="393"/>
      <c r="AO39" s="393"/>
    </row>
    <row r="40" customFormat="false" ht="12.75" hidden="false" customHeight="false" outlineLevel="0" collapsed="false">
      <c r="A40" s="347" t="s">
        <v>119</v>
      </c>
      <c r="B40" s="348" t="n">
        <f aca="false">0.0022+0.0072+0.0131</f>
        <v>0.0225</v>
      </c>
      <c r="C40" s="334"/>
      <c r="D40" s="347" t="s">
        <v>119</v>
      </c>
      <c r="E40" s="349" t="n">
        <f aca="false">0.0072+0.0022+0.0131</f>
        <v>0.0225</v>
      </c>
      <c r="F40" s="359"/>
      <c r="G40" s="370" t="s">
        <v>119</v>
      </c>
      <c r="H40" s="351" t="n">
        <f aca="false">0.0022+0.0072</f>
        <v>0.0094</v>
      </c>
      <c r="I40" s="334"/>
      <c r="J40" s="352" t="s">
        <v>119</v>
      </c>
      <c r="K40" s="351" t="n">
        <f aca="false">0.0022+0.0072</f>
        <v>0.0094</v>
      </c>
      <c r="L40" s="334"/>
      <c r="M40" s="353" t="s">
        <v>119</v>
      </c>
      <c r="N40" s="354" t="n">
        <f aca="false">0.0022+0.0072</f>
        <v>0.0094</v>
      </c>
      <c r="O40" s="334"/>
      <c r="P40" s="397"/>
      <c r="Q40" s="357"/>
      <c r="R40" s="357"/>
      <c r="S40" s="347" t="s">
        <v>119</v>
      </c>
      <c r="T40" s="348" t="n">
        <v>0.0022</v>
      </c>
      <c r="U40" s="334"/>
      <c r="V40" s="347"/>
      <c r="W40" s="348"/>
      <c r="X40" s="334"/>
      <c r="Y40" s="334"/>
      <c r="Z40" s="334"/>
      <c r="AE40" s="350" t="s">
        <v>611</v>
      </c>
      <c r="AF40" s="363" t="n">
        <v>0</v>
      </c>
      <c r="AH40" s="347" t="s">
        <v>609</v>
      </c>
      <c r="AI40" s="360" t="n">
        <f aca="false">+AI3/(1-0.004)-AI3</f>
        <v>0.0133534136546185</v>
      </c>
      <c r="AL40" s="393"/>
      <c r="AO40" s="393"/>
    </row>
    <row r="41" customFormat="false" ht="12.75" hidden="false" customHeight="false" outlineLevel="0" collapsed="false">
      <c r="A41" s="347" t="s">
        <v>689</v>
      </c>
      <c r="B41" s="360" t="n">
        <f aca="false">B6/(1-0.0553)-B6</f>
        <v>0.179708902297026</v>
      </c>
      <c r="C41" s="359"/>
      <c r="D41" s="347" t="s">
        <v>690</v>
      </c>
      <c r="E41" s="360" t="n">
        <f aca="false">E5/(1-0.0091)-E5</f>
        <v>0.0286986577858515</v>
      </c>
      <c r="F41" s="361"/>
      <c r="G41" s="370" t="s">
        <v>691</v>
      </c>
      <c r="H41" s="362" t="n">
        <f aca="false">(H3)/(1-0.0672)-H3</f>
        <v>0.218284734133791</v>
      </c>
      <c r="I41" s="359"/>
      <c r="J41" s="352" t="s">
        <v>633</v>
      </c>
      <c r="K41" s="363" t="n">
        <f aca="false">(K5)/(1-0.0797)-K5</f>
        <v>0.26153862870803</v>
      </c>
      <c r="L41" s="359"/>
      <c r="M41" s="353" t="s">
        <v>692</v>
      </c>
      <c r="N41" s="364" t="n">
        <f aca="false">(N3)/(1-0.0705)-N3</f>
        <v>0.217681549220011</v>
      </c>
      <c r="O41" s="359"/>
      <c r="P41" s="397"/>
      <c r="Q41" s="366"/>
      <c r="R41" s="366"/>
      <c r="S41" s="347" t="s">
        <v>654</v>
      </c>
      <c r="T41" s="360" t="n">
        <f aca="false">T4/(1-0.02988)-T4</f>
        <v>0.0980989980620954</v>
      </c>
      <c r="U41" s="359"/>
      <c r="V41" s="347"/>
      <c r="W41" s="360"/>
      <c r="X41" s="359"/>
      <c r="Y41" s="359"/>
      <c r="Z41" s="359"/>
      <c r="AE41" s="370"/>
      <c r="AF41" s="371" t="n">
        <f aca="false">SUM(AF38:AF40)</f>
        <v>0.0266</v>
      </c>
      <c r="AH41" s="368"/>
      <c r="AI41" s="369" t="n">
        <f aca="false">SUM(AI38:AI40)</f>
        <v>0.0862534136546185</v>
      </c>
    </row>
    <row r="42" customFormat="false" ht="12.75" hidden="false" customHeight="false" outlineLevel="0" collapsed="false">
      <c r="A42" s="368"/>
      <c r="B42" s="369" t="n">
        <f aca="false">SUM(B39:B41)</f>
        <v>0.234208902297026</v>
      </c>
      <c r="C42" s="361"/>
      <c r="D42" s="347"/>
      <c r="E42" s="369" t="n">
        <f aca="false">SUM(E39:E41)</f>
        <v>0.154998657785851</v>
      </c>
      <c r="F42" s="333"/>
      <c r="G42" s="370"/>
      <c r="H42" s="371" t="n">
        <f aca="false">SUM(H39:H41)</f>
        <v>0.350784734133791</v>
      </c>
      <c r="I42" s="361"/>
      <c r="J42" s="352"/>
      <c r="K42" s="371" t="n">
        <f aca="false">SUM(K39:K41)</f>
        <v>0.37803862870803</v>
      </c>
      <c r="L42" s="361"/>
      <c r="M42" s="353"/>
      <c r="N42" s="372" t="n">
        <f aca="false">SUM(N39:N41)</f>
        <v>0.729981549220011</v>
      </c>
      <c r="O42" s="361"/>
      <c r="P42" s="399"/>
      <c r="Q42" s="375"/>
      <c r="R42" s="375"/>
      <c r="S42" s="368"/>
      <c r="T42" s="369" t="n">
        <f aca="false">SUM(T39:T41)</f>
        <v>0.220698998062095</v>
      </c>
      <c r="U42" s="361"/>
      <c r="V42" s="368"/>
      <c r="W42" s="369"/>
      <c r="X42" s="361"/>
      <c r="Y42" s="361"/>
      <c r="Z42" s="361"/>
      <c r="AI42" s="402" t="n">
        <f aca="false">+AI41+AI3</f>
        <v>3.41125341365462</v>
      </c>
      <c r="AK42" s="394"/>
      <c r="AN42" s="394"/>
    </row>
    <row r="43" customFormat="false" ht="12.75" hidden="false" customHeight="false" outlineLevel="0" collapsed="false">
      <c r="A43" s="377" t="s">
        <v>93</v>
      </c>
      <c r="B43" s="332" t="s">
        <v>693</v>
      </c>
      <c r="C43" s="333"/>
      <c r="D43" s="27" t="s">
        <v>93</v>
      </c>
      <c r="E43" s="27" t="s">
        <v>694</v>
      </c>
      <c r="F43" s="334"/>
      <c r="G43" s="378" t="s">
        <v>578</v>
      </c>
      <c r="H43" s="391" t="s">
        <v>695</v>
      </c>
      <c r="I43" s="333"/>
      <c r="J43" s="337" t="s">
        <v>580</v>
      </c>
      <c r="K43" s="338" t="s">
        <v>696</v>
      </c>
      <c r="L43" s="333"/>
      <c r="M43" s="339" t="s">
        <v>580</v>
      </c>
      <c r="N43" s="340" t="s">
        <v>697</v>
      </c>
      <c r="O43" s="333"/>
      <c r="P43" s="343"/>
      <c r="Q43" s="343"/>
      <c r="R43" s="343"/>
      <c r="S43" s="333"/>
      <c r="T43" s="333"/>
      <c r="U43" s="333"/>
      <c r="V43" s="333"/>
      <c r="W43" s="333"/>
      <c r="X43" s="333"/>
      <c r="Y43" s="403"/>
      <c r="Z43" s="403"/>
      <c r="AH43" s="27" t="s">
        <v>698</v>
      </c>
      <c r="AK43" s="396"/>
      <c r="AL43" s="393"/>
      <c r="AN43" s="396"/>
      <c r="AO43" s="393"/>
    </row>
    <row r="44" customFormat="false" ht="12.75" hidden="false" customHeight="false" outlineLevel="0" collapsed="false">
      <c r="A44" s="347" t="s">
        <v>597</v>
      </c>
      <c r="B44" s="348" t="n">
        <v>0.003</v>
      </c>
      <c r="C44" s="334"/>
      <c r="D44" s="347" t="s">
        <v>597</v>
      </c>
      <c r="E44" s="349" t="n">
        <v>0.2306</v>
      </c>
      <c r="F44" s="334"/>
      <c r="G44" s="370" t="s">
        <v>597</v>
      </c>
      <c r="H44" s="351" t="n">
        <v>0.1608</v>
      </c>
      <c r="I44" s="334"/>
      <c r="J44" s="352" t="s">
        <v>597</v>
      </c>
      <c r="K44" s="351" t="n">
        <v>0.0147</v>
      </c>
      <c r="L44" s="334"/>
      <c r="M44" s="353" t="s">
        <v>597</v>
      </c>
      <c r="N44" s="354" t="n">
        <v>0.3138</v>
      </c>
      <c r="O44" s="334"/>
      <c r="P44" s="395"/>
      <c r="Q44" s="343"/>
      <c r="R44" s="357"/>
      <c r="S44" s="377" t="s">
        <v>584</v>
      </c>
      <c r="T44" s="382" t="s">
        <v>699</v>
      </c>
      <c r="U44" s="334"/>
      <c r="V44" s="377"/>
      <c r="W44" s="382"/>
      <c r="X44" s="334"/>
      <c r="Y44" s="334"/>
      <c r="Z44" s="334"/>
      <c r="AL44" s="393"/>
      <c r="AO44" s="393"/>
    </row>
    <row r="45" customFormat="false" ht="12.75" hidden="false" customHeight="false" outlineLevel="0" collapsed="false">
      <c r="A45" s="347" t="s">
        <v>119</v>
      </c>
      <c r="B45" s="348" t="n">
        <f aca="false">0.0022+0.0072+0.0131</f>
        <v>0.0225</v>
      </c>
      <c r="C45" s="334"/>
      <c r="D45" s="347" t="s">
        <v>119</v>
      </c>
      <c r="E45" s="349" t="n">
        <f aca="false">0.0072+0.0022+0.0131</f>
        <v>0.0225</v>
      </c>
      <c r="F45" s="359"/>
      <c r="G45" s="370" t="s">
        <v>119</v>
      </c>
      <c r="H45" s="351" t="n">
        <f aca="false">0.0022+0.0072</f>
        <v>0.0094</v>
      </c>
      <c r="I45" s="334"/>
      <c r="J45" s="352" t="s">
        <v>119</v>
      </c>
      <c r="K45" s="351" t="n">
        <f aca="false">0.0022</f>
        <v>0.0022</v>
      </c>
      <c r="L45" s="334"/>
      <c r="M45" s="353" t="s">
        <v>119</v>
      </c>
      <c r="N45" s="354" t="n">
        <f aca="false">0.0022+0.0072</f>
        <v>0.0094</v>
      </c>
      <c r="O45" s="334"/>
      <c r="P45" s="397"/>
      <c r="Q45" s="357"/>
      <c r="R45" s="357"/>
      <c r="S45" s="347" t="s">
        <v>597</v>
      </c>
      <c r="T45" s="348" t="n">
        <v>0.03</v>
      </c>
      <c r="U45" s="334"/>
      <c r="V45" s="347"/>
      <c r="W45" s="348"/>
      <c r="X45" s="334"/>
      <c r="Y45" s="334"/>
      <c r="Z45" s="334"/>
      <c r="AH45" s="394" t="n">
        <v>36617</v>
      </c>
      <c r="AL45" s="393"/>
      <c r="AO45" s="393"/>
    </row>
    <row r="46" customFormat="false" ht="12.75" hidden="false" customHeight="false" outlineLevel="0" collapsed="false">
      <c r="A46" s="347" t="s">
        <v>679</v>
      </c>
      <c r="B46" s="360" t="n">
        <f aca="false">B4/(1-0.0046)-B4</f>
        <v>0.0139099859353027</v>
      </c>
      <c r="C46" s="359"/>
      <c r="D46" s="347" t="s">
        <v>700</v>
      </c>
      <c r="E46" s="360" t="n">
        <f aca="false">(E5)/(1-0.0281)-E5</f>
        <v>0.0903513735981067</v>
      </c>
      <c r="F46" s="361"/>
      <c r="G46" s="370" t="s">
        <v>701</v>
      </c>
      <c r="H46" s="362" t="n">
        <f aca="false">(H3)/(1-0.0742)-H3</f>
        <v>0.242845106934543</v>
      </c>
      <c r="I46" s="359"/>
      <c r="J46" s="352" t="s">
        <v>702</v>
      </c>
      <c r="K46" s="363" t="n">
        <f aca="false">(K4)/(1-0.0191)-K4</f>
        <v>0.05977877459476</v>
      </c>
      <c r="L46" s="359"/>
      <c r="M46" s="353" t="s">
        <v>703</v>
      </c>
      <c r="N46" s="364" t="n">
        <f aca="false">(N6)/(1-0.0372)-(N6)</f>
        <v>0.121900706273369</v>
      </c>
      <c r="O46" s="359"/>
      <c r="P46" s="397"/>
      <c r="Q46" s="357"/>
      <c r="R46" s="366"/>
      <c r="S46" s="347" t="s">
        <v>119</v>
      </c>
      <c r="T46" s="348" t="n">
        <v>0.0022</v>
      </c>
      <c r="U46" s="359"/>
      <c r="V46" s="347"/>
      <c r="W46" s="348"/>
      <c r="X46" s="359"/>
      <c r="Y46" s="359"/>
      <c r="Z46" s="359"/>
      <c r="AH46" s="396" t="s">
        <v>704</v>
      </c>
      <c r="AI46" s="393" t="n">
        <v>0.004</v>
      </c>
    </row>
    <row r="47" customFormat="false" ht="12.75" hidden="false" customHeight="false" outlineLevel="0" collapsed="false">
      <c r="A47" s="368"/>
      <c r="B47" s="369" t="n">
        <f aca="false">SUM(B44:B46)</f>
        <v>0.0394099859353027</v>
      </c>
      <c r="C47" s="361"/>
      <c r="D47" s="347"/>
      <c r="E47" s="369" t="n">
        <f aca="false">SUM(E44:E46)</f>
        <v>0.343451373598107</v>
      </c>
      <c r="F47" s="403"/>
      <c r="G47" s="370"/>
      <c r="H47" s="371" t="n">
        <f aca="false">SUM(H44:H46)</f>
        <v>0.413045106934543</v>
      </c>
      <c r="I47" s="361"/>
      <c r="J47" s="352"/>
      <c r="K47" s="371" t="n">
        <f aca="false">SUM(K44:K46)</f>
        <v>0.07667877459476</v>
      </c>
      <c r="L47" s="361"/>
      <c r="M47" s="353"/>
      <c r="N47" s="372" t="n">
        <f aca="false">SUM(N44:N46)</f>
        <v>0.445100706273369</v>
      </c>
      <c r="O47" s="361"/>
      <c r="P47" s="397"/>
      <c r="Q47" s="366"/>
      <c r="R47" s="375"/>
      <c r="S47" s="347" t="s">
        <v>705</v>
      </c>
      <c r="T47" s="360" t="n">
        <f aca="false">T3/(1-0.00593)-T3</f>
        <v>0.018641795849387</v>
      </c>
      <c r="U47" s="361"/>
      <c r="V47" s="347"/>
      <c r="W47" s="360"/>
      <c r="X47" s="361"/>
      <c r="Y47" s="361"/>
      <c r="Z47" s="361"/>
      <c r="AH47" s="27" t="s">
        <v>706</v>
      </c>
      <c r="AI47" s="393" t="n">
        <v>0.008</v>
      </c>
      <c r="AK47" s="394"/>
      <c r="AN47" s="394"/>
    </row>
    <row r="48" customFormat="false" ht="12.75" hidden="false" customHeight="false" outlineLevel="0" collapsed="false">
      <c r="A48" s="333" t="s">
        <v>93</v>
      </c>
      <c r="B48" s="332" t="s">
        <v>707</v>
      </c>
      <c r="C48" s="333"/>
      <c r="D48" s="387" t="s">
        <v>93</v>
      </c>
      <c r="E48" s="369" t="s">
        <v>708</v>
      </c>
      <c r="F48" s="334"/>
      <c r="G48" s="378" t="s">
        <v>578</v>
      </c>
      <c r="H48" s="379" t="s">
        <v>709</v>
      </c>
      <c r="I48" s="403"/>
      <c r="J48" s="337" t="s">
        <v>580</v>
      </c>
      <c r="K48" s="338" t="s">
        <v>710</v>
      </c>
      <c r="L48" s="403"/>
      <c r="M48" s="339" t="s">
        <v>580</v>
      </c>
      <c r="N48" s="340" t="s">
        <v>711</v>
      </c>
      <c r="O48" s="403"/>
      <c r="P48" s="399"/>
      <c r="Q48" s="375"/>
      <c r="R48" s="343"/>
      <c r="S48" s="368"/>
      <c r="T48" s="369" t="n">
        <f aca="false">SUM(T45:T47)</f>
        <v>0.050841795849387</v>
      </c>
      <c r="U48" s="333"/>
      <c r="V48" s="368"/>
      <c r="W48" s="369"/>
      <c r="X48" s="333"/>
      <c r="Y48" s="403"/>
      <c r="Z48" s="403"/>
      <c r="AH48" s="27" t="s">
        <v>712</v>
      </c>
      <c r="AI48" s="393" t="n">
        <v>0.004</v>
      </c>
      <c r="AK48" s="396"/>
      <c r="AL48" s="393"/>
      <c r="AN48" s="396"/>
      <c r="AO48" s="393"/>
    </row>
    <row r="49" customFormat="false" ht="12.75" hidden="false" customHeight="false" outlineLevel="0" collapsed="false">
      <c r="A49" s="377" t="s">
        <v>597</v>
      </c>
      <c r="B49" s="348" t="n">
        <v>0.0055</v>
      </c>
      <c r="C49" s="334"/>
      <c r="D49" s="347" t="s">
        <v>597</v>
      </c>
      <c r="E49" s="349" t="n">
        <v>0.0792</v>
      </c>
      <c r="F49" s="334"/>
      <c r="G49" s="350" t="s">
        <v>597</v>
      </c>
      <c r="H49" s="351" t="n">
        <v>0.0286</v>
      </c>
      <c r="I49" s="334"/>
      <c r="J49" s="352" t="s">
        <v>597</v>
      </c>
      <c r="K49" s="351" t="n">
        <v>0.0195</v>
      </c>
      <c r="L49" s="334"/>
      <c r="M49" s="353" t="s">
        <v>597</v>
      </c>
      <c r="N49" s="354" t="n">
        <v>0.4184</v>
      </c>
      <c r="O49" s="334"/>
      <c r="P49" s="399"/>
      <c r="Q49" s="375"/>
      <c r="R49" s="357"/>
      <c r="S49" s="368"/>
      <c r="T49" s="369"/>
      <c r="U49" s="334"/>
      <c r="V49" s="368"/>
      <c r="W49" s="369"/>
      <c r="X49" s="334"/>
      <c r="Y49" s="334"/>
      <c r="Z49" s="334"/>
      <c r="AI49" s="393"/>
      <c r="AL49" s="393"/>
      <c r="AO49" s="393"/>
    </row>
    <row r="50" customFormat="false" ht="12.75" hidden="false" customHeight="false" outlineLevel="0" collapsed="false">
      <c r="A50" s="347" t="s">
        <v>119</v>
      </c>
      <c r="B50" s="348" t="n">
        <v>0.0022</v>
      </c>
      <c r="C50" s="334"/>
      <c r="D50" s="347" t="s">
        <v>119</v>
      </c>
      <c r="E50" s="349" t="n">
        <f aca="false">0.0072+0.0022+0.0131</f>
        <v>0.0225</v>
      </c>
      <c r="F50" s="359"/>
      <c r="G50" s="350" t="s">
        <v>119</v>
      </c>
      <c r="H50" s="351" t="n">
        <f aca="false">0.0022+0.0072+0.0225</f>
        <v>0.0319</v>
      </c>
      <c r="I50" s="334"/>
      <c r="J50" s="352" t="s">
        <v>119</v>
      </c>
      <c r="K50" s="351" t="n">
        <f aca="false">0.0022+0.0072</f>
        <v>0.0094</v>
      </c>
      <c r="L50" s="334"/>
      <c r="M50" s="353" t="s">
        <v>119</v>
      </c>
      <c r="N50" s="354" t="n">
        <f aca="false">0.0022+0.0072</f>
        <v>0.0094</v>
      </c>
      <c r="O50" s="334"/>
      <c r="P50" s="395"/>
      <c r="Q50" s="343"/>
      <c r="R50" s="357"/>
      <c r="S50" s="377" t="s">
        <v>584</v>
      </c>
      <c r="T50" s="382" t="s">
        <v>713</v>
      </c>
      <c r="U50" s="334"/>
      <c r="V50" s="377"/>
      <c r="W50" s="382"/>
      <c r="X50" s="334"/>
      <c r="Y50" s="334"/>
      <c r="Z50" s="334"/>
      <c r="AH50" s="394" t="n">
        <v>36586</v>
      </c>
      <c r="AL50" s="393"/>
      <c r="AO50" s="393"/>
    </row>
    <row r="51" customFormat="false" ht="12.75" hidden="false" customHeight="false" outlineLevel="0" collapsed="false">
      <c r="A51" s="347" t="s">
        <v>714</v>
      </c>
      <c r="B51" s="360" t="n">
        <f aca="false">B5/(1-0.0091)-B5</f>
        <v>0.0286986577858515</v>
      </c>
      <c r="C51" s="359"/>
      <c r="D51" s="347" t="s">
        <v>715</v>
      </c>
      <c r="E51" s="360" t="n">
        <f aca="false">(E4)/(1-0.0045)-E4</f>
        <v>0.0136062280261173</v>
      </c>
      <c r="F51" s="361"/>
      <c r="G51" s="350" t="s">
        <v>716</v>
      </c>
      <c r="H51" s="404" t="n">
        <f aca="false">(H4)/(1-0.0095)-H4</f>
        <v>0.0296845027763752</v>
      </c>
      <c r="I51" s="359"/>
      <c r="J51" s="352" t="s">
        <v>636</v>
      </c>
      <c r="K51" s="363" t="n">
        <f aca="false">(K4)/(1-0.0268)-K4</f>
        <v>0.0845417180435679</v>
      </c>
      <c r="L51" s="359"/>
      <c r="M51" s="353" t="s">
        <v>717</v>
      </c>
      <c r="N51" s="364" t="n">
        <f aca="false">(N6)/(1-0.0465)-(N6)</f>
        <v>0.153862087047719</v>
      </c>
      <c r="O51" s="359"/>
      <c r="P51" s="397"/>
      <c r="Q51" s="357"/>
      <c r="R51" s="366"/>
      <c r="S51" s="347" t="s">
        <v>597</v>
      </c>
      <c r="T51" s="348" t="n">
        <v>0.03</v>
      </c>
      <c r="U51" s="359"/>
      <c r="V51" s="347"/>
      <c r="W51" s="348"/>
      <c r="X51" s="359"/>
      <c r="Y51" s="359"/>
      <c r="Z51" s="359"/>
      <c r="AH51" s="396" t="s">
        <v>704</v>
      </c>
      <c r="AI51" s="393" t="n">
        <v>0.005</v>
      </c>
    </row>
    <row r="52" customFormat="false" ht="12.75" hidden="false" customHeight="false" outlineLevel="0" collapsed="false">
      <c r="A52" s="347"/>
      <c r="B52" s="369" t="n">
        <f aca="false">SUM(B49:B51)</f>
        <v>0.0363986577858515</v>
      </c>
      <c r="C52" s="361"/>
      <c r="D52" s="347"/>
      <c r="E52" s="369" t="n">
        <f aca="false">SUM(E49:E51)</f>
        <v>0.115306228026117</v>
      </c>
      <c r="F52" s="403"/>
      <c r="G52" s="370"/>
      <c r="H52" s="371" t="n">
        <f aca="false">SUM(H49:H51)</f>
        <v>0.0901845027763752</v>
      </c>
      <c r="I52" s="361"/>
      <c r="J52" s="352"/>
      <c r="K52" s="371" t="n">
        <f aca="false">SUM(K49:K51)</f>
        <v>0.113441718043568</v>
      </c>
      <c r="L52" s="361"/>
      <c r="M52" s="353"/>
      <c r="N52" s="372" t="n">
        <f aca="false">SUM(N49:N51)</f>
        <v>0.581662087047719</v>
      </c>
      <c r="O52" s="361"/>
      <c r="P52" s="397"/>
      <c r="Q52" s="357"/>
      <c r="R52" s="375"/>
      <c r="S52" s="347" t="s">
        <v>119</v>
      </c>
      <c r="T52" s="348" t="n">
        <v>0.0022</v>
      </c>
      <c r="U52" s="361"/>
      <c r="V52" s="347"/>
      <c r="W52" s="348"/>
      <c r="X52" s="361"/>
      <c r="Y52" s="361"/>
      <c r="Z52" s="361"/>
      <c r="AH52" s="27" t="s">
        <v>706</v>
      </c>
      <c r="AI52" s="393" t="n">
        <v>0.01</v>
      </c>
    </row>
    <row r="53" customFormat="false" ht="12.75" hidden="false" customHeight="false" outlineLevel="0" collapsed="false">
      <c r="A53" s="368" t="s">
        <v>93</v>
      </c>
      <c r="B53" s="332" t="s">
        <v>718</v>
      </c>
      <c r="C53" s="403"/>
      <c r="D53" s="27" t="s">
        <v>93</v>
      </c>
      <c r="E53" s="27" t="s">
        <v>719</v>
      </c>
      <c r="F53" s="334"/>
      <c r="G53" s="378" t="s">
        <v>578</v>
      </c>
      <c r="H53" s="379" t="s">
        <v>720</v>
      </c>
      <c r="I53" s="403"/>
      <c r="J53" s="337" t="s">
        <v>580</v>
      </c>
      <c r="K53" s="338" t="s">
        <v>721</v>
      </c>
      <c r="L53" s="403"/>
      <c r="M53" s="339" t="s">
        <v>580</v>
      </c>
      <c r="N53" s="372" t="s">
        <v>722</v>
      </c>
      <c r="O53" s="403"/>
      <c r="P53" s="397"/>
      <c r="Q53" s="366"/>
      <c r="R53" s="405"/>
      <c r="S53" s="347" t="s">
        <v>654</v>
      </c>
      <c r="T53" s="360" t="n">
        <f aca="false">T4/(1-0.02988)-T4</f>
        <v>0.0980989980620954</v>
      </c>
      <c r="U53" s="403"/>
      <c r="V53" s="347"/>
      <c r="W53" s="360"/>
      <c r="X53" s="403"/>
      <c r="Y53" s="333"/>
      <c r="Z53" s="333"/>
      <c r="AH53" s="27" t="s">
        <v>712</v>
      </c>
      <c r="AI53" s="393" t="n">
        <v>0.005</v>
      </c>
    </row>
    <row r="54" customFormat="false" ht="12.75" hidden="false" customHeight="false" outlineLevel="0" collapsed="false">
      <c r="A54" s="368" t="s">
        <v>597</v>
      </c>
      <c r="B54" s="348" t="n">
        <v>0.0166</v>
      </c>
      <c r="C54" s="334"/>
      <c r="D54" s="347" t="s">
        <v>597</v>
      </c>
      <c r="E54" s="349" t="n">
        <v>0.206</v>
      </c>
      <c r="F54" s="334"/>
      <c r="G54" s="350" t="s">
        <v>597</v>
      </c>
      <c r="H54" s="351" t="n">
        <v>0.0572</v>
      </c>
      <c r="I54" s="334"/>
      <c r="J54" s="352" t="s">
        <v>597</v>
      </c>
      <c r="K54" s="351" t="n">
        <v>0.0667</v>
      </c>
      <c r="L54" s="334"/>
      <c r="M54" s="353" t="s">
        <v>597</v>
      </c>
      <c r="N54" s="406" t="n">
        <v>0.3439</v>
      </c>
      <c r="O54" s="334"/>
      <c r="P54" s="399"/>
      <c r="Q54" s="375"/>
      <c r="R54" s="357"/>
      <c r="S54" s="368"/>
      <c r="T54" s="369" t="n">
        <f aca="false">SUM(T51:T53)</f>
        <v>0.130298998062095</v>
      </c>
      <c r="U54" s="334"/>
      <c r="V54" s="368"/>
      <c r="W54" s="369"/>
      <c r="X54" s="334"/>
      <c r="Y54" s="334"/>
      <c r="Z54" s="334"/>
      <c r="AI54" s="393"/>
    </row>
    <row r="55" customFormat="false" ht="12.75" hidden="false" customHeight="false" outlineLevel="0" collapsed="false">
      <c r="A55" s="377" t="s">
        <v>119</v>
      </c>
      <c r="B55" s="348" t="n">
        <f aca="false">0.0022+0.0072+0.0131</f>
        <v>0.0225</v>
      </c>
      <c r="C55" s="334"/>
      <c r="D55" s="347" t="s">
        <v>119</v>
      </c>
      <c r="E55" s="349" t="n">
        <f aca="false">0.0072+0.0022+0.0131</f>
        <v>0.0225</v>
      </c>
      <c r="F55" s="359"/>
      <c r="G55" s="350" t="s">
        <v>119</v>
      </c>
      <c r="H55" s="351" t="n">
        <f aca="false">0.0022+0.0072+0.0225</f>
        <v>0.0319</v>
      </c>
      <c r="I55" s="334"/>
      <c r="J55" s="352" t="s">
        <v>119</v>
      </c>
      <c r="K55" s="351" t="n">
        <f aca="false">0.0022+0.0072</f>
        <v>0.0094</v>
      </c>
      <c r="L55" s="334"/>
      <c r="M55" s="353" t="s">
        <v>119</v>
      </c>
      <c r="N55" s="354" t="n">
        <f aca="false">0.0022+0.0072</f>
        <v>0.0094</v>
      </c>
      <c r="O55" s="334"/>
      <c r="P55" s="343"/>
      <c r="Q55" s="375"/>
      <c r="R55" s="357"/>
      <c r="S55" s="333"/>
      <c r="T55" s="361" t="n">
        <f aca="false">+T54+T48</f>
        <v>0.181140793911482</v>
      </c>
      <c r="U55" s="334"/>
      <c r="V55" s="333"/>
      <c r="W55" s="361"/>
      <c r="X55" s="334"/>
      <c r="Y55" s="334"/>
      <c r="Z55" s="334"/>
      <c r="AH55" s="394" t="n">
        <v>36465</v>
      </c>
    </row>
    <row r="56" customFormat="false" ht="12.75" hidden="false" customHeight="false" outlineLevel="0" collapsed="false">
      <c r="A56" s="347" t="s">
        <v>700</v>
      </c>
      <c r="B56" s="360" t="n">
        <f aca="false">B$5/(1-0.0281)-B$5</f>
        <v>0.0903513735981067</v>
      </c>
      <c r="C56" s="359"/>
      <c r="D56" s="347" t="s">
        <v>723</v>
      </c>
      <c r="E56" s="360" t="n">
        <f aca="false">(E4)/(1-0.0235)-E4</f>
        <v>0.0724372759856631</v>
      </c>
      <c r="F56" s="361"/>
      <c r="G56" s="350" t="s">
        <v>724</v>
      </c>
      <c r="H56" s="404" t="n">
        <f aca="false">(H4)/(1-0.017)-H4</f>
        <v>0.05352492370295</v>
      </c>
      <c r="I56" s="359"/>
      <c r="J56" s="352" t="s">
        <v>725</v>
      </c>
      <c r="K56" s="363" t="n">
        <f aca="false">(K4)/(1-0.05)-K4</f>
        <v>0.161578947368421</v>
      </c>
      <c r="L56" s="359"/>
      <c r="M56" s="353" t="s">
        <v>726</v>
      </c>
      <c r="N56" s="364" t="n">
        <f aca="false">(N6)/(1-0.0399)-N6</f>
        <v>0.131116029580252</v>
      </c>
      <c r="O56" s="359"/>
      <c r="P56" s="395"/>
      <c r="Q56" s="343"/>
      <c r="R56" s="366"/>
      <c r="S56" s="331" t="s">
        <v>1</v>
      </c>
      <c r="T56" s="344" t="s">
        <v>1</v>
      </c>
      <c r="U56" s="359"/>
      <c r="V56" s="331"/>
      <c r="W56" s="344"/>
      <c r="X56" s="359"/>
      <c r="Y56" s="359"/>
      <c r="Z56" s="359"/>
      <c r="AH56" s="396" t="s">
        <v>704</v>
      </c>
      <c r="AI56" s="393" t="n">
        <v>0</v>
      </c>
    </row>
    <row r="57" customFormat="false" ht="12.75" hidden="false" customHeight="false" outlineLevel="0" collapsed="false">
      <c r="A57" s="347"/>
      <c r="B57" s="369" t="n">
        <f aca="false">SUM(B54:B56)</f>
        <v>0.129451373598107</v>
      </c>
      <c r="C57" s="361"/>
      <c r="D57" s="347"/>
      <c r="E57" s="369" t="n">
        <f aca="false">SUM(E54:E56)</f>
        <v>0.300937275985663</v>
      </c>
      <c r="F57" s="333"/>
      <c r="G57" s="370"/>
      <c r="H57" s="371" t="n">
        <f aca="false">SUM(H54:H56)</f>
        <v>0.14262492370295</v>
      </c>
      <c r="I57" s="361"/>
      <c r="J57" s="352"/>
      <c r="K57" s="371" t="n">
        <f aca="false">SUM(K54:K56)</f>
        <v>0.237678947368421</v>
      </c>
      <c r="L57" s="361"/>
      <c r="M57" s="353"/>
      <c r="N57" s="372" t="n">
        <f aca="false">SUM(N54:N56)</f>
        <v>0.484416029580252</v>
      </c>
      <c r="O57" s="361"/>
      <c r="P57" s="397"/>
      <c r="Q57" s="357"/>
      <c r="R57" s="375"/>
      <c r="S57" s="347"/>
      <c r="T57" s="348" t="s">
        <v>1</v>
      </c>
      <c r="U57" s="361"/>
      <c r="V57" s="347"/>
      <c r="W57" s="348"/>
      <c r="X57" s="361"/>
      <c r="Y57" s="361"/>
      <c r="Z57" s="361"/>
      <c r="AH57" s="27" t="s">
        <v>706</v>
      </c>
      <c r="AI57" s="393" t="n">
        <v>0.007</v>
      </c>
    </row>
    <row r="58" customFormat="false" ht="12.75" hidden="false" customHeight="false" outlineLevel="0" collapsed="false">
      <c r="A58" s="368" t="s">
        <v>93</v>
      </c>
      <c r="B58" s="332" t="s">
        <v>727</v>
      </c>
      <c r="C58" s="403"/>
      <c r="D58" s="27" t="s">
        <v>93</v>
      </c>
      <c r="E58" s="27" t="s">
        <v>728</v>
      </c>
      <c r="F58" s="334"/>
      <c r="G58" s="378" t="s">
        <v>578</v>
      </c>
      <c r="H58" s="379" t="s">
        <v>729</v>
      </c>
      <c r="I58" s="333"/>
      <c r="J58" s="337" t="s">
        <v>580</v>
      </c>
      <c r="K58" s="338" t="s">
        <v>642</v>
      </c>
      <c r="L58" s="333"/>
      <c r="M58" s="339" t="s">
        <v>580</v>
      </c>
      <c r="N58" s="372" t="s">
        <v>730</v>
      </c>
      <c r="O58" s="333"/>
      <c r="P58" s="397"/>
      <c r="Q58" s="357"/>
      <c r="R58" s="405"/>
      <c r="S58" s="347"/>
      <c r="T58" s="348"/>
      <c r="U58" s="403"/>
      <c r="V58" s="347"/>
      <c r="W58" s="348"/>
      <c r="X58" s="403"/>
      <c r="Y58" s="333"/>
      <c r="Z58" s="333"/>
      <c r="AH58" s="27" t="s">
        <v>712</v>
      </c>
      <c r="AI58" s="393" t="n">
        <v>0</v>
      </c>
    </row>
    <row r="59" customFormat="false" ht="12.75" hidden="false" customHeight="false" outlineLevel="0" collapsed="false">
      <c r="A59" s="368" t="s">
        <v>597</v>
      </c>
      <c r="B59" s="348" t="n">
        <v>0.0254</v>
      </c>
      <c r="C59" s="334"/>
      <c r="D59" s="347" t="s">
        <v>597</v>
      </c>
      <c r="E59" s="349" t="n">
        <v>0.3528</v>
      </c>
      <c r="F59" s="334"/>
      <c r="G59" s="350" t="s">
        <v>597</v>
      </c>
      <c r="H59" s="351" t="n">
        <v>0.0776</v>
      </c>
      <c r="I59" s="334"/>
      <c r="J59" s="352" t="s">
        <v>597</v>
      </c>
      <c r="K59" s="351" t="n">
        <v>0.0881</v>
      </c>
      <c r="L59" s="334"/>
      <c r="M59" s="353" t="s">
        <v>597</v>
      </c>
      <c r="N59" s="406" t="n">
        <v>0.1908</v>
      </c>
      <c r="O59" s="334"/>
      <c r="P59" s="397"/>
      <c r="Q59" s="366"/>
      <c r="R59" s="357"/>
      <c r="S59" s="347"/>
      <c r="T59" s="360"/>
      <c r="U59" s="334"/>
      <c r="V59" s="347"/>
      <c r="W59" s="360"/>
      <c r="X59" s="334"/>
      <c r="Y59" s="334"/>
      <c r="Z59" s="334"/>
      <c r="AI59" s="393"/>
    </row>
    <row r="60" customFormat="false" ht="12.75" hidden="false" customHeight="false" outlineLevel="0" collapsed="false">
      <c r="A60" s="377" t="s">
        <v>119</v>
      </c>
      <c r="B60" s="348" t="n">
        <f aca="false">0.0022+0.0072+0.0131</f>
        <v>0.0225</v>
      </c>
      <c r="C60" s="334"/>
      <c r="D60" s="347" t="s">
        <v>119</v>
      </c>
      <c r="E60" s="349" t="n">
        <f aca="false">0.0131+0.0072+0.0022</f>
        <v>0.0225</v>
      </c>
      <c r="F60" s="359"/>
      <c r="G60" s="350" t="s">
        <v>119</v>
      </c>
      <c r="H60" s="351" t="n">
        <f aca="false">0.0022+0.0072</f>
        <v>0.0094</v>
      </c>
      <c r="I60" s="334"/>
      <c r="J60" s="352" t="s">
        <v>119</v>
      </c>
      <c r="K60" s="351" t="n">
        <f aca="false">0.0022+0.0072</f>
        <v>0.0094</v>
      </c>
      <c r="L60" s="334"/>
      <c r="M60" s="353" t="s">
        <v>119</v>
      </c>
      <c r="N60" s="354" t="n">
        <f aca="false">0.0022+0.0072</f>
        <v>0.0094</v>
      </c>
      <c r="O60" s="334"/>
      <c r="P60" s="399"/>
      <c r="Q60" s="375"/>
      <c r="R60" s="357"/>
      <c r="S60" s="368" t="s">
        <v>1</v>
      </c>
      <c r="T60" s="369" t="s">
        <v>1</v>
      </c>
      <c r="U60" s="334"/>
      <c r="V60" s="368"/>
      <c r="W60" s="369"/>
      <c r="X60" s="334"/>
      <c r="Y60" s="334"/>
      <c r="Z60" s="334"/>
      <c r="AH60" s="394" t="n">
        <v>36434</v>
      </c>
    </row>
    <row r="61" customFormat="false" ht="12.75" hidden="false" customHeight="false" outlineLevel="0" collapsed="false">
      <c r="A61" s="347" t="s">
        <v>731</v>
      </c>
      <c r="B61" s="360" t="n">
        <f aca="false">B5/(1-0.0434)-B5</f>
        <v>0.141778172694961</v>
      </c>
      <c r="C61" s="359"/>
      <c r="D61" s="347" t="s">
        <v>732</v>
      </c>
      <c r="E61" s="360" t="n">
        <f aca="false">(E4)/(1-0.0472)-E4</f>
        <v>0.149109991603694</v>
      </c>
      <c r="F61" s="361"/>
      <c r="G61" s="350" t="s">
        <v>733</v>
      </c>
      <c r="H61" s="362" t="n">
        <f aca="false">(H4)/(1-0.0369)-H4</f>
        <v>0.118581144221784</v>
      </c>
      <c r="I61" s="359"/>
      <c r="J61" s="352" t="s">
        <v>652</v>
      </c>
      <c r="K61" s="363" t="n">
        <f aca="false">(K4)/(1-0.064)-K4</f>
        <v>0.20991452991453</v>
      </c>
      <c r="L61" s="359"/>
      <c r="M61" s="353" t="s">
        <v>668</v>
      </c>
      <c r="N61" s="364" t="n">
        <f aca="false">(N7)/(1-0.026)-N7</f>
        <v>0.093028747433265</v>
      </c>
      <c r="O61" s="359"/>
      <c r="P61" s="395"/>
      <c r="Q61" s="343"/>
      <c r="R61" s="366"/>
      <c r="S61" s="377" t="s">
        <v>1</v>
      </c>
      <c r="T61" s="382" t="s">
        <v>1</v>
      </c>
      <c r="U61" s="359"/>
      <c r="V61" s="377"/>
      <c r="W61" s="382"/>
      <c r="X61" s="359"/>
      <c r="Y61" s="359"/>
      <c r="Z61" s="359"/>
      <c r="AH61" s="396" t="s">
        <v>704</v>
      </c>
      <c r="AI61" s="393" t="n">
        <v>0</v>
      </c>
    </row>
    <row r="62" customFormat="false" ht="12.75" hidden="false" customHeight="false" outlineLevel="0" collapsed="false">
      <c r="A62" s="347"/>
      <c r="B62" s="369" t="n">
        <f aca="false">SUM(B59:B61)</f>
        <v>0.189678172694961</v>
      </c>
      <c r="C62" s="361"/>
      <c r="D62" s="347"/>
      <c r="E62" s="369" t="n">
        <f aca="false">SUM(E59:E61)</f>
        <v>0.524409991603694</v>
      </c>
      <c r="F62" s="333"/>
      <c r="G62" s="370"/>
      <c r="H62" s="371" t="n">
        <f aca="false">SUM(H59:H61)</f>
        <v>0.205581144221784</v>
      </c>
      <c r="I62" s="361"/>
      <c r="J62" s="352"/>
      <c r="K62" s="371" t="n">
        <f aca="false">SUM(K59:K61)</f>
        <v>0.30741452991453</v>
      </c>
      <c r="L62" s="361"/>
      <c r="M62" s="353"/>
      <c r="N62" s="372" t="n">
        <f aca="false">SUM(N59:N61)</f>
        <v>0.293228747433265</v>
      </c>
      <c r="O62" s="361"/>
      <c r="P62" s="397"/>
      <c r="Q62" s="357"/>
      <c r="R62" s="375"/>
      <c r="S62" s="347" t="s">
        <v>1</v>
      </c>
      <c r="T62" s="348" t="s">
        <v>1</v>
      </c>
      <c r="U62" s="361"/>
      <c r="V62" s="347"/>
      <c r="W62" s="348"/>
      <c r="X62" s="361"/>
      <c r="Y62" s="361"/>
      <c r="Z62" s="361"/>
      <c r="AH62" s="27" t="s">
        <v>706</v>
      </c>
      <c r="AI62" s="393" t="n">
        <v>0.007</v>
      </c>
    </row>
    <row r="63" customFormat="false" ht="12.75" hidden="false" customHeight="false" outlineLevel="0" collapsed="false">
      <c r="A63" s="347" t="s">
        <v>93</v>
      </c>
      <c r="B63" s="332" t="s">
        <v>734</v>
      </c>
      <c r="C63" s="333"/>
      <c r="D63" s="27" t="s">
        <v>93</v>
      </c>
      <c r="E63" s="27" t="s">
        <v>735</v>
      </c>
      <c r="F63" s="334"/>
      <c r="G63" s="378" t="s">
        <v>578</v>
      </c>
      <c r="H63" s="379" t="s">
        <v>736</v>
      </c>
      <c r="I63" s="333"/>
      <c r="J63" s="337" t="s">
        <v>580</v>
      </c>
      <c r="K63" s="338" t="s">
        <v>659</v>
      </c>
      <c r="L63" s="333"/>
      <c r="M63" s="407"/>
      <c r="N63" s="408"/>
      <c r="O63" s="333"/>
      <c r="P63" s="397"/>
      <c r="Q63" s="357"/>
      <c r="R63" s="343"/>
      <c r="S63" s="347" t="s">
        <v>1</v>
      </c>
      <c r="T63" s="348" t="s">
        <v>1</v>
      </c>
      <c r="U63" s="333"/>
      <c r="V63" s="347"/>
      <c r="W63" s="348"/>
      <c r="X63" s="333"/>
      <c r="Y63" s="327"/>
      <c r="Z63" s="327"/>
      <c r="AH63" s="27" t="s">
        <v>712</v>
      </c>
      <c r="AI63" s="393" t="n">
        <v>0</v>
      </c>
    </row>
    <row r="64" customFormat="false" ht="12.75" hidden="false" customHeight="false" outlineLevel="0" collapsed="false">
      <c r="A64" s="368" t="s">
        <v>597</v>
      </c>
      <c r="B64" s="348" t="n">
        <v>0.03</v>
      </c>
      <c r="C64" s="334"/>
      <c r="D64" s="347" t="s">
        <v>597</v>
      </c>
      <c r="E64" s="349" t="n">
        <v>0.1716</v>
      </c>
      <c r="F64" s="334"/>
      <c r="G64" s="350" t="s">
        <v>597</v>
      </c>
      <c r="H64" s="351" t="n">
        <v>0.0874</v>
      </c>
      <c r="I64" s="334"/>
      <c r="J64" s="352" t="s">
        <v>597</v>
      </c>
      <c r="K64" s="351" t="n">
        <v>0.103</v>
      </c>
      <c r="L64" s="334"/>
      <c r="M64" s="409"/>
      <c r="N64" s="410"/>
      <c r="O64" s="334"/>
      <c r="P64" s="397"/>
      <c r="Q64" s="366"/>
      <c r="R64" s="357"/>
      <c r="S64" s="347" t="s">
        <v>1</v>
      </c>
      <c r="T64" s="360" t="s">
        <v>1</v>
      </c>
      <c r="U64" s="334"/>
      <c r="V64" s="347"/>
      <c r="W64" s="360"/>
      <c r="X64" s="334"/>
      <c r="Y64" s="334"/>
      <c r="Z64" s="334"/>
      <c r="AI64" s="393"/>
    </row>
    <row r="65" customFormat="false" ht="12.75" hidden="false" customHeight="false" outlineLevel="0" collapsed="false">
      <c r="A65" s="180" t="s">
        <v>119</v>
      </c>
      <c r="B65" s="348" t="n">
        <f aca="false">0.0022+0.0072+0.0131</f>
        <v>0.0225</v>
      </c>
      <c r="C65" s="334"/>
      <c r="D65" s="347" t="s">
        <v>119</v>
      </c>
      <c r="E65" s="349" t="n">
        <v>0</v>
      </c>
      <c r="F65" s="359"/>
      <c r="G65" s="350" t="s">
        <v>119</v>
      </c>
      <c r="H65" s="351" t="n">
        <f aca="false">0.0022</f>
        <v>0.0022</v>
      </c>
      <c r="I65" s="334"/>
      <c r="J65" s="352" t="s">
        <v>119</v>
      </c>
      <c r="K65" s="351" t="n">
        <f aca="false">0.0022+0.0072</f>
        <v>0.0094</v>
      </c>
      <c r="L65" s="334"/>
      <c r="M65" s="409"/>
      <c r="N65" s="409"/>
      <c r="O65" s="334"/>
      <c r="P65" s="399"/>
      <c r="Q65" s="375"/>
      <c r="R65" s="357"/>
      <c r="S65" s="368"/>
      <c r="T65" s="369" t="s">
        <v>1</v>
      </c>
      <c r="U65" s="334"/>
      <c r="V65" s="368"/>
      <c r="W65" s="369"/>
      <c r="X65" s="334"/>
      <c r="Y65" s="334"/>
      <c r="Z65" s="334"/>
      <c r="AH65" s="394" t="n">
        <v>36404</v>
      </c>
    </row>
    <row r="66" customFormat="false" ht="12.75" hidden="false" customHeight="false" outlineLevel="0" collapsed="false">
      <c r="A66" s="411" t="s">
        <v>737</v>
      </c>
      <c r="B66" s="360" t="n">
        <f aca="false">B5/(1-0.0518)-B5</f>
        <v>0.170718202910778</v>
      </c>
      <c r="C66" s="359"/>
      <c r="D66" s="347" t="s">
        <v>738</v>
      </c>
      <c r="E66" s="360" t="n">
        <f aca="false">(E3)/(1-0.019)-E3</f>
        <v>0.0612028542303773</v>
      </c>
      <c r="F66" s="361"/>
      <c r="G66" s="350" t="s">
        <v>739</v>
      </c>
      <c r="H66" s="363" t="n">
        <f aca="false">(H4)/(1-0.0429)-H4</f>
        <v>0.138726883293282</v>
      </c>
      <c r="I66" s="359"/>
      <c r="J66" s="352" t="s">
        <v>667</v>
      </c>
      <c r="K66" s="363" t="n">
        <f aca="false">(K4)/(1-0.0733)-K4</f>
        <v>0.242830473723967</v>
      </c>
      <c r="L66" s="359"/>
      <c r="M66" s="409"/>
      <c r="N66" s="412"/>
      <c r="O66" s="359"/>
      <c r="P66" s="395"/>
      <c r="Q66" s="343"/>
      <c r="R66" s="366"/>
      <c r="S66" s="377" t="s">
        <v>1</v>
      </c>
      <c r="T66" s="382" t="s">
        <v>1</v>
      </c>
      <c r="U66" s="359"/>
      <c r="V66" s="377"/>
      <c r="W66" s="382"/>
      <c r="X66" s="359"/>
      <c r="Y66" s="359"/>
      <c r="Z66" s="359"/>
      <c r="AH66" s="396" t="s">
        <v>704</v>
      </c>
      <c r="AI66" s="393" t="n">
        <v>0</v>
      </c>
    </row>
    <row r="67" customFormat="false" ht="12.75" hidden="false" customHeight="false" outlineLevel="0" collapsed="false">
      <c r="A67" s="347"/>
      <c r="B67" s="369" t="n">
        <f aca="false">SUM(B64:B66)</f>
        <v>0.223218202910778</v>
      </c>
      <c r="C67" s="361"/>
      <c r="D67" s="347"/>
      <c r="E67" s="369" t="n">
        <f aca="false">SUM(E64:E66)</f>
        <v>0.232802854230377</v>
      </c>
      <c r="F67" s="327"/>
      <c r="G67" s="370"/>
      <c r="H67" s="371" t="n">
        <f aca="false">SUM(H64:H66)</f>
        <v>0.228326883293282</v>
      </c>
      <c r="I67" s="361"/>
      <c r="J67" s="352"/>
      <c r="K67" s="371" t="n">
        <f aca="false">SUM(K64:K66)</f>
        <v>0.355230473723967</v>
      </c>
      <c r="L67" s="361"/>
      <c r="M67" s="409"/>
      <c r="N67" s="408"/>
      <c r="O67" s="361"/>
      <c r="P67" s="397"/>
      <c r="Q67" s="357"/>
      <c r="R67" s="375"/>
      <c r="S67" s="347"/>
      <c r="T67" s="348"/>
      <c r="U67" s="361"/>
      <c r="V67" s="347"/>
      <c r="W67" s="348"/>
      <c r="X67" s="361"/>
      <c r="Y67" s="361"/>
      <c r="Z67" s="361"/>
      <c r="AH67" s="27" t="s">
        <v>706</v>
      </c>
      <c r="AI67" s="393" t="n">
        <v>0.004</v>
      </c>
    </row>
    <row r="68" customFormat="false" ht="12.75" hidden="false" customHeight="false" outlineLevel="0" collapsed="false">
      <c r="A68" s="347" t="s">
        <v>93</v>
      </c>
      <c r="B68" s="332" t="s">
        <v>740</v>
      </c>
      <c r="C68" s="333"/>
      <c r="D68" s="27" t="s">
        <v>741</v>
      </c>
      <c r="E68" s="27" t="s">
        <v>742</v>
      </c>
      <c r="F68" s="334"/>
      <c r="G68" s="378" t="s">
        <v>578</v>
      </c>
      <c r="H68" s="379" t="s">
        <v>743</v>
      </c>
      <c r="I68" s="327"/>
      <c r="J68" s="337" t="s">
        <v>580</v>
      </c>
      <c r="K68" s="338" t="s">
        <v>744</v>
      </c>
      <c r="L68" s="327"/>
      <c r="M68" s="409"/>
      <c r="N68" s="409"/>
      <c r="O68" s="327"/>
      <c r="P68" s="397"/>
      <c r="Q68" s="357"/>
      <c r="R68" s="343"/>
      <c r="S68" s="347"/>
      <c r="T68" s="348"/>
      <c r="U68" s="333"/>
      <c r="V68" s="347"/>
      <c r="W68" s="348"/>
      <c r="X68" s="333"/>
      <c r="Y68" s="327"/>
      <c r="Z68" s="327"/>
      <c r="AH68" s="27" t="s">
        <v>712</v>
      </c>
      <c r="AI68" s="393" t="n">
        <v>0</v>
      </c>
    </row>
    <row r="69" customFormat="false" ht="12.75" hidden="false" customHeight="false" outlineLevel="0" collapsed="false">
      <c r="A69" s="347" t="s">
        <v>597</v>
      </c>
      <c r="B69" s="348" t="n">
        <v>0.0029</v>
      </c>
      <c r="C69" s="334"/>
      <c r="D69" s="347" t="s">
        <v>597</v>
      </c>
      <c r="E69" s="349" t="n">
        <v>0.076</v>
      </c>
      <c r="F69" s="334"/>
      <c r="G69" s="350" t="s">
        <v>597</v>
      </c>
      <c r="H69" s="351" t="n">
        <v>0.1014</v>
      </c>
      <c r="I69" s="334"/>
      <c r="J69" s="352" t="s">
        <v>597</v>
      </c>
      <c r="K69" s="351" t="n">
        <v>0.0236</v>
      </c>
      <c r="L69" s="334"/>
      <c r="M69" s="409"/>
      <c r="N69" s="409"/>
      <c r="O69" s="334"/>
      <c r="P69" s="397"/>
      <c r="Q69" s="366"/>
      <c r="R69" s="357"/>
      <c r="S69" s="347"/>
      <c r="T69" s="360"/>
      <c r="U69" s="334"/>
      <c r="V69" s="347"/>
      <c r="W69" s="360"/>
      <c r="X69" s="334"/>
      <c r="Y69" s="334"/>
      <c r="Z69" s="334"/>
      <c r="AI69" s="393"/>
    </row>
    <row r="70" customFormat="false" ht="12.75" hidden="false" customHeight="false" outlineLevel="0" collapsed="false">
      <c r="A70" s="368" t="s">
        <v>119</v>
      </c>
      <c r="B70" s="348" t="n">
        <f aca="false">0.0022+0.0072+0.0131</f>
        <v>0.0225</v>
      </c>
      <c r="C70" s="334"/>
      <c r="D70" s="347" t="s">
        <v>119</v>
      </c>
      <c r="E70" s="349" t="n">
        <v>0</v>
      </c>
      <c r="F70" s="359"/>
      <c r="G70" s="350" t="s">
        <v>119</v>
      </c>
      <c r="H70" s="351" t="n">
        <f aca="false">0.0022+0.0072</f>
        <v>0.0094</v>
      </c>
      <c r="I70" s="334"/>
      <c r="J70" s="352" t="s">
        <v>119</v>
      </c>
      <c r="K70" s="351" t="n">
        <f aca="false">0.0022+0.0072</f>
        <v>0.0094</v>
      </c>
      <c r="L70" s="334"/>
      <c r="M70" s="412"/>
      <c r="N70" s="412"/>
      <c r="O70" s="334"/>
      <c r="P70" s="373"/>
      <c r="Q70" s="374"/>
      <c r="R70" s="357"/>
      <c r="S70" s="368"/>
      <c r="T70" s="369"/>
      <c r="U70" s="334"/>
      <c r="V70" s="368"/>
      <c r="W70" s="369"/>
      <c r="X70" s="334"/>
      <c r="Y70" s="334"/>
      <c r="Z70" s="334"/>
      <c r="AH70" s="394" t="n">
        <v>36312</v>
      </c>
    </row>
    <row r="71" customFormat="false" ht="12.75" hidden="false" customHeight="false" outlineLevel="0" collapsed="false">
      <c r="A71" s="377" t="s">
        <v>745</v>
      </c>
      <c r="B71" s="360" t="n">
        <f aca="false">(B4)/(1-0.0045)-B4</f>
        <v>0.0136062280261173</v>
      </c>
      <c r="C71" s="359"/>
      <c r="D71" s="347" t="s">
        <v>746</v>
      </c>
      <c r="E71" s="360" t="n">
        <f aca="false">(+E3)/(1-0.0059)-E3</f>
        <v>0.0187546524494517</v>
      </c>
      <c r="F71" s="361"/>
      <c r="G71" s="350" t="s">
        <v>747</v>
      </c>
      <c r="H71" s="404" t="n">
        <f aca="false">(H4)/(1-0.0506)-H4</f>
        <v>0.164953654939962</v>
      </c>
      <c r="I71" s="359"/>
      <c r="J71" s="352" t="s">
        <v>602</v>
      </c>
      <c r="K71" s="363" t="n">
        <f aca="false">(K3)/(1-0.0242)-K3</f>
        <v>0.0761365033818406</v>
      </c>
      <c r="L71" s="359"/>
      <c r="M71" s="408"/>
      <c r="N71" s="408"/>
      <c r="O71" s="359"/>
      <c r="P71" s="343"/>
      <c r="Q71" s="343"/>
      <c r="R71" s="366"/>
      <c r="S71" s="333"/>
      <c r="T71" s="333"/>
      <c r="U71" s="359"/>
      <c r="V71" s="333"/>
      <c r="W71" s="333"/>
      <c r="X71" s="359"/>
      <c r="Y71" s="359"/>
      <c r="Z71" s="359"/>
      <c r="AH71" s="396" t="s">
        <v>704</v>
      </c>
      <c r="AI71" s="393" t="n">
        <v>0.002</v>
      </c>
    </row>
    <row r="72" customFormat="false" ht="12.75" hidden="false" customHeight="false" outlineLevel="0" collapsed="false">
      <c r="A72" s="347"/>
      <c r="B72" s="369" t="n">
        <f aca="false">SUM(B69:B71)</f>
        <v>0.0390062280261173</v>
      </c>
      <c r="C72" s="361"/>
      <c r="D72" s="347"/>
      <c r="E72" s="369" t="n">
        <f aca="false">SUM(E69:E71)</f>
        <v>0.0947546524494517</v>
      </c>
      <c r="F72" s="327"/>
      <c r="G72" s="370"/>
      <c r="H72" s="371" t="n">
        <f aca="false">SUM(H69:H71)</f>
        <v>0.275753654939962</v>
      </c>
      <c r="I72" s="361"/>
      <c r="J72" s="352"/>
      <c r="K72" s="371" t="n">
        <f aca="false">SUM(K69:K71)</f>
        <v>0.109136503381841</v>
      </c>
      <c r="L72" s="361"/>
      <c r="M72" s="413"/>
      <c r="N72" s="413"/>
      <c r="O72" s="361"/>
      <c r="P72" s="357"/>
      <c r="Q72" s="357"/>
      <c r="R72" s="375"/>
      <c r="S72" s="334"/>
      <c r="T72" s="334"/>
      <c r="U72" s="361"/>
      <c r="V72" s="334"/>
      <c r="W72" s="334"/>
      <c r="X72" s="361"/>
      <c r="Y72" s="361"/>
      <c r="Z72" s="361"/>
      <c r="AH72" s="27" t="s">
        <v>706</v>
      </c>
      <c r="AI72" s="393" t="n">
        <v>0.005</v>
      </c>
    </row>
    <row r="73" customFormat="false" ht="12.75" hidden="false" customHeight="false" outlineLevel="0" collapsed="false">
      <c r="A73" s="347" t="s">
        <v>93</v>
      </c>
      <c r="B73" s="369" t="s">
        <v>748</v>
      </c>
      <c r="C73" s="327"/>
      <c r="F73" s="334"/>
      <c r="G73" s="378" t="s">
        <v>578</v>
      </c>
      <c r="H73" s="379" t="s">
        <v>749</v>
      </c>
      <c r="I73" s="327"/>
      <c r="J73" s="337" t="s">
        <v>580</v>
      </c>
      <c r="K73" s="338" t="s">
        <v>750</v>
      </c>
      <c r="L73" s="327"/>
      <c r="M73" s="409"/>
      <c r="N73" s="409"/>
      <c r="O73" s="327"/>
      <c r="P73" s="366"/>
      <c r="Q73" s="366"/>
      <c r="R73" s="414"/>
      <c r="S73" s="359"/>
      <c r="T73" s="359"/>
      <c r="U73" s="327"/>
      <c r="V73" s="359"/>
      <c r="W73" s="359"/>
      <c r="X73" s="327"/>
      <c r="Y73" s="327"/>
      <c r="Z73" s="327"/>
      <c r="AH73" s="27" t="s">
        <v>712</v>
      </c>
      <c r="AI73" s="393" t="n">
        <v>0.002</v>
      </c>
    </row>
    <row r="74" customFormat="false" ht="12.75" hidden="false" customHeight="false" outlineLevel="0" collapsed="false">
      <c r="A74" s="347" t="s">
        <v>597</v>
      </c>
      <c r="B74" s="349" t="n">
        <v>0.014</v>
      </c>
      <c r="C74" s="334"/>
      <c r="D74" s="387" t="s">
        <v>751</v>
      </c>
      <c r="E74" s="369" t="s">
        <v>752</v>
      </c>
      <c r="F74" s="334"/>
      <c r="G74" s="350" t="s">
        <v>597</v>
      </c>
      <c r="H74" s="351" t="n">
        <v>0.1126</v>
      </c>
      <c r="I74" s="334"/>
      <c r="J74" s="352" t="s">
        <v>597</v>
      </c>
      <c r="K74" s="351" t="n">
        <v>0.0195</v>
      </c>
      <c r="L74" s="334"/>
      <c r="M74" s="409"/>
      <c r="N74" s="409"/>
      <c r="O74" s="334"/>
      <c r="P74" s="375"/>
      <c r="Q74" s="375"/>
      <c r="R74" s="357"/>
      <c r="S74" s="361"/>
      <c r="T74" s="361"/>
      <c r="U74" s="334"/>
      <c r="V74" s="361"/>
      <c r="W74" s="361"/>
      <c r="X74" s="334"/>
      <c r="Y74" s="334"/>
      <c r="Z74" s="334"/>
      <c r="AI74" s="393"/>
    </row>
    <row r="75" customFormat="false" ht="12.75" hidden="false" customHeight="false" outlineLevel="0" collapsed="false">
      <c r="A75" s="368" t="s">
        <v>119</v>
      </c>
      <c r="B75" s="349" t="n">
        <f aca="false">0.0022+0.0072+0.0131</f>
        <v>0.0225</v>
      </c>
      <c r="C75" s="334"/>
      <c r="D75" s="347" t="s">
        <v>597</v>
      </c>
      <c r="E75" s="349" t="n">
        <v>0.0972</v>
      </c>
      <c r="F75" s="359"/>
      <c r="G75" s="350" t="s">
        <v>119</v>
      </c>
      <c r="H75" s="351" t="n">
        <f aca="false">0.0022+0.0072</f>
        <v>0.0094</v>
      </c>
      <c r="I75" s="334"/>
      <c r="J75" s="352" t="s">
        <v>119</v>
      </c>
      <c r="K75" s="351" t="n">
        <f aca="false">0.0022</f>
        <v>0.0022</v>
      </c>
      <c r="L75" s="334"/>
      <c r="M75" s="412"/>
      <c r="N75" s="412"/>
      <c r="O75" s="334"/>
      <c r="P75" s="343"/>
      <c r="Q75" s="343"/>
      <c r="R75" s="357"/>
      <c r="S75" s="333"/>
      <c r="T75" s="333"/>
      <c r="U75" s="334"/>
      <c r="V75" s="333"/>
      <c r="W75" s="333"/>
      <c r="X75" s="334"/>
      <c r="Y75" s="334"/>
      <c r="Z75" s="334"/>
      <c r="AH75" s="394" t="n">
        <v>36281</v>
      </c>
    </row>
    <row r="76" customFormat="false" ht="12.75" hidden="false" customHeight="false" outlineLevel="0" collapsed="false">
      <c r="A76" s="377" t="s">
        <v>723</v>
      </c>
      <c r="B76" s="360" t="n">
        <f aca="false">(+B4)/(1-0.0235)-B4</f>
        <v>0.0724372759856631</v>
      </c>
      <c r="C76" s="359"/>
      <c r="D76" s="347" t="s">
        <v>119</v>
      </c>
      <c r="E76" s="349" t="n">
        <f aca="false">0.0072+0.0022+0.0131</f>
        <v>0.0225</v>
      </c>
      <c r="F76" s="361"/>
      <c r="G76" s="350" t="s">
        <v>753</v>
      </c>
      <c r="H76" s="404" t="n">
        <f aca="false">(H4)/(1-0.0597)-H4</f>
        <v>0.196502711900457</v>
      </c>
      <c r="I76" s="359"/>
      <c r="J76" s="352" t="s">
        <v>754</v>
      </c>
      <c r="K76" s="363" t="n">
        <f aca="false">(K3)/(1-0.024)-K3</f>
        <v>0.0754918032786884</v>
      </c>
      <c r="L76" s="359"/>
      <c r="M76" s="408"/>
      <c r="N76" s="408"/>
      <c r="O76" s="359"/>
      <c r="P76" s="357"/>
      <c r="Q76" s="357"/>
      <c r="R76" s="366"/>
      <c r="S76" s="334"/>
      <c r="T76" s="334"/>
      <c r="U76" s="359"/>
      <c r="V76" s="334"/>
      <c r="W76" s="334"/>
      <c r="X76" s="359"/>
      <c r="Y76" s="359"/>
      <c r="Z76" s="359"/>
      <c r="AH76" s="396" t="s">
        <v>704</v>
      </c>
      <c r="AI76" s="393" t="n">
        <v>0.002</v>
      </c>
    </row>
    <row r="77" customFormat="false" ht="12.75" hidden="false" customHeight="false" outlineLevel="0" collapsed="false">
      <c r="A77" s="347"/>
      <c r="B77" s="369" t="n">
        <f aca="false">SUM(B74:B76)</f>
        <v>0.108937275985663</v>
      </c>
      <c r="C77" s="361"/>
      <c r="D77" s="347" t="s">
        <v>601</v>
      </c>
      <c r="E77" s="360" t="n">
        <f aca="false">(2.25)/(1-0.0084)-2.25</f>
        <v>0.0190601048810004</v>
      </c>
      <c r="F77" s="327"/>
      <c r="G77" s="370"/>
      <c r="H77" s="371" t="n">
        <f aca="false">SUM(H74:H76)</f>
        <v>0.318502711900457</v>
      </c>
      <c r="I77" s="361"/>
      <c r="J77" s="352"/>
      <c r="K77" s="371" t="n">
        <f aca="false">SUM(K74:K76)</f>
        <v>0.0971918032786884</v>
      </c>
      <c r="L77" s="361"/>
      <c r="M77" s="408"/>
      <c r="N77" s="408"/>
      <c r="O77" s="361"/>
      <c r="P77" s="357"/>
      <c r="Q77" s="357"/>
      <c r="R77" s="375"/>
      <c r="S77" s="334"/>
      <c r="T77" s="334"/>
      <c r="U77" s="361"/>
      <c r="V77" s="334"/>
      <c r="W77" s="334"/>
      <c r="X77" s="361"/>
      <c r="Y77" s="361"/>
      <c r="Z77" s="361"/>
      <c r="AH77" s="27" t="s">
        <v>706</v>
      </c>
      <c r="AI77" s="393" t="n">
        <v>0.005</v>
      </c>
    </row>
    <row r="78" customFormat="false" ht="12.75" hidden="false" customHeight="false" outlineLevel="0" collapsed="false">
      <c r="A78" s="347" t="s">
        <v>93</v>
      </c>
      <c r="B78" s="332" t="s">
        <v>755</v>
      </c>
      <c r="C78" s="327"/>
      <c r="D78" s="347"/>
      <c r="E78" s="369" t="n">
        <f aca="false">SUM(E75:E77)</f>
        <v>0.138760104881</v>
      </c>
      <c r="F78" s="334"/>
      <c r="G78" s="378" t="s">
        <v>578</v>
      </c>
      <c r="H78" s="379" t="s">
        <v>756</v>
      </c>
      <c r="I78" s="327"/>
      <c r="J78" s="337" t="s">
        <v>580</v>
      </c>
      <c r="K78" s="338" t="s">
        <v>757</v>
      </c>
      <c r="L78" s="327"/>
      <c r="M78" s="410"/>
      <c r="N78" s="410"/>
      <c r="O78" s="327"/>
      <c r="P78" s="366"/>
      <c r="Q78" s="366"/>
      <c r="R78" s="414"/>
      <c r="S78" s="359"/>
      <c r="T78" s="359"/>
      <c r="U78" s="327"/>
      <c r="V78" s="359"/>
      <c r="W78" s="359"/>
      <c r="X78" s="327"/>
      <c r="Y78" s="327"/>
      <c r="Z78" s="327"/>
      <c r="AH78" s="27" t="s">
        <v>712</v>
      </c>
      <c r="AI78" s="393" t="n">
        <v>0.002</v>
      </c>
    </row>
    <row r="79" customFormat="false" ht="12.75" hidden="false" customHeight="false" outlineLevel="0" collapsed="false">
      <c r="A79" s="347" t="s">
        <v>597</v>
      </c>
      <c r="B79" s="348" t="n">
        <v>0.0228</v>
      </c>
      <c r="C79" s="334"/>
      <c r="F79" s="334"/>
      <c r="G79" s="350" t="s">
        <v>597</v>
      </c>
      <c r="H79" s="351" t="n">
        <v>0.1503</v>
      </c>
      <c r="I79" s="334"/>
      <c r="J79" s="352" t="s">
        <v>597</v>
      </c>
      <c r="K79" s="351" t="n">
        <v>0.0177</v>
      </c>
      <c r="L79" s="334"/>
      <c r="M79" s="410"/>
      <c r="N79" s="410"/>
      <c r="O79" s="334"/>
      <c r="P79" s="375"/>
      <c r="Q79" s="375"/>
      <c r="R79" s="357"/>
      <c r="S79" s="361"/>
      <c r="T79" s="361"/>
      <c r="U79" s="334"/>
      <c r="V79" s="361"/>
      <c r="W79" s="361"/>
      <c r="X79" s="334"/>
      <c r="Y79" s="334"/>
      <c r="Z79" s="334"/>
      <c r="AI79" s="393"/>
    </row>
    <row r="80" customFormat="false" ht="12.75" hidden="false" customHeight="false" outlineLevel="0" collapsed="false">
      <c r="A80" s="368" t="s">
        <v>119</v>
      </c>
      <c r="B80" s="349" t="n">
        <f aca="false">0.0022+0.0072+0.0131</f>
        <v>0.0225</v>
      </c>
      <c r="C80" s="334"/>
      <c r="D80" s="387" t="s">
        <v>758</v>
      </c>
      <c r="E80" s="369"/>
      <c r="F80" s="359"/>
      <c r="G80" s="350" t="s">
        <v>119</v>
      </c>
      <c r="H80" s="351" t="n">
        <f aca="false">0.0022+0.0072</f>
        <v>0.0094</v>
      </c>
      <c r="I80" s="334"/>
      <c r="J80" s="352" t="s">
        <v>119</v>
      </c>
      <c r="K80" s="351" t="n">
        <f aca="false">0.0022+0.0072</f>
        <v>0.0094</v>
      </c>
      <c r="L80" s="334"/>
      <c r="M80" s="410"/>
      <c r="N80" s="410"/>
      <c r="O80" s="334"/>
      <c r="P80" s="414"/>
      <c r="Q80" s="414"/>
      <c r="R80" s="357"/>
      <c r="S80" s="327"/>
      <c r="T80" s="327"/>
      <c r="U80" s="334"/>
      <c r="V80" s="327"/>
      <c r="W80" s="327"/>
      <c r="X80" s="334"/>
      <c r="Y80" s="334"/>
      <c r="Z80" s="334"/>
      <c r="AH80" s="394" t="n">
        <v>36251</v>
      </c>
    </row>
    <row r="81" customFormat="false" ht="12.75" hidden="false" customHeight="false" outlineLevel="0" collapsed="false">
      <c r="A81" s="333" t="s">
        <v>759</v>
      </c>
      <c r="B81" s="360" t="n">
        <f aca="false">B4/(1-0.0388)-B4</f>
        <v>0.121502288805659</v>
      </c>
      <c r="C81" s="359"/>
      <c r="D81" s="347" t="s">
        <v>597</v>
      </c>
      <c r="E81" s="349" t="n">
        <v>0.0448</v>
      </c>
      <c r="F81" s="361"/>
      <c r="G81" s="350" t="s">
        <v>760</v>
      </c>
      <c r="H81" s="362" t="n">
        <f aca="false">(H4)/(1-0.0667)-H4</f>
        <v>0.221189863923712</v>
      </c>
      <c r="I81" s="359"/>
      <c r="J81" s="352" t="s">
        <v>754</v>
      </c>
      <c r="K81" s="363" t="n">
        <f aca="false">(K3)/(1-0.024)-K3</f>
        <v>0.0754918032786884</v>
      </c>
      <c r="L81" s="359"/>
      <c r="M81" s="412"/>
      <c r="N81" s="412"/>
      <c r="O81" s="359"/>
      <c r="P81" s="357"/>
      <c r="Q81" s="357"/>
      <c r="R81" s="366"/>
      <c r="S81" s="334"/>
      <c r="T81" s="334"/>
      <c r="U81" s="359"/>
      <c r="V81" s="334"/>
      <c r="W81" s="334"/>
      <c r="X81" s="359"/>
      <c r="Y81" s="359"/>
      <c r="Z81" s="359"/>
      <c r="AH81" s="396" t="s">
        <v>704</v>
      </c>
      <c r="AI81" s="393" t="n">
        <v>0.002</v>
      </c>
    </row>
    <row r="82" customFormat="false" ht="12.75" hidden="false" customHeight="false" outlineLevel="0" collapsed="false">
      <c r="A82" s="334"/>
      <c r="B82" s="369" t="n">
        <f aca="false">SUM(B79:B81)</f>
        <v>0.166802288805659</v>
      </c>
      <c r="C82" s="361"/>
      <c r="D82" s="347" t="s">
        <v>119</v>
      </c>
      <c r="E82" s="349" t="n">
        <f aca="false">0.0072+0.0022+0.0131</f>
        <v>0.0225</v>
      </c>
      <c r="F82" s="327"/>
      <c r="G82" s="370"/>
      <c r="H82" s="371" t="n">
        <f aca="false">SUM(H79:H81)</f>
        <v>0.380889863923712</v>
      </c>
      <c r="I82" s="361"/>
      <c r="J82" s="352"/>
      <c r="K82" s="371" t="n">
        <f aca="false">SUM(K79:K81)</f>
        <v>0.102591803278688</v>
      </c>
      <c r="L82" s="361"/>
      <c r="M82" s="408"/>
      <c r="N82" s="408"/>
      <c r="O82" s="361"/>
      <c r="P82" s="357"/>
      <c r="Q82" s="357"/>
      <c r="R82" s="375"/>
      <c r="S82" s="334"/>
      <c r="T82" s="334"/>
      <c r="U82" s="361"/>
      <c r="V82" s="334"/>
      <c r="W82" s="334"/>
      <c r="X82" s="361"/>
      <c r="Y82" s="361"/>
      <c r="Z82" s="361"/>
      <c r="AH82" s="27" t="s">
        <v>706</v>
      </c>
      <c r="AI82" s="393" t="n">
        <v>0.007</v>
      </c>
    </row>
    <row r="83" customFormat="false" ht="14.1" hidden="false" customHeight="true" outlineLevel="0" collapsed="false">
      <c r="A83" s="359" t="s">
        <v>93</v>
      </c>
      <c r="B83" s="332" t="s">
        <v>761</v>
      </c>
      <c r="C83" s="327"/>
      <c r="D83" s="347" t="s">
        <v>611</v>
      </c>
      <c r="E83" s="360" t="n">
        <v>0</v>
      </c>
      <c r="F83" s="334"/>
      <c r="G83" s="378" t="s">
        <v>578</v>
      </c>
      <c r="H83" s="379" t="s">
        <v>762</v>
      </c>
      <c r="I83" s="327"/>
      <c r="J83" s="337" t="s">
        <v>580</v>
      </c>
      <c r="K83" s="338" t="s">
        <v>763</v>
      </c>
      <c r="L83" s="327"/>
      <c r="M83" s="413"/>
      <c r="N83" s="413"/>
      <c r="O83" s="327"/>
      <c r="P83" s="366"/>
      <c r="Q83" s="366"/>
      <c r="R83" s="414"/>
      <c r="S83" s="359"/>
      <c r="T83" s="359"/>
      <c r="U83" s="327"/>
      <c r="V83" s="359"/>
      <c r="W83" s="359"/>
      <c r="X83" s="327"/>
      <c r="Y83" s="327"/>
      <c r="Z83" s="327"/>
      <c r="AH83" s="27" t="s">
        <v>712</v>
      </c>
      <c r="AI83" s="393" t="n">
        <v>0.002</v>
      </c>
    </row>
    <row r="84" customFormat="false" ht="12.75" hidden="false" customHeight="false" outlineLevel="0" collapsed="false">
      <c r="A84" s="361" t="s">
        <v>597</v>
      </c>
      <c r="B84" s="348" t="n">
        <v>0.0274</v>
      </c>
      <c r="C84" s="334"/>
      <c r="D84" s="347"/>
      <c r="E84" s="369" t="n">
        <f aca="false">SUM(E81:E83)</f>
        <v>0.0673</v>
      </c>
      <c r="F84" s="334"/>
      <c r="G84" s="350" t="s">
        <v>597</v>
      </c>
      <c r="H84" s="351" t="n">
        <v>0.0783</v>
      </c>
      <c r="I84" s="334"/>
      <c r="J84" s="352" t="s">
        <v>597</v>
      </c>
      <c r="K84" s="351" t="n">
        <v>0.0177</v>
      </c>
      <c r="L84" s="334"/>
      <c r="M84" s="409"/>
      <c r="N84" s="409"/>
      <c r="O84" s="334"/>
      <c r="P84" s="415"/>
      <c r="Q84" s="416"/>
      <c r="R84" s="357"/>
      <c r="S84" s="417"/>
      <c r="T84" s="418"/>
      <c r="U84" s="334"/>
      <c r="V84" s="417"/>
      <c r="W84" s="418"/>
      <c r="X84" s="334"/>
      <c r="Y84" s="334"/>
      <c r="Z84" s="334"/>
      <c r="AI84" s="393"/>
    </row>
    <row r="85" customFormat="false" ht="12.75" hidden="false" customHeight="false" outlineLevel="0" collapsed="false">
      <c r="A85" s="333" t="s">
        <v>119</v>
      </c>
      <c r="B85" s="349" t="n">
        <f aca="false">0.0022+0.0072+0.0131</f>
        <v>0.0225</v>
      </c>
      <c r="C85" s="334"/>
      <c r="F85" s="359"/>
      <c r="G85" s="350" t="s">
        <v>119</v>
      </c>
      <c r="H85" s="351" t="n">
        <f aca="false">0.0022+0.0072</f>
        <v>0.0094</v>
      </c>
      <c r="I85" s="334"/>
      <c r="J85" s="352" t="s">
        <v>119</v>
      </c>
      <c r="K85" s="351" t="n">
        <f aca="false">0.0022+0.0072</f>
        <v>0.0094</v>
      </c>
      <c r="L85" s="334"/>
      <c r="M85" s="409"/>
      <c r="N85" s="409"/>
      <c r="O85" s="334"/>
      <c r="P85" s="414"/>
      <c r="Q85" s="414"/>
      <c r="R85" s="357"/>
      <c r="S85" s="327"/>
      <c r="T85" s="327"/>
      <c r="U85" s="334"/>
      <c r="V85" s="327"/>
      <c r="W85" s="327"/>
      <c r="X85" s="334"/>
      <c r="Y85" s="334"/>
      <c r="Z85" s="334"/>
      <c r="AH85" s="394" t="n">
        <v>36220</v>
      </c>
    </row>
    <row r="86" customFormat="false" ht="12.75" hidden="false" customHeight="false" outlineLevel="0" collapsed="false">
      <c r="A86" s="334" t="s">
        <v>732</v>
      </c>
      <c r="B86" s="360" t="n">
        <f aca="false">B4/(1-0.0472)-B4</f>
        <v>0.149109991603694</v>
      </c>
      <c r="C86" s="359"/>
      <c r="F86" s="361"/>
      <c r="G86" s="350" t="s">
        <v>764</v>
      </c>
      <c r="H86" s="362" t="n">
        <f aca="false">(H4)/(1-0.0358)-H4</f>
        <v>0.114914955403444</v>
      </c>
      <c r="I86" s="359"/>
      <c r="J86" s="352" t="s">
        <v>754</v>
      </c>
      <c r="K86" s="363" t="n">
        <f aca="false">(K4)/(1-0.024)-K4</f>
        <v>0.0754918032786884</v>
      </c>
      <c r="L86" s="359"/>
      <c r="M86" s="412"/>
      <c r="N86" s="412"/>
      <c r="O86" s="359"/>
      <c r="P86" s="357"/>
      <c r="Q86" s="357"/>
      <c r="R86" s="366"/>
      <c r="S86" s="334"/>
      <c r="T86" s="334"/>
      <c r="U86" s="359"/>
      <c r="V86" s="334"/>
      <c r="W86" s="334"/>
      <c r="X86" s="359"/>
      <c r="Y86" s="359"/>
      <c r="Z86" s="359"/>
      <c r="AH86" s="396" t="s">
        <v>704</v>
      </c>
      <c r="AI86" s="393" t="n">
        <v>0.001</v>
      </c>
    </row>
    <row r="87" customFormat="false" ht="12.75" hidden="false" customHeight="false" outlineLevel="0" collapsed="false">
      <c r="A87" s="334"/>
      <c r="B87" s="369" t="n">
        <f aca="false">SUM(B84:B86)</f>
        <v>0.199009991603694</v>
      </c>
      <c r="C87" s="361"/>
      <c r="F87" s="327"/>
      <c r="G87" s="370"/>
      <c r="H87" s="371" t="n">
        <f aca="false">SUM(H84:H86)</f>
        <v>0.202614955403444</v>
      </c>
      <c r="I87" s="361"/>
      <c r="J87" s="352"/>
      <c r="K87" s="371" t="n">
        <f aca="false">SUM(K84:K86)</f>
        <v>0.102591803278688</v>
      </c>
      <c r="L87" s="361"/>
      <c r="M87" s="408"/>
      <c r="N87" s="408"/>
      <c r="O87" s="361"/>
      <c r="P87" s="357"/>
      <c r="Q87" s="357"/>
      <c r="R87" s="375"/>
      <c r="S87" s="334"/>
      <c r="T87" s="334"/>
      <c r="U87" s="361"/>
      <c r="V87" s="334"/>
      <c r="W87" s="334"/>
      <c r="X87" s="361"/>
      <c r="Y87" s="361"/>
      <c r="Z87" s="361"/>
      <c r="AH87" s="27" t="s">
        <v>706</v>
      </c>
      <c r="AI87" s="393" t="n">
        <v>0.003</v>
      </c>
    </row>
    <row r="88" customFormat="false" ht="12.75" hidden="false" customHeight="false" outlineLevel="0" collapsed="false">
      <c r="A88" s="359" t="s">
        <v>93</v>
      </c>
      <c r="B88" s="369" t="s">
        <v>765</v>
      </c>
      <c r="C88" s="327"/>
      <c r="F88" s="334"/>
      <c r="G88" s="378" t="s">
        <v>578</v>
      </c>
      <c r="H88" s="379" t="s">
        <v>766</v>
      </c>
      <c r="I88" s="327"/>
      <c r="J88" s="337" t="s">
        <v>580</v>
      </c>
      <c r="K88" s="338" t="s">
        <v>767</v>
      </c>
      <c r="L88" s="327"/>
      <c r="O88" s="327"/>
      <c r="P88" s="366"/>
      <c r="Q88" s="366"/>
      <c r="R88" s="414"/>
      <c r="S88" s="359"/>
      <c r="T88" s="359"/>
      <c r="U88" s="327"/>
      <c r="V88" s="359"/>
      <c r="W88" s="359"/>
      <c r="X88" s="327"/>
      <c r="Y88" s="361"/>
      <c r="Z88" s="361"/>
      <c r="AH88" s="27" t="s">
        <v>712</v>
      </c>
      <c r="AI88" s="393" t="n">
        <v>0.001</v>
      </c>
    </row>
    <row r="89" customFormat="false" ht="12.75" hidden="false" customHeight="false" outlineLevel="0" collapsed="false">
      <c r="A89" s="361" t="s">
        <v>597</v>
      </c>
      <c r="B89" s="349" t="n">
        <v>0.0115</v>
      </c>
      <c r="C89" s="334"/>
      <c r="F89" s="334"/>
      <c r="G89" s="350" t="s">
        <v>597</v>
      </c>
      <c r="H89" s="351" t="n">
        <f aca="false">0.0511-0.0022-0.0088</f>
        <v>0.0401</v>
      </c>
      <c r="I89" s="334"/>
      <c r="J89" s="352" t="s">
        <v>597</v>
      </c>
      <c r="K89" s="351" t="n">
        <v>0.0177</v>
      </c>
      <c r="L89" s="334"/>
      <c r="M89" s="413"/>
      <c r="N89" s="413"/>
      <c r="O89" s="334"/>
      <c r="P89" s="375"/>
      <c r="Q89" s="375"/>
      <c r="R89" s="357"/>
      <c r="S89" s="361"/>
      <c r="T89" s="361"/>
      <c r="U89" s="334"/>
      <c r="V89" s="361"/>
      <c r="W89" s="361"/>
      <c r="X89" s="334"/>
      <c r="Y89" s="388"/>
      <c r="Z89" s="388"/>
      <c r="AI89" s="393"/>
    </row>
    <row r="90" customFormat="false" ht="12.75" hidden="false" customHeight="false" outlineLevel="0" collapsed="false">
      <c r="A90" s="327" t="s">
        <v>119</v>
      </c>
      <c r="B90" s="349" t="n">
        <f aca="false">0.0022+0.0072+0.0131</f>
        <v>0.0225</v>
      </c>
      <c r="C90" s="334"/>
      <c r="F90" s="359"/>
      <c r="G90" s="350" t="s">
        <v>119</v>
      </c>
      <c r="H90" s="351" t="n">
        <f aca="false">0.0022+0.0072</f>
        <v>0.0094</v>
      </c>
      <c r="I90" s="334"/>
      <c r="J90" s="352" t="s">
        <v>119</v>
      </c>
      <c r="K90" s="351" t="n">
        <f aca="false">0.0022+0.0072</f>
        <v>0.0094</v>
      </c>
      <c r="L90" s="334"/>
      <c r="M90" s="409"/>
      <c r="N90" s="409"/>
      <c r="O90" s="334"/>
      <c r="P90" s="414"/>
      <c r="Q90" s="414"/>
      <c r="R90" s="357"/>
      <c r="S90" s="327"/>
      <c r="T90" s="327"/>
      <c r="U90" s="334"/>
      <c r="V90" s="327"/>
      <c r="W90" s="327"/>
      <c r="X90" s="334"/>
      <c r="Y90" s="388"/>
      <c r="Z90" s="388"/>
      <c r="AH90" s="394" t="n">
        <v>36192</v>
      </c>
    </row>
    <row r="91" customFormat="false" ht="12.75" hidden="false" customHeight="false" outlineLevel="0" collapsed="false">
      <c r="A91" s="334" t="s">
        <v>738</v>
      </c>
      <c r="B91" s="360" t="n">
        <f aca="false">(B3)/(1-0.019)-B3</f>
        <v>0.0612028542303773</v>
      </c>
      <c r="C91" s="359"/>
      <c r="F91" s="361"/>
      <c r="G91" s="350" t="s">
        <v>768</v>
      </c>
      <c r="H91" s="363" t="n">
        <f aca="false">(H5)/(1-0.0101)-H5</f>
        <v>0.0339251439539345</v>
      </c>
      <c r="I91" s="359"/>
      <c r="J91" s="352" t="s">
        <v>754</v>
      </c>
      <c r="K91" s="363" t="n">
        <f aca="false">(K3)/(1-0.024)-K3</f>
        <v>0.0754918032786884</v>
      </c>
      <c r="L91" s="359"/>
      <c r="M91" s="409"/>
      <c r="N91" s="409"/>
      <c r="O91" s="359"/>
      <c r="P91" s="357"/>
      <c r="Q91" s="357"/>
      <c r="R91" s="366"/>
      <c r="S91" s="334"/>
      <c r="T91" s="334"/>
      <c r="U91" s="359"/>
      <c r="V91" s="334"/>
      <c r="W91" s="334"/>
      <c r="X91" s="359"/>
      <c r="Y91" s="388"/>
      <c r="Z91" s="388"/>
      <c r="AH91" s="396" t="s">
        <v>704</v>
      </c>
      <c r="AI91" s="393" t="n">
        <v>0.004</v>
      </c>
    </row>
    <row r="92" customFormat="false" ht="12.75" hidden="false" customHeight="false" outlineLevel="0" collapsed="false">
      <c r="A92" s="334"/>
      <c r="B92" s="369" t="n">
        <f aca="false">SUM(B89:B91)</f>
        <v>0.0952028542303773</v>
      </c>
      <c r="C92" s="361"/>
      <c r="F92" s="361"/>
      <c r="G92" s="370"/>
      <c r="H92" s="371" t="n">
        <f aca="false">SUM(H89:H91)</f>
        <v>0.0834251439539345</v>
      </c>
      <c r="I92" s="361"/>
      <c r="J92" s="352"/>
      <c r="K92" s="371" t="n">
        <f aca="false">SUM(K89:K91)</f>
        <v>0.102591803278688</v>
      </c>
      <c r="L92" s="361"/>
      <c r="M92" s="412"/>
      <c r="N92" s="412"/>
      <c r="O92" s="361"/>
      <c r="P92" s="357"/>
      <c r="Q92" s="357"/>
      <c r="R92" s="375"/>
      <c r="S92" s="334"/>
      <c r="T92" s="334"/>
      <c r="U92" s="361"/>
      <c r="V92" s="334"/>
      <c r="W92" s="334"/>
      <c r="X92" s="361"/>
      <c r="Y92" s="359"/>
      <c r="Z92" s="359"/>
      <c r="AH92" s="27" t="s">
        <v>706</v>
      </c>
      <c r="AI92" s="393" t="n">
        <v>0.01</v>
      </c>
    </row>
    <row r="93" customFormat="false" ht="12.75" hidden="false" customHeight="false" outlineLevel="0" collapsed="false">
      <c r="A93" s="359" t="s">
        <v>93</v>
      </c>
      <c r="B93" s="369" t="s">
        <v>769</v>
      </c>
      <c r="C93" s="327"/>
      <c r="F93" s="388"/>
      <c r="G93" s="378" t="s">
        <v>578</v>
      </c>
      <c r="H93" s="379" t="s">
        <v>770</v>
      </c>
      <c r="I93" s="361"/>
      <c r="J93" s="337" t="s">
        <v>580</v>
      </c>
      <c r="K93" s="338" t="s">
        <v>771</v>
      </c>
      <c r="L93" s="361"/>
      <c r="M93" s="408"/>
      <c r="N93" s="408"/>
      <c r="O93" s="361"/>
      <c r="P93" s="366"/>
      <c r="Q93" s="366"/>
      <c r="R93" s="414"/>
      <c r="S93" s="359"/>
      <c r="T93" s="359"/>
      <c r="U93" s="327"/>
      <c r="V93" s="359"/>
      <c r="W93" s="359"/>
      <c r="X93" s="327"/>
      <c r="Y93" s="361"/>
      <c r="Z93" s="361"/>
      <c r="AH93" s="27" t="s">
        <v>712</v>
      </c>
      <c r="AI93" s="393" t="n">
        <v>0.004</v>
      </c>
    </row>
    <row r="94" customFormat="false" ht="12.75" hidden="false" customHeight="false" outlineLevel="0" collapsed="false">
      <c r="A94" s="417" t="s">
        <v>597</v>
      </c>
      <c r="B94" s="349" t="n">
        <v>0.0203</v>
      </c>
      <c r="C94" s="334"/>
      <c r="F94" s="388"/>
      <c r="G94" s="350" t="s">
        <v>597</v>
      </c>
      <c r="H94" s="351" t="n">
        <f aca="false">0.0945-0.0022-0.0088</f>
        <v>0.0835</v>
      </c>
      <c r="I94" s="388"/>
      <c r="J94" s="352" t="s">
        <v>597</v>
      </c>
      <c r="K94" s="351" t="n">
        <v>0.0649</v>
      </c>
      <c r="L94" s="388"/>
      <c r="M94" s="413"/>
      <c r="N94" s="413"/>
      <c r="O94" s="388"/>
      <c r="P94" s="415"/>
      <c r="Q94" s="416"/>
      <c r="R94" s="357"/>
      <c r="S94" s="417"/>
      <c r="T94" s="418"/>
      <c r="U94" s="334"/>
      <c r="V94" s="417"/>
      <c r="W94" s="418"/>
      <c r="X94" s="334"/>
      <c r="Y94" s="327"/>
      <c r="Z94" s="327"/>
      <c r="AI94" s="393"/>
    </row>
    <row r="95" customFormat="false" ht="12.75" hidden="false" customHeight="false" outlineLevel="0" collapsed="false">
      <c r="A95" s="327" t="s">
        <v>119</v>
      </c>
      <c r="B95" s="349" t="n">
        <f aca="false">0.0022+0.0072+0.0131</f>
        <v>0.0225</v>
      </c>
      <c r="C95" s="334"/>
      <c r="F95" s="359"/>
      <c r="G95" s="350" t="s">
        <v>119</v>
      </c>
      <c r="H95" s="351" t="n">
        <f aca="false">0.0022+0.0072</f>
        <v>0.0094</v>
      </c>
      <c r="I95" s="388" t="s">
        <v>1</v>
      </c>
      <c r="J95" s="352" t="s">
        <v>119</v>
      </c>
      <c r="K95" s="351" t="n">
        <f aca="false">0.0022+0.0072</f>
        <v>0.0094</v>
      </c>
      <c r="L95" s="388"/>
      <c r="M95" s="409"/>
      <c r="N95" s="409"/>
      <c r="O95" s="388"/>
      <c r="P95" s="414"/>
      <c r="Q95" s="414"/>
      <c r="R95" s="357"/>
      <c r="S95" s="327"/>
      <c r="T95" s="327"/>
      <c r="U95" s="334"/>
      <c r="V95" s="327"/>
      <c r="W95" s="327"/>
      <c r="X95" s="334"/>
      <c r="Y95" s="334"/>
      <c r="Z95" s="334"/>
      <c r="AH95" s="394" t="n">
        <v>36161</v>
      </c>
    </row>
    <row r="96" customFormat="false" ht="12.75" hidden="false" customHeight="false" outlineLevel="0" collapsed="false">
      <c r="A96" s="334" t="s">
        <v>772</v>
      </c>
      <c r="B96" s="360" t="n">
        <f aca="false">(B3)/(1-0.0343)-B3</f>
        <v>0.112237754996376</v>
      </c>
      <c r="C96" s="359"/>
      <c r="F96" s="361"/>
      <c r="G96" s="350" t="s">
        <v>773</v>
      </c>
      <c r="H96" s="363" t="n">
        <f aca="false">(H5)/(1-0.0192)-H5</f>
        <v>0.0650897226753671</v>
      </c>
      <c r="I96" s="359"/>
      <c r="J96" s="352" t="s">
        <v>732</v>
      </c>
      <c r="K96" s="363" t="n">
        <f aca="false">(K3)/(1-0.0472)-K3</f>
        <v>0.15208228379513</v>
      </c>
      <c r="L96" s="359"/>
      <c r="M96" s="409"/>
      <c r="N96" s="409"/>
      <c r="O96" s="359"/>
      <c r="P96" s="357"/>
      <c r="Q96" s="357"/>
      <c r="R96" s="366"/>
      <c r="S96" s="334"/>
      <c r="T96" s="334"/>
      <c r="U96" s="359"/>
      <c r="V96" s="334"/>
      <c r="W96" s="334"/>
      <c r="X96" s="359"/>
      <c r="Y96" s="334"/>
      <c r="Z96" s="334"/>
      <c r="AH96" s="396" t="s">
        <v>704</v>
      </c>
      <c r="AI96" s="393" t="n">
        <v>0.003</v>
      </c>
    </row>
    <row r="97" customFormat="false" ht="12.75" hidden="false" customHeight="false" outlineLevel="0" collapsed="false">
      <c r="A97" s="334"/>
      <c r="B97" s="369" t="n">
        <f aca="false">SUM(B94:B96)</f>
        <v>0.155037754996376</v>
      </c>
      <c r="C97" s="361"/>
      <c r="F97" s="327"/>
      <c r="G97" s="370"/>
      <c r="H97" s="371" t="n">
        <f aca="false">SUM(H94:H96)</f>
        <v>0.157989722675367</v>
      </c>
      <c r="I97" s="361"/>
      <c r="J97" s="352"/>
      <c r="K97" s="371" t="n">
        <f aca="false">SUM(K94:K96)</f>
        <v>0.22638228379513</v>
      </c>
      <c r="L97" s="361"/>
      <c r="M97" s="412"/>
      <c r="N97" s="412"/>
      <c r="O97" s="361"/>
      <c r="P97" s="357"/>
      <c r="Q97" s="357"/>
      <c r="R97" s="375"/>
      <c r="S97" s="334"/>
      <c r="T97" s="334"/>
      <c r="U97" s="361"/>
      <c r="V97" s="334"/>
      <c r="W97" s="334"/>
      <c r="X97" s="361"/>
      <c r="Y97" s="359"/>
      <c r="Z97" s="359"/>
      <c r="AH97" s="27" t="s">
        <v>706</v>
      </c>
      <c r="AI97" s="393" t="n">
        <v>0.008</v>
      </c>
    </row>
    <row r="98" customFormat="false" ht="12.75" hidden="false" customHeight="false" outlineLevel="0" collapsed="false">
      <c r="A98" s="359" t="s">
        <v>93</v>
      </c>
      <c r="B98" s="369" t="s">
        <v>774</v>
      </c>
      <c r="C98" s="361"/>
      <c r="F98" s="334"/>
      <c r="G98" s="378" t="s">
        <v>578</v>
      </c>
      <c r="H98" s="391" t="s">
        <v>775</v>
      </c>
      <c r="I98" s="327"/>
      <c r="J98" s="337" t="s">
        <v>580</v>
      </c>
      <c r="K98" s="338" t="s">
        <v>674</v>
      </c>
      <c r="L98" s="327"/>
      <c r="M98" s="408"/>
      <c r="N98" s="408"/>
      <c r="O98" s="327"/>
      <c r="P98" s="366"/>
      <c r="Q98" s="366"/>
      <c r="R98" s="375"/>
      <c r="S98" s="359"/>
      <c r="T98" s="359"/>
      <c r="U98" s="361"/>
      <c r="V98" s="359"/>
      <c r="W98" s="359"/>
      <c r="X98" s="361"/>
      <c r="Y98" s="361"/>
      <c r="Z98" s="361"/>
      <c r="AH98" s="27" t="s">
        <v>712</v>
      </c>
      <c r="AI98" s="393" t="n">
        <v>0.003</v>
      </c>
    </row>
    <row r="99" customFormat="false" ht="12.75" hidden="false" customHeight="false" outlineLevel="0" collapsed="false">
      <c r="A99" s="417" t="s">
        <v>597</v>
      </c>
      <c r="B99" s="349" t="n">
        <v>0.0249</v>
      </c>
      <c r="C99" s="388"/>
      <c r="F99" s="334"/>
      <c r="G99" s="370" t="s">
        <v>597</v>
      </c>
      <c r="H99" s="351" t="n">
        <v>0.0427</v>
      </c>
      <c r="I99" s="334"/>
      <c r="J99" s="352" t="s">
        <v>597</v>
      </c>
      <c r="K99" s="351" t="n">
        <v>0.0863</v>
      </c>
      <c r="L99" s="334"/>
      <c r="O99" s="334"/>
      <c r="P99" s="375"/>
      <c r="Q99" s="375"/>
      <c r="R99" s="392"/>
      <c r="S99" s="361"/>
      <c r="T99" s="361"/>
      <c r="U99" s="388"/>
      <c r="V99" s="361"/>
      <c r="W99" s="361"/>
      <c r="X99" s="388"/>
      <c r="AI99" s="393"/>
    </row>
    <row r="100" customFormat="false" ht="12.75" hidden="false" customHeight="false" outlineLevel="0" collapsed="false">
      <c r="A100" s="327" t="s">
        <v>119</v>
      </c>
      <c r="B100" s="349" t="n">
        <f aca="false">0.0022+0.0072+0.0131</f>
        <v>0.0225</v>
      </c>
      <c r="C100" s="388"/>
      <c r="F100" s="334"/>
      <c r="G100" s="370" t="s">
        <v>119</v>
      </c>
      <c r="H100" s="351" t="n">
        <f aca="false">0.0022+0.0072</f>
        <v>0.0094</v>
      </c>
      <c r="I100" s="334"/>
      <c r="J100" s="352" t="s">
        <v>119</v>
      </c>
      <c r="K100" s="351" t="n">
        <f aca="false">0.0022+0.0072</f>
        <v>0.0094</v>
      </c>
      <c r="L100" s="334"/>
      <c r="O100" s="334"/>
      <c r="P100" s="414"/>
      <c r="Q100" s="414"/>
      <c r="R100" s="392"/>
      <c r="S100" s="327"/>
      <c r="T100" s="327"/>
      <c r="U100" s="388"/>
      <c r="V100" s="327"/>
      <c r="W100" s="327"/>
      <c r="X100" s="388"/>
      <c r="Y100" s="327"/>
      <c r="Z100" s="327"/>
      <c r="AH100" s="394" t="n">
        <v>36130</v>
      </c>
    </row>
    <row r="101" customFormat="false" ht="12.75" hidden="false" customHeight="false" outlineLevel="0" collapsed="false">
      <c r="A101" s="334" t="s">
        <v>776</v>
      </c>
      <c r="B101" s="360" t="n">
        <f aca="false">(B3)/(1-0.0427)-B3</f>
        <v>0.140950590201609</v>
      </c>
      <c r="C101" s="388"/>
      <c r="F101" s="359"/>
      <c r="G101" s="370" t="s">
        <v>777</v>
      </c>
      <c r="H101" s="363" t="n">
        <f aca="false">(+H5)/(1-0.0117)-H5</f>
        <v>0.0393630476575941</v>
      </c>
      <c r="I101" s="334"/>
      <c r="J101" s="352" t="s">
        <v>681</v>
      </c>
      <c r="K101" s="363" t="n">
        <f aca="false">(K3)/(1-0.0612)-K3</f>
        <v>0.200132083510865</v>
      </c>
      <c r="L101" s="334"/>
      <c r="O101" s="334"/>
      <c r="P101" s="357"/>
      <c r="Q101" s="357"/>
      <c r="R101" s="392"/>
      <c r="S101" s="334"/>
      <c r="T101" s="334"/>
      <c r="U101" s="388"/>
      <c r="V101" s="334"/>
      <c r="W101" s="334"/>
      <c r="X101" s="388"/>
      <c r="Y101" s="334"/>
      <c r="Z101" s="334"/>
      <c r="AH101" s="396" t="s">
        <v>704</v>
      </c>
      <c r="AI101" s="393" t="n">
        <v>0.002</v>
      </c>
    </row>
    <row r="102" customFormat="false" ht="12.75" hidden="false" customHeight="false" outlineLevel="0" collapsed="false">
      <c r="A102" s="334"/>
      <c r="B102" s="369" t="n">
        <f aca="false">SUM(B99:B101)</f>
        <v>0.188350590201609</v>
      </c>
      <c r="C102" s="359"/>
      <c r="F102" s="361"/>
      <c r="G102" s="370"/>
      <c r="H102" s="371" t="n">
        <f aca="false">SUM(H99:H101)</f>
        <v>0.0914630476575941</v>
      </c>
      <c r="I102" s="359"/>
      <c r="J102" s="352"/>
      <c r="K102" s="371" t="n">
        <f aca="false">SUM(K99:K101)</f>
        <v>0.295832083510865</v>
      </c>
      <c r="L102" s="359"/>
      <c r="O102" s="359"/>
      <c r="P102" s="357" t="n">
        <f aca="false">+'Offseason Rate'!B102+'Offseason Rate'!B3</f>
        <v>3.12521183144246</v>
      </c>
      <c r="Q102" s="357" t="n">
        <f aca="false">+P102*0.6</f>
        <v>1.87512709886548</v>
      </c>
      <c r="R102" s="366"/>
      <c r="S102" s="334" t="n">
        <f aca="false">+'Offseason Rate'!E102+'Offseason Rate'!E3</f>
        <v>2.80162055417253</v>
      </c>
      <c r="T102" s="334" t="n">
        <f aca="false">+S102*0.6</f>
        <v>1.68097233250352</v>
      </c>
      <c r="U102" s="359"/>
      <c r="V102" s="334"/>
      <c r="W102" s="334"/>
      <c r="X102" s="359"/>
      <c r="Y102" s="334"/>
      <c r="Z102" s="334"/>
      <c r="AH102" s="27" t="s">
        <v>706</v>
      </c>
      <c r="AI102" s="393" t="n">
        <v>0.008</v>
      </c>
    </row>
    <row r="103" customFormat="false" ht="12.75" hidden="false" customHeight="false" outlineLevel="0" collapsed="false">
      <c r="A103" s="359" t="s">
        <v>93</v>
      </c>
      <c r="B103" s="369" t="s">
        <v>778</v>
      </c>
      <c r="C103" s="361"/>
      <c r="G103" s="378" t="s">
        <v>578</v>
      </c>
      <c r="H103" s="391" t="s">
        <v>779</v>
      </c>
      <c r="I103" s="361"/>
      <c r="J103" s="337" t="s">
        <v>580</v>
      </c>
      <c r="K103" s="338" t="s">
        <v>687</v>
      </c>
      <c r="L103" s="361"/>
      <c r="O103" s="361"/>
      <c r="P103" s="366"/>
      <c r="Q103" s="366"/>
      <c r="R103" s="375"/>
      <c r="S103" s="359"/>
      <c r="T103" s="359"/>
      <c r="U103" s="361"/>
      <c r="V103" s="359"/>
      <c r="W103" s="359"/>
      <c r="X103" s="361"/>
      <c r="Y103" s="359"/>
      <c r="Z103" s="359"/>
      <c r="AH103" s="27" t="s">
        <v>712</v>
      </c>
      <c r="AI103" s="393" t="n">
        <v>0.002</v>
      </c>
    </row>
    <row r="104" customFormat="false" ht="12.75" hidden="false" customHeight="false" outlineLevel="0" collapsed="false">
      <c r="A104" s="361" t="s">
        <v>597</v>
      </c>
      <c r="B104" s="349" t="n">
        <v>0.0034</v>
      </c>
      <c r="C104" s="327"/>
      <c r="F104" s="327"/>
      <c r="G104" s="370" t="s">
        <v>597</v>
      </c>
      <c r="H104" s="351" t="n">
        <v>0.0765</v>
      </c>
      <c r="J104" s="352" t="s">
        <v>597</v>
      </c>
      <c r="K104" s="351" t="n">
        <v>0.1012</v>
      </c>
      <c r="P104" s="375"/>
      <c r="Q104" s="375"/>
      <c r="R104" s="414"/>
      <c r="S104" s="361"/>
      <c r="T104" s="361"/>
      <c r="U104" s="327"/>
      <c r="V104" s="361"/>
      <c r="W104" s="361"/>
      <c r="X104" s="327"/>
      <c r="Y104" s="361"/>
      <c r="Z104" s="361"/>
      <c r="AI104" s="393"/>
    </row>
    <row r="105" customFormat="false" ht="12.75" hidden="false" customHeight="false" outlineLevel="0" collapsed="false">
      <c r="A105" s="327" t="s">
        <v>119</v>
      </c>
      <c r="B105" s="349" t="n">
        <v>0</v>
      </c>
      <c r="C105" s="334"/>
      <c r="F105" s="334"/>
      <c r="G105" s="370" t="s">
        <v>119</v>
      </c>
      <c r="H105" s="351" t="n">
        <f aca="false">0.0022+0.0072</f>
        <v>0.0094</v>
      </c>
      <c r="I105" s="327"/>
      <c r="J105" s="352" t="s">
        <v>119</v>
      </c>
      <c r="K105" s="351" t="n">
        <f aca="false">0.0022+0.0072</f>
        <v>0.0094</v>
      </c>
      <c r="L105" s="327"/>
      <c r="O105" s="327"/>
      <c r="P105" s="375"/>
      <c r="Q105" s="375"/>
      <c r="R105" s="357"/>
      <c r="S105" s="361"/>
      <c r="T105" s="361"/>
      <c r="U105" s="334"/>
      <c r="V105" s="361"/>
      <c r="W105" s="361"/>
      <c r="X105" s="334"/>
      <c r="Y105" s="327"/>
      <c r="Z105" s="327"/>
      <c r="AH105" s="394" t="n">
        <v>36100</v>
      </c>
    </row>
    <row r="106" customFormat="false" ht="12.75" hidden="false" customHeight="false" outlineLevel="0" collapsed="false">
      <c r="A106" s="334" t="s">
        <v>746</v>
      </c>
      <c r="B106" s="360" t="n">
        <f aca="false">(B3-0.09)/(1-0.0059)-(B3-0.09)</f>
        <v>0.0182205009556382</v>
      </c>
      <c r="C106" s="334"/>
      <c r="F106" s="334"/>
      <c r="G106" s="370" t="s">
        <v>780</v>
      </c>
      <c r="H106" s="363" t="n">
        <f aca="false">(+H5)/(1-0.0186)-H5</f>
        <v>0.0630171184022821</v>
      </c>
      <c r="I106" s="334"/>
      <c r="J106" s="352" t="s">
        <v>692</v>
      </c>
      <c r="K106" s="363" t="n">
        <f aca="false">(K3)/(1-0.0705)-K3</f>
        <v>0.232850995158687</v>
      </c>
      <c r="L106" s="334"/>
      <c r="O106" s="334"/>
      <c r="P106" s="392"/>
      <c r="Q106" s="392"/>
      <c r="R106" s="357"/>
      <c r="S106" s="388"/>
      <c r="T106" s="388"/>
      <c r="U106" s="334"/>
      <c r="V106" s="388"/>
      <c r="W106" s="388"/>
      <c r="X106" s="334"/>
      <c r="Y106" s="334"/>
      <c r="Z106" s="334"/>
      <c r="AH106" s="396" t="s">
        <v>704</v>
      </c>
      <c r="AI106" s="393" t="n">
        <v>0.003</v>
      </c>
    </row>
    <row r="107" customFormat="false" ht="12.75" hidden="false" customHeight="false" outlineLevel="0" collapsed="false">
      <c r="A107" s="334"/>
      <c r="B107" s="369" t="n">
        <f aca="false">SUM(B104:B106)</f>
        <v>0.0216205009556382</v>
      </c>
      <c r="C107" s="359"/>
      <c r="F107" s="359"/>
      <c r="G107" s="370"/>
      <c r="H107" s="371" t="n">
        <f aca="false">SUM(H104:H106)</f>
        <v>0.148917118402282</v>
      </c>
      <c r="I107" s="334"/>
      <c r="J107" s="352"/>
      <c r="K107" s="371" t="n">
        <f aca="false">SUM(K104:K106)</f>
        <v>0.343450995158688</v>
      </c>
      <c r="L107" s="334"/>
      <c r="O107" s="334"/>
      <c r="P107" s="392" t="n">
        <f aca="false">+'Offseason Rate'!B107+'Offseason Rate'!B3</f>
        <v>3.18697589623123</v>
      </c>
      <c r="Q107" s="392" t="n">
        <f aca="false">+P107*0.4</f>
        <v>1.27479035849249</v>
      </c>
      <c r="R107" s="366"/>
      <c r="S107" s="388" t="n">
        <f aca="false">+'Offseason Rate'!E107+'Offseason Rate'!E3</f>
        <v>2.86511740855002</v>
      </c>
      <c r="T107" s="388" t="n">
        <f aca="false">+S107*0.4</f>
        <v>1.14604696342001</v>
      </c>
      <c r="U107" s="359"/>
      <c r="V107" s="388"/>
      <c r="W107" s="388"/>
      <c r="X107" s="359"/>
      <c r="Y107" s="334"/>
      <c r="Z107" s="334"/>
      <c r="AH107" s="27" t="s">
        <v>706</v>
      </c>
      <c r="AI107" s="393" t="n">
        <v>0.006</v>
      </c>
    </row>
    <row r="108" customFormat="false" ht="12.75" hidden="false" customHeight="false" outlineLevel="0" collapsed="false">
      <c r="A108" s="359" t="s">
        <v>93</v>
      </c>
      <c r="B108" s="369" t="s">
        <v>781</v>
      </c>
      <c r="C108" s="361"/>
      <c r="F108" s="361"/>
      <c r="G108" s="378" t="s">
        <v>782</v>
      </c>
      <c r="H108" s="379"/>
      <c r="I108" s="359"/>
      <c r="J108" s="337" t="s">
        <v>580</v>
      </c>
      <c r="K108" s="338" t="s">
        <v>783</v>
      </c>
      <c r="L108" s="359"/>
      <c r="O108" s="359"/>
      <c r="P108" s="392"/>
      <c r="Q108" s="392" t="n">
        <f aca="false">SUM(Q102:Q107)</f>
        <v>3.14991745735797</v>
      </c>
      <c r="R108" s="375"/>
      <c r="S108" s="388"/>
      <c r="T108" s="388" t="n">
        <f aca="false">SUM(T102:T107)</f>
        <v>2.82701929592353</v>
      </c>
      <c r="U108" s="361"/>
      <c r="V108" s="388"/>
      <c r="W108" s="388"/>
      <c r="X108" s="361"/>
      <c r="Y108" s="359"/>
      <c r="Z108" s="359"/>
      <c r="AH108" s="27" t="s">
        <v>712</v>
      </c>
      <c r="AI108" s="393" t="n">
        <v>0.003</v>
      </c>
    </row>
    <row r="109" customFormat="false" ht="12.75" hidden="false" customHeight="false" outlineLevel="0" collapsed="false">
      <c r="A109" s="417" t="s">
        <v>597</v>
      </c>
      <c r="B109" s="349" t="n">
        <v>0.0092</v>
      </c>
      <c r="F109" s="327"/>
      <c r="G109" s="350" t="s">
        <v>597</v>
      </c>
      <c r="H109" s="351" t="n">
        <v>0.0094</v>
      </c>
      <c r="I109" s="361"/>
      <c r="J109" s="352" t="s">
        <v>597</v>
      </c>
      <c r="K109" s="351" t="n">
        <v>0.0472</v>
      </c>
      <c r="L109" s="361"/>
      <c r="O109" s="361"/>
      <c r="P109" s="366"/>
      <c r="Q109" s="366"/>
      <c r="S109" s="359"/>
      <c r="T109" s="359"/>
      <c r="V109" s="359"/>
      <c r="W109" s="359"/>
      <c r="Y109" s="361"/>
      <c r="Z109" s="361"/>
      <c r="AI109" s="393"/>
    </row>
    <row r="110" customFormat="false" ht="12.75" hidden="false" customHeight="false" outlineLevel="0" collapsed="false">
      <c r="A110" s="327" t="s">
        <v>119</v>
      </c>
      <c r="B110" s="349" t="n">
        <f aca="false">0.0022+0.0072+0.0131</f>
        <v>0.0225</v>
      </c>
      <c r="C110" s="327"/>
      <c r="F110" s="334"/>
      <c r="G110" s="350" t="s">
        <v>119</v>
      </c>
      <c r="H110" s="351" t="n">
        <v>0.0022</v>
      </c>
      <c r="I110" s="327"/>
      <c r="J110" s="352" t="s">
        <v>119</v>
      </c>
      <c r="K110" s="351" t="n">
        <f aca="false">0.0022+0.0072</f>
        <v>0.0094</v>
      </c>
      <c r="L110" s="327"/>
      <c r="O110" s="327"/>
      <c r="P110" s="375"/>
      <c r="Q110" s="375"/>
      <c r="R110" s="414"/>
      <c r="S110" s="361"/>
      <c r="T110" s="361"/>
      <c r="U110" s="327"/>
      <c r="V110" s="361"/>
      <c r="W110" s="361"/>
      <c r="X110" s="327"/>
      <c r="AH110" s="394" t="n">
        <v>36069</v>
      </c>
    </row>
    <row r="111" customFormat="false" ht="12.75" hidden="false" customHeight="false" outlineLevel="0" collapsed="false">
      <c r="A111" s="334" t="s">
        <v>784</v>
      </c>
      <c r="B111" s="360" t="n">
        <f aca="false">2.3/(1-0.0153)-2.3</f>
        <v>0.0357367726211026</v>
      </c>
      <c r="C111" s="334"/>
      <c r="F111" s="334"/>
      <c r="G111" s="350" t="s">
        <v>785</v>
      </c>
      <c r="H111" s="363" t="n">
        <f aca="false">(+AI3+AI17)/(1-0.0131)-(+AI3+AI17)</f>
        <v>0.0444868170218617</v>
      </c>
      <c r="I111" s="334"/>
      <c r="J111" s="352" t="s">
        <v>786</v>
      </c>
      <c r="K111" s="363" t="n">
        <f aca="false">(K6)/(1-0.0232)-(K6)</f>
        <v>0.07493447993448</v>
      </c>
      <c r="L111" s="334"/>
      <c r="O111" s="334"/>
      <c r="P111" s="414"/>
      <c r="Q111" s="414"/>
      <c r="R111" s="357"/>
      <c r="S111" s="327"/>
      <c r="T111" s="327"/>
      <c r="U111" s="334"/>
      <c r="V111" s="327"/>
      <c r="W111" s="327"/>
      <c r="X111" s="334"/>
      <c r="AH111" s="396" t="s">
        <v>704</v>
      </c>
      <c r="AI111" s="393" t="n">
        <v>0</v>
      </c>
    </row>
    <row r="112" customFormat="false" ht="12.75" hidden="false" customHeight="false" outlineLevel="0" collapsed="false">
      <c r="A112" s="334"/>
      <c r="B112" s="369" t="n">
        <f aca="false">SUM(B109:B111)</f>
        <v>0.0674367726211027</v>
      </c>
      <c r="C112" s="334"/>
      <c r="F112" s="359"/>
      <c r="G112" s="370"/>
      <c r="H112" s="371" t="n">
        <f aca="false">SUM(H109:H111)</f>
        <v>0.0560868170218617</v>
      </c>
      <c r="I112" s="334"/>
      <c r="J112" s="352"/>
      <c r="K112" s="371" t="n">
        <f aca="false">SUM(K109:K111)</f>
        <v>0.13153447993448</v>
      </c>
      <c r="L112" s="334"/>
      <c r="O112" s="334"/>
      <c r="P112" s="357"/>
      <c r="Q112" s="357"/>
      <c r="R112" s="357"/>
      <c r="S112" s="334"/>
      <c r="T112" s="334"/>
      <c r="U112" s="334"/>
      <c r="V112" s="334"/>
      <c r="W112" s="334"/>
      <c r="X112" s="334"/>
      <c r="AH112" s="27" t="s">
        <v>706</v>
      </c>
      <c r="AI112" s="393" t="n">
        <v>0</v>
      </c>
    </row>
    <row r="113" customFormat="false" ht="12.75" hidden="false" customHeight="false" outlineLevel="0" collapsed="false">
      <c r="A113" s="359" t="s">
        <v>93</v>
      </c>
      <c r="B113" s="369" t="s">
        <v>787</v>
      </c>
      <c r="C113" s="359"/>
      <c r="F113" s="361"/>
      <c r="G113" s="378" t="s">
        <v>578</v>
      </c>
      <c r="H113" s="379" t="s">
        <v>788</v>
      </c>
      <c r="I113" s="359"/>
      <c r="J113" s="337" t="s">
        <v>580</v>
      </c>
      <c r="K113" s="338" t="s">
        <v>697</v>
      </c>
      <c r="L113" s="359"/>
      <c r="O113" s="359"/>
      <c r="P113" s="357"/>
      <c r="Q113" s="357"/>
      <c r="R113" s="366"/>
      <c r="S113" s="334"/>
      <c r="T113" s="334"/>
      <c r="U113" s="359"/>
      <c r="V113" s="334"/>
      <c r="W113" s="334"/>
      <c r="X113" s="359"/>
      <c r="AH113" s="27" t="s">
        <v>712</v>
      </c>
      <c r="AI113" s="393" t="n">
        <v>0</v>
      </c>
    </row>
    <row r="114" customFormat="false" ht="12.75" hidden="false" customHeight="false" outlineLevel="0" collapsed="false">
      <c r="A114" s="417" t="s">
        <v>597</v>
      </c>
      <c r="B114" s="349" t="n">
        <v>0.0138</v>
      </c>
      <c r="C114" s="361"/>
      <c r="G114" s="350" t="s">
        <v>597</v>
      </c>
      <c r="H114" s="351" t="n">
        <v>0.0459</v>
      </c>
      <c r="I114" s="361"/>
      <c r="J114" s="352" t="s">
        <v>597</v>
      </c>
      <c r="K114" s="351" t="n">
        <v>0.0686</v>
      </c>
      <c r="L114" s="361"/>
      <c r="O114" s="361"/>
      <c r="P114" s="366"/>
      <c r="Q114" s="366"/>
      <c r="R114" s="375"/>
      <c r="S114" s="359"/>
      <c r="T114" s="359"/>
      <c r="U114" s="361"/>
      <c r="V114" s="359"/>
      <c r="W114" s="359"/>
      <c r="X114" s="361"/>
    </row>
    <row r="115" customFormat="false" ht="12.75" hidden="false" customHeight="false" outlineLevel="0" collapsed="false">
      <c r="A115" s="327" t="s">
        <v>119</v>
      </c>
      <c r="B115" s="349" t="n">
        <f aca="false">0.0022+0.0072+0.0131</f>
        <v>0.0225</v>
      </c>
      <c r="C115" s="327"/>
      <c r="G115" s="350" t="s">
        <v>119</v>
      </c>
      <c r="H115" s="351" t="n">
        <f aca="false">0.0022+0.0072</f>
        <v>0.0094</v>
      </c>
      <c r="J115" s="352" t="s">
        <v>119</v>
      </c>
      <c r="K115" s="351" t="n">
        <f aca="false">0.0022+0.0072</f>
        <v>0.0094</v>
      </c>
      <c r="P115" s="375"/>
      <c r="Q115" s="375"/>
      <c r="R115" s="414"/>
      <c r="S115" s="361"/>
      <c r="T115" s="361"/>
      <c r="U115" s="327"/>
      <c r="V115" s="361"/>
      <c r="W115" s="361"/>
      <c r="X115" s="327"/>
      <c r="AH115" s="394" t="n">
        <v>36039</v>
      </c>
    </row>
    <row r="116" customFormat="false" ht="12.75" hidden="false" customHeight="false" outlineLevel="0" collapsed="false">
      <c r="A116" s="334" t="s">
        <v>789</v>
      </c>
      <c r="B116" s="360" t="n">
        <f aca="false">2.3/(1-0.0237)-2.3</f>
        <v>0.0558332479770565</v>
      </c>
      <c r="C116" s="334"/>
      <c r="D116" s="419"/>
      <c r="G116" s="350" t="s">
        <v>790</v>
      </c>
      <c r="H116" s="363" t="n">
        <f aca="false">(+H5)/(1-0.0107)-H5</f>
        <v>0.0359622965733348</v>
      </c>
      <c r="J116" s="352" t="s">
        <v>703</v>
      </c>
      <c r="K116" s="363" t="n">
        <f aca="false">(K6)/(1-0.0372)-(K6)</f>
        <v>0.121900706273369</v>
      </c>
      <c r="R116" s="357"/>
      <c r="U116" s="334"/>
      <c r="X116" s="334"/>
      <c r="AH116" s="396" t="s">
        <v>704</v>
      </c>
      <c r="AI116" s="393" t="n">
        <v>0</v>
      </c>
    </row>
    <row r="117" customFormat="false" ht="12.75" hidden="false" customHeight="false" outlineLevel="0" collapsed="false">
      <c r="A117" s="334"/>
      <c r="B117" s="369" t="n">
        <f aca="false">SUM(B114:B116)</f>
        <v>0.0921332479770565</v>
      </c>
      <c r="C117" s="334"/>
      <c r="D117" s="419"/>
      <c r="G117" s="370"/>
      <c r="H117" s="371" t="n">
        <f aca="false">SUM(H114:H116)</f>
        <v>0.0912622965733348</v>
      </c>
      <c r="J117" s="352"/>
      <c r="K117" s="371" t="n">
        <f aca="false">SUM(K114:K116)</f>
        <v>0.199900706273369</v>
      </c>
      <c r="P117" s="414"/>
      <c r="Q117" s="414"/>
      <c r="R117" s="357"/>
      <c r="S117" s="327"/>
      <c r="T117" s="327"/>
      <c r="U117" s="334"/>
      <c r="V117" s="327"/>
      <c r="W117" s="327"/>
      <c r="X117" s="334"/>
      <c r="AH117" s="27" t="s">
        <v>706</v>
      </c>
      <c r="AI117" s="393" t="n">
        <v>0</v>
      </c>
    </row>
    <row r="118" customFormat="false" ht="12.75" hidden="false" customHeight="false" outlineLevel="0" collapsed="false">
      <c r="A118" s="359" t="s">
        <v>93</v>
      </c>
      <c r="B118" s="369" t="s">
        <v>791</v>
      </c>
      <c r="C118" s="359"/>
      <c r="G118" s="378" t="s">
        <v>578</v>
      </c>
      <c r="H118" s="379" t="s">
        <v>792</v>
      </c>
      <c r="J118" s="337" t="s">
        <v>580</v>
      </c>
      <c r="K118" s="338" t="s">
        <v>711</v>
      </c>
      <c r="P118" s="357"/>
      <c r="Q118" s="357"/>
      <c r="R118" s="366"/>
      <c r="S118" s="334"/>
      <c r="T118" s="334"/>
      <c r="U118" s="359"/>
      <c r="V118" s="334"/>
      <c r="W118" s="334"/>
      <c r="X118" s="359"/>
      <c r="AH118" s="27" t="s">
        <v>712</v>
      </c>
      <c r="AI118" s="393" t="n">
        <v>0</v>
      </c>
    </row>
    <row r="119" customFormat="false" ht="12.75" hidden="false" customHeight="false" outlineLevel="0" collapsed="false">
      <c r="A119" s="361" t="s">
        <v>597</v>
      </c>
      <c r="B119" s="349" t="n">
        <v>0.005</v>
      </c>
      <c r="C119" s="361"/>
      <c r="G119" s="350" t="s">
        <v>597</v>
      </c>
      <c r="H119" s="420" t="n">
        <v>0.1577</v>
      </c>
      <c r="J119" s="352" t="s">
        <v>597</v>
      </c>
      <c r="K119" s="351" t="n">
        <v>0.0835</v>
      </c>
      <c r="P119" s="357"/>
      <c r="Q119" s="357"/>
      <c r="R119" s="375"/>
      <c r="S119" s="334"/>
      <c r="T119" s="334"/>
      <c r="U119" s="361"/>
      <c r="V119" s="334"/>
      <c r="W119" s="334"/>
      <c r="X119" s="361"/>
    </row>
    <row r="120" customFormat="false" ht="12.75" hidden="false" customHeight="false" outlineLevel="0" collapsed="false">
      <c r="A120" s="327" t="s">
        <v>119</v>
      </c>
      <c r="B120" s="349" t="n">
        <f aca="false">0.0022+0.0072+0.0131</f>
        <v>0.0225</v>
      </c>
      <c r="G120" s="350" t="s">
        <v>119</v>
      </c>
      <c r="H120" s="351" t="n">
        <f aca="false">0.0022+0+0.0225+0.0072</f>
        <v>0.0319</v>
      </c>
      <c r="J120" s="352" t="s">
        <v>119</v>
      </c>
      <c r="K120" s="351" t="n">
        <f aca="false">0.0022+0.0072</f>
        <v>0.0094</v>
      </c>
      <c r="P120" s="366"/>
      <c r="Q120" s="366"/>
      <c r="S120" s="359"/>
      <c r="T120" s="359"/>
      <c r="V120" s="359"/>
      <c r="W120" s="359"/>
      <c r="AH120" s="394" t="n">
        <v>36008</v>
      </c>
    </row>
    <row r="121" customFormat="false" ht="12.75" hidden="false" customHeight="false" outlineLevel="0" collapsed="false">
      <c r="A121" s="334" t="s">
        <v>601</v>
      </c>
      <c r="B121" s="360" t="n">
        <f aca="false">B7/(1-0.0084)-B7</f>
        <v>0.0301573215006048</v>
      </c>
      <c r="G121" s="350" t="s">
        <v>716</v>
      </c>
      <c r="H121" s="362" t="n">
        <f aca="false">(H4)/(1-0.095)-H4</f>
        <v>0.324889502762431</v>
      </c>
      <c r="J121" s="352" t="s">
        <v>717</v>
      </c>
      <c r="K121" s="363" t="n">
        <f aca="false">(K6)/(1-0.0465)-(K6)</f>
        <v>0.153862087047719</v>
      </c>
      <c r="P121" s="375"/>
      <c r="Q121" s="375"/>
      <c r="S121" s="361"/>
      <c r="T121" s="361"/>
      <c r="V121" s="361"/>
      <c r="W121" s="361"/>
      <c r="AH121" s="396" t="s">
        <v>704</v>
      </c>
      <c r="AI121" s="393" t="n">
        <v>0</v>
      </c>
    </row>
    <row r="122" customFormat="false" ht="12.75" hidden="false" customHeight="false" outlineLevel="0" collapsed="false">
      <c r="A122" s="334" t="s">
        <v>629</v>
      </c>
      <c r="B122" s="369" t="n">
        <f aca="false">SUM(B119:B121)</f>
        <v>0.0576573215006048</v>
      </c>
      <c r="G122" s="370"/>
      <c r="H122" s="371" t="n">
        <f aca="false">SUM(H119:H121)</f>
        <v>0.514489502762431</v>
      </c>
      <c r="J122" s="352"/>
      <c r="K122" s="371" t="n">
        <f aca="false">SUM(K119:K121)</f>
        <v>0.246762087047719</v>
      </c>
      <c r="P122" s="414"/>
      <c r="Q122" s="414"/>
      <c r="S122" s="327"/>
      <c r="T122" s="327"/>
      <c r="V122" s="327"/>
      <c r="W122" s="327"/>
      <c r="AH122" s="27" t="s">
        <v>706</v>
      </c>
      <c r="AI122" s="393" t="n">
        <v>0</v>
      </c>
    </row>
    <row r="123" customFormat="false" ht="12.75" hidden="false" customHeight="false" outlineLevel="0" collapsed="false">
      <c r="A123" s="366" t="s">
        <v>793</v>
      </c>
      <c r="B123" s="136"/>
      <c r="G123" s="378" t="s">
        <v>578</v>
      </c>
      <c r="H123" s="379" t="s">
        <v>794</v>
      </c>
      <c r="J123" s="337" t="s">
        <v>580</v>
      </c>
      <c r="K123" s="371" t="s">
        <v>795</v>
      </c>
      <c r="P123" s="357"/>
      <c r="Q123" s="357"/>
      <c r="S123" s="334"/>
      <c r="T123" s="334"/>
      <c r="V123" s="334"/>
      <c r="W123" s="334"/>
      <c r="AH123" s="27" t="s">
        <v>712</v>
      </c>
      <c r="AI123" s="393" t="n">
        <v>0</v>
      </c>
    </row>
    <row r="124" customFormat="false" ht="12.75" hidden="false" customHeight="false" outlineLevel="0" collapsed="false">
      <c r="A124" s="375" t="s">
        <v>93</v>
      </c>
      <c r="B124" s="136"/>
      <c r="G124" s="350" t="s">
        <v>597</v>
      </c>
      <c r="H124" s="420" t="n">
        <v>0.319</v>
      </c>
      <c r="J124" s="352" t="s">
        <v>597</v>
      </c>
      <c r="K124" s="421" t="n">
        <v>0.0583</v>
      </c>
      <c r="P124" s="357"/>
      <c r="Q124" s="357"/>
      <c r="S124" s="334"/>
      <c r="T124" s="334"/>
      <c r="V124" s="334"/>
      <c r="W124" s="334"/>
    </row>
    <row r="125" customFormat="false" ht="12.75" hidden="false" customHeight="false" outlineLevel="0" collapsed="false">
      <c r="A125" s="375" t="s">
        <v>796</v>
      </c>
      <c r="B125" s="136"/>
      <c r="G125" s="350" t="s">
        <v>119</v>
      </c>
      <c r="H125" s="351" t="n">
        <f aca="false">0.0022+0+0.0225+0.0072</f>
        <v>0.0319</v>
      </c>
      <c r="J125" s="352" t="s">
        <v>119</v>
      </c>
      <c r="K125" s="351" t="n">
        <f aca="false">0.0022</f>
        <v>0.0022</v>
      </c>
      <c r="P125" s="366"/>
      <c r="Q125" s="366"/>
      <c r="S125" s="359"/>
      <c r="T125" s="359"/>
      <c r="V125" s="359"/>
      <c r="W125" s="359"/>
      <c r="AH125" s="394" t="n">
        <v>35977</v>
      </c>
    </row>
    <row r="126" customFormat="false" ht="12.75" hidden="false" customHeight="false" outlineLevel="0" collapsed="false">
      <c r="A126" s="392" t="s">
        <v>797</v>
      </c>
      <c r="B126" s="136"/>
      <c r="G126" s="350" t="s">
        <v>631</v>
      </c>
      <c r="H126" s="362" t="n">
        <f aca="false">(H3)/(1-0.0244)-H3</f>
        <v>0.0757810578105782</v>
      </c>
      <c r="J126" s="352" t="s">
        <v>798</v>
      </c>
      <c r="K126" s="363" t="n">
        <f aca="false">(K6)/(1-0.0304)-K6</f>
        <v>0.0989191419141915</v>
      </c>
      <c r="P126" s="375"/>
      <c r="Q126" s="375"/>
      <c r="S126" s="361"/>
      <c r="T126" s="361"/>
      <c r="V126" s="361"/>
      <c r="W126" s="361"/>
      <c r="AH126" s="396" t="s">
        <v>704</v>
      </c>
      <c r="AI126" s="393" t="n">
        <v>0</v>
      </c>
    </row>
    <row r="127" customFormat="false" ht="12.75" hidden="false" customHeight="false" outlineLevel="0" collapsed="false">
      <c r="A127" s="392" t="s">
        <v>93</v>
      </c>
      <c r="B127" s="374" t="s">
        <v>799</v>
      </c>
      <c r="G127" s="370"/>
      <c r="H127" s="371" t="n">
        <f aca="false">SUM(H124:H126)</f>
        <v>0.426681057810578</v>
      </c>
      <c r="J127" s="352"/>
      <c r="K127" s="371" t="n">
        <f aca="false">SUM(K124:K126)</f>
        <v>0.159419141914192</v>
      </c>
      <c r="AH127" s="27" t="s">
        <v>706</v>
      </c>
      <c r="AI127" s="393" t="n">
        <v>0</v>
      </c>
    </row>
    <row r="128" customFormat="false" ht="12.75" hidden="false" customHeight="false" outlineLevel="0" collapsed="false">
      <c r="A128" s="392" t="s">
        <v>597</v>
      </c>
      <c r="B128" s="422" t="n">
        <v>0.0016</v>
      </c>
      <c r="G128" s="378" t="s">
        <v>578</v>
      </c>
      <c r="H128" s="379" t="s">
        <v>800</v>
      </c>
      <c r="J128" s="337" t="s">
        <v>580</v>
      </c>
      <c r="K128" s="371" t="s">
        <v>722</v>
      </c>
      <c r="AH128" s="27" t="s">
        <v>712</v>
      </c>
      <c r="AI128" s="393" t="n">
        <v>0</v>
      </c>
    </row>
    <row r="129" customFormat="false" ht="12.75" hidden="false" customHeight="false" outlineLevel="0" collapsed="false">
      <c r="A129" s="366" t="s">
        <v>119</v>
      </c>
      <c r="B129" s="422" t="n">
        <f aca="false">0.0022+0.0072+0.0131</f>
        <v>0.0225</v>
      </c>
      <c r="G129" s="350" t="s">
        <v>597</v>
      </c>
      <c r="H129" s="420" t="n">
        <v>0.3681</v>
      </c>
      <c r="J129" s="352" t="s">
        <v>597</v>
      </c>
      <c r="K129" s="421" t="n">
        <v>0.0731</v>
      </c>
    </row>
    <row r="130" customFormat="false" ht="12.75" hidden="false" customHeight="false" outlineLevel="0" collapsed="false">
      <c r="A130" s="375" t="s">
        <v>738</v>
      </c>
      <c r="B130" s="365" t="n">
        <f aca="false">B3/(1-0.019)-B3</f>
        <v>0.0612028542303773</v>
      </c>
      <c r="G130" s="350" t="s">
        <v>119</v>
      </c>
      <c r="H130" s="351" t="n">
        <f aca="false">0.0022+0+0.0225+0.0072</f>
        <v>0.0319</v>
      </c>
      <c r="J130" s="352" t="s">
        <v>119</v>
      </c>
      <c r="K130" s="351" t="n">
        <f aca="false">0.0022+0.0072</f>
        <v>0.0094</v>
      </c>
    </row>
    <row r="131" customFormat="false" ht="12.75" hidden="false" customHeight="false" outlineLevel="0" collapsed="false">
      <c r="A131" s="414" t="s">
        <v>629</v>
      </c>
      <c r="B131" s="374" t="n">
        <f aca="false">SUM(B128:B130)</f>
        <v>0.0853028542303773</v>
      </c>
      <c r="G131" s="350" t="s">
        <v>733</v>
      </c>
      <c r="H131" s="362" t="n">
        <f aca="false">(H4)/(1-0.0369)-H4</f>
        <v>0.118581144221784</v>
      </c>
      <c r="J131" s="352" t="s">
        <v>726</v>
      </c>
      <c r="K131" s="363" t="n">
        <f aca="false">(K6)/(1-0.0399)-K6</f>
        <v>0.131116029580252</v>
      </c>
    </row>
    <row r="132" customFormat="false" ht="12.75" hidden="false" customHeight="false" outlineLevel="0" collapsed="false">
      <c r="A132" s="357"/>
      <c r="B132" s="136"/>
      <c r="G132" s="370"/>
      <c r="H132" s="371" t="n">
        <f aca="false">SUM(H129:H131)</f>
        <v>0.518581144221784</v>
      </c>
      <c r="J132" s="352"/>
      <c r="K132" s="371" t="n">
        <f aca="false">SUM(K129:K131)</f>
        <v>0.213616029580252</v>
      </c>
    </row>
    <row r="133" customFormat="false" ht="12.75" hidden="false" customHeight="false" outlineLevel="0" collapsed="false">
      <c r="A133" s="375" t="s">
        <v>93</v>
      </c>
      <c r="B133" s="136"/>
      <c r="G133" s="350" t="s">
        <v>1</v>
      </c>
      <c r="H133" s="351" t="s">
        <v>1</v>
      </c>
      <c r="J133" s="337" t="s">
        <v>580</v>
      </c>
      <c r="K133" s="371" t="s">
        <v>730</v>
      </c>
    </row>
    <row r="134" customFormat="false" ht="12.75" hidden="false" customHeight="false" outlineLevel="0" collapsed="false">
      <c r="A134" s="375" t="s">
        <v>801</v>
      </c>
      <c r="B134" s="136"/>
      <c r="G134" s="378" t="s">
        <v>578</v>
      </c>
      <c r="H134" s="391" t="s">
        <v>802</v>
      </c>
      <c r="J134" s="352" t="s">
        <v>597</v>
      </c>
      <c r="K134" s="421" t="n">
        <v>0.0515</v>
      </c>
    </row>
    <row r="135" customFormat="false" ht="12.75" hidden="false" customHeight="false" outlineLevel="0" collapsed="false">
      <c r="A135" s="392" t="s">
        <v>803</v>
      </c>
      <c r="B135" s="136"/>
      <c r="G135" s="370" t="s">
        <v>597</v>
      </c>
      <c r="H135" s="420" t="n">
        <v>0.1764</v>
      </c>
      <c r="J135" s="352" t="s">
        <v>119</v>
      </c>
      <c r="K135" s="351" t="n">
        <f aca="false">0.0022+0.0072</f>
        <v>0.0094</v>
      </c>
    </row>
    <row r="136" customFormat="false" ht="12.75" hidden="false" customHeight="false" outlineLevel="0" collapsed="false">
      <c r="A136" s="392" t="s">
        <v>93</v>
      </c>
      <c r="B136" s="374" t="s">
        <v>791</v>
      </c>
      <c r="G136" s="370" t="s">
        <v>119</v>
      </c>
      <c r="H136" s="351" t="n">
        <f aca="false">0.0022+0.0072</f>
        <v>0.0094</v>
      </c>
      <c r="J136" s="352" t="s">
        <v>668</v>
      </c>
      <c r="K136" s="363" t="n">
        <f aca="false">(2.25)/(1-0.026)-2.25</f>
        <v>0.0600616016427105</v>
      </c>
    </row>
    <row r="137" customFormat="false" ht="12.75" hidden="false" customHeight="false" outlineLevel="0" collapsed="false">
      <c r="A137" s="392" t="s">
        <v>597</v>
      </c>
      <c r="B137" s="422" t="n">
        <v>0.0057</v>
      </c>
      <c r="G137" s="370" t="s">
        <v>777</v>
      </c>
      <c r="H137" s="363" t="n">
        <f aca="false">(H5)/(1-0.0117)-H5</f>
        <v>0.0393630476575941</v>
      </c>
      <c r="J137" s="352"/>
      <c r="K137" s="371" t="n">
        <f aca="false">SUM(K134:K136)</f>
        <v>0.12096160164271</v>
      </c>
    </row>
    <row r="138" customFormat="false" ht="12.75" hidden="false" customHeight="false" outlineLevel="0" collapsed="false">
      <c r="A138" s="366" t="s">
        <v>119</v>
      </c>
      <c r="B138" s="422" t="n">
        <f aca="false">0.0072+0.0022</f>
        <v>0.0094</v>
      </c>
      <c r="E138" s="73"/>
      <c r="F138" s="73"/>
      <c r="G138" s="370"/>
      <c r="H138" s="371" t="n">
        <f aca="false">SUM(H135:H137)</f>
        <v>0.225163047657594</v>
      </c>
      <c r="I138" s="73"/>
      <c r="J138" s="423"/>
      <c r="K138" s="423"/>
      <c r="L138" s="73"/>
    </row>
    <row r="139" customFormat="false" ht="12.75" hidden="false" customHeight="false" outlineLevel="0" collapsed="false">
      <c r="A139" s="375" t="s">
        <v>804</v>
      </c>
      <c r="B139" s="365" t="n">
        <f aca="false">B7/(1-0.0084)-B7</f>
        <v>0.0301573215006048</v>
      </c>
      <c r="E139" s="73"/>
      <c r="F139" s="73"/>
      <c r="G139" s="263"/>
      <c r="H139" s="263"/>
      <c r="I139" s="73"/>
      <c r="J139" s="409"/>
      <c r="K139" s="410"/>
      <c r="L139" s="73"/>
    </row>
    <row r="140" customFormat="false" ht="12.75" hidden="false" customHeight="false" outlineLevel="0" collapsed="false">
      <c r="A140" s="414" t="s">
        <v>629</v>
      </c>
      <c r="B140" s="374" t="n">
        <f aca="false">SUM(B137:B139)</f>
        <v>0.0452573215006048</v>
      </c>
      <c r="E140" s="73"/>
      <c r="F140" s="73"/>
      <c r="G140" s="350" t="s">
        <v>1</v>
      </c>
      <c r="H140" s="351" t="s">
        <v>1</v>
      </c>
      <c r="I140" s="73"/>
      <c r="J140" s="409"/>
      <c r="K140" s="409"/>
      <c r="L140" s="73"/>
    </row>
    <row r="141" customFormat="false" ht="12.75" hidden="false" customHeight="false" outlineLevel="0" collapsed="false">
      <c r="A141" s="375"/>
      <c r="B141" s="136"/>
      <c r="E141" s="73"/>
      <c r="F141" s="73"/>
      <c r="G141" s="350" t="s">
        <v>1</v>
      </c>
      <c r="H141" s="351" t="s">
        <v>1</v>
      </c>
      <c r="I141" s="73"/>
      <c r="J141" s="409"/>
      <c r="K141" s="412"/>
      <c r="L141" s="73"/>
    </row>
    <row r="142" customFormat="false" ht="12.75" hidden="false" customHeight="false" outlineLevel="0" collapsed="false">
      <c r="A142" s="414" t="s">
        <v>805</v>
      </c>
      <c r="B142" s="136"/>
      <c r="E142" s="73"/>
      <c r="F142" s="73"/>
      <c r="G142" s="263"/>
      <c r="H142" s="263"/>
      <c r="I142" s="73"/>
      <c r="J142" s="409"/>
      <c r="K142" s="408"/>
      <c r="L142" s="73"/>
    </row>
    <row r="143" customFormat="false" ht="12.75" hidden="false" customHeight="false" outlineLevel="0" collapsed="false">
      <c r="A143" s="357" t="s">
        <v>806</v>
      </c>
      <c r="B143" s="136"/>
      <c r="E143" s="73"/>
      <c r="F143" s="73"/>
      <c r="G143" s="424"/>
      <c r="H143" s="424"/>
      <c r="I143" s="73"/>
      <c r="J143" s="409"/>
      <c r="K143" s="409"/>
      <c r="L143" s="73"/>
    </row>
    <row r="144" customFormat="false" ht="12.75" hidden="false" customHeight="false" outlineLevel="0" collapsed="false">
      <c r="A144" s="357" t="s">
        <v>598</v>
      </c>
      <c r="B144" s="136" t="n">
        <v>0.045</v>
      </c>
      <c r="E144" s="73"/>
      <c r="F144" s="73"/>
      <c r="G144" s="425"/>
      <c r="H144" s="425"/>
      <c r="I144" s="73"/>
      <c r="J144" s="409"/>
      <c r="K144" s="409"/>
      <c r="L144" s="73"/>
    </row>
    <row r="145" customFormat="false" ht="12.75" hidden="false" customHeight="false" outlineLevel="0" collapsed="false">
      <c r="A145" s="366" t="s">
        <v>119</v>
      </c>
      <c r="B145" s="136" t="n">
        <f aca="false">0.0022+0.0072</f>
        <v>0.0094</v>
      </c>
      <c r="E145" s="73"/>
      <c r="F145" s="73"/>
      <c r="G145" s="426" t="s">
        <v>1</v>
      </c>
      <c r="H145" s="409" t="s">
        <v>1</v>
      </c>
      <c r="I145" s="73"/>
      <c r="J145" s="412"/>
      <c r="K145" s="412"/>
      <c r="L145" s="73"/>
    </row>
    <row r="146" customFormat="false" ht="12.75" hidden="false" customHeight="false" outlineLevel="0" collapsed="false">
      <c r="A146" s="375" t="s">
        <v>807</v>
      </c>
      <c r="B146" s="136" t="n">
        <f aca="false">ROUND(+B4/(1-0.0706)-B4,4)</f>
        <v>0.2286</v>
      </c>
      <c r="G146" s="426" t="s">
        <v>1</v>
      </c>
      <c r="H146" s="409" t="s">
        <v>1</v>
      </c>
      <c r="J146" s="408"/>
      <c r="K146" s="408"/>
    </row>
    <row r="147" customFormat="false" ht="13.5" hidden="false" customHeight="false" outlineLevel="0" collapsed="false">
      <c r="A147" s="136"/>
      <c r="B147" s="427" t="n">
        <f aca="false">SUM(B144:B146)</f>
        <v>0.283</v>
      </c>
      <c r="G147" s="425"/>
      <c r="H147" s="425"/>
      <c r="J147" s="413"/>
      <c r="K147" s="413"/>
    </row>
    <row r="148" customFormat="false" ht="13.5" hidden="false" customHeight="false" outlineLevel="0" collapsed="false">
      <c r="A148" s="136"/>
      <c r="B148" s="136"/>
      <c r="G148" s="425"/>
      <c r="H148" s="425"/>
      <c r="J148" s="409"/>
      <c r="K148" s="409"/>
    </row>
    <row r="149" customFormat="false" ht="12.75" hidden="false" customHeight="false" outlineLevel="0" collapsed="false">
      <c r="A149" s="136" t="s">
        <v>808</v>
      </c>
      <c r="B149" s="428"/>
      <c r="G149" s="425"/>
      <c r="H149" s="425"/>
      <c r="J149" s="409"/>
      <c r="K149" s="409"/>
    </row>
    <row r="150" customFormat="false" ht="12.75" hidden="false" customHeight="false" outlineLevel="0" collapsed="false">
      <c r="A150" s="392" t="s">
        <v>809</v>
      </c>
      <c r="B150" s="136"/>
      <c r="G150" s="425"/>
      <c r="H150" s="425"/>
      <c r="J150" s="412"/>
      <c r="K150" s="412"/>
    </row>
    <row r="151" customFormat="false" ht="12.75" hidden="false" customHeight="false" outlineLevel="0" collapsed="false">
      <c r="A151" s="392" t="s">
        <v>93</v>
      </c>
      <c r="B151" s="374" t="s">
        <v>791</v>
      </c>
      <c r="J151" s="408"/>
      <c r="K151" s="408"/>
    </row>
    <row r="152" customFormat="false" ht="12.75" hidden="false" customHeight="false" outlineLevel="0" collapsed="false">
      <c r="A152" s="392" t="s">
        <v>597</v>
      </c>
      <c r="B152" s="422" t="n">
        <v>0.0055</v>
      </c>
      <c r="J152" s="408"/>
      <c r="K152" s="408"/>
    </row>
    <row r="153" customFormat="false" ht="12.75" hidden="false" customHeight="false" outlineLevel="0" collapsed="false">
      <c r="A153" s="366" t="s">
        <v>119</v>
      </c>
      <c r="B153" s="422" t="n">
        <v>0.0167</v>
      </c>
      <c r="J153" s="410"/>
      <c r="K153" s="410"/>
    </row>
    <row r="154" customFormat="false" ht="12.75" hidden="false" customHeight="false" outlineLevel="0" collapsed="false">
      <c r="A154" s="375" t="s">
        <v>804</v>
      </c>
      <c r="B154" s="365" t="n">
        <f aca="false">B7/(1-0.0084)-B7</f>
        <v>0.0301573215006048</v>
      </c>
      <c r="J154" s="410"/>
      <c r="K154" s="410"/>
    </row>
    <row r="155" customFormat="false" ht="12.75" hidden="false" customHeight="false" outlineLevel="0" collapsed="false">
      <c r="A155" s="414" t="s">
        <v>629</v>
      </c>
      <c r="B155" s="374" t="n">
        <f aca="false">SUM(B152:B154)</f>
        <v>0.0523573215006048</v>
      </c>
      <c r="J155" s="410"/>
      <c r="K155" s="410"/>
    </row>
    <row r="156" customFormat="false" ht="12.75" hidden="false" customHeight="false" outlineLevel="0" collapsed="false">
      <c r="A156" s="375"/>
      <c r="B156" s="136"/>
      <c r="J156" s="412"/>
      <c r="K156" s="412"/>
    </row>
    <row r="157" customFormat="false" ht="12.75" hidden="false" customHeight="false" outlineLevel="0" collapsed="false">
      <c r="J157" s="408"/>
      <c r="K157" s="408"/>
    </row>
    <row r="158" customFormat="false" ht="12.75" hidden="false" customHeight="false" outlineLevel="0" collapsed="false">
      <c r="J158" s="413"/>
      <c r="K158" s="413"/>
    </row>
    <row r="159" customFormat="false" ht="12.75" hidden="false" customHeight="false" outlineLevel="0" collapsed="false">
      <c r="J159" s="409"/>
      <c r="K159" s="409"/>
    </row>
    <row r="160" customFormat="false" ht="12.75" hidden="false" customHeight="false" outlineLevel="0" collapsed="false">
      <c r="J160" s="409"/>
      <c r="K160" s="409"/>
    </row>
    <row r="161" customFormat="false" ht="12.75" hidden="false" customHeight="false" outlineLevel="0" collapsed="false">
      <c r="J161" s="412"/>
      <c r="K161" s="412"/>
    </row>
    <row r="162" customFormat="false" ht="12.75" hidden="false" customHeight="false" outlineLevel="0" collapsed="false">
      <c r="J162" s="408"/>
      <c r="K162" s="408"/>
    </row>
    <row r="164" customFormat="false" ht="12.75" hidden="false" customHeight="false" outlineLevel="0" collapsed="false">
      <c r="J164" s="413"/>
      <c r="K164" s="413"/>
    </row>
    <row r="165" customFormat="false" ht="12.75" hidden="false" customHeight="false" outlineLevel="0" collapsed="false">
      <c r="J165" s="409"/>
      <c r="K165" s="409"/>
    </row>
    <row r="166" customFormat="false" ht="12.75" hidden="false" customHeight="false" outlineLevel="0" collapsed="false">
      <c r="J166" s="409"/>
      <c r="K166" s="409"/>
    </row>
    <row r="167" customFormat="false" ht="12.75" hidden="false" customHeight="false" outlineLevel="0" collapsed="false">
      <c r="J167" s="412"/>
      <c r="K167" s="412"/>
    </row>
    <row r="168" customFormat="false" ht="12.75" hidden="false" customHeight="false" outlineLevel="0" collapsed="false">
      <c r="J168" s="408"/>
      <c r="K168" s="408"/>
    </row>
    <row r="169" customFormat="false" ht="12.75" hidden="false" customHeight="false" outlineLevel="0" collapsed="false">
      <c r="J169" s="413"/>
      <c r="K169" s="413"/>
    </row>
    <row r="170" customFormat="false" ht="12.75" hidden="false" customHeight="false" outlineLevel="0" collapsed="false">
      <c r="J170" s="409"/>
      <c r="K170" s="409"/>
    </row>
    <row r="171" customFormat="false" ht="12.75" hidden="false" customHeight="false" outlineLevel="0" collapsed="false">
      <c r="J171" s="409"/>
      <c r="K171" s="409"/>
    </row>
    <row r="172" customFormat="false" ht="12.75" hidden="false" customHeight="false" outlineLevel="0" collapsed="false">
      <c r="J172" s="412"/>
      <c r="K172" s="412"/>
    </row>
    <row r="173" customFormat="false" ht="12.75" hidden="false" customHeight="false" outlineLevel="0" collapsed="false">
      <c r="J173" s="408"/>
      <c r="K173" s="408"/>
    </row>
  </sheetData>
  <mergeCells count="1">
    <mergeCell ref="G2:J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3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263" width="10.85"/>
    <col collapsed="false" customWidth="true" hidden="false" outlineLevel="0" max="3" min="3" style="27" width="2.84"/>
    <col collapsed="false" customWidth="true" hidden="false" outlineLevel="0" max="5" min="4" style="263" width="10.85"/>
    <col collapsed="false" customWidth="true" hidden="false" outlineLevel="0" max="6" min="6" style="27" width="2.84"/>
    <col collapsed="false" customWidth="true" hidden="false" outlineLevel="0" max="8" min="7" style="141" width="10.85"/>
    <col collapsed="false" customWidth="true" hidden="false" outlineLevel="0" max="9" min="9" style="27" width="2.84"/>
    <col collapsed="false" customWidth="true" hidden="false" outlineLevel="0" max="11" min="10" style="263" width="9.14"/>
    <col collapsed="false" customWidth="true" hidden="false" outlineLevel="0" max="12" min="12" style="27" width="3.42"/>
    <col collapsed="false" customWidth="true" hidden="false" outlineLevel="0" max="14" min="13" style="263" width="9.14"/>
    <col collapsed="false" customWidth="true" hidden="false" outlineLevel="0" max="15" min="15" style="27" width="3.42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429" t="s">
        <v>1</v>
      </c>
      <c r="B2" s="429"/>
      <c r="C2" s="429"/>
      <c r="D2" s="429" t="s">
        <v>1</v>
      </c>
      <c r="E2" s="430"/>
      <c r="F2" s="265"/>
      <c r="G2" s="269"/>
      <c r="H2" s="268" t="s">
        <v>511</v>
      </c>
      <c r="I2" s="265"/>
      <c r="K2" s="274" t="s">
        <v>810</v>
      </c>
    </row>
    <row r="3" customFormat="false" ht="12.75" hidden="false" customHeight="false" outlineLevel="0" collapsed="false">
      <c r="A3" s="317" t="s">
        <v>514</v>
      </c>
      <c r="B3" s="431" t="n">
        <f aca="false">+Rates!H3</f>
        <v>3.03</v>
      </c>
      <c r="C3" s="265"/>
      <c r="D3" s="432" t="s">
        <v>515</v>
      </c>
      <c r="E3" s="287" t="n">
        <v>2.5</v>
      </c>
      <c r="F3" s="265"/>
      <c r="G3" s="280" t="s">
        <v>515</v>
      </c>
      <c r="H3" s="277" t="n">
        <f aca="false">+E3</f>
        <v>2.5</v>
      </c>
      <c r="I3" s="265"/>
      <c r="J3" s="286" t="s">
        <v>519</v>
      </c>
      <c r="K3" s="288" t="n">
        <f aca="false">+Rates!AF3</f>
        <v>3.125</v>
      </c>
      <c r="M3" s="432" t="s">
        <v>198</v>
      </c>
      <c r="N3" s="287" t="n">
        <v>2.97</v>
      </c>
    </row>
    <row r="4" customFormat="false" ht="12.75" hidden="false" customHeight="false" outlineLevel="0" collapsed="false">
      <c r="A4" s="317" t="s">
        <v>523</v>
      </c>
      <c r="B4" s="433" t="n">
        <f aca="false">+Rates!H4</f>
        <v>3.095</v>
      </c>
      <c r="C4" s="265"/>
      <c r="D4" s="432" t="s">
        <v>524</v>
      </c>
      <c r="E4" s="287" t="n">
        <v>2.165</v>
      </c>
      <c r="F4" s="265"/>
      <c r="G4" s="280" t="s">
        <v>524</v>
      </c>
      <c r="H4" s="277" t="n">
        <f aca="false">+E4</f>
        <v>2.165</v>
      </c>
      <c r="I4" s="265"/>
      <c r="J4" s="286" t="s">
        <v>527</v>
      </c>
      <c r="M4" s="286" t="s">
        <v>527</v>
      </c>
    </row>
    <row r="5" customFormat="false" ht="12.75" hidden="false" customHeight="false" outlineLevel="0" collapsed="false">
      <c r="A5" s="317" t="s">
        <v>401</v>
      </c>
      <c r="B5" s="434" t="n">
        <f aca="false">+Rates!H5</f>
        <v>3.325</v>
      </c>
      <c r="C5" s="265"/>
      <c r="D5" s="432" t="s">
        <v>529</v>
      </c>
      <c r="E5" s="287" t="n">
        <f aca="false">2.815-0.0635</f>
        <v>2.7515</v>
      </c>
      <c r="F5" s="265"/>
      <c r="G5" s="280" t="s">
        <v>529</v>
      </c>
      <c r="H5" s="277" t="n">
        <f aca="false">+E5</f>
        <v>2.7515</v>
      </c>
      <c r="I5" s="265"/>
    </row>
    <row r="6" customFormat="false" ht="12.75" hidden="false" customHeight="false" outlineLevel="0" collapsed="false">
      <c r="A6" s="302"/>
      <c r="B6" s="302"/>
      <c r="C6" s="296"/>
      <c r="D6" s="317" t="s">
        <v>531</v>
      </c>
      <c r="E6" s="318" t="n">
        <v>2.6</v>
      </c>
      <c r="F6" s="296"/>
      <c r="G6" s="278" t="s">
        <v>531</v>
      </c>
      <c r="H6" s="277" t="n">
        <f aca="false">+E6</f>
        <v>2.6</v>
      </c>
      <c r="I6" s="296"/>
      <c r="J6" s="302"/>
      <c r="K6" s="302"/>
      <c r="L6" s="180"/>
      <c r="M6" s="302"/>
      <c r="N6" s="302"/>
      <c r="O6" s="180"/>
    </row>
    <row r="7" customFormat="false" ht="12.75" hidden="false" customHeight="false" outlineLevel="0" collapsed="false">
      <c r="A7" s="315"/>
      <c r="B7" s="315"/>
      <c r="C7" s="305"/>
      <c r="D7" s="435" t="s">
        <v>198</v>
      </c>
      <c r="E7" s="436" t="n">
        <v>3.065</v>
      </c>
      <c r="F7" s="305"/>
      <c r="G7" s="306" t="s">
        <v>198</v>
      </c>
      <c r="H7" s="277" t="n">
        <f aca="false">+E7</f>
        <v>3.065</v>
      </c>
      <c r="I7" s="305"/>
      <c r="J7" s="313"/>
      <c r="K7" s="313"/>
      <c r="L7" s="225"/>
      <c r="M7" s="313"/>
      <c r="N7" s="313"/>
      <c r="O7" s="225"/>
    </row>
    <row r="8" customFormat="false" ht="12.75" hidden="false" customHeight="false" outlineLevel="0" collapsed="false">
      <c r="A8" s="437" t="s">
        <v>811</v>
      </c>
      <c r="B8" s="304"/>
      <c r="C8" s="316"/>
      <c r="D8" s="278" t="s">
        <v>536</v>
      </c>
      <c r="E8" s="297"/>
      <c r="F8" s="265"/>
      <c r="G8" s="278" t="s">
        <v>536</v>
      </c>
      <c r="H8" s="297"/>
      <c r="I8" s="265"/>
      <c r="J8" s="263" t="s">
        <v>540</v>
      </c>
      <c r="M8" s="263" t="s">
        <v>812</v>
      </c>
    </row>
    <row r="9" customFormat="false" ht="12.75" hidden="false" customHeight="false" outlineLevel="0" collapsed="false">
      <c r="A9" s="304" t="s">
        <v>544</v>
      </c>
      <c r="B9" s="304"/>
      <c r="C9" s="319"/>
      <c r="D9" s="96" t="s">
        <v>545</v>
      </c>
      <c r="E9" s="297"/>
      <c r="F9" s="265"/>
      <c r="G9" s="96" t="s">
        <v>546</v>
      </c>
      <c r="H9" s="297"/>
      <c r="I9" s="265"/>
      <c r="J9" s="263" t="s">
        <v>550</v>
      </c>
      <c r="M9" s="263" t="s">
        <v>559</v>
      </c>
    </row>
    <row r="10" customFormat="false" ht="12.75" hidden="false" customHeight="false" outlineLevel="0" collapsed="false">
      <c r="A10" s="304" t="s">
        <v>553</v>
      </c>
      <c r="B10" s="304"/>
      <c r="C10" s="319"/>
      <c r="D10" s="323" t="s">
        <v>554</v>
      </c>
      <c r="E10" s="297"/>
      <c r="F10" s="265"/>
      <c r="G10" s="323" t="s">
        <v>554</v>
      </c>
      <c r="H10" s="297"/>
      <c r="I10" s="265"/>
      <c r="J10" s="263" t="s">
        <v>560</v>
      </c>
      <c r="M10" s="263" t="s">
        <v>567</v>
      </c>
    </row>
    <row r="11" customFormat="false" ht="12.75" hidden="false" customHeight="false" outlineLevel="0" collapsed="false">
      <c r="A11" s="96" t="s">
        <v>562</v>
      </c>
      <c r="B11" s="304"/>
      <c r="C11" s="319"/>
      <c r="D11" s="323" t="s">
        <v>813</v>
      </c>
      <c r="E11" s="297"/>
      <c r="F11" s="265"/>
      <c r="G11" s="323" t="s">
        <v>564</v>
      </c>
      <c r="H11" s="297"/>
      <c r="I11" s="265"/>
      <c r="J11" s="263" t="s">
        <v>568</v>
      </c>
    </row>
    <row r="12" customFormat="false" ht="12.75" hidden="false" customHeight="false" outlineLevel="0" collapsed="false">
      <c r="A12" s="280"/>
      <c r="B12" s="438"/>
      <c r="C12" s="265"/>
      <c r="D12" s="280" t="s">
        <v>814</v>
      </c>
      <c r="E12" s="281"/>
      <c r="F12" s="265"/>
      <c r="G12" s="280" t="s">
        <v>11</v>
      </c>
      <c r="H12" s="281"/>
      <c r="I12" s="265"/>
      <c r="J12" s="141" t="s">
        <v>573</v>
      </c>
      <c r="M12" s="263" t="s">
        <v>815</v>
      </c>
    </row>
    <row r="13" customFormat="false" ht="12.75" hidden="false" customHeight="false" outlineLevel="0" collapsed="false">
      <c r="A13" s="345" t="s">
        <v>578</v>
      </c>
      <c r="B13" s="346" t="s">
        <v>816</v>
      </c>
      <c r="C13" s="327"/>
      <c r="D13" s="339" t="s">
        <v>580</v>
      </c>
      <c r="E13" s="340" t="s">
        <v>581</v>
      </c>
      <c r="F13" s="327"/>
      <c r="G13" s="339" t="s">
        <v>580</v>
      </c>
      <c r="H13" s="340" t="s">
        <v>582</v>
      </c>
      <c r="I13" s="327"/>
      <c r="J13" s="263" t="s">
        <v>590</v>
      </c>
      <c r="M13" s="335" t="s">
        <v>214</v>
      </c>
      <c r="N13" s="336" t="s">
        <v>589</v>
      </c>
    </row>
    <row r="14" customFormat="false" ht="12.75" hidden="false" customHeight="false" outlineLevel="0" collapsed="false">
      <c r="A14" s="358" t="s">
        <v>597</v>
      </c>
      <c r="B14" s="354" t="n">
        <v>0.0439</v>
      </c>
      <c r="C14" s="334"/>
      <c r="D14" s="353" t="s">
        <v>597</v>
      </c>
      <c r="E14" s="354" t="n">
        <v>0.0178</v>
      </c>
      <c r="F14" s="334"/>
      <c r="G14" s="353" t="s">
        <v>597</v>
      </c>
      <c r="H14" s="354" t="n">
        <v>0.5603</v>
      </c>
      <c r="I14" s="334"/>
      <c r="J14" s="350" t="s">
        <v>597</v>
      </c>
      <c r="K14" s="351" t="n">
        <f aca="false">0.005+0.002</f>
        <v>0.007</v>
      </c>
      <c r="M14" s="350" t="s">
        <v>597</v>
      </c>
      <c r="N14" s="351" t="n">
        <v>0.0112</v>
      </c>
    </row>
    <row r="15" customFormat="false" ht="12.75" hidden="false" customHeight="false" outlineLevel="0" collapsed="false">
      <c r="A15" s="358" t="s">
        <v>119</v>
      </c>
      <c r="B15" s="354" t="n">
        <f aca="false">0.0022+0.0072+0.0225</f>
        <v>0.0319</v>
      </c>
      <c r="C15" s="334"/>
      <c r="D15" s="353" t="s">
        <v>119</v>
      </c>
      <c r="E15" s="354" t="n">
        <f aca="false">0.0022+0.0072</f>
        <v>0.0094</v>
      </c>
      <c r="F15" s="334"/>
      <c r="G15" s="353" t="s">
        <v>119</v>
      </c>
      <c r="H15" s="354" t="n">
        <f aca="false">0.0022+0.0072</f>
        <v>0.0094</v>
      </c>
      <c r="I15" s="334"/>
      <c r="J15" s="350" t="s">
        <v>119</v>
      </c>
      <c r="K15" s="351" t="n">
        <f aca="false">0.0022+0.0072</f>
        <v>0.0094</v>
      </c>
      <c r="M15" s="350" t="s">
        <v>119</v>
      </c>
      <c r="N15" s="351" t="n">
        <f aca="false">0.0022+0.0072</f>
        <v>0.0094</v>
      </c>
    </row>
    <row r="16" customFormat="false" ht="12.75" hidden="false" customHeight="false" outlineLevel="0" collapsed="false">
      <c r="A16" s="358" t="s">
        <v>817</v>
      </c>
      <c r="B16" s="439" t="n">
        <f aca="false">(B3)/(1-0.0089)-B3</f>
        <v>0.0272091615376855</v>
      </c>
      <c r="C16" s="359"/>
      <c r="D16" s="353" t="s">
        <v>636</v>
      </c>
      <c r="E16" s="364" t="n">
        <f aca="false">(E5)/(1-0.0268)-E5</f>
        <v>0.0757708590217838</v>
      </c>
      <c r="F16" s="359"/>
      <c r="G16" s="353" t="s">
        <v>818</v>
      </c>
      <c r="H16" s="364" t="n">
        <f aca="false">(H5)/(1-0.0926)-H5</f>
        <v>0.28079005951069</v>
      </c>
      <c r="I16" s="359"/>
      <c r="J16" s="350" t="s">
        <v>608</v>
      </c>
      <c r="K16" s="363" t="n">
        <f aca="false">+K3/(1-0.0022)-K3</f>
        <v>0.00689015834836626</v>
      </c>
      <c r="M16" s="350" t="s">
        <v>819</v>
      </c>
      <c r="N16" s="363" t="n">
        <f aca="false">+N3/(1-0.0058)-N3</f>
        <v>0.0173264936632469</v>
      </c>
    </row>
    <row r="17" customFormat="false" ht="12.75" hidden="false" customHeight="false" outlineLevel="0" collapsed="false">
      <c r="A17" s="376"/>
      <c r="B17" s="372" t="n">
        <f aca="false">SUM(B14:B16)</f>
        <v>0.103009161537686</v>
      </c>
      <c r="C17" s="361"/>
      <c r="D17" s="353"/>
      <c r="E17" s="372" t="n">
        <f aca="false">SUM(E14:E16)</f>
        <v>0.102970859021784</v>
      </c>
      <c r="F17" s="361"/>
      <c r="G17" s="353"/>
      <c r="H17" s="372" t="n">
        <f aca="false">SUM(H14:H16)</f>
        <v>0.85049005951069</v>
      </c>
      <c r="I17" s="361"/>
      <c r="J17" s="370"/>
      <c r="K17" s="371" t="n">
        <f aca="false">SUM(K14:K16)</f>
        <v>0.0232901583483663</v>
      </c>
      <c r="M17" s="370"/>
      <c r="N17" s="371" t="n">
        <f aca="false">SUM(N14:N16)</f>
        <v>0.0379264936632469</v>
      </c>
    </row>
    <row r="18" customFormat="false" ht="12.75" hidden="false" customHeight="false" outlineLevel="0" collapsed="false">
      <c r="A18" s="440" t="s">
        <v>578</v>
      </c>
      <c r="B18" s="441" t="s">
        <v>820</v>
      </c>
      <c r="C18" s="327"/>
      <c r="D18" s="339" t="s">
        <v>580</v>
      </c>
      <c r="E18" s="340" t="s">
        <v>617</v>
      </c>
      <c r="F18" s="327"/>
      <c r="G18" s="339" t="s">
        <v>580</v>
      </c>
      <c r="H18" s="340" t="s">
        <v>618</v>
      </c>
      <c r="I18" s="327"/>
    </row>
    <row r="19" customFormat="false" ht="12.75" hidden="false" customHeight="false" outlineLevel="0" collapsed="false">
      <c r="A19" s="358" t="s">
        <v>597</v>
      </c>
      <c r="B19" s="354" t="n">
        <v>0.0669</v>
      </c>
      <c r="C19" s="334"/>
      <c r="D19" s="353" t="s">
        <v>597</v>
      </c>
      <c r="E19" s="354" t="n">
        <v>0.0187</v>
      </c>
      <c r="F19" s="334"/>
      <c r="G19" s="353" t="s">
        <v>597</v>
      </c>
      <c r="H19" s="354" t="n">
        <v>0.6649</v>
      </c>
      <c r="I19" s="334"/>
      <c r="J19" s="263" t="s">
        <v>625</v>
      </c>
      <c r="M19" s="335" t="s">
        <v>214</v>
      </c>
      <c r="N19" s="336" t="s">
        <v>624</v>
      </c>
    </row>
    <row r="20" customFormat="false" ht="12.75" hidden="false" customHeight="false" outlineLevel="0" collapsed="false">
      <c r="A20" s="358" t="s">
        <v>119</v>
      </c>
      <c r="B20" s="354" t="n">
        <f aca="false">0.0022+0.0072+0.0225</f>
        <v>0.0319</v>
      </c>
      <c r="C20" s="334"/>
      <c r="D20" s="353" t="s">
        <v>119</v>
      </c>
      <c r="E20" s="354" t="n">
        <f aca="false">0.0022</f>
        <v>0.0022</v>
      </c>
      <c r="F20" s="334"/>
      <c r="G20" s="353" t="s">
        <v>119</v>
      </c>
      <c r="H20" s="354" t="n">
        <f aca="false">0.0022+0.0072</f>
        <v>0.0094</v>
      </c>
      <c r="I20" s="334"/>
      <c r="J20" s="350" t="s">
        <v>597</v>
      </c>
      <c r="K20" s="351" t="n">
        <f aca="false">0.0303+0.002</f>
        <v>0.0323</v>
      </c>
      <c r="M20" s="350" t="s">
        <v>597</v>
      </c>
      <c r="N20" s="351" t="n">
        <v>0</v>
      </c>
    </row>
    <row r="21" customFormat="false" ht="12.75" hidden="false" customHeight="false" outlineLevel="0" collapsed="false">
      <c r="A21" s="358" t="s">
        <v>821</v>
      </c>
      <c r="B21" s="439" t="n">
        <f aca="false">(B3)/(1-0.0279)-B3</f>
        <v>0.0869632753831913</v>
      </c>
      <c r="C21" s="359"/>
      <c r="D21" s="353" t="s">
        <v>822</v>
      </c>
      <c r="E21" s="364" t="n">
        <f aca="false">(E5)/(1-0.0293)-E5</f>
        <v>0.0830523848768929</v>
      </c>
      <c r="F21" s="359"/>
      <c r="G21" s="353" t="s">
        <v>823</v>
      </c>
      <c r="H21" s="364" t="n">
        <f aca="false">(H5)/(1-0.1089)-H5</f>
        <v>0.336256705195825</v>
      </c>
      <c r="I21" s="359"/>
      <c r="J21" s="350" t="s">
        <v>119</v>
      </c>
      <c r="K21" s="351" t="n">
        <f aca="false">0.0072+0.0022</f>
        <v>0.0094</v>
      </c>
      <c r="M21" s="350" t="s">
        <v>119</v>
      </c>
      <c r="N21" s="351" t="n">
        <f aca="false">0.0022+0.0072</f>
        <v>0.0094</v>
      </c>
    </row>
    <row r="22" customFormat="false" ht="12.75" hidden="false" customHeight="false" outlineLevel="0" collapsed="false">
      <c r="A22" s="376"/>
      <c r="B22" s="372" t="n">
        <f aca="false">SUM(B19:B21)</f>
        <v>0.185763275383191</v>
      </c>
      <c r="C22" s="361"/>
      <c r="D22" s="353"/>
      <c r="E22" s="372" t="n">
        <f aca="false">SUM(E19:E21)</f>
        <v>0.103952384876893</v>
      </c>
      <c r="F22" s="361"/>
      <c r="G22" s="353"/>
      <c r="H22" s="372" t="n">
        <f aca="false">SUM(H19:H21)</f>
        <v>1.01055670519583</v>
      </c>
      <c r="I22" s="361"/>
      <c r="J22" s="350" t="s">
        <v>636</v>
      </c>
      <c r="K22" s="363" t="n">
        <f aca="false">+K3/(1-0.0268)-K3</f>
        <v>0.0860563090834363</v>
      </c>
      <c r="M22" s="350" t="s">
        <v>819</v>
      </c>
      <c r="N22" s="363" t="n">
        <f aca="false">+N3/(1-0.0058)-N3</f>
        <v>0.0173264936632469</v>
      </c>
    </row>
    <row r="23" customFormat="false" ht="12.75" hidden="false" customHeight="false" outlineLevel="0" collapsed="false">
      <c r="A23" s="440" t="s">
        <v>578</v>
      </c>
      <c r="B23" s="441" t="s">
        <v>824</v>
      </c>
      <c r="C23" s="361"/>
      <c r="D23" s="442" t="s">
        <v>580</v>
      </c>
      <c r="E23" s="443" t="s">
        <v>641</v>
      </c>
      <c r="F23" s="361"/>
      <c r="G23" s="339" t="s">
        <v>580</v>
      </c>
      <c r="H23" s="340" t="s">
        <v>642</v>
      </c>
      <c r="I23" s="361"/>
      <c r="J23" s="370"/>
      <c r="K23" s="371" t="n">
        <f aca="false">SUM(K20:K22)</f>
        <v>0.127756309083436</v>
      </c>
      <c r="M23" s="370"/>
      <c r="N23" s="371" t="n">
        <f aca="false">SUM(N20:N22)</f>
        <v>0.0267264936632469</v>
      </c>
    </row>
    <row r="24" customFormat="false" ht="12.75" hidden="false" customHeight="false" outlineLevel="0" collapsed="false">
      <c r="A24" s="358" t="s">
        <v>597</v>
      </c>
      <c r="B24" s="354" t="n">
        <v>0.088</v>
      </c>
      <c r="C24" s="388"/>
      <c r="D24" s="353" t="s">
        <v>597</v>
      </c>
      <c r="E24" s="354" t="n">
        <v>0.0236</v>
      </c>
      <c r="F24" s="388"/>
      <c r="G24" s="353" t="s">
        <v>597</v>
      </c>
      <c r="H24" s="354" t="n">
        <v>0.4164</v>
      </c>
      <c r="I24" s="388"/>
    </row>
    <row r="25" customFormat="false" ht="12.75" hidden="false" customHeight="false" outlineLevel="0" collapsed="false">
      <c r="A25" s="358" t="s">
        <v>119</v>
      </c>
      <c r="B25" s="354" t="n">
        <f aca="false">0.0022+0.0072</f>
        <v>0.0094</v>
      </c>
      <c r="C25" s="388"/>
      <c r="D25" s="353" t="s">
        <v>119</v>
      </c>
      <c r="E25" s="354" t="n">
        <f aca="false">0.0022+0.0072</f>
        <v>0.0094</v>
      </c>
      <c r="F25" s="388"/>
      <c r="G25" s="353" t="s">
        <v>119</v>
      </c>
      <c r="H25" s="354" t="n">
        <f aca="false">0.0022+0.0072</f>
        <v>0.0094</v>
      </c>
      <c r="I25" s="388"/>
      <c r="J25" s="263" t="s">
        <v>647</v>
      </c>
    </row>
    <row r="26" customFormat="false" ht="12.75" hidden="false" customHeight="false" outlineLevel="0" collapsed="false">
      <c r="A26" s="358" t="s">
        <v>825</v>
      </c>
      <c r="B26" s="439" t="n">
        <f aca="false">(B3)/(1-0.0516)-B3</f>
        <v>0.164854491775622</v>
      </c>
      <c r="C26" s="359"/>
      <c r="D26" s="353" t="s">
        <v>826</v>
      </c>
      <c r="E26" s="364" t="n">
        <f aca="false">(E5)/(1-0.0428)-E5</f>
        <v>0.123029878813205</v>
      </c>
      <c r="F26" s="359"/>
      <c r="G26" s="353" t="s">
        <v>827</v>
      </c>
      <c r="H26" s="364" t="n">
        <f aca="false">(H4)/(1-0.0812)-H4</f>
        <v>0.191334349151067</v>
      </c>
      <c r="I26" s="359"/>
      <c r="J26" s="350" t="s">
        <v>597</v>
      </c>
      <c r="K26" s="351" t="n">
        <f aca="false">0.0275+0.002</f>
        <v>0.0295</v>
      </c>
    </row>
    <row r="27" customFormat="false" ht="12.75" hidden="false" customHeight="false" outlineLevel="0" collapsed="false">
      <c r="A27" s="376"/>
      <c r="B27" s="372" t="n">
        <f aca="false">SUM(B24:B26)</f>
        <v>0.262254491775622</v>
      </c>
      <c r="C27" s="361"/>
      <c r="D27" s="353"/>
      <c r="E27" s="372" t="n">
        <f aca="false">SUM(E24:E26)</f>
        <v>0.156029878813205</v>
      </c>
      <c r="F27" s="361"/>
      <c r="G27" s="353"/>
      <c r="H27" s="372" t="n">
        <f aca="false">SUM(H24:H26)</f>
        <v>0.617134349151067</v>
      </c>
      <c r="I27" s="361"/>
      <c r="J27" s="350" t="s">
        <v>119</v>
      </c>
      <c r="K27" s="351" t="n">
        <f aca="false">0.0072+0.0022</f>
        <v>0.0094</v>
      </c>
    </row>
    <row r="28" customFormat="false" ht="12.75" hidden="false" customHeight="false" outlineLevel="0" collapsed="false">
      <c r="A28" s="440" t="s">
        <v>578</v>
      </c>
      <c r="B28" s="444" t="s">
        <v>828</v>
      </c>
      <c r="C28" s="333"/>
      <c r="D28" s="339" t="s">
        <v>580</v>
      </c>
      <c r="E28" s="340" t="s">
        <v>658</v>
      </c>
      <c r="F28" s="333"/>
      <c r="G28" s="339" t="s">
        <v>580</v>
      </c>
      <c r="H28" s="340" t="s">
        <v>659</v>
      </c>
      <c r="I28" s="333"/>
      <c r="J28" s="350" t="s">
        <v>636</v>
      </c>
      <c r="K28" s="363" t="n">
        <f aca="false">+K3/(1-0.0268)-K3</f>
        <v>0.0860563090834363</v>
      </c>
    </row>
    <row r="29" customFormat="false" ht="12.75" hidden="false" customHeight="false" outlineLevel="0" collapsed="false">
      <c r="A29" s="376" t="s">
        <v>597</v>
      </c>
      <c r="B29" s="354" t="n">
        <v>0.0978</v>
      </c>
      <c r="C29" s="334"/>
      <c r="D29" s="353" t="s">
        <v>597</v>
      </c>
      <c r="E29" s="354" t="n">
        <v>0.0708</v>
      </c>
      <c r="F29" s="334"/>
      <c r="G29" s="353" t="s">
        <v>597</v>
      </c>
      <c r="H29" s="354" t="n">
        <v>0.521</v>
      </c>
      <c r="I29" s="334"/>
      <c r="J29" s="370"/>
      <c r="K29" s="371" t="n">
        <f aca="false">SUM(K26:K28)</f>
        <v>0.124956309083436</v>
      </c>
    </row>
    <row r="30" customFormat="false" ht="12.75" hidden="false" customHeight="false" outlineLevel="0" collapsed="false">
      <c r="A30" s="376" t="s">
        <v>119</v>
      </c>
      <c r="B30" s="354" t="n">
        <f aca="false">0.0022</f>
        <v>0.0022</v>
      </c>
      <c r="C30" s="334"/>
      <c r="D30" s="353" t="s">
        <v>119</v>
      </c>
      <c r="E30" s="354" t="n">
        <f aca="false">0.0022+0.0072</f>
        <v>0.0094</v>
      </c>
      <c r="F30" s="334"/>
      <c r="G30" s="353" t="s">
        <v>119</v>
      </c>
      <c r="H30" s="354" t="n">
        <f aca="false">0.0022+0.0072</f>
        <v>0.0094</v>
      </c>
      <c r="I30" s="334"/>
    </row>
    <row r="31" customFormat="false" ht="12.75" hidden="false" customHeight="false" outlineLevel="0" collapsed="false">
      <c r="A31" s="376" t="s">
        <v>829</v>
      </c>
      <c r="B31" s="439" t="n">
        <f aca="false">(B3)/(1-0.0588)-B3</f>
        <v>0.189294517637059</v>
      </c>
      <c r="C31" s="359"/>
      <c r="D31" s="353" t="s">
        <v>830</v>
      </c>
      <c r="E31" s="364" t="n">
        <f aca="false">(E5)/(1-0.0677)-E5</f>
        <v>0.199803228574493</v>
      </c>
      <c r="F31" s="359"/>
      <c r="G31" s="353" t="s">
        <v>831</v>
      </c>
      <c r="H31" s="364" t="n">
        <f aca="false">(H4)/(1-0.0975)-H4</f>
        <v>0.233891966759003</v>
      </c>
      <c r="I31" s="359"/>
      <c r="J31" s="263" t="s">
        <v>669</v>
      </c>
    </row>
    <row r="32" customFormat="false" ht="12.75" hidden="false" customHeight="false" outlineLevel="0" collapsed="false">
      <c r="A32" s="376"/>
      <c r="B32" s="372" t="n">
        <f aca="false">SUM(B29:B31)</f>
        <v>0.289294517637059</v>
      </c>
      <c r="C32" s="361"/>
      <c r="D32" s="353"/>
      <c r="E32" s="372" t="n">
        <f aca="false">SUM(E29:E31)</f>
        <v>0.280003228574493</v>
      </c>
      <c r="F32" s="361"/>
      <c r="G32" s="353"/>
      <c r="H32" s="372" t="n">
        <f aca="false">SUM(H29:H31)</f>
        <v>0.764291966759003</v>
      </c>
      <c r="I32" s="361"/>
      <c r="J32" s="350" t="s">
        <v>597</v>
      </c>
      <c r="K32" s="351" t="n">
        <f aca="false">0.0152+0.002</f>
        <v>0.0172</v>
      </c>
    </row>
    <row r="33" customFormat="false" ht="12.75" hidden="false" customHeight="false" outlineLevel="0" collapsed="false">
      <c r="A33" s="440" t="s">
        <v>578</v>
      </c>
      <c r="B33" s="444" t="s">
        <v>832</v>
      </c>
      <c r="C33" s="333"/>
      <c r="D33" s="339" t="s">
        <v>580</v>
      </c>
      <c r="E33" s="340" t="s">
        <v>582</v>
      </c>
      <c r="F33" s="333"/>
      <c r="G33" s="339" t="s">
        <v>580</v>
      </c>
      <c r="H33" s="340" t="s">
        <v>674</v>
      </c>
      <c r="I33" s="333"/>
      <c r="J33" s="350" t="s">
        <v>119</v>
      </c>
      <c r="K33" s="351" t="n">
        <f aca="false">0.002+0.0072+0.0022</f>
        <v>0.0114</v>
      </c>
    </row>
    <row r="34" customFormat="false" ht="12.75" hidden="false" customHeight="false" outlineLevel="0" collapsed="false">
      <c r="A34" s="376" t="s">
        <v>597</v>
      </c>
      <c r="B34" s="354" t="n">
        <v>0.1118</v>
      </c>
      <c r="C34" s="334"/>
      <c r="D34" s="353" t="s">
        <v>597</v>
      </c>
      <c r="E34" s="354" t="n">
        <v>0.0922</v>
      </c>
      <c r="F34" s="334"/>
      <c r="G34" s="353" t="s">
        <v>597</v>
      </c>
      <c r="H34" s="354" t="n">
        <v>0.3983</v>
      </c>
      <c r="I34" s="334"/>
      <c r="J34" s="350" t="s">
        <v>677</v>
      </c>
      <c r="K34" s="363" t="n">
        <f aca="false">+K3/(1-0.0169)-K3</f>
        <v>0.0537203743261112</v>
      </c>
    </row>
    <row r="35" customFormat="false" ht="12.75" hidden="false" customHeight="false" outlineLevel="0" collapsed="false">
      <c r="A35" s="376" t="s">
        <v>119</v>
      </c>
      <c r="B35" s="354" t="n">
        <f aca="false">0.0022+0.0072</f>
        <v>0.0094</v>
      </c>
      <c r="C35" s="334"/>
      <c r="D35" s="353" t="s">
        <v>119</v>
      </c>
      <c r="E35" s="354" t="n">
        <f aca="false">0.0022+0.0072</f>
        <v>0.0094</v>
      </c>
      <c r="F35" s="334"/>
      <c r="G35" s="353" t="s">
        <v>119</v>
      </c>
      <c r="H35" s="354" t="n">
        <f aca="false">0.0022+0.0072</f>
        <v>0.0094</v>
      </c>
      <c r="I35" s="334"/>
      <c r="J35" s="370"/>
      <c r="K35" s="371" t="n">
        <f aca="false">SUM(K32:K34)</f>
        <v>0.0823203743261112</v>
      </c>
    </row>
    <row r="36" customFormat="false" ht="12.75" hidden="false" customHeight="false" outlineLevel="0" collapsed="false">
      <c r="A36" s="376" t="s">
        <v>833</v>
      </c>
      <c r="B36" s="439" t="n">
        <f aca="false">(B3)/(1-0.0679)-B3</f>
        <v>0.220724171226263</v>
      </c>
      <c r="C36" s="359"/>
      <c r="D36" s="353" t="s">
        <v>818</v>
      </c>
      <c r="E36" s="364" t="n">
        <f aca="false">(E5)/(1-0.0926)-E5</f>
        <v>0.28079005951069</v>
      </c>
      <c r="F36" s="359"/>
      <c r="G36" s="353" t="s">
        <v>834</v>
      </c>
      <c r="H36" s="364" t="n">
        <f aca="false">(H3)/(1-0.0761)-H3</f>
        <v>0.20592055417253</v>
      </c>
      <c r="I36" s="359"/>
    </row>
    <row r="37" customFormat="false" ht="12.75" hidden="false" customHeight="false" outlineLevel="0" collapsed="false">
      <c r="A37" s="376"/>
      <c r="B37" s="372" t="n">
        <f aca="false">SUM(B34:B36)</f>
        <v>0.341924171226263</v>
      </c>
      <c r="C37" s="361"/>
      <c r="D37" s="353"/>
      <c r="E37" s="372" t="n">
        <f aca="false">SUM(E34:E36)</f>
        <v>0.38239005951069</v>
      </c>
      <c r="F37" s="361"/>
      <c r="G37" s="353"/>
      <c r="H37" s="372" t="n">
        <f aca="false">SUM(H34:H36)</f>
        <v>0.61362055417253</v>
      </c>
      <c r="I37" s="361"/>
      <c r="J37" s="263" t="s">
        <v>682</v>
      </c>
    </row>
    <row r="38" customFormat="false" ht="12.75" hidden="false" customHeight="false" outlineLevel="0" collapsed="false">
      <c r="A38" s="440" t="s">
        <v>578</v>
      </c>
      <c r="B38" s="444" t="s">
        <v>835</v>
      </c>
      <c r="C38" s="333"/>
      <c r="D38" s="339" t="s">
        <v>580</v>
      </c>
      <c r="E38" s="340" t="s">
        <v>618</v>
      </c>
      <c r="F38" s="333"/>
      <c r="G38" s="339" t="s">
        <v>580</v>
      </c>
      <c r="H38" s="340" t="s">
        <v>687</v>
      </c>
      <c r="I38" s="333"/>
      <c r="J38" s="350" t="s">
        <v>597</v>
      </c>
      <c r="K38" s="351" t="n">
        <f aca="false">0.0152+0.002</f>
        <v>0.0172</v>
      </c>
    </row>
    <row r="39" customFormat="false" ht="12.75" hidden="false" customHeight="false" outlineLevel="0" collapsed="false">
      <c r="A39" s="376" t="s">
        <v>597</v>
      </c>
      <c r="B39" s="354" t="n">
        <v>0.1231</v>
      </c>
      <c r="C39" s="334"/>
      <c r="D39" s="353" t="s">
        <v>597</v>
      </c>
      <c r="E39" s="354" t="n">
        <v>0.1071</v>
      </c>
      <c r="F39" s="334"/>
      <c r="G39" s="353" t="s">
        <v>597</v>
      </c>
      <c r="H39" s="354" t="n">
        <v>0.5029</v>
      </c>
      <c r="I39" s="334"/>
      <c r="J39" s="350" t="s">
        <v>119</v>
      </c>
      <c r="K39" s="351" t="n">
        <f aca="false">0.0072+0.0022</f>
        <v>0.0094</v>
      </c>
    </row>
    <row r="40" customFormat="false" ht="12.75" hidden="false" customHeight="false" outlineLevel="0" collapsed="false">
      <c r="A40" s="376" t="s">
        <v>119</v>
      </c>
      <c r="B40" s="354" t="n">
        <f aca="false">0.0022+0.0072</f>
        <v>0.0094</v>
      </c>
      <c r="C40" s="334"/>
      <c r="D40" s="353" t="s">
        <v>119</v>
      </c>
      <c r="E40" s="354" t="n">
        <f aca="false">0.0022+0.0072</f>
        <v>0.0094</v>
      </c>
      <c r="F40" s="334"/>
      <c r="G40" s="353" t="s">
        <v>119</v>
      </c>
      <c r="H40" s="354" t="n">
        <f aca="false">0.0022+0.0072</f>
        <v>0.0094</v>
      </c>
      <c r="I40" s="334"/>
      <c r="J40" s="350" t="s">
        <v>611</v>
      </c>
      <c r="K40" s="363" t="n">
        <v>0</v>
      </c>
    </row>
    <row r="41" customFormat="false" ht="12.75" hidden="false" customHeight="false" outlineLevel="0" collapsed="false">
      <c r="A41" s="376" t="s">
        <v>836</v>
      </c>
      <c r="B41" s="439" t="n">
        <f aca="false">(B3)/(1-0.0788)-B3</f>
        <v>0.259188015631785</v>
      </c>
      <c r="C41" s="359"/>
      <c r="D41" s="353" t="s">
        <v>823</v>
      </c>
      <c r="E41" s="364" t="n">
        <f aca="false">(E5)/(1-0.1089)-E5</f>
        <v>0.336256705195825</v>
      </c>
      <c r="F41" s="359"/>
      <c r="G41" s="353" t="s">
        <v>837</v>
      </c>
      <c r="H41" s="364" t="n">
        <f aca="false">(H3)/(1-0.0924)-H3</f>
        <v>0.254517408550022</v>
      </c>
      <c r="I41" s="359"/>
      <c r="J41" s="370"/>
      <c r="K41" s="371" t="n">
        <f aca="false">SUM(K38:K40)</f>
        <v>0.0266</v>
      </c>
    </row>
    <row r="42" customFormat="false" ht="12.75" hidden="false" customHeight="false" outlineLevel="0" collapsed="false">
      <c r="A42" s="376"/>
      <c r="B42" s="372" t="n">
        <f aca="false">SUM(B39:B41)</f>
        <v>0.391688015631785</v>
      </c>
      <c r="C42" s="361"/>
      <c r="D42" s="353"/>
      <c r="E42" s="372" t="n">
        <f aca="false">SUM(E39:E41)</f>
        <v>0.452756705195825</v>
      </c>
      <c r="F42" s="361"/>
      <c r="G42" s="353"/>
      <c r="H42" s="372" t="n">
        <f aca="false">SUM(H39:H41)</f>
        <v>0.766817408550022</v>
      </c>
      <c r="I42" s="361"/>
    </row>
    <row r="43" customFormat="false" ht="12.75" hidden="false" customHeight="false" outlineLevel="0" collapsed="false">
      <c r="A43" s="440" t="s">
        <v>578</v>
      </c>
      <c r="B43" s="444" t="s">
        <v>838</v>
      </c>
      <c r="C43" s="333"/>
      <c r="D43" s="339" t="s">
        <v>580</v>
      </c>
      <c r="E43" s="340" t="s">
        <v>696</v>
      </c>
      <c r="F43" s="333"/>
      <c r="G43" s="339" t="s">
        <v>580</v>
      </c>
      <c r="H43" s="340" t="s">
        <v>697</v>
      </c>
      <c r="I43" s="333"/>
    </row>
    <row r="44" customFormat="false" ht="12.75" hidden="false" customHeight="false" outlineLevel="0" collapsed="false">
      <c r="A44" s="376" t="s">
        <v>597</v>
      </c>
      <c r="B44" s="354" t="n">
        <v>0.1608</v>
      </c>
      <c r="C44" s="334"/>
      <c r="D44" s="353" t="s">
        <v>597</v>
      </c>
      <c r="E44" s="354" t="n">
        <v>0.0147</v>
      </c>
      <c r="F44" s="334"/>
      <c r="G44" s="353" t="s">
        <v>597</v>
      </c>
      <c r="H44" s="354" t="n">
        <v>0.3138</v>
      </c>
      <c r="I44" s="334"/>
    </row>
    <row r="45" customFormat="false" ht="12.75" hidden="false" customHeight="false" outlineLevel="0" collapsed="false">
      <c r="A45" s="376" t="s">
        <v>119</v>
      </c>
      <c r="B45" s="354" t="n">
        <f aca="false">0.0022+0.0072</f>
        <v>0.0094</v>
      </c>
      <c r="C45" s="334"/>
      <c r="D45" s="353" t="s">
        <v>119</v>
      </c>
      <c r="E45" s="354" t="n">
        <f aca="false">0.0022</f>
        <v>0.0022</v>
      </c>
      <c r="F45" s="334"/>
      <c r="G45" s="353" t="s">
        <v>119</v>
      </c>
      <c r="H45" s="354" t="n">
        <f aca="false">0.0022+0.0072</f>
        <v>0.0094</v>
      </c>
      <c r="I45" s="334"/>
    </row>
    <row r="46" customFormat="false" ht="12.75" hidden="false" customHeight="false" outlineLevel="0" collapsed="false">
      <c r="A46" s="376" t="s">
        <v>839</v>
      </c>
      <c r="B46" s="439" t="n">
        <f aca="false">(B3)/(1-0.0871)-B3</f>
        <v>0.289093000328623</v>
      </c>
      <c r="C46" s="359"/>
      <c r="D46" s="353" t="s">
        <v>840</v>
      </c>
      <c r="E46" s="364" t="n">
        <f aca="false">(E4)/(1-0.0175)-E4</f>
        <v>0.0385623409669211</v>
      </c>
      <c r="F46" s="359"/>
      <c r="G46" s="353" t="s">
        <v>841</v>
      </c>
      <c r="H46" s="364" t="n">
        <f aca="false">(H6)/(1-0.0498)-(H6)</f>
        <v>0.136266049252789</v>
      </c>
      <c r="I46" s="359"/>
    </row>
    <row r="47" customFormat="false" ht="12.75" hidden="false" customHeight="false" outlineLevel="0" collapsed="false">
      <c r="A47" s="376"/>
      <c r="B47" s="372" t="n">
        <f aca="false">SUM(B44:B46)</f>
        <v>0.459293000328623</v>
      </c>
      <c r="C47" s="361"/>
      <c r="D47" s="353"/>
      <c r="E47" s="372" t="n">
        <f aca="false">SUM(E44:E46)</f>
        <v>0.0554623409669211</v>
      </c>
      <c r="F47" s="361"/>
      <c r="G47" s="353"/>
      <c r="H47" s="372" t="n">
        <f aca="false">SUM(H44:H46)</f>
        <v>0.459466049252789</v>
      </c>
      <c r="I47" s="361"/>
    </row>
    <row r="48" customFormat="false" ht="12.75" hidden="false" customHeight="false" outlineLevel="0" collapsed="false">
      <c r="A48" s="440" t="s">
        <v>578</v>
      </c>
      <c r="B48" s="441" t="s">
        <v>842</v>
      </c>
      <c r="C48" s="403"/>
      <c r="D48" s="339" t="s">
        <v>580</v>
      </c>
      <c r="E48" s="340" t="s">
        <v>710</v>
      </c>
      <c r="F48" s="403"/>
      <c r="G48" s="339" t="s">
        <v>580</v>
      </c>
      <c r="H48" s="340" t="s">
        <v>711</v>
      </c>
      <c r="I48" s="403"/>
    </row>
    <row r="49" customFormat="false" ht="12.75" hidden="false" customHeight="false" outlineLevel="0" collapsed="false">
      <c r="A49" s="358" t="s">
        <v>597</v>
      </c>
      <c r="B49" s="354" t="n">
        <v>0.0286</v>
      </c>
      <c r="C49" s="334"/>
      <c r="D49" s="353" t="s">
        <v>597</v>
      </c>
      <c r="E49" s="354" t="n">
        <v>0.0195</v>
      </c>
      <c r="F49" s="334"/>
      <c r="G49" s="353" t="s">
        <v>597</v>
      </c>
      <c r="H49" s="354" t="n">
        <v>0.4184</v>
      </c>
      <c r="I49" s="334"/>
    </row>
    <row r="50" customFormat="false" ht="12.75" hidden="false" customHeight="false" outlineLevel="0" collapsed="false">
      <c r="A50" s="358" t="s">
        <v>119</v>
      </c>
      <c r="B50" s="354" t="n">
        <f aca="false">0.0022+0.0072+0.0225</f>
        <v>0.0319</v>
      </c>
      <c r="C50" s="334"/>
      <c r="D50" s="353" t="s">
        <v>119</v>
      </c>
      <c r="E50" s="354" t="n">
        <f aca="false">0.0022+0.0072</f>
        <v>0.0094</v>
      </c>
      <c r="F50" s="334"/>
      <c r="G50" s="353" t="s">
        <v>119</v>
      </c>
      <c r="H50" s="354" t="n">
        <f aca="false">0.0022+0.0072</f>
        <v>0.0094</v>
      </c>
      <c r="I50" s="334"/>
    </row>
    <row r="51" customFormat="false" ht="12.75" hidden="false" customHeight="false" outlineLevel="0" collapsed="false">
      <c r="A51" s="358" t="s">
        <v>768</v>
      </c>
      <c r="B51" s="445" t="n">
        <f aca="false">(B4)/(1-0.0101)-B4</f>
        <v>0.0315784422668957</v>
      </c>
      <c r="C51" s="359"/>
      <c r="D51" s="353" t="s">
        <v>843</v>
      </c>
      <c r="E51" s="364" t="n">
        <f aca="false">(E4)/(1-0.0314)-E4</f>
        <v>0.0701848028081766</v>
      </c>
      <c r="F51" s="359"/>
      <c r="G51" s="353" t="s">
        <v>844</v>
      </c>
      <c r="H51" s="364" t="n">
        <f aca="false">(H6)/(1-0.0661)-(H6)</f>
        <v>0.184023985437413</v>
      </c>
      <c r="I51" s="359"/>
    </row>
    <row r="52" customFormat="false" ht="12.75" hidden="false" customHeight="false" outlineLevel="0" collapsed="false">
      <c r="A52" s="376"/>
      <c r="B52" s="372" t="n">
        <f aca="false">SUM(B49:B51)</f>
        <v>0.0920784422668957</v>
      </c>
      <c r="C52" s="361"/>
      <c r="D52" s="353"/>
      <c r="E52" s="372" t="n">
        <f aca="false">SUM(E49:E51)</f>
        <v>0.0990848028081766</v>
      </c>
      <c r="F52" s="361"/>
      <c r="G52" s="353"/>
      <c r="H52" s="372" t="n">
        <f aca="false">SUM(H49:H51)</f>
        <v>0.611823985437413</v>
      </c>
      <c r="I52" s="361"/>
    </row>
    <row r="53" customFormat="false" ht="12.75" hidden="false" customHeight="false" outlineLevel="0" collapsed="false">
      <c r="A53" s="440" t="s">
        <v>578</v>
      </c>
      <c r="B53" s="441" t="s">
        <v>576</v>
      </c>
      <c r="C53" s="403"/>
      <c r="D53" s="339" t="s">
        <v>580</v>
      </c>
      <c r="E53" s="340" t="s">
        <v>721</v>
      </c>
      <c r="F53" s="403"/>
      <c r="G53" s="339" t="s">
        <v>580</v>
      </c>
      <c r="H53" s="372" t="s">
        <v>722</v>
      </c>
      <c r="I53" s="403"/>
    </row>
    <row r="54" customFormat="false" ht="12.75" hidden="false" customHeight="false" outlineLevel="0" collapsed="false">
      <c r="A54" s="358" t="s">
        <v>597</v>
      </c>
      <c r="B54" s="354" t="n">
        <v>0.0572</v>
      </c>
      <c r="C54" s="334"/>
      <c r="D54" s="353" t="s">
        <v>597</v>
      </c>
      <c r="E54" s="354" t="n">
        <v>0.0667</v>
      </c>
      <c r="F54" s="334"/>
      <c r="G54" s="353" t="s">
        <v>597</v>
      </c>
      <c r="H54" s="406" t="n">
        <v>0.3439</v>
      </c>
      <c r="I54" s="334"/>
    </row>
    <row r="55" customFormat="false" ht="12.75" hidden="false" customHeight="false" outlineLevel="0" collapsed="false">
      <c r="A55" s="358" t="s">
        <v>119</v>
      </c>
      <c r="B55" s="354" t="n">
        <f aca="false">0.0022+0.0072+0.0225</f>
        <v>0.0319</v>
      </c>
      <c r="C55" s="334"/>
      <c r="D55" s="353" t="s">
        <v>119</v>
      </c>
      <c r="E55" s="354" t="n">
        <f aca="false">0.0022+0.0072</f>
        <v>0.0094</v>
      </c>
      <c r="F55" s="334"/>
      <c r="G55" s="353" t="s">
        <v>119</v>
      </c>
      <c r="H55" s="354" t="n">
        <f aca="false">0.0022+0.0072</f>
        <v>0.0094</v>
      </c>
      <c r="I55" s="334"/>
    </row>
    <row r="56" customFormat="false" ht="12.75" hidden="false" customHeight="false" outlineLevel="0" collapsed="false">
      <c r="A56" s="358" t="s">
        <v>702</v>
      </c>
      <c r="B56" s="445" t="n">
        <f aca="false">(B4)/(1-0.0191)-B4</f>
        <v>0.0602655724334795</v>
      </c>
      <c r="C56" s="359"/>
      <c r="D56" s="353" t="s">
        <v>845</v>
      </c>
      <c r="E56" s="364" t="n">
        <f aca="false">(E4)/(1-0.0563)-E4</f>
        <v>0.129161280067818</v>
      </c>
      <c r="F56" s="359"/>
      <c r="G56" s="353" t="s">
        <v>846</v>
      </c>
      <c r="H56" s="364" t="n">
        <f aca="false">(H6)/(1-0.0545)-H6</f>
        <v>0.149867794817557</v>
      </c>
      <c r="I56" s="359"/>
    </row>
    <row r="57" customFormat="false" ht="12.75" hidden="false" customHeight="false" outlineLevel="0" collapsed="false">
      <c r="A57" s="376"/>
      <c r="B57" s="372" t="n">
        <f aca="false">SUM(B54:B56)</f>
        <v>0.14936557243348</v>
      </c>
      <c r="C57" s="361"/>
      <c r="D57" s="353"/>
      <c r="E57" s="372" t="n">
        <f aca="false">SUM(E54:E56)</f>
        <v>0.205261280067818</v>
      </c>
      <c r="F57" s="361"/>
      <c r="G57" s="353"/>
      <c r="H57" s="372" t="n">
        <f aca="false">SUM(H54:H56)</f>
        <v>0.503167794817557</v>
      </c>
      <c r="I57" s="361"/>
    </row>
    <row r="58" customFormat="false" ht="12.75" hidden="false" customHeight="false" outlineLevel="0" collapsed="false">
      <c r="A58" s="440" t="s">
        <v>578</v>
      </c>
      <c r="B58" s="441" t="s">
        <v>614</v>
      </c>
      <c r="C58" s="333"/>
      <c r="D58" s="339" t="s">
        <v>580</v>
      </c>
      <c r="E58" s="340" t="s">
        <v>642</v>
      </c>
      <c r="F58" s="333"/>
      <c r="G58" s="339" t="s">
        <v>580</v>
      </c>
      <c r="H58" s="372" t="s">
        <v>730</v>
      </c>
      <c r="I58" s="333"/>
    </row>
    <row r="59" customFormat="false" ht="12.75" hidden="false" customHeight="false" outlineLevel="0" collapsed="false">
      <c r="A59" s="358" t="s">
        <v>597</v>
      </c>
      <c r="B59" s="354" t="n">
        <v>0.0776</v>
      </c>
      <c r="C59" s="334"/>
      <c r="D59" s="353" t="s">
        <v>597</v>
      </c>
      <c r="E59" s="354" t="n">
        <v>0.0881</v>
      </c>
      <c r="F59" s="334"/>
      <c r="G59" s="353" t="s">
        <v>597</v>
      </c>
      <c r="H59" s="406" t="n">
        <v>0.1908</v>
      </c>
      <c r="I59" s="334"/>
    </row>
    <row r="60" customFormat="false" ht="12.75" hidden="false" customHeight="false" outlineLevel="0" collapsed="false">
      <c r="A60" s="358" t="s">
        <v>119</v>
      </c>
      <c r="B60" s="354" t="n">
        <f aca="false">0.0022+0.0072</f>
        <v>0.0094</v>
      </c>
      <c r="C60" s="334"/>
      <c r="D60" s="353" t="s">
        <v>119</v>
      </c>
      <c r="E60" s="354" t="n">
        <f aca="false">0.0022+0.0072</f>
        <v>0.0094</v>
      </c>
      <c r="F60" s="334"/>
      <c r="G60" s="353" t="s">
        <v>119</v>
      </c>
      <c r="H60" s="354" t="n">
        <f aca="false">0.0022+0.0072</f>
        <v>0.0094</v>
      </c>
      <c r="I60" s="334"/>
    </row>
    <row r="61" customFormat="false" ht="12.75" hidden="false" customHeight="false" outlineLevel="0" collapsed="false">
      <c r="A61" s="358" t="s">
        <v>826</v>
      </c>
      <c r="B61" s="439" t="n">
        <f aca="false">(B4)/(1-0.0428)-B4</f>
        <v>0.138389051399916</v>
      </c>
      <c r="C61" s="359"/>
      <c r="D61" s="353" t="s">
        <v>827</v>
      </c>
      <c r="E61" s="364" t="n">
        <f aca="false">(E4)/(1-0.0812)-E4</f>
        <v>0.191334349151067</v>
      </c>
      <c r="F61" s="359"/>
      <c r="G61" s="353" t="s">
        <v>847</v>
      </c>
      <c r="H61" s="364" t="n">
        <f aca="false">(H7)/(1-0.0299)-H7</f>
        <v>0.0944680960725699</v>
      </c>
      <c r="I61" s="359"/>
    </row>
    <row r="62" customFormat="false" ht="12.75" hidden="false" customHeight="false" outlineLevel="0" collapsed="false">
      <c r="A62" s="376"/>
      <c r="B62" s="372" t="n">
        <f aca="false">SUM(B59:B61)</f>
        <v>0.225389051399916</v>
      </c>
      <c r="C62" s="361"/>
      <c r="D62" s="353"/>
      <c r="E62" s="372" t="n">
        <f aca="false">SUM(E59:E61)</f>
        <v>0.288834349151067</v>
      </c>
      <c r="F62" s="361"/>
      <c r="G62" s="353"/>
      <c r="H62" s="372" t="n">
        <f aca="false">SUM(H59:H61)</f>
        <v>0.29466809607257</v>
      </c>
      <c r="I62" s="361"/>
    </row>
    <row r="63" customFormat="false" ht="12.75" hidden="false" customHeight="false" outlineLevel="0" collapsed="false">
      <c r="A63" s="440" t="s">
        <v>578</v>
      </c>
      <c r="B63" s="441" t="s">
        <v>638</v>
      </c>
      <c r="C63" s="333"/>
      <c r="D63" s="339" t="s">
        <v>580</v>
      </c>
      <c r="E63" s="340" t="s">
        <v>659</v>
      </c>
      <c r="F63" s="333"/>
      <c r="G63" s="407"/>
      <c r="H63" s="408"/>
      <c r="I63" s="333"/>
    </row>
    <row r="64" customFormat="false" ht="12.75" hidden="false" customHeight="false" outlineLevel="0" collapsed="false">
      <c r="A64" s="358" t="s">
        <v>597</v>
      </c>
      <c r="B64" s="354" t="n">
        <v>0.0874</v>
      </c>
      <c r="C64" s="334"/>
      <c r="D64" s="353" t="s">
        <v>597</v>
      </c>
      <c r="E64" s="354" t="n">
        <v>0.103</v>
      </c>
      <c r="F64" s="334"/>
      <c r="G64" s="409"/>
      <c r="H64" s="410"/>
      <c r="I64" s="334"/>
    </row>
    <row r="65" customFormat="false" ht="12.75" hidden="false" customHeight="false" outlineLevel="0" collapsed="false">
      <c r="A65" s="358" t="s">
        <v>119</v>
      </c>
      <c r="B65" s="354" t="n">
        <f aca="false">0.0022</f>
        <v>0.0022</v>
      </c>
      <c r="C65" s="334"/>
      <c r="D65" s="353" t="s">
        <v>119</v>
      </c>
      <c r="E65" s="354" t="n">
        <f aca="false">0.0022+0.0072</f>
        <v>0.0094</v>
      </c>
      <c r="F65" s="334"/>
      <c r="G65" s="409"/>
      <c r="H65" s="409"/>
      <c r="I65" s="334"/>
    </row>
    <row r="66" customFormat="false" ht="12.75" hidden="false" customHeight="false" outlineLevel="0" collapsed="false">
      <c r="A66" s="358" t="s">
        <v>848</v>
      </c>
      <c r="B66" s="364" t="n">
        <f aca="false">(B4)/(1-0.0499)-B4</f>
        <v>0.162551836648774</v>
      </c>
      <c r="C66" s="359"/>
      <c r="D66" s="353" t="s">
        <v>831</v>
      </c>
      <c r="E66" s="364" t="n">
        <f aca="false">(E4)/(1-0.0975)-E4</f>
        <v>0.233891966759003</v>
      </c>
      <c r="F66" s="359"/>
      <c r="G66" s="409"/>
      <c r="H66" s="412"/>
      <c r="I66" s="359"/>
    </row>
    <row r="67" customFormat="false" ht="12.75" hidden="false" customHeight="false" outlineLevel="0" collapsed="false">
      <c r="A67" s="376"/>
      <c r="B67" s="372" t="n">
        <f aca="false">SUM(B64:B66)</f>
        <v>0.252151836648774</v>
      </c>
      <c r="C67" s="361"/>
      <c r="D67" s="353"/>
      <c r="E67" s="372" t="n">
        <f aca="false">SUM(E64:E66)</f>
        <v>0.346291966759003</v>
      </c>
      <c r="F67" s="361"/>
      <c r="G67" s="409"/>
      <c r="H67" s="408"/>
      <c r="I67" s="361"/>
    </row>
    <row r="68" customFormat="false" ht="12.75" hidden="false" customHeight="false" outlineLevel="0" collapsed="false">
      <c r="A68" s="440" t="s">
        <v>578</v>
      </c>
      <c r="B68" s="441" t="s">
        <v>655</v>
      </c>
      <c r="C68" s="327"/>
      <c r="D68" s="339" t="s">
        <v>580</v>
      </c>
      <c r="E68" s="340" t="s">
        <v>744</v>
      </c>
      <c r="F68" s="327"/>
      <c r="G68" s="409"/>
      <c r="H68" s="409"/>
      <c r="I68" s="327"/>
    </row>
    <row r="69" customFormat="false" ht="12.75" hidden="false" customHeight="false" outlineLevel="0" collapsed="false">
      <c r="A69" s="358" t="s">
        <v>597</v>
      </c>
      <c r="B69" s="354" t="n">
        <v>0.1015</v>
      </c>
      <c r="C69" s="334"/>
      <c r="D69" s="353" t="s">
        <v>597</v>
      </c>
      <c r="E69" s="354" t="n">
        <v>0.0236</v>
      </c>
      <c r="F69" s="334"/>
      <c r="G69" s="409"/>
      <c r="H69" s="409"/>
      <c r="I69" s="334"/>
    </row>
    <row r="70" customFormat="false" ht="12.75" hidden="false" customHeight="false" outlineLevel="0" collapsed="false">
      <c r="A70" s="358" t="s">
        <v>119</v>
      </c>
      <c r="B70" s="354" t="n">
        <f aca="false">0.0022+0.0072</f>
        <v>0.0094</v>
      </c>
      <c r="C70" s="334"/>
      <c r="D70" s="353" t="s">
        <v>119</v>
      </c>
      <c r="E70" s="354" t="n">
        <f aca="false">0.0022+0.0072</f>
        <v>0.0094</v>
      </c>
      <c r="F70" s="334"/>
      <c r="G70" s="412"/>
      <c r="H70" s="412"/>
      <c r="I70" s="334"/>
    </row>
    <row r="71" customFormat="false" ht="12.75" hidden="false" customHeight="false" outlineLevel="0" collapsed="false">
      <c r="A71" s="358" t="s">
        <v>849</v>
      </c>
      <c r="B71" s="445" t="n">
        <f aca="false">(B4)/(1-0.059)-B4</f>
        <v>0.194054197662061</v>
      </c>
      <c r="C71" s="359"/>
      <c r="D71" s="353" t="s">
        <v>636</v>
      </c>
      <c r="E71" s="364" t="n">
        <f aca="false">(E3)/(1-0.0268)-E3</f>
        <v>0.0688450472667488</v>
      </c>
      <c r="F71" s="359"/>
      <c r="G71" s="408"/>
      <c r="H71" s="408"/>
      <c r="I71" s="359"/>
    </row>
    <row r="72" customFormat="false" ht="12.75" hidden="false" customHeight="false" outlineLevel="0" collapsed="false">
      <c r="A72" s="376"/>
      <c r="B72" s="372" t="n">
        <f aca="false">SUM(B69:B71)</f>
        <v>0.304954197662061</v>
      </c>
      <c r="C72" s="361"/>
      <c r="D72" s="353"/>
      <c r="E72" s="372" t="n">
        <f aca="false">SUM(E69:E71)</f>
        <v>0.101845047266749</v>
      </c>
      <c r="F72" s="361"/>
      <c r="G72" s="413"/>
      <c r="H72" s="413"/>
      <c r="I72" s="361"/>
    </row>
    <row r="73" customFormat="false" ht="12.75" hidden="false" customHeight="false" outlineLevel="0" collapsed="false">
      <c r="A73" s="440" t="s">
        <v>578</v>
      </c>
      <c r="B73" s="441" t="s">
        <v>671</v>
      </c>
      <c r="C73" s="327"/>
      <c r="D73" s="339" t="s">
        <v>580</v>
      </c>
      <c r="E73" s="340" t="s">
        <v>750</v>
      </c>
      <c r="F73" s="327"/>
      <c r="G73" s="409"/>
      <c r="H73" s="409"/>
      <c r="I73" s="327"/>
    </row>
    <row r="74" customFormat="false" ht="12.75" hidden="false" customHeight="false" outlineLevel="0" collapsed="false">
      <c r="A74" s="358" t="s">
        <v>597</v>
      </c>
      <c r="B74" s="354" t="n">
        <v>0.1126</v>
      </c>
      <c r="C74" s="334"/>
      <c r="D74" s="353" t="s">
        <v>597</v>
      </c>
      <c r="E74" s="354" t="n">
        <v>0.0195</v>
      </c>
      <c r="F74" s="334"/>
      <c r="G74" s="409"/>
      <c r="H74" s="409"/>
      <c r="I74" s="334"/>
    </row>
    <row r="75" customFormat="false" ht="12.75" hidden="false" customHeight="false" outlineLevel="0" collapsed="false">
      <c r="A75" s="358" t="s">
        <v>119</v>
      </c>
      <c r="B75" s="354" t="n">
        <f aca="false">0.0022+0.0072</f>
        <v>0.0094</v>
      </c>
      <c r="C75" s="334"/>
      <c r="D75" s="353" t="s">
        <v>119</v>
      </c>
      <c r="E75" s="354" t="n">
        <f aca="false">0.0022</f>
        <v>0.0022</v>
      </c>
      <c r="F75" s="334"/>
      <c r="G75" s="412"/>
      <c r="H75" s="412"/>
      <c r="I75" s="334"/>
    </row>
    <row r="76" customFormat="false" ht="12.75" hidden="false" customHeight="false" outlineLevel="0" collapsed="false">
      <c r="A76" s="358" t="s">
        <v>850</v>
      </c>
      <c r="B76" s="445" t="n">
        <f aca="false">(B4)/(1-0.0699)-B4</f>
        <v>0.232599182883561</v>
      </c>
      <c r="C76" s="359"/>
      <c r="D76" s="353" t="s">
        <v>851</v>
      </c>
      <c r="E76" s="364" t="n">
        <f aca="false">(E3)/(1-0.0263)-E3</f>
        <v>0.0675259320119133</v>
      </c>
      <c r="F76" s="359"/>
      <c r="G76" s="408"/>
      <c r="H76" s="408"/>
      <c r="I76" s="359"/>
    </row>
    <row r="77" customFormat="false" ht="12.75" hidden="false" customHeight="false" outlineLevel="0" collapsed="false">
      <c r="A77" s="376"/>
      <c r="B77" s="372" t="n">
        <f aca="false">SUM(B74:B76)</f>
        <v>0.354599182883561</v>
      </c>
      <c r="C77" s="361"/>
      <c r="D77" s="353"/>
      <c r="E77" s="372" t="n">
        <f aca="false">SUM(E74:E76)</f>
        <v>0.0892259320119133</v>
      </c>
      <c r="F77" s="361"/>
      <c r="G77" s="408"/>
      <c r="H77" s="408"/>
      <c r="I77" s="361"/>
    </row>
    <row r="78" customFormat="false" ht="12.75" hidden="false" customHeight="false" outlineLevel="0" collapsed="false">
      <c r="A78" s="440" t="s">
        <v>578</v>
      </c>
      <c r="B78" s="441" t="s">
        <v>684</v>
      </c>
      <c r="C78" s="327"/>
      <c r="D78" s="339" t="s">
        <v>580</v>
      </c>
      <c r="E78" s="340" t="s">
        <v>757</v>
      </c>
      <c r="F78" s="327"/>
      <c r="G78" s="410"/>
      <c r="H78" s="410"/>
      <c r="I78" s="327"/>
    </row>
    <row r="79" customFormat="false" ht="12.75" hidden="false" customHeight="false" outlineLevel="0" collapsed="false">
      <c r="A79" s="358" t="s">
        <v>597</v>
      </c>
      <c r="B79" s="354" t="n">
        <v>0.1504</v>
      </c>
      <c r="C79" s="334"/>
      <c r="D79" s="353" t="s">
        <v>597</v>
      </c>
      <c r="E79" s="354" t="n">
        <v>0.0177</v>
      </c>
      <c r="F79" s="334"/>
      <c r="G79" s="410"/>
      <c r="H79" s="410"/>
      <c r="I79" s="334"/>
    </row>
    <row r="80" customFormat="false" ht="12.75" hidden="false" customHeight="false" outlineLevel="0" collapsed="false">
      <c r="A80" s="358" t="s">
        <v>119</v>
      </c>
      <c r="B80" s="354" t="n">
        <f aca="false">0.0022+0.0072</f>
        <v>0.0094</v>
      </c>
      <c r="C80" s="334"/>
      <c r="D80" s="353" t="s">
        <v>119</v>
      </c>
      <c r="E80" s="354" t="n">
        <f aca="false">0.0022+0.0072</f>
        <v>0.0094</v>
      </c>
      <c r="F80" s="334"/>
      <c r="G80" s="410"/>
      <c r="H80" s="410"/>
      <c r="I80" s="334"/>
    </row>
    <row r="81" customFormat="false" ht="12.75" hidden="false" customHeight="false" outlineLevel="0" collapsed="false">
      <c r="A81" s="358" t="s">
        <v>852</v>
      </c>
      <c r="B81" s="439" t="n">
        <f aca="false">(B4)/(1-0.0782)-B4</f>
        <v>0.262561293122153</v>
      </c>
      <c r="C81" s="359"/>
      <c r="D81" s="353" t="s">
        <v>851</v>
      </c>
      <c r="E81" s="364" t="n">
        <f aca="false">(E3)/(1-0.0263)-E3</f>
        <v>0.0675259320119133</v>
      </c>
      <c r="F81" s="359"/>
      <c r="G81" s="412"/>
      <c r="H81" s="412"/>
      <c r="I81" s="359"/>
    </row>
    <row r="82" customFormat="false" ht="12.75" hidden="false" customHeight="false" outlineLevel="0" collapsed="false">
      <c r="A82" s="376"/>
      <c r="B82" s="372" t="n">
        <f aca="false">SUM(B79:B81)</f>
        <v>0.422361293122153</v>
      </c>
      <c r="C82" s="361"/>
      <c r="D82" s="353"/>
      <c r="E82" s="372" t="n">
        <f aca="false">SUM(E79:E81)</f>
        <v>0.0946259320119133</v>
      </c>
      <c r="F82" s="361"/>
      <c r="G82" s="408"/>
      <c r="H82" s="408"/>
      <c r="I82" s="361"/>
    </row>
    <row r="83" customFormat="false" ht="12.75" hidden="false" customHeight="false" outlineLevel="0" collapsed="false">
      <c r="A83" s="440" t="s">
        <v>578</v>
      </c>
      <c r="B83" s="441" t="s">
        <v>727</v>
      </c>
      <c r="C83" s="327"/>
      <c r="D83" s="339" t="s">
        <v>580</v>
      </c>
      <c r="E83" s="340" t="s">
        <v>763</v>
      </c>
      <c r="F83" s="327"/>
      <c r="G83" s="413"/>
      <c r="H83" s="413"/>
      <c r="I83" s="327"/>
    </row>
    <row r="84" customFormat="false" ht="12.75" hidden="false" customHeight="false" outlineLevel="0" collapsed="false">
      <c r="A84" s="358" t="s">
        <v>597</v>
      </c>
      <c r="B84" s="354" t="n">
        <v>0.0783</v>
      </c>
      <c r="C84" s="334"/>
      <c r="D84" s="353" t="s">
        <v>597</v>
      </c>
      <c r="E84" s="354" t="n">
        <v>0.0177</v>
      </c>
      <c r="F84" s="334"/>
      <c r="G84" s="409"/>
      <c r="H84" s="409"/>
      <c r="I84" s="334"/>
    </row>
    <row r="85" customFormat="false" ht="12.75" hidden="false" customHeight="false" outlineLevel="0" collapsed="false">
      <c r="A85" s="358" t="s">
        <v>119</v>
      </c>
      <c r="B85" s="354" t="n">
        <f aca="false">0.0022+0.0072</f>
        <v>0.0094</v>
      </c>
      <c r="C85" s="334"/>
      <c r="D85" s="353" t="s">
        <v>119</v>
      </c>
      <c r="E85" s="354" t="n">
        <f aca="false">0.0022+0.0072</f>
        <v>0.0094</v>
      </c>
      <c r="F85" s="334"/>
      <c r="G85" s="409"/>
      <c r="H85" s="409"/>
      <c r="I85" s="334"/>
    </row>
    <row r="86" customFormat="false" ht="12.75" hidden="false" customHeight="false" outlineLevel="0" collapsed="false">
      <c r="A86" s="358" t="s">
        <v>853</v>
      </c>
      <c r="B86" s="439" t="n">
        <f aca="false">(B4)/(1-0.0415)-B4</f>
        <v>0.134003651538863</v>
      </c>
      <c r="C86" s="359"/>
      <c r="D86" s="353" t="s">
        <v>851</v>
      </c>
      <c r="E86" s="364" t="n">
        <f aca="false">(E4)/(1-0.0263)-E4</f>
        <v>0.0584774571223168</v>
      </c>
      <c r="F86" s="359"/>
      <c r="G86" s="412"/>
      <c r="H86" s="412"/>
      <c r="I86" s="359"/>
    </row>
    <row r="87" customFormat="false" ht="12.75" hidden="false" customHeight="false" outlineLevel="0" collapsed="false">
      <c r="A87" s="376"/>
      <c r="B87" s="372" t="n">
        <f aca="false">SUM(B84:B86)</f>
        <v>0.221703651538863</v>
      </c>
      <c r="C87" s="361"/>
      <c r="D87" s="353"/>
      <c r="E87" s="372" t="n">
        <f aca="false">SUM(E84:E86)</f>
        <v>0.0855774571223168</v>
      </c>
      <c r="F87" s="361"/>
      <c r="G87" s="408"/>
      <c r="H87" s="408"/>
      <c r="I87" s="361"/>
    </row>
    <row r="88" customFormat="false" ht="12.75" hidden="false" customHeight="false" outlineLevel="0" collapsed="false">
      <c r="A88" s="440" t="s">
        <v>578</v>
      </c>
      <c r="B88" s="441" t="s">
        <v>799</v>
      </c>
      <c r="C88" s="327"/>
      <c r="D88" s="339" t="s">
        <v>580</v>
      </c>
      <c r="E88" s="340" t="s">
        <v>767</v>
      </c>
      <c r="F88" s="327"/>
      <c r="I88" s="327"/>
    </row>
    <row r="89" customFormat="false" ht="12.75" hidden="false" customHeight="false" outlineLevel="0" collapsed="false">
      <c r="A89" s="358" t="s">
        <v>597</v>
      </c>
      <c r="B89" s="354" t="n">
        <f aca="false">0.0511-0.0022-0.0088</f>
        <v>0.0401</v>
      </c>
      <c r="C89" s="334"/>
      <c r="D89" s="353" t="s">
        <v>597</v>
      </c>
      <c r="E89" s="354" t="n">
        <v>0.0177</v>
      </c>
      <c r="F89" s="334"/>
      <c r="G89" s="413"/>
      <c r="H89" s="413"/>
      <c r="I89" s="334"/>
    </row>
    <row r="90" customFormat="false" ht="12.75" hidden="false" customHeight="false" outlineLevel="0" collapsed="false">
      <c r="A90" s="358" t="s">
        <v>119</v>
      </c>
      <c r="B90" s="354" t="n">
        <f aca="false">0.0022+0.0072</f>
        <v>0.0094</v>
      </c>
      <c r="C90" s="334"/>
      <c r="D90" s="353" t="s">
        <v>119</v>
      </c>
      <c r="E90" s="354" t="n">
        <f aca="false">0.0022+0.0072</f>
        <v>0.0094</v>
      </c>
      <c r="F90" s="334"/>
      <c r="G90" s="409"/>
      <c r="H90" s="409"/>
      <c r="I90" s="334"/>
    </row>
    <row r="91" customFormat="false" ht="12.75" hidden="false" customHeight="false" outlineLevel="0" collapsed="false">
      <c r="A91" s="358" t="s">
        <v>854</v>
      </c>
      <c r="B91" s="364" t="n">
        <f aca="false">(B5)/(1-0.0109)-B5</f>
        <v>0.0366418966737441</v>
      </c>
      <c r="C91" s="359"/>
      <c r="D91" s="353" t="s">
        <v>851</v>
      </c>
      <c r="E91" s="364" t="n">
        <f aca="false">(E3)/(1-0.0263)-E3</f>
        <v>0.0675259320119133</v>
      </c>
      <c r="F91" s="359"/>
      <c r="G91" s="409"/>
      <c r="H91" s="409"/>
      <c r="I91" s="359"/>
    </row>
    <row r="92" customFormat="false" ht="12.75" hidden="false" customHeight="false" outlineLevel="0" collapsed="false">
      <c r="A92" s="376"/>
      <c r="B92" s="372" t="n">
        <f aca="false">SUM(B89:B91)</f>
        <v>0.0861418966737441</v>
      </c>
      <c r="C92" s="361"/>
      <c r="D92" s="353"/>
      <c r="E92" s="372" t="n">
        <f aca="false">SUM(E89:E91)</f>
        <v>0.0946259320119133</v>
      </c>
      <c r="F92" s="361"/>
      <c r="G92" s="412"/>
      <c r="H92" s="412"/>
      <c r="I92" s="361"/>
    </row>
    <row r="93" customFormat="false" ht="12.75" hidden="false" customHeight="false" outlineLevel="0" collapsed="false">
      <c r="A93" s="440" t="s">
        <v>578</v>
      </c>
      <c r="B93" s="441" t="s">
        <v>855</v>
      </c>
      <c r="C93" s="361"/>
      <c r="D93" s="339" t="s">
        <v>580</v>
      </c>
      <c r="E93" s="340" t="s">
        <v>771</v>
      </c>
      <c r="F93" s="361"/>
      <c r="G93" s="408"/>
      <c r="H93" s="408"/>
      <c r="I93" s="361"/>
    </row>
    <row r="94" customFormat="false" ht="12.75" hidden="false" customHeight="false" outlineLevel="0" collapsed="false">
      <c r="A94" s="358" t="s">
        <v>597</v>
      </c>
      <c r="B94" s="354" t="n">
        <f aca="false">0.0945-0.0022-0.0088</f>
        <v>0.0835</v>
      </c>
      <c r="C94" s="388"/>
      <c r="D94" s="353" t="s">
        <v>597</v>
      </c>
      <c r="E94" s="354" t="n">
        <v>0.0649</v>
      </c>
      <c r="F94" s="388"/>
      <c r="G94" s="413"/>
      <c r="H94" s="413"/>
      <c r="I94" s="388"/>
    </row>
    <row r="95" customFormat="false" ht="12.75" hidden="false" customHeight="false" outlineLevel="0" collapsed="false">
      <c r="A95" s="358" t="s">
        <v>119</v>
      </c>
      <c r="B95" s="354" t="n">
        <f aca="false">0.0022+0.0072</f>
        <v>0.0094</v>
      </c>
      <c r="C95" s="388" t="s">
        <v>1</v>
      </c>
      <c r="D95" s="353" t="s">
        <v>119</v>
      </c>
      <c r="E95" s="354" t="n">
        <f aca="false">0.0022+0.0072</f>
        <v>0.0094</v>
      </c>
      <c r="F95" s="388"/>
      <c r="G95" s="409"/>
      <c r="H95" s="409"/>
      <c r="I95" s="388"/>
    </row>
    <row r="96" customFormat="false" ht="12.75" hidden="false" customHeight="false" outlineLevel="0" collapsed="false">
      <c r="A96" s="358" t="s">
        <v>856</v>
      </c>
      <c r="B96" s="364" t="n">
        <f aca="false">(B5)/(1-0.0217)-B5</f>
        <v>0.0737529387713383</v>
      </c>
      <c r="C96" s="359"/>
      <c r="D96" s="353" t="s">
        <v>857</v>
      </c>
      <c r="E96" s="364" t="n">
        <f aca="false">(E3)/(1-0.0512)-E3</f>
        <v>0.134907251264755</v>
      </c>
      <c r="F96" s="359"/>
      <c r="G96" s="409"/>
      <c r="H96" s="409"/>
      <c r="I96" s="359"/>
    </row>
    <row r="97" customFormat="false" ht="12.75" hidden="false" customHeight="false" outlineLevel="0" collapsed="false">
      <c r="A97" s="376"/>
      <c r="B97" s="372" t="n">
        <f aca="false">SUM(B94:B96)</f>
        <v>0.166652938771338</v>
      </c>
      <c r="C97" s="361"/>
      <c r="D97" s="353"/>
      <c r="E97" s="372" t="n">
        <f aca="false">SUM(E94:E96)</f>
        <v>0.209207251264755</v>
      </c>
      <c r="F97" s="361"/>
      <c r="G97" s="412"/>
      <c r="H97" s="412"/>
      <c r="I97" s="361"/>
    </row>
    <row r="98" customFormat="false" ht="12.75" hidden="false" customHeight="false" outlineLevel="0" collapsed="false">
      <c r="A98" s="440" t="s">
        <v>578</v>
      </c>
      <c r="B98" s="444" t="s">
        <v>781</v>
      </c>
      <c r="C98" s="327"/>
      <c r="D98" s="339" t="s">
        <v>580</v>
      </c>
      <c r="E98" s="340" t="s">
        <v>674</v>
      </c>
      <c r="F98" s="327"/>
      <c r="G98" s="408"/>
      <c r="H98" s="408"/>
      <c r="I98" s="327"/>
    </row>
    <row r="99" customFormat="false" ht="12.75" hidden="false" customHeight="false" outlineLevel="0" collapsed="false">
      <c r="A99" s="376" t="s">
        <v>597</v>
      </c>
      <c r="B99" s="354" t="n">
        <v>0.0427</v>
      </c>
      <c r="C99" s="334"/>
      <c r="D99" s="353" t="s">
        <v>597</v>
      </c>
      <c r="E99" s="354" t="n">
        <v>0.0863</v>
      </c>
      <c r="F99" s="334"/>
      <c r="I99" s="334"/>
    </row>
    <row r="100" customFormat="false" ht="12.75" hidden="false" customHeight="false" outlineLevel="0" collapsed="false">
      <c r="A100" s="376" t="s">
        <v>119</v>
      </c>
      <c r="B100" s="354" t="n">
        <f aca="false">0.0022+0.0072</f>
        <v>0.0094</v>
      </c>
      <c r="C100" s="334"/>
      <c r="D100" s="353" t="s">
        <v>119</v>
      </c>
      <c r="E100" s="354" t="n">
        <f aca="false">0.0022+0.0072</f>
        <v>0.0094</v>
      </c>
      <c r="F100" s="334"/>
      <c r="I100" s="334"/>
    </row>
    <row r="101" customFormat="false" ht="12.75" hidden="false" customHeight="false" outlineLevel="0" collapsed="false">
      <c r="A101" s="376" t="s">
        <v>858</v>
      </c>
      <c r="B101" s="364" t="n">
        <f aca="false">(+B5)/(1-0.0128)-B5</f>
        <v>0.0431118314424634</v>
      </c>
      <c r="C101" s="334"/>
      <c r="D101" s="353" t="s">
        <v>834</v>
      </c>
      <c r="E101" s="364" t="n">
        <f aca="false">(E3)/(1-0.0761)-E3</f>
        <v>0.20592055417253</v>
      </c>
      <c r="F101" s="334"/>
      <c r="I101" s="334"/>
    </row>
    <row r="102" customFormat="false" ht="12.75" hidden="false" customHeight="false" outlineLevel="0" collapsed="false">
      <c r="A102" s="376"/>
      <c r="B102" s="372" t="n">
        <f aca="false">SUM(B99:B101)</f>
        <v>0.0952118314424635</v>
      </c>
      <c r="C102" s="359"/>
      <c r="D102" s="353"/>
      <c r="E102" s="372" t="n">
        <f aca="false">SUM(E99:E101)</f>
        <v>0.30162055417253</v>
      </c>
      <c r="F102" s="359"/>
      <c r="I102" s="359"/>
    </row>
    <row r="103" customFormat="false" ht="12.75" hidden="false" customHeight="false" outlineLevel="0" collapsed="false">
      <c r="A103" s="440" t="s">
        <v>578</v>
      </c>
      <c r="B103" s="444" t="s">
        <v>859</v>
      </c>
      <c r="C103" s="361"/>
      <c r="D103" s="339" t="s">
        <v>580</v>
      </c>
      <c r="E103" s="340" t="s">
        <v>687</v>
      </c>
      <c r="F103" s="361"/>
      <c r="I103" s="361"/>
    </row>
    <row r="104" customFormat="false" ht="12.75" hidden="false" customHeight="false" outlineLevel="0" collapsed="false">
      <c r="A104" s="376" t="s">
        <v>597</v>
      </c>
      <c r="B104" s="354" t="n">
        <v>0.0766</v>
      </c>
      <c r="D104" s="353" t="s">
        <v>597</v>
      </c>
      <c r="E104" s="354" t="n">
        <v>0.1012</v>
      </c>
    </row>
    <row r="105" customFormat="false" ht="12.75" hidden="false" customHeight="false" outlineLevel="0" collapsed="false">
      <c r="A105" s="376" t="s">
        <v>119</v>
      </c>
      <c r="B105" s="354" t="n">
        <f aca="false">0.0022+0.0072</f>
        <v>0.0094</v>
      </c>
      <c r="C105" s="327"/>
      <c r="D105" s="353" t="s">
        <v>119</v>
      </c>
      <c r="E105" s="354" t="n">
        <f aca="false">0.0022+0.0072</f>
        <v>0.0094</v>
      </c>
      <c r="F105" s="327"/>
      <c r="I105" s="327"/>
    </row>
    <row r="106" customFormat="false" ht="12.75" hidden="false" customHeight="false" outlineLevel="0" collapsed="false">
      <c r="A106" s="376" t="s">
        <v>860</v>
      </c>
      <c r="B106" s="364" t="n">
        <f aca="false">(+B5)/(1-0.0209)-B5</f>
        <v>0.070975896231233</v>
      </c>
      <c r="C106" s="334"/>
      <c r="D106" s="353" t="s">
        <v>837</v>
      </c>
      <c r="E106" s="364" t="n">
        <f aca="false">(E3)/(1-0.0924)-E3</f>
        <v>0.254517408550022</v>
      </c>
      <c r="F106" s="334"/>
      <c r="I106" s="334"/>
    </row>
    <row r="107" customFormat="false" ht="12.75" hidden="false" customHeight="false" outlineLevel="0" collapsed="false">
      <c r="A107" s="376"/>
      <c r="B107" s="372" t="n">
        <f aca="false">SUM(B104:B106)</f>
        <v>0.156975896231233</v>
      </c>
      <c r="C107" s="334"/>
      <c r="D107" s="353"/>
      <c r="E107" s="372" t="n">
        <f aca="false">SUM(E104:E106)</f>
        <v>0.365117408550022</v>
      </c>
      <c r="F107" s="334"/>
      <c r="I107" s="334"/>
    </row>
    <row r="108" customFormat="false" ht="12.75" hidden="false" customHeight="false" outlineLevel="0" collapsed="false">
      <c r="A108" s="440" t="s">
        <v>578</v>
      </c>
      <c r="B108" s="441" t="s">
        <v>788</v>
      </c>
      <c r="C108" s="359"/>
      <c r="D108" s="339" t="s">
        <v>580</v>
      </c>
      <c r="E108" s="340" t="s">
        <v>783</v>
      </c>
      <c r="F108" s="359"/>
      <c r="I108" s="359"/>
    </row>
    <row r="109" customFormat="false" ht="12.75" hidden="false" customHeight="false" outlineLevel="0" collapsed="false">
      <c r="A109" s="358" t="s">
        <v>597</v>
      </c>
      <c r="B109" s="354" t="n">
        <v>0.0459</v>
      </c>
      <c r="C109" s="361"/>
      <c r="D109" s="353" t="s">
        <v>597</v>
      </c>
      <c r="E109" s="354" t="n">
        <v>0.0472</v>
      </c>
      <c r="F109" s="361"/>
      <c r="I109" s="361"/>
    </row>
    <row r="110" customFormat="false" ht="12.75" hidden="false" customHeight="false" outlineLevel="0" collapsed="false">
      <c r="A110" s="358" t="s">
        <v>119</v>
      </c>
      <c r="B110" s="354" t="n">
        <f aca="false">0.0022+0.0072</f>
        <v>0.0094</v>
      </c>
      <c r="C110" s="327"/>
      <c r="D110" s="353" t="s">
        <v>119</v>
      </c>
      <c r="E110" s="354" t="n">
        <f aca="false">0.0022+0.0072</f>
        <v>0.0094</v>
      </c>
      <c r="F110" s="327"/>
      <c r="I110" s="327"/>
    </row>
    <row r="111" customFormat="false" ht="12.75" hidden="false" customHeight="false" outlineLevel="0" collapsed="false">
      <c r="A111" s="358" t="s">
        <v>861</v>
      </c>
      <c r="B111" s="364" t="n">
        <f aca="false">(+B$5)/(1-0.0116)-B$5</f>
        <v>0.0390226628895185</v>
      </c>
      <c r="C111" s="334"/>
      <c r="D111" s="353" t="s">
        <v>862</v>
      </c>
      <c r="E111" s="364" t="n">
        <f aca="false">(E6)/(1-0.0249)-(E6)</f>
        <v>0.0663931904420059</v>
      </c>
      <c r="F111" s="334"/>
      <c r="I111" s="334"/>
    </row>
    <row r="112" customFormat="false" ht="12.75" hidden="false" customHeight="false" outlineLevel="0" collapsed="false">
      <c r="A112" s="376"/>
      <c r="B112" s="372" t="n">
        <f aca="false">SUM(B109:B111)</f>
        <v>0.0943226628895185</v>
      </c>
      <c r="C112" s="334"/>
      <c r="D112" s="353"/>
      <c r="E112" s="372" t="n">
        <f aca="false">SUM(E109:E111)</f>
        <v>0.122993190442006</v>
      </c>
      <c r="F112" s="334"/>
      <c r="I112" s="334"/>
    </row>
    <row r="113" customFormat="false" ht="12.75" hidden="false" customHeight="false" outlineLevel="0" collapsed="false">
      <c r="A113" s="440" t="s">
        <v>863</v>
      </c>
      <c r="B113" s="441"/>
      <c r="C113" s="359"/>
      <c r="D113" s="339" t="s">
        <v>580</v>
      </c>
      <c r="E113" s="340" t="s">
        <v>697</v>
      </c>
      <c r="F113" s="359"/>
      <c r="I113" s="359"/>
    </row>
    <row r="114" customFormat="false" ht="12.75" hidden="false" customHeight="false" outlineLevel="0" collapsed="false">
      <c r="A114" s="358" t="s">
        <v>597</v>
      </c>
      <c r="B114" s="354" t="n">
        <v>0</v>
      </c>
      <c r="C114" s="361"/>
      <c r="D114" s="353" t="s">
        <v>597</v>
      </c>
      <c r="E114" s="354" t="n">
        <v>0.0686</v>
      </c>
      <c r="F114" s="361"/>
      <c r="I114" s="361"/>
    </row>
    <row r="115" customFormat="false" ht="12.75" hidden="false" customHeight="false" outlineLevel="0" collapsed="false">
      <c r="A115" s="358" t="s">
        <v>119</v>
      </c>
      <c r="B115" s="354" t="n">
        <f aca="false">0.0022+0.0072</f>
        <v>0.0094</v>
      </c>
      <c r="D115" s="353" t="s">
        <v>119</v>
      </c>
      <c r="E115" s="354" t="n">
        <f aca="false">0.0022+0.0072</f>
        <v>0.0094</v>
      </c>
    </row>
    <row r="116" customFormat="false" ht="12.75" hidden="false" customHeight="false" outlineLevel="0" collapsed="false">
      <c r="A116" s="358" t="s">
        <v>785</v>
      </c>
      <c r="B116" s="364" t="n">
        <f aca="false">((+V$3+V$17-0.0072)/(1-0.0131)-(+V$3+V$17-0.0072))</f>
        <v>-9.55719931097377E-005</v>
      </c>
      <c r="D116" s="353" t="s">
        <v>841</v>
      </c>
      <c r="E116" s="364" t="n">
        <f aca="false">(E6)/(1-0.0498)-(E6)</f>
        <v>0.136266049252789</v>
      </c>
    </row>
    <row r="117" customFormat="false" ht="12.75" hidden="false" customHeight="false" outlineLevel="0" collapsed="false">
      <c r="A117" s="376"/>
      <c r="B117" s="372" t="n">
        <f aca="false">SUM(B114:B116)</f>
        <v>0.00930442800689026</v>
      </c>
      <c r="D117" s="353"/>
      <c r="E117" s="372" t="n">
        <f aca="false">SUM(E114:E116)</f>
        <v>0.214266049252789</v>
      </c>
    </row>
    <row r="118" customFormat="false" ht="12.75" hidden="false" customHeight="false" outlineLevel="0" collapsed="false">
      <c r="A118" s="440" t="s">
        <v>578</v>
      </c>
      <c r="B118" s="441" t="s">
        <v>792</v>
      </c>
      <c r="D118" s="339" t="s">
        <v>580</v>
      </c>
      <c r="E118" s="340" t="s">
        <v>711</v>
      </c>
    </row>
    <row r="119" customFormat="false" ht="12.75" hidden="false" customHeight="false" outlineLevel="0" collapsed="false">
      <c r="A119" s="358" t="s">
        <v>597</v>
      </c>
      <c r="B119" s="354" t="n">
        <v>0.1618</v>
      </c>
      <c r="D119" s="353" t="s">
        <v>597</v>
      </c>
      <c r="E119" s="354" t="n">
        <v>0.0835</v>
      </c>
    </row>
    <row r="120" customFormat="false" ht="12.75" hidden="false" customHeight="false" outlineLevel="0" collapsed="false">
      <c r="A120" s="358" t="s">
        <v>119</v>
      </c>
      <c r="B120" s="354" t="n">
        <f aca="false">0.0022+0+0.0225+0.0072</f>
        <v>0.0319</v>
      </c>
      <c r="D120" s="353" t="s">
        <v>119</v>
      </c>
      <c r="E120" s="354" t="n">
        <f aca="false">0.0022+0.0072</f>
        <v>0.0094</v>
      </c>
    </row>
    <row r="121" customFormat="false" ht="12.75" hidden="false" customHeight="false" outlineLevel="0" collapsed="false">
      <c r="A121" s="358" t="s">
        <v>768</v>
      </c>
      <c r="B121" s="439" t="n">
        <f aca="false">(B4)/(1-0.0101)-B4</f>
        <v>0.0315784422668957</v>
      </c>
      <c r="D121" s="353" t="s">
        <v>844</v>
      </c>
      <c r="E121" s="364" t="n">
        <f aca="false">(E6)/(1-0.0661)-(E6)</f>
        <v>0.184023985437413</v>
      </c>
    </row>
    <row r="122" customFormat="false" ht="12.75" hidden="false" customHeight="false" outlineLevel="0" collapsed="false">
      <c r="A122" s="376"/>
      <c r="B122" s="372" t="n">
        <f aca="false">SUM(B119:B121)</f>
        <v>0.225278442266896</v>
      </c>
      <c r="D122" s="353"/>
      <c r="E122" s="372" t="n">
        <f aca="false">SUM(E119:E121)</f>
        <v>0.276923985437413</v>
      </c>
    </row>
    <row r="123" customFormat="false" ht="12.75" hidden="false" customHeight="false" outlineLevel="0" collapsed="false">
      <c r="A123" s="440" t="s">
        <v>578</v>
      </c>
      <c r="B123" s="441" t="s">
        <v>794</v>
      </c>
      <c r="D123" s="339" t="s">
        <v>580</v>
      </c>
      <c r="E123" s="372" t="s">
        <v>795</v>
      </c>
    </row>
    <row r="124" customFormat="false" ht="12.75" hidden="false" customHeight="false" outlineLevel="0" collapsed="false">
      <c r="A124" s="358" t="s">
        <v>597</v>
      </c>
      <c r="B124" s="354" t="n">
        <v>0.3288</v>
      </c>
      <c r="D124" s="353" t="s">
        <v>597</v>
      </c>
      <c r="E124" s="406" t="n">
        <v>0.0583</v>
      </c>
    </row>
    <row r="125" customFormat="false" ht="12.75" hidden="false" customHeight="false" outlineLevel="0" collapsed="false">
      <c r="A125" s="358" t="s">
        <v>119</v>
      </c>
      <c r="B125" s="354" t="n">
        <f aca="false">0.0022+0+0.0225+0.0072</f>
        <v>0.0319</v>
      </c>
      <c r="D125" s="353" t="s">
        <v>119</v>
      </c>
      <c r="E125" s="354" t="n">
        <f aca="false">0.0022</f>
        <v>0.0022</v>
      </c>
    </row>
    <row r="126" customFormat="false" ht="12.75" hidden="false" customHeight="false" outlineLevel="0" collapsed="false">
      <c r="A126" s="358" t="s">
        <v>821</v>
      </c>
      <c r="B126" s="439" t="n">
        <f aca="false">(B3)/(1-0.0279)-B3</f>
        <v>0.0869632753831913</v>
      </c>
      <c r="D126" s="353" t="s">
        <v>864</v>
      </c>
      <c r="E126" s="364" t="n">
        <f aca="false">(E6)/(1-0.0378)-E6</f>
        <v>0.102140927042195</v>
      </c>
    </row>
    <row r="127" customFormat="false" ht="12.75" hidden="false" customHeight="false" outlineLevel="0" collapsed="false">
      <c r="A127" s="376"/>
      <c r="B127" s="372" t="n">
        <f aca="false">SUM(B124:B126)</f>
        <v>0.447663275383191</v>
      </c>
      <c r="D127" s="353"/>
      <c r="E127" s="372" t="n">
        <f aca="false">SUM(E124:E126)</f>
        <v>0.162640927042195</v>
      </c>
    </row>
    <row r="128" customFormat="false" ht="12.75" hidden="false" customHeight="false" outlineLevel="0" collapsed="false">
      <c r="A128" s="440" t="s">
        <v>578</v>
      </c>
      <c r="B128" s="441" t="s">
        <v>800</v>
      </c>
      <c r="D128" s="339" t="s">
        <v>580</v>
      </c>
      <c r="E128" s="372" t="s">
        <v>722</v>
      </c>
    </row>
    <row r="129" customFormat="false" ht="12.75" hidden="false" customHeight="false" outlineLevel="0" collapsed="false">
      <c r="A129" s="358" t="s">
        <v>597</v>
      </c>
      <c r="B129" s="354" t="n">
        <v>0.3786</v>
      </c>
      <c r="D129" s="353" t="s">
        <v>597</v>
      </c>
      <c r="E129" s="406" t="n">
        <v>0.0731</v>
      </c>
    </row>
    <row r="130" customFormat="false" ht="12.75" hidden="false" customHeight="false" outlineLevel="0" collapsed="false">
      <c r="A130" s="358" t="s">
        <v>119</v>
      </c>
      <c r="B130" s="354" t="n">
        <f aca="false">0.0022+0+0.0225+0.0072</f>
        <v>0.0319</v>
      </c>
      <c r="D130" s="353" t="s">
        <v>119</v>
      </c>
      <c r="E130" s="354" t="n">
        <f aca="false">0.0022+0.0072</f>
        <v>0.0094</v>
      </c>
    </row>
    <row r="131" customFormat="false" ht="12.75" hidden="false" customHeight="false" outlineLevel="0" collapsed="false">
      <c r="A131" s="358" t="s">
        <v>826</v>
      </c>
      <c r="B131" s="439" t="n">
        <f aca="false">(B4)/(1-0.0428)-B4</f>
        <v>0.138389051399916</v>
      </c>
      <c r="D131" s="353" t="s">
        <v>846</v>
      </c>
      <c r="E131" s="364" t="n">
        <f aca="false">(E6)/(1-0.0545)-E6</f>
        <v>0.149867794817557</v>
      </c>
    </row>
    <row r="132" customFormat="false" ht="12.75" hidden="false" customHeight="false" outlineLevel="0" collapsed="false">
      <c r="A132" s="376"/>
      <c r="B132" s="372" t="n">
        <f aca="false">SUM(B129:B131)</f>
        <v>0.548889051399916</v>
      </c>
      <c r="D132" s="353"/>
      <c r="E132" s="372" t="n">
        <f aca="false">SUM(E129:E131)</f>
        <v>0.232367794817557</v>
      </c>
    </row>
    <row r="133" customFormat="false" ht="12.75" hidden="false" customHeight="false" outlineLevel="0" collapsed="false">
      <c r="A133" s="358" t="s">
        <v>1</v>
      </c>
      <c r="B133" s="354" t="s">
        <v>1</v>
      </c>
      <c r="D133" s="339" t="s">
        <v>580</v>
      </c>
      <c r="E133" s="372" t="s">
        <v>730</v>
      </c>
    </row>
    <row r="134" customFormat="false" ht="12.75" hidden="false" customHeight="false" outlineLevel="0" collapsed="false">
      <c r="A134" s="440" t="s">
        <v>578</v>
      </c>
      <c r="B134" s="444" t="s">
        <v>802</v>
      </c>
      <c r="D134" s="353" t="s">
        <v>597</v>
      </c>
      <c r="E134" s="406" t="n">
        <v>0.0515</v>
      </c>
    </row>
    <row r="135" customFormat="false" ht="12.75" hidden="false" customHeight="false" outlineLevel="0" collapsed="false">
      <c r="A135" s="376" t="s">
        <v>597</v>
      </c>
      <c r="B135" s="354" t="n">
        <v>0.1826</v>
      </c>
      <c r="D135" s="353" t="s">
        <v>119</v>
      </c>
      <c r="E135" s="354" t="n">
        <f aca="false">0.0022+0.0072</f>
        <v>0.0094</v>
      </c>
    </row>
    <row r="136" customFormat="false" ht="12.75" hidden="false" customHeight="false" outlineLevel="0" collapsed="false">
      <c r="A136" s="376" t="s">
        <v>119</v>
      </c>
      <c r="B136" s="354" t="n">
        <f aca="false">0.0022+0.0072</f>
        <v>0.0094</v>
      </c>
      <c r="D136" s="353" t="s">
        <v>847</v>
      </c>
      <c r="E136" s="364" t="n">
        <f aca="false">(E7)/(1-0.0299)-E7</f>
        <v>0.0944680960725699</v>
      </c>
    </row>
    <row r="137" customFormat="false" ht="12.75" hidden="false" customHeight="false" outlineLevel="0" collapsed="false">
      <c r="A137" s="376" t="s">
        <v>858</v>
      </c>
      <c r="B137" s="364" t="n">
        <f aca="false">(B5)/(1-0.0128)-B5</f>
        <v>0.0431118314424634</v>
      </c>
      <c r="D137" s="446"/>
      <c r="E137" s="447" t="n">
        <f aca="false">SUM(E134:E136)</f>
        <v>0.15536809607257</v>
      </c>
    </row>
    <row r="138" customFormat="false" ht="12.75" hidden="false" customHeight="false" outlineLevel="0" collapsed="false">
      <c r="A138" s="376"/>
      <c r="B138" s="372" t="n">
        <f aca="false">SUM(B135:B137)</f>
        <v>0.235111831442463</v>
      </c>
      <c r="D138" s="339"/>
      <c r="E138" s="372"/>
    </row>
    <row r="139" customFormat="false" ht="12.75" hidden="false" customHeight="false" outlineLevel="0" collapsed="false">
      <c r="D139" s="423"/>
      <c r="E139" s="423"/>
    </row>
    <row r="140" customFormat="false" ht="12.75" hidden="false" customHeight="false" outlineLevel="0" collapsed="false">
      <c r="D140" s="448"/>
      <c r="E140" s="448"/>
    </row>
    <row r="141" customFormat="false" ht="12.75" hidden="false" customHeight="false" outlineLevel="0" collapsed="false">
      <c r="D141" s="449"/>
      <c r="E141" s="449"/>
    </row>
    <row r="142" customFormat="false" ht="12.75" hidden="false" customHeight="false" outlineLevel="0" collapsed="false">
      <c r="D142" s="450"/>
      <c r="E142" s="450"/>
    </row>
    <row r="143" customFormat="false" ht="12.75" hidden="false" customHeight="false" outlineLevel="0" collapsed="false">
      <c r="D143" s="423"/>
      <c r="E143" s="423"/>
    </row>
    <row r="144" customFormat="false" ht="12.75" hidden="false" customHeight="false" outlineLevel="0" collapsed="false">
      <c r="D144" s="423"/>
      <c r="E144" s="423"/>
    </row>
    <row r="145" customFormat="false" ht="12.75" hidden="false" customHeight="false" outlineLevel="0" collapsed="false">
      <c r="D145" s="448"/>
      <c r="E145" s="448"/>
    </row>
    <row r="146" customFormat="false" ht="12.75" hidden="false" customHeight="false" outlineLevel="0" collapsed="false">
      <c r="D146" s="449"/>
      <c r="E146" s="449"/>
    </row>
    <row r="147" customFormat="false" ht="12.75" hidden="false" customHeight="false" outlineLevel="0" collapsed="false">
      <c r="D147" s="450"/>
      <c r="E147" s="450"/>
    </row>
    <row r="148" customFormat="false" ht="12.75" hidden="false" customHeight="false" outlineLevel="0" collapsed="false">
      <c r="D148" s="423"/>
      <c r="E148" s="423"/>
    </row>
    <row r="149" customFormat="false" ht="12.75" hidden="false" customHeight="false" outlineLevel="0" collapsed="false">
      <c r="D149" s="423"/>
      <c r="E149" s="423"/>
    </row>
    <row r="150" customFormat="false" ht="12.75" hidden="false" customHeight="false" outlineLevel="0" collapsed="false">
      <c r="D150" s="448"/>
      <c r="E150" s="448"/>
    </row>
    <row r="151" customFormat="false" ht="12.75" hidden="false" customHeight="false" outlineLevel="0" collapsed="false">
      <c r="D151" s="449"/>
      <c r="E151" s="449"/>
    </row>
    <row r="152" customFormat="false" ht="12.75" hidden="false" customHeight="false" outlineLevel="0" collapsed="false">
      <c r="D152" s="449"/>
      <c r="E152" s="449"/>
    </row>
    <row r="153" customFormat="false" ht="12.75" hidden="false" customHeight="false" outlineLevel="0" collapsed="false">
      <c r="D153" s="451"/>
      <c r="E153" s="451"/>
    </row>
    <row r="154" customFormat="false" ht="12.75" hidden="false" customHeight="false" outlineLevel="0" collapsed="false">
      <c r="D154" s="451"/>
      <c r="E154" s="451"/>
    </row>
    <row r="155" customFormat="false" ht="12.75" hidden="false" customHeight="false" outlineLevel="0" collapsed="false">
      <c r="D155" s="451"/>
      <c r="E155" s="451"/>
    </row>
    <row r="156" customFormat="false" ht="12.75" hidden="false" customHeight="false" outlineLevel="0" collapsed="false">
      <c r="D156" s="448"/>
      <c r="E156" s="448"/>
    </row>
    <row r="157" customFormat="false" ht="12.75" hidden="false" customHeight="false" outlineLevel="0" collapsed="false">
      <c r="D157" s="449"/>
      <c r="E157" s="449"/>
    </row>
    <row r="158" customFormat="false" ht="12.75" hidden="false" customHeight="false" outlineLevel="0" collapsed="false">
      <c r="D158" s="450"/>
      <c r="E158" s="450"/>
    </row>
    <row r="159" customFormat="false" ht="12.75" hidden="false" customHeight="false" outlineLevel="0" collapsed="false">
      <c r="D159" s="423"/>
      <c r="E159" s="423"/>
    </row>
    <row r="160" customFormat="false" ht="12.75" hidden="false" customHeight="false" outlineLevel="0" collapsed="false">
      <c r="D160" s="423"/>
      <c r="E160" s="423"/>
    </row>
    <row r="161" customFormat="false" ht="12.75" hidden="false" customHeight="false" outlineLevel="0" collapsed="false">
      <c r="D161" s="448"/>
      <c r="E161" s="448"/>
    </row>
    <row r="162" customFormat="false" ht="12.75" hidden="false" customHeight="false" outlineLevel="0" collapsed="false">
      <c r="D162" s="449"/>
      <c r="E162" s="449"/>
    </row>
    <row r="164" customFormat="false" ht="12.75" hidden="false" customHeight="false" outlineLevel="0" collapsed="false">
      <c r="D164" s="450"/>
      <c r="E164" s="450"/>
    </row>
    <row r="165" customFormat="false" ht="12.75" hidden="false" customHeight="false" outlineLevel="0" collapsed="false">
      <c r="D165" s="423"/>
      <c r="E165" s="423"/>
    </row>
    <row r="166" customFormat="false" ht="12.75" hidden="false" customHeight="false" outlineLevel="0" collapsed="false">
      <c r="D166" s="423"/>
      <c r="E166" s="423"/>
    </row>
    <row r="167" customFormat="false" ht="12.75" hidden="false" customHeight="false" outlineLevel="0" collapsed="false">
      <c r="D167" s="448"/>
      <c r="E167" s="448"/>
    </row>
    <row r="168" customFormat="false" ht="12.75" hidden="false" customHeight="false" outlineLevel="0" collapsed="false">
      <c r="D168" s="449"/>
      <c r="E168" s="449"/>
    </row>
    <row r="169" customFormat="false" ht="12.75" hidden="false" customHeight="false" outlineLevel="0" collapsed="false">
      <c r="D169" s="450"/>
      <c r="E169" s="450"/>
    </row>
    <row r="170" customFormat="false" ht="12.75" hidden="false" customHeight="false" outlineLevel="0" collapsed="false">
      <c r="D170" s="423"/>
      <c r="E170" s="423"/>
    </row>
    <row r="171" customFormat="false" ht="12.75" hidden="false" customHeight="false" outlineLevel="0" collapsed="false">
      <c r="D171" s="423"/>
      <c r="E171" s="423"/>
    </row>
    <row r="172" customFormat="false" ht="12.75" hidden="false" customHeight="false" outlineLevel="0" collapsed="false">
      <c r="D172" s="448"/>
      <c r="E172" s="448"/>
    </row>
    <row r="173" customFormat="false" ht="12.75" hidden="false" customHeight="false" outlineLevel="0" collapsed="false">
      <c r="D173" s="449"/>
      <c r="E173" s="449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452" t="s">
        <v>93</v>
      </c>
      <c r="C1" s="452"/>
    </row>
    <row r="3" customFormat="false" ht="12.75" hidden="false" customHeight="false" outlineLevel="0" collapsed="false">
      <c r="B3" s="0" t="s">
        <v>5</v>
      </c>
      <c r="G3" s="453"/>
    </row>
    <row r="5" customFormat="false" ht="12.75" hidden="false" customHeight="false" outlineLevel="0" collapsed="false">
      <c r="B5" s="0" t="s">
        <v>865</v>
      </c>
    </row>
    <row r="7" customFormat="false" ht="12.75" hidden="false" customHeight="false" outlineLevel="0" collapsed="false">
      <c r="C7" s="0" t="s">
        <v>866</v>
      </c>
    </row>
    <row r="8" customFormat="false" ht="12.75" hidden="false" customHeight="false" outlineLevel="0" collapsed="false">
      <c r="D8" s="0" t="s">
        <v>867</v>
      </c>
      <c r="E8" s="0" t="s">
        <v>229</v>
      </c>
      <c r="F8" s="330" t="n">
        <v>3.88</v>
      </c>
    </row>
    <row r="9" customFormat="false" ht="12.75" hidden="false" customHeight="false" outlineLevel="0" collapsed="false">
      <c r="D9" s="0" t="s">
        <v>866</v>
      </c>
      <c r="F9" s="454" t="n">
        <v>0.0333</v>
      </c>
    </row>
    <row r="10" customFormat="false" ht="12.75" hidden="false" customHeight="false" outlineLevel="0" collapsed="false">
      <c r="D10" s="0" t="s">
        <v>868</v>
      </c>
      <c r="F10" s="455" t="n">
        <v>0.0474045</v>
      </c>
      <c r="G10" s="0" t="s">
        <v>869</v>
      </c>
    </row>
    <row r="11" customFormat="false" ht="12.75" hidden="false" customHeight="false" outlineLevel="0" collapsed="false">
      <c r="D11" s="0" t="s">
        <v>870</v>
      </c>
      <c r="F11" s="384" t="n">
        <f aca="false">+F8/(1-F10)-F8</f>
        <v>0.193082436354151</v>
      </c>
    </row>
    <row r="12" customFormat="false" ht="13.5" hidden="false" customHeight="false" outlineLevel="0" collapsed="false">
      <c r="D12" s="0" t="s">
        <v>871</v>
      </c>
      <c r="F12" s="386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0" t="s">
        <v>872</v>
      </c>
    </row>
    <row r="15" customFormat="false" ht="12.75" hidden="false" customHeight="false" outlineLevel="0" collapsed="false">
      <c r="D15" s="0" t="s">
        <v>867</v>
      </c>
      <c r="E15" s="0" t="s">
        <v>229</v>
      </c>
      <c r="F15" s="330" t="n">
        <v>3.88</v>
      </c>
    </row>
    <row r="16" customFormat="false" ht="12.75" hidden="false" customHeight="false" outlineLevel="0" collapsed="false">
      <c r="D16" s="0" t="s">
        <v>872</v>
      </c>
      <c r="F16" s="454" t="n">
        <v>0.0325</v>
      </c>
    </row>
    <row r="17" customFormat="false" ht="12.75" hidden="false" customHeight="false" outlineLevel="0" collapsed="false">
      <c r="D17" s="0" t="s">
        <v>873</v>
      </c>
      <c r="F17" s="455" t="n">
        <v>0</v>
      </c>
    </row>
    <row r="18" customFormat="false" ht="12.75" hidden="false" customHeight="false" outlineLevel="0" collapsed="false">
      <c r="D18" s="0" t="s">
        <v>870</v>
      </c>
      <c r="F18" s="384" t="n">
        <f aca="false">+F15/(1-F17)-F15</f>
        <v>0</v>
      </c>
    </row>
    <row r="19" customFormat="false" ht="13.5" hidden="false" customHeight="false" outlineLevel="0" collapsed="false">
      <c r="D19" s="0" t="s">
        <v>871</v>
      </c>
      <c r="F19" s="386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0" t="s">
        <v>874</v>
      </c>
    </row>
    <row r="24" customFormat="false" ht="12.75" hidden="false" customHeight="false" outlineLevel="0" collapsed="false">
      <c r="C24" s="0" t="s">
        <v>866</v>
      </c>
    </row>
    <row r="25" customFormat="false" ht="12.75" hidden="false" customHeight="false" outlineLevel="0" collapsed="false">
      <c r="D25" s="0" t="s">
        <v>867</v>
      </c>
      <c r="E25" s="0" t="s">
        <v>229</v>
      </c>
      <c r="F25" s="330" t="n">
        <v>2.2</v>
      </c>
    </row>
    <row r="26" customFormat="false" ht="12.75" hidden="false" customHeight="false" outlineLevel="0" collapsed="false">
      <c r="D26" s="0" t="s">
        <v>866</v>
      </c>
      <c r="F26" s="454" t="n">
        <v>0.0054</v>
      </c>
    </row>
    <row r="27" customFormat="false" ht="12.75" hidden="false" customHeight="false" outlineLevel="0" collapsed="false">
      <c r="D27" s="0" t="s">
        <v>868</v>
      </c>
      <c r="F27" s="455" t="n">
        <v>0.0198</v>
      </c>
    </row>
    <row r="28" customFormat="false" ht="12.75" hidden="false" customHeight="false" outlineLevel="0" collapsed="false">
      <c r="D28" s="0" t="s">
        <v>870</v>
      </c>
      <c r="F28" s="384" t="n">
        <f aca="false">+F25/(1-F27)-F25</f>
        <v>0.0444399102224038</v>
      </c>
    </row>
    <row r="29" customFormat="false" ht="13.5" hidden="false" customHeight="false" outlineLevel="0" collapsed="false">
      <c r="D29" s="0" t="s">
        <v>871</v>
      </c>
      <c r="F29" s="386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0" t="s">
        <v>872</v>
      </c>
    </row>
    <row r="32" customFormat="false" ht="12.75" hidden="false" customHeight="false" outlineLevel="0" collapsed="false">
      <c r="D32" s="0" t="s">
        <v>867</v>
      </c>
      <c r="E32" s="0" t="s">
        <v>229</v>
      </c>
      <c r="F32" s="330" t="n">
        <v>1.95</v>
      </c>
    </row>
    <row r="33" customFormat="false" ht="12.75" hidden="false" customHeight="false" outlineLevel="0" collapsed="false">
      <c r="D33" s="0" t="s">
        <v>872</v>
      </c>
      <c r="F33" s="454" t="n">
        <v>0.0054</v>
      </c>
    </row>
    <row r="34" customFormat="false" ht="12.75" hidden="false" customHeight="false" outlineLevel="0" collapsed="false">
      <c r="D34" s="0" t="s">
        <v>873</v>
      </c>
      <c r="F34" s="455" t="n">
        <v>0</v>
      </c>
    </row>
    <row r="35" customFormat="false" ht="12.75" hidden="false" customHeight="false" outlineLevel="0" collapsed="false">
      <c r="D35" s="0" t="s">
        <v>870</v>
      </c>
      <c r="F35" s="384" t="n">
        <f aca="false">+F32/(1-F34)-F32</f>
        <v>0</v>
      </c>
    </row>
    <row r="36" customFormat="false" ht="13.5" hidden="false" customHeight="false" outlineLevel="0" collapsed="false">
      <c r="D36" s="0" t="s">
        <v>871</v>
      </c>
      <c r="F36" s="386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0" t="s">
        <v>875</v>
      </c>
    </row>
    <row r="41" customFormat="false" ht="12.75" hidden="false" customHeight="false" outlineLevel="0" collapsed="false">
      <c r="C41" s="0" t="s">
        <v>866</v>
      </c>
    </row>
    <row r="42" customFormat="false" ht="12.75" hidden="false" customHeight="false" outlineLevel="0" collapsed="false">
      <c r="D42" s="0" t="s">
        <v>867</v>
      </c>
      <c r="E42" s="0" t="s">
        <v>229</v>
      </c>
      <c r="F42" s="330" t="n">
        <v>2.2</v>
      </c>
    </row>
    <row r="43" customFormat="false" ht="12.75" hidden="false" customHeight="false" outlineLevel="0" collapsed="false">
      <c r="D43" s="0" t="s">
        <v>866</v>
      </c>
      <c r="F43" s="454" t="n">
        <v>0.0219</v>
      </c>
    </row>
    <row r="44" customFormat="false" ht="12.75" hidden="false" customHeight="false" outlineLevel="0" collapsed="false">
      <c r="D44" s="0" t="s">
        <v>868</v>
      </c>
      <c r="F44" s="455" t="n">
        <v>0.02375</v>
      </c>
      <c r="G44" s="0" t="s">
        <v>876</v>
      </c>
    </row>
    <row r="45" customFormat="false" ht="12.75" hidden="false" customHeight="false" outlineLevel="0" collapsed="false">
      <c r="D45" s="0" t="s">
        <v>870</v>
      </c>
      <c r="F45" s="384" t="n">
        <f aca="false">+F42/(1-F44)-F42</f>
        <v>0.0535211267605633</v>
      </c>
    </row>
    <row r="46" customFormat="false" ht="13.5" hidden="false" customHeight="false" outlineLevel="0" collapsed="false">
      <c r="D46" s="0" t="s">
        <v>871</v>
      </c>
      <c r="F46" s="386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0" t="s">
        <v>872</v>
      </c>
    </row>
    <row r="49" customFormat="false" ht="12.75" hidden="false" customHeight="false" outlineLevel="0" collapsed="false">
      <c r="D49" s="0" t="s">
        <v>867</v>
      </c>
      <c r="E49" s="0" t="s">
        <v>229</v>
      </c>
      <c r="F49" s="330" t="n">
        <v>1.95</v>
      </c>
    </row>
    <row r="50" customFormat="false" ht="12.75" hidden="false" customHeight="false" outlineLevel="0" collapsed="false">
      <c r="D50" s="0" t="s">
        <v>872</v>
      </c>
      <c r="F50" s="454" t="n">
        <v>0.0209</v>
      </c>
    </row>
    <row r="51" customFormat="false" ht="12.75" hidden="false" customHeight="false" outlineLevel="0" collapsed="false">
      <c r="D51" s="0" t="s">
        <v>873</v>
      </c>
      <c r="F51" s="455" t="n">
        <v>0.0047</v>
      </c>
    </row>
    <row r="52" customFormat="false" ht="12.75" hidden="false" customHeight="false" outlineLevel="0" collapsed="false">
      <c r="D52" s="0" t="s">
        <v>870</v>
      </c>
      <c r="F52" s="384" t="n">
        <f aca="false">+F49/(1-F51)-F49</f>
        <v>0.00920827891088116</v>
      </c>
    </row>
    <row r="53" customFormat="false" ht="13.5" hidden="false" customHeight="false" outlineLevel="0" collapsed="false">
      <c r="D53" s="0" t="s">
        <v>871</v>
      </c>
      <c r="F53" s="386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0" t="s">
        <v>877</v>
      </c>
    </row>
    <row r="57" customFormat="false" ht="12.75" hidden="false" customHeight="false" outlineLevel="0" collapsed="false">
      <c r="C57" s="0" t="s">
        <v>866</v>
      </c>
    </row>
    <row r="58" customFormat="false" ht="12.75" hidden="false" customHeight="false" outlineLevel="0" collapsed="false">
      <c r="D58" s="0" t="s">
        <v>867</v>
      </c>
      <c r="E58" s="0" t="s">
        <v>229</v>
      </c>
      <c r="F58" s="330" t="n">
        <v>2.2</v>
      </c>
    </row>
    <row r="59" customFormat="false" ht="12.75" hidden="false" customHeight="false" outlineLevel="0" collapsed="false">
      <c r="D59" s="0" t="s">
        <v>866</v>
      </c>
      <c r="F59" s="454" t="n">
        <v>0.0334</v>
      </c>
      <c r="G59" s="0" t="s">
        <v>878</v>
      </c>
    </row>
    <row r="60" customFormat="false" ht="12.75" hidden="false" customHeight="false" outlineLevel="0" collapsed="false">
      <c r="D60" s="0" t="s">
        <v>879</v>
      </c>
      <c r="F60" s="454" t="n">
        <v>0.0727</v>
      </c>
      <c r="G60" s="0" t="s">
        <v>880</v>
      </c>
    </row>
    <row r="61" customFormat="false" ht="12.75" hidden="false" customHeight="false" outlineLevel="0" collapsed="false">
      <c r="D61" s="0" t="s">
        <v>868</v>
      </c>
      <c r="F61" s="455" t="n">
        <v>0</v>
      </c>
    </row>
    <row r="62" customFormat="false" ht="12.75" hidden="false" customHeight="false" outlineLevel="0" collapsed="false">
      <c r="D62" s="0" t="s">
        <v>870</v>
      </c>
      <c r="F62" s="384" t="n">
        <f aca="false">+F58/(1-F61)-F58</f>
        <v>0</v>
      </c>
    </row>
    <row r="63" customFormat="false" ht="13.5" hidden="false" customHeight="false" outlineLevel="0" collapsed="false">
      <c r="D63" s="0" t="s">
        <v>871</v>
      </c>
      <c r="F63" s="386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0" t="s">
        <v>872</v>
      </c>
    </row>
    <row r="66" customFormat="false" ht="12.75" hidden="false" customHeight="false" outlineLevel="0" collapsed="false">
      <c r="D66" s="0" t="s">
        <v>867</v>
      </c>
      <c r="E66" s="0" t="s">
        <v>229</v>
      </c>
      <c r="F66" s="330" t="n">
        <v>1.95</v>
      </c>
    </row>
    <row r="67" customFormat="false" ht="12.75" hidden="false" customHeight="false" outlineLevel="0" collapsed="false">
      <c r="D67" s="0" t="s">
        <v>879</v>
      </c>
      <c r="F67" s="454" t="n">
        <v>0.0727</v>
      </c>
      <c r="G67" s="0" t="s">
        <v>881</v>
      </c>
    </row>
    <row r="68" customFormat="false" ht="12.75" hidden="false" customHeight="false" outlineLevel="0" collapsed="false">
      <c r="D68" s="0" t="s">
        <v>872</v>
      </c>
      <c r="F68" s="454" t="n">
        <v>0.0264</v>
      </c>
      <c r="G68" s="0" t="s">
        <v>882</v>
      </c>
    </row>
    <row r="69" customFormat="false" ht="12.75" hidden="false" customHeight="false" outlineLevel="0" collapsed="false">
      <c r="D69" s="0" t="s">
        <v>873</v>
      </c>
      <c r="F69" s="455" t="n">
        <v>0</v>
      </c>
    </row>
    <row r="70" customFormat="false" ht="12.75" hidden="false" customHeight="false" outlineLevel="0" collapsed="false">
      <c r="D70" s="0" t="s">
        <v>870</v>
      </c>
      <c r="F70" s="384" t="n">
        <f aca="false">+F66/(1-F69)-F66</f>
        <v>0</v>
      </c>
    </row>
    <row r="71" customFormat="false" ht="13.5" hidden="false" customHeight="false" outlineLevel="0" collapsed="false">
      <c r="D71" s="0" t="s">
        <v>871</v>
      </c>
      <c r="F71" s="386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452" t="s">
        <v>883</v>
      </c>
    </row>
    <row r="76" customFormat="false" ht="12.75" hidden="false" customHeight="false" outlineLevel="0" collapsed="false">
      <c r="D76" s="0" t="s">
        <v>867</v>
      </c>
      <c r="E76" s="0" t="s">
        <v>229</v>
      </c>
      <c r="F76" s="330" t="n">
        <v>2.8</v>
      </c>
    </row>
    <row r="77" customFormat="false" ht="12.75" hidden="false" customHeight="false" outlineLevel="0" collapsed="false">
      <c r="D77" s="0" t="s">
        <v>598</v>
      </c>
      <c r="F77" s="454" t="n">
        <v>0.0057</v>
      </c>
    </row>
    <row r="78" customFormat="false" ht="12.75" hidden="false" customHeight="false" outlineLevel="0" collapsed="false">
      <c r="D78" s="0" t="s">
        <v>884</v>
      </c>
      <c r="F78" s="454" t="n">
        <f aca="false">0.0022+0.0075</f>
        <v>0.0097</v>
      </c>
      <c r="G78" s="0" t="s">
        <v>885</v>
      </c>
    </row>
    <row r="79" customFormat="false" ht="12.75" hidden="false" customHeight="false" outlineLevel="0" collapsed="false">
      <c r="D79" s="0" t="s">
        <v>447</v>
      </c>
      <c r="F79" s="455" t="n">
        <v>0.0072</v>
      </c>
    </row>
    <row r="80" customFormat="false" ht="12.75" hidden="false" customHeight="false" outlineLevel="0" collapsed="false">
      <c r="D80" s="0" t="s">
        <v>870</v>
      </c>
      <c r="F80" s="384" t="n">
        <f aca="false">+F76/(1-F79)-F76</f>
        <v>0.0203062046736502</v>
      </c>
    </row>
    <row r="81" customFormat="false" ht="13.5" hidden="false" customHeight="false" outlineLevel="0" collapsed="false">
      <c r="D81" s="0" t="s">
        <v>871</v>
      </c>
      <c r="F81" s="386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452" t="s">
        <v>48</v>
      </c>
    </row>
    <row r="98" customFormat="false" ht="12.75" hidden="false" customHeight="false" outlineLevel="0" collapsed="false">
      <c r="B98" s="0" t="s">
        <v>5</v>
      </c>
    </row>
    <row r="100" customFormat="false" ht="12.75" hidden="false" customHeight="false" outlineLevel="0" collapsed="false">
      <c r="B100" s="0" t="s">
        <v>886</v>
      </c>
    </row>
    <row r="101" customFormat="false" ht="12.75" hidden="false" customHeight="false" outlineLevel="0" collapsed="false">
      <c r="C101" s="0" t="s">
        <v>866</v>
      </c>
    </row>
    <row r="102" customFormat="false" ht="12.75" hidden="false" customHeight="false" outlineLevel="0" collapsed="false">
      <c r="D102" s="0" t="s">
        <v>867</v>
      </c>
      <c r="E102" s="0" t="s">
        <v>887</v>
      </c>
      <c r="F102" s="330" t="n">
        <f aca="false">0.18+2.27</f>
        <v>2.45</v>
      </c>
    </row>
    <row r="103" customFormat="false" ht="12.75" hidden="false" customHeight="false" outlineLevel="0" collapsed="false">
      <c r="D103" s="0" t="s">
        <v>866</v>
      </c>
      <c r="F103" s="454" t="n">
        <v>0.0162</v>
      </c>
    </row>
    <row r="104" customFormat="false" ht="12.75" hidden="false" customHeight="false" outlineLevel="0" collapsed="false">
      <c r="D104" s="0" t="s">
        <v>868</v>
      </c>
      <c r="F104" s="455" t="n">
        <v>0.0278</v>
      </c>
    </row>
    <row r="105" customFormat="false" ht="12.75" hidden="false" customHeight="false" outlineLevel="0" collapsed="false">
      <c r="D105" s="0" t="s">
        <v>870</v>
      </c>
      <c r="F105" s="384" t="n">
        <f aca="false">+F102/(1-F104)-F102</f>
        <v>0.0700576013166017</v>
      </c>
    </row>
    <row r="106" customFormat="false" ht="13.5" hidden="false" customHeight="false" outlineLevel="0" collapsed="false">
      <c r="D106" s="0" t="s">
        <v>871</v>
      </c>
      <c r="F106" s="386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0" t="s">
        <v>872</v>
      </c>
    </row>
    <row r="109" customFormat="false" ht="12.75" hidden="false" customHeight="false" outlineLevel="0" collapsed="false">
      <c r="D109" s="0" t="s">
        <v>867</v>
      </c>
      <c r="E109" s="0" t="s">
        <v>887</v>
      </c>
      <c r="F109" s="330" t="n">
        <v>1.95</v>
      </c>
    </row>
    <row r="110" customFormat="false" ht="12.75" hidden="false" customHeight="false" outlineLevel="0" collapsed="false">
      <c r="D110" s="0" t="s">
        <v>872</v>
      </c>
      <c r="F110" s="454" t="n">
        <v>0.0147</v>
      </c>
    </row>
    <row r="111" customFormat="false" ht="12.75" hidden="false" customHeight="false" outlineLevel="0" collapsed="false">
      <c r="D111" s="0" t="s">
        <v>888</v>
      </c>
      <c r="F111" s="454" t="n">
        <v>-0.0006</v>
      </c>
    </row>
    <row r="112" customFormat="false" ht="12.75" hidden="false" customHeight="false" outlineLevel="0" collapsed="false">
      <c r="D112" s="0" t="s">
        <v>873</v>
      </c>
      <c r="F112" s="455" t="n">
        <v>0</v>
      </c>
    </row>
    <row r="113" customFormat="false" ht="12.75" hidden="false" customHeight="false" outlineLevel="0" collapsed="false">
      <c r="D113" s="0" t="s">
        <v>870</v>
      </c>
      <c r="F113" s="384" t="n">
        <f aca="false">+F109/(1-F112)-F109</f>
        <v>0</v>
      </c>
    </row>
    <row r="114" customFormat="false" ht="13.5" hidden="false" customHeight="false" outlineLevel="0" collapsed="false">
      <c r="D114" s="0" t="s">
        <v>871</v>
      </c>
      <c r="F114" s="386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0" t="s">
        <v>889</v>
      </c>
    </row>
    <row r="117" customFormat="false" ht="12.75" hidden="false" customHeight="false" outlineLevel="0" collapsed="false">
      <c r="C117" s="0" t="s">
        <v>890</v>
      </c>
    </row>
    <row r="121" customFormat="false" ht="12.75" hidden="false" customHeight="false" outlineLevel="0" collapsed="false">
      <c r="B121" s="452" t="s">
        <v>140</v>
      </c>
    </row>
    <row r="123" customFormat="false" ht="12.75" hidden="false" customHeight="false" outlineLevel="0" collapsed="false">
      <c r="B123" s="0" t="s">
        <v>5</v>
      </c>
    </row>
    <row r="125" customFormat="false" ht="12.75" hidden="false" customHeight="false" outlineLevel="0" collapsed="false">
      <c r="B125" s="0" t="s">
        <v>891</v>
      </c>
    </row>
    <row r="126" customFormat="false" ht="12.75" hidden="false" customHeight="false" outlineLevel="0" collapsed="false">
      <c r="C126" s="0" t="s">
        <v>866</v>
      </c>
    </row>
    <row r="127" customFormat="false" ht="12.75" hidden="false" customHeight="false" outlineLevel="0" collapsed="false">
      <c r="D127" s="0" t="s">
        <v>867</v>
      </c>
      <c r="E127" s="0" t="s">
        <v>887</v>
      </c>
      <c r="F127" s="330" t="n">
        <v>2.48</v>
      </c>
    </row>
    <row r="128" customFormat="false" ht="12.75" hidden="false" customHeight="false" outlineLevel="0" collapsed="false">
      <c r="D128" s="0" t="s">
        <v>866</v>
      </c>
      <c r="F128" s="454" t="n">
        <v>0.0089</v>
      </c>
    </row>
    <row r="129" customFormat="false" ht="12.75" hidden="false" customHeight="false" outlineLevel="0" collapsed="false">
      <c r="D129" s="0" t="s">
        <v>868</v>
      </c>
      <c r="F129" s="455" t="n">
        <v>0.0065</v>
      </c>
    </row>
    <row r="130" customFormat="false" ht="12.75" hidden="false" customHeight="false" outlineLevel="0" collapsed="false">
      <c r="D130" s="0" t="s">
        <v>870</v>
      </c>
      <c r="F130" s="384" t="n">
        <f aca="false">+F127/(1-F129)-F127</f>
        <v>0.0162254655259182</v>
      </c>
    </row>
    <row r="131" customFormat="false" ht="13.5" hidden="false" customHeight="false" outlineLevel="0" collapsed="false">
      <c r="D131" s="0" t="s">
        <v>871</v>
      </c>
      <c r="F131" s="386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0" t="s">
        <v>892</v>
      </c>
    </row>
    <row r="134" customFormat="false" ht="12.75" hidden="false" customHeight="false" outlineLevel="0" collapsed="false">
      <c r="C134" s="0" t="s">
        <v>866</v>
      </c>
    </row>
    <row r="135" customFormat="false" ht="12.75" hidden="false" customHeight="false" outlineLevel="0" collapsed="false">
      <c r="D135" s="0" t="s">
        <v>867</v>
      </c>
      <c r="E135" s="0" t="s">
        <v>887</v>
      </c>
      <c r="F135" s="330" t="n">
        <v>2.48</v>
      </c>
    </row>
    <row r="136" customFormat="false" ht="12.75" hidden="false" customHeight="false" outlineLevel="0" collapsed="false">
      <c r="D136" s="0" t="s">
        <v>893</v>
      </c>
      <c r="F136" s="454" t="n">
        <v>0.0079</v>
      </c>
    </row>
    <row r="137" customFormat="false" ht="12.75" hidden="false" customHeight="false" outlineLevel="0" collapsed="false">
      <c r="D137" s="0" t="s">
        <v>599</v>
      </c>
      <c r="F137" s="454" t="n">
        <v>0.0022</v>
      </c>
    </row>
    <row r="138" customFormat="false" ht="12.75" hidden="false" customHeight="false" outlineLevel="0" collapsed="false">
      <c r="D138" s="0" t="s">
        <v>868</v>
      </c>
      <c r="F138" s="455" t="n">
        <v>0.0325</v>
      </c>
    </row>
    <row r="139" customFormat="false" ht="12.75" hidden="false" customHeight="false" outlineLevel="0" collapsed="false">
      <c r="D139" s="0" t="s">
        <v>870</v>
      </c>
      <c r="F139" s="456" t="n">
        <f aca="false">+F135/(1-F138)-F135</f>
        <v>0.0833074935400515</v>
      </c>
    </row>
    <row r="140" customFormat="false" ht="13.5" hidden="false" customHeight="false" outlineLevel="0" collapsed="false">
      <c r="D140" s="0" t="s">
        <v>871</v>
      </c>
      <c r="F140" s="386" t="n">
        <f aca="false">SUM(F136:F137,F139)</f>
        <v>0.0934074935400515</v>
      </c>
    </row>
    <row r="141" customFormat="false" ht="13.5" hidden="false" customHeight="false" outlineLevel="0" collapsed="false">
      <c r="F141" s="330"/>
    </row>
    <row r="142" customFormat="false" ht="12.75" hidden="false" customHeight="false" outlineLevel="0" collapsed="false">
      <c r="F142" s="330"/>
    </row>
    <row r="143" customFormat="false" ht="12.75" hidden="false" customHeight="false" outlineLevel="0" collapsed="false">
      <c r="B143" s="0" t="s">
        <v>891</v>
      </c>
    </row>
    <row r="144" customFormat="false" ht="12.75" hidden="false" customHeight="false" outlineLevel="0" collapsed="false">
      <c r="C144" s="0" t="s">
        <v>872</v>
      </c>
    </row>
    <row r="145" customFormat="false" ht="12.75" hidden="false" customHeight="false" outlineLevel="0" collapsed="false">
      <c r="D145" s="0" t="s">
        <v>867</v>
      </c>
      <c r="E145" s="0" t="s">
        <v>887</v>
      </c>
      <c r="F145" s="330" t="n">
        <v>1.95</v>
      </c>
    </row>
    <row r="146" customFormat="false" ht="12.75" hidden="false" customHeight="false" outlineLevel="0" collapsed="false">
      <c r="D146" s="0" t="s">
        <v>872</v>
      </c>
      <c r="F146" s="454" t="n">
        <v>0.0089</v>
      </c>
    </row>
    <row r="147" customFormat="false" ht="12.75" hidden="false" customHeight="false" outlineLevel="0" collapsed="false">
      <c r="D147" s="0" t="s">
        <v>873</v>
      </c>
      <c r="F147" s="455" t="n">
        <v>0</v>
      </c>
    </row>
    <row r="148" customFormat="false" ht="12.75" hidden="false" customHeight="false" outlineLevel="0" collapsed="false">
      <c r="D148" s="0" t="s">
        <v>870</v>
      </c>
      <c r="F148" s="384" t="n">
        <f aca="false">+F145/(1-F147)-F145</f>
        <v>0</v>
      </c>
    </row>
    <row r="149" customFormat="false" ht="13.5" hidden="false" customHeight="false" outlineLevel="0" collapsed="false">
      <c r="D149" s="0" t="s">
        <v>871</v>
      </c>
      <c r="F149" s="386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0" t="s">
        <v>892</v>
      </c>
    </row>
    <row r="152" customFormat="false" ht="12.75" hidden="false" customHeight="false" outlineLevel="0" collapsed="false">
      <c r="C152" s="0" t="s">
        <v>872</v>
      </c>
    </row>
    <row r="153" customFormat="false" ht="12.75" hidden="false" customHeight="false" outlineLevel="0" collapsed="false">
      <c r="D153" s="0" t="s">
        <v>867</v>
      </c>
      <c r="E153" s="0" t="s">
        <v>887</v>
      </c>
      <c r="F153" s="330" t="n">
        <v>2.48</v>
      </c>
    </row>
    <row r="154" customFormat="false" ht="12.75" hidden="false" customHeight="false" outlineLevel="0" collapsed="false">
      <c r="D154" s="0" t="s">
        <v>893</v>
      </c>
      <c r="F154" s="454" t="n">
        <v>0.0079</v>
      </c>
    </row>
    <row r="155" customFormat="false" ht="12.75" hidden="false" customHeight="false" outlineLevel="0" collapsed="false">
      <c r="D155" s="0" t="s">
        <v>599</v>
      </c>
      <c r="F155" s="454" t="n">
        <v>0.0022</v>
      </c>
    </row>
    <row r="156" customFormat="false" ht="12.75" hidden="false" customHeight="false" outlineLevel="0" collapsed="false">
      <c r="D156" s="0" t="s">
        <v>873</v>
      </c>
      <c r="F156" s="455" t="n">
        <v>0</v>
      </c>
    </row>
    <row r="157" customFormat="false" ht="12.75" hidden="false" customHeight="false" outlineLevel="0" collapsed="false">
      <c r="D157" s="0" t="s">
        <v>870</v>
      </c>
      <c r="F157" s="456" t="n">
        <f aca="false">+F153/(1-F156)-F153</f>
        <v>0</v>
      </c>
    </row>
    <row r="158" customFormat="false" ht="13.5" hidden="false" customHeight="false" outlineLevel="0" collapsed="false">
      <c r="D158" s="0" t="s">
        <v>871</v>
      </c>
      <c r="F158" s="386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457"/>
      <c r="D161" s="457"/>
      <c r="E161" s="457"/>
      <c r="F161" s="457"/>
      <c r="G161" s="457"/>
    </row>
    <row r="162" customFormat="false" ht="12.75" hidden="false" customHeight="false" outlineLevel="0" collapsed="false">
      <c r="C162" s="457"/>
      <c r="D162" s="457"/>
      <c r="E162" s="457"/>
      <c r="F162" s="330"/>
      <c r="G162" s="457"/>
    </row>
    <row r="163" customFormat="false" ht="12.75" hidden="false" customHeight="false" outlineLevel="0" collapsed="false">
      <c r="C163" s="457"/>
      <c r="D163" s="457"/>
      <c r="E163" s="457"/>
      <c r="F163" s="454"/>
      <c r="G163" s="457"/>
    </row>
    <row r="164" customFormat="false" ht="12.75" hidden="false" customHeight="false" outlineLevel="0" collapsed="false">
      <c r="C164" s="457"/>
      <c r="D164" s="457"/>
      <c r="E164" s="457"/>
      <c r="F164" s="455"/>
      <c r="G164" s="457"/>
    </row>
    <row r="165" customFormat="false" ht="12.75" hidden="false" customHeight="false" outlineLevel="0" collapsed="false">
      <c r="C165" s="457"/>
      <c r="D165" s="457"/>
      <c r="E165" s="457"/>
      <c r="F165" s="330"/>
      <c r="G165" s="457"/>
    </row>
    <row r="166" customFormat="false" ht="12.75" hidden="false" customHeight="false" outlineLevel="0" collapsed="false">
      <c r="C166" s="457"/>
      <c r="D166" s="457"/>
      <c r="E166" s="457"/>
      <c r="F166" s="330"/>
      <c r="G166" s="457"/>
    </row>
    <row r="167" customFormat="false" ht="12.75" hidden="false" customHeight="false" outlineLevel="0" collapsed="false">
      <c r="C167" s="457"/>
      <c r="D167" s="457"/>
      <c r="E167" s="457"/>
      <c r="F167" s="457"/>
      <c r="G167" s="4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L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27" width="9.14"/>
    <col collapsed="false" customWidth="true" hidden="false" outlineLevel="0" max="6" min="6" style="27" width="11.13"/>
    <col collapsed="false" customWidth="false" hidden="false" outlineLevel="0" max="257" min="7" style="27" width="9.14"/>
  </cols>
  <sheetData>
    <row r="4" customFormat="false" ht="12.75" hidden="false" customHeight="false" outlineLevel="0" collapsed="false">
      <c r="A4" s="458" t="s">
        <v>894</v>
      </c>
      <c r="B4" s="458"/>
      <c r="C4" s="458"/>
      <c r="D4" s="458"/>
      <c r="E4" s="458"/>
      <c r="F4" s="458"/>
      <c r="G4" s="458"/>
      <c r="H4" s="458"/>
    </row>
    <row r="5" customFormat="false" ht="12.75" hidden="false" customHeight="false" outlineLevel="0" collapsed="false">
      <c r="A5" s="458"/>
      <c r="B5" s="458"/>
      <c r="C5" s="458"/>
      <c r="D5" s="458"/>
      <c r="E5" s="458"/>
      <c r="F5" s="458"/>
      <c r="G5" s="458"/>
      <c r="H5" s="458"/>
    </row>
    <row r="6" customFormat="false" ht="12.75" hidden="false" customHeight="false" outlineLevel="0" collapsed="false">
      <c r="A6" s="458" t="s">
        <v>25</v>
      </c>
      <c r="B6" s="458"/>
      <c r="C6" s="458"/>
      <c r="D6" s="458"/>
      <c r="E6" s="458"/>
      <c r="F6" s="458"/>
      <c r="G6" s="458"/>
      <c r="H6" s="458"/>
    </row>
    <row r="7" customFormat="false" ht="12.75" hidden="false" customHeight="false" outlineLevel="0" collapsed="false">
      <c r="A7" s="458"/>
      <c r="C7" s="458" t="s">
        <v>895</v>
      </c>
      <c r="D7" s="458" t="n">
        <f aca="false">(12/365)*'ECT Trans'!I1</f>
        <v>0.986301369863014</v>
      </c>
      <c r="E7" s="458" t="s">
        <v>896</v>
      </c>
      <c r="F7" s="458"/>
      <c r="G7" s="458"/>
      <c r="H7" s="458"/>
    </row>
    <row r="8" customFormat="false" ht="12.75" hidden="false" customHeight="false" outlineLevel="0" collapsed="false">
      <c r="A8" s="458"/>
      <c r="B8" s="458"/>
      <c r="C8" s="458"/>
      <c r="D8" s="458"/>
      <c r="E8" s="458"/>
      <c r="F8" s="458"/>
      <c r="G8" s="458"/>
      <c r="H8" s="458"/>
    </row>
    <row r="9" customFormat="false" ht="12.75" hidden="false" customHeight="false" outlineLevel="0" collapsed="false">
      <c r="A9" s="458"/>
      <c r="B9" s="458"/>
      <c r="C9" s="458"/>
      <c r="D9" s="458"/>
      <c r="E9" s="458"/>
      <c r="F9" s="458"/>
      <c r="G9" s="458"/>
      <c r="H9" s="458"/>
    </row>
    <row r="10" customFormat="false" ht="12.75" hidden="false" customHeight="false" outlineLevel="0" collapsed="false">
      <c r="A10" s="459" t="s">
        <v>897</v>
      </c>
      <c r="B10" s="459" t="n">
        <v>889108</v>
      </c>
      <c r="C10" s="459"/>
      <c r="D10" s="458"/>
      <c r="E10" s="458"/>
      <c r="F10" s="458"/>
      <c r="G10" s="458"/>
      <c r="H10" s="458"/>
    </row>
    <row r="11" customFormat="false" ht="12.75" hidden="false" customHeight="false" outlineLevel="0" collapsed="false">
      <c r="A11" s="459" t="s">
        <v>199</v>
      </c>
      <c r="B11" s="459" t="s">
        <v>279</v>
      </c>
      <c r="F11" s="458"/>
      <c r="G11" s="458"/>
      <c r="H11" s="458"/>
    </row>
    <row r="12" customFormat="false" ht="12.75" hidden="false" customHeight="false" outlineLevel="0" collapsed="false">
      <c r="A12" s="458"/>
      <c r="B12" s="458" t="s">
        <v>898</v>
      </c>
      <c r="C12" s="458" t="s">
        <v>899</v>
      </c>
      <c r="D12" s="458" t="s">
        <v>895</v>
      </c>
      <c r="E12" s="458" t="s">
        <v>900</v>
      </c>
      <c r="F12" s="458"/>
      <c r="G12" s="458"/>
    </row>
    <row r="13" customFormat="false" ht="12.75" hidden="false" customHeight="false" outlineLevel="0" collapsed="false">
      <c r="A13" s="458" t="s">
        <v>505</v>
      </c>
      <c r="B13" s="460" t="n">
        <v>3.41</v>
      </c>
      <c r="C13" s="458" t="n">
        <v>108</v>
      </c>
      <c r="D13" s="458" t="n">
        <f aca="false">+D$7</f>
        <v>0.986301369863014</v>
      </c>
      <c r="E13" s="461" t="n">
        <f aca="false">(+C13)*B13*D13</f>
        <v>363.235068493151</v>
      </c>
      <c r="F13" s="458"/>
      <c r="G13" s="458"/>
      <c r="I13" s="460"/>
      <c r="J13" s="458"/>
      <c r="K13" s="458"/>
      <c r="L13" s="461"/>
    </row>
    <row r="14" customFormat="false" ht="12.75" hidden="false" customHeight="false" outlineLevel="0" collapsed="false">
      <c r="A14" s="458" t="s">
        <v>901</v>
      </c>
      <c r="B14" s="460" t="n">
        <v>3.217</v>
      </c>
      <c r="C14" s="458" t="n">
        <v>29</v>
      </c>
      <c r="D14" s="458" t="n">
        <f aca="false">+D$7</f>
        <v>0.986301369863014</v>
      </c>
      <c r="E14" s="461" t="n">
        <f aca="false">(+C14)*B14*D14</f>
        <v>92.0150136986301</v>
      </c>
      <c r="F14" s="458"/>
      <c r="G14" s="458"/>
      <c r="I14" s="460"/>
      <c r="J14" s="458"/>
      <c r="K14" s="458"/>
      <c r="L14" s="461"/>
    </row>
    <row r="15" customFormat="false" ht="12.75" hidden="false" customHeight="false" outlineLevel="0" collapsed="false">
      <c r="A15" s="458" t="s">
        <v>326</v>
      </c>
      <c r="B15" s="460" t="n">
        <v>6.965</v>
      </c>
      <c r="C15" s="458" t="n">
        <v>46</v>
      </c>
      <c r="D15" s="458" t="n">
        <f aca="false">+D$7</f>
        <v>0.986301369863014</v>
      </c>
      <c r="E15" s="461" t="n">
        <f aca="false">(+C15)*B15*D15</f>
        <v>316.001095890411</v>
      </c>
      <c r="F15" s="458"/>
      <c r="G15" s="458"/>
      <c r="I15" s="460"/>
      <c r="J15" s="458"/>
      <c r="K15" s="458"/>
      <c r="L15" s="461"/>
    </row>
    <row r="16" customFormat="false" ht="12.75" hidden="false" customHeight="false" outlineLevel="0" collapsed="false">
      <c r="A16" s="458" t="s">
        <v>504</v>
      </c>
      <c r="B16" s="460" t="n">
        <v>2.922</v>
      </c>
      <c r="C16" s="458" t="n">
        <v>70</v>
      </c>
      <c r="D16" s="458" t="n">
        <f aca="false">+D$7</f>
        <v>0.986301369863014</v>
      </c>
      <c r="E16" s="461" t="n">
        <f aca="false">(+C16)*B16*D16</f>
        <v>201.738082191781</v>
      </c>
      <c r="F16" s="458"/>
      <c r="G16" s="458"/>
      <c r="I16" s="460"/>
      <c r="J16" s="458"/>
      <c r="K16" s="458"/>
      <c r="L16" s="461"/>
    </row>
    <row r="17" customFormat="false" ht="12.75" hidden="false" customHeight="false" outlineLevel="0" collapsed="false">
      <c r="A17" s="462" t="s">
        <v>902</v>
      </c>
      <c r="B17" s="460" t="n">
        <v>1.912</v>
      </c>
      <c r="C17" s="458" t="n">
        <v>170</v>
      </c>
      <c r="D17" s="458" t="n">
        <f aca="false">+D$7</f>
        <v>0.986301369863014</v>
      </c>
      <c r="E17" s="461" t="n">
        <f aca="false">(+C17)*B17*D17</f>
        <v>320.587397260274</v>
      </c>
      <c r="F17" s="458"/>
      <c r="G17" s="458"/>
      <c r="I17" s="460"/>
      <c r="J17" s="458"/>
      <c r="K17" s="458"/>
      <c r="L17" s="461"/>
    </row>
    <row r="18" customFormat="false" ht="12.75" hidden="false" customHeight="false" outlineLevel="0" collapsed="false">
      <c r="A18" s="458" t="s">
        <v>903</v>
      </c>
      <c r="B18" s="460" t="n">
        <v>3.942</v>
      </c>
      <c r="C18" s="458" t="n">
        <v>170</v>
      </c>
      <c r="D18" s="458" t="n">
        <f aca="false">+D$7</f>
        <v>0.986301369863014</v>
      </c>
      <c r="E18" s="461" t="n">
        <f aca="false">(+C18)*B18*D18</f>
        <v>660.96</v>
      </c>
      <c r="F18" s="458"/>
      <c r="G18" s="458"/>
      <c r="I18" s="460"/>
      <c r="J18" s="458"/>
      <c r="K18" s="458"/>
      <c r="L18" s="461"/>
    </row>
    <row r="19" customFormat="false" ht="12.75" hidden="false" customHeight="false" outlineLevel="0" collapsed="false">
      <c r="A19" s="458" t="s">
        <v>904</v>
      </c>
      <c r="B19" s="460" t="n">
        <v>2.691</v>
      </c>
      <c r="C19" s="458" t="n">
        <v>168</v>
      </c>
      <c r="D19" s="458" t="n">
        <f aca="false">+D$7</f>
        <v>0.986301369863014</v>
      </c>
      <c r="E19" s="461" t="n">
        <f aca="false">(+C19)*B19*D19</f>
        <v>445.89501369863</v>
      </c>
      <c r="F19" s="458"/>
      <c r="G19" s="458"/>
      <c r="I19" s="460"/>
      <c r="J19" s="458"/>
      <c r="K19" s="458"/>
      <c r="L19" s="461"/>
    </row>
    <row r="20" customFormat="false" ht="12.75" hidden="false" customHeight="false" outlineLevel="0" collapsed="false">
      <c r="A20" s="458" t="s">
        <v>905</v>
      </c>
      <c r="B20" s="460" t="n">
        <v>3.853</v>
      </c>
      <c r="C20" s="458" t="n">
        <v>170</v>
      </c>
      <c r="D20" s="458" t="n">
        <f aca="false">+D$7</f>
        <v>0.986301369863014</v>
      </c>
      <c r="E20" s="461" t="n">
        <f aca="false">(+C20)*B20*D20</f>
        <v>646.037260273973</v>
      </c>
      <c r="F20" s="458"/>
      <c r="G20" s="458"/>
      <c r="I20" s="460"/>
      <c r="J20" s="458"/>
      <c r="K20" s="458"/>
      <c r="L20" s="461"/>
    </row>
    <row r="21" customFormat="false" ht="12.75" hidden="false" customHeight="false" outlineLevel="0" collapsed="false">
      <c r="A21" s="458" t="s">
        <v>906</v>
      </c>
      <c r="B21" s="460" t="n">
        <v>5.3279</v>
      </c>
      <c r="C21" s="458" t="n">
        <v>170</v>
      </c>
      <c r="D21" s="458" t="n">
        <f aca="false">+D$7</f>
        <v>0.986301369863014</v>
      </c>
      <c r="E21" s="461" t="n">
        <f aca="false">(+C21)*B21*D21</f>
        <v>893.335561643836</v>
      </c>
      <c r="F21" s="458"/>
      <c r="G21" s="458"/>
      <c r="I21" s="460"/>
      <c r="J21" s="458"/>
      <c r="K21" s="458"/>
      <c r="L21" s="461"/>
    </row>
    <row r="22" customFormat="false" ht="13.5" hidden="false" customHeight="false" outlineLevel="0" collapsed="false">
      <c r="A22" s="458"/>
      <c r="B22" s="458"/>
      <c r="C22" s="458"/>
      <c r="D22" s="458"/>
      <c r="E22" s="463" t="n">
        <f aca="false">SUM(E13:E21)</f>
        <v>3939.80449315068</v>
      </c>
      <c r="F22" s="458"/>
      <c r="G22" s="458"/>
      <c r="L22" s="464"/>
    </row>
    <row r="23" customFormat="false" ht="13.5" hidden="false" customHeight="false" outlineLevel="0" collapsed="false">
      <c r="A23" s="458"/>
      <c r="B23" s="458"/>
      <c r="C23" s="458"/>
      <c r="D23" s="458" t="s">
        <v>907</v>
      </c>
      <c r="E23" s="458" t="n">
        <f aca="false">+C19</f>
        <v>168</v>
      </c>
      <c r="F23" s="458"/>
      <c r="G23" s="458"/>
    </row>
    <row r="24" customFormat="false" ht="12.75" hidden="false" customHeight="false" outlineLevel="0" collapsed="false">
      <c r="A24" s="458"/>
      <c r="B24" s="458"/>
      <c r="C24" s="458"/>
      <c r="D24" s="458" t="s">
        <v>98</v>
      </c>
      <c r="E24" s="465" t="n">
        <f aca="false">+'ECT Trans'!I1</f>
        <v>30</v>
      </c>
      <c r="F24" s="458"/>
      <c r="G24" s="458"/>
    </row>
    <row r="25" customFormat="false" ht="13.5" hidden="false" customHeight="false" outlineLevel="0" collapsed="false">
      <c r="A25" s="458"/>
      <c r="B25" s="458"/>
      <c r="C25" s="458"/>
      <c r="D25" s="458" t="s">
        <v>908</v>
      </c>
      <c r="E25" s="466" t="n">
        <f aca="false">ROUND(+E22/E23/E24,4)</f>
        <v>0.7817</v>
      </c>
      <c r="F25" s="458"/>
      <c r="G25" s="458"/>
      <c r="L25" s="467"/>
    </row>
    <row r="26" customFormat="false" ht="13.5" hidden="false" customHeight="false" outlineLevel="0" collapsed="false">
      <c r="A26" s="458"/>
      <c r="B26" s="458"/>
      <c r="C26" s="458"/>
      <c r="D26" s="458"/>
      <c r="E26" s="458"/>
      <c r="F26" s="458"/>
      <c r="G26" s="458"/>
      <c r="H26" s="458"/>
    </row>
    <row r="27" customFormat="false" ht="12.75" hidden="false" customHeight="false" outlineLevel="0" collapsed="false">
      <c r="A27" s="459" t="s">
        <v>897</v>
      </c>
      <c r="B27" s="459" t="n">
        <v>889088</v>
      </c>
      <c r="F27" s="458"/>
      <c r="G27" s="458"/>
      <c r="H27" s="458"/>
    </row>
    <row r="28" customFormat="false" ht="12.75" hidden="false" customHeight="false" outlineLevel="0" collapsed="false">
      <c r="A28" s="459" t="s">
        <v>909</v>
      </c>
      <c r="B28" s="459" t="s">
        <v>279</v>
      </c>
      <c r="C28" s="459" t="s">
        <v>910</v>
      </c>
      <c r="D28" s="459"/>
      <c r="E28" s="459"/>
      <c r="F28" s="458"/>
      <c r="G28" s="458"/>
      <c r="H28" s="458"/>
    </row>
    <row r="29" customFormat="false" ht="12.75" hidden="false" customHeight="false" outlineLevel="0" collapsed="false">
      <c r="A29" s="458"/>
      <c r="B29" s="458" t="s">
        <v>898</v>
      </c>
      <c r="C29" s="458" t="s">
        <v>911</v>
      </c>
      <c r="D29" s="458" t="s">
        <v>912</v>
      </c>
      <c r="E29" s="458" t="s">
        <v>895</v>
      </c>
      <c r="F29" s="458" t="s">
        <v>900</v>
      </c>
      <c r="G29" s="458"/>
      <c r="H29" s="458"/>
    </row>
    <row r="30" customFormat="false" ht="12.75" hidden="false" customHeight="false" outlineLevel="0" collapsed="false">
      <c r="A30" s="458" t="s">
        <v>505</v>
      </c>
      <c r="B30" s="460" t="n">
        <v>3.633</v>
      </c>
      <c r="C30" s="458" t="n">
        <v>62</v>
      </c>
      <c r="D30" s="458" t="n">
        <v>32</v>
      </c>
      <c r="E30" s="458" t="n">
        <f aca="false">+D$7</f>
        <v>0.986301369863014</v>
      </c>
      <c r="F30" s="461" t="n">
        <f aca="false">(+C30+D30)*B30*E30</f>
        <v>336.823890410959</v>
      </c>
      <c r="G30" s="458"/>
      <c r="H30" s="458"/>
    </row>
    <row r="31" customFormat="false" ht="12.75" hidden="false" customHeight="false" outlineLevel="0" collapsed="false">
      <c r="A31" s="458" t="s">
        <v>901</v>
      </c>
      <c r="B31" s="460" t="n">
        <v>3.44</v>
      </c>
      <c r="C31" s="458" t="n">
        <v>17</v>
      </c>
      <c r="D31" s="458" t="n">
        <v>8</v>
      </c>
      <c r="E31" s="458" t="n">
        <f aca="false">+D$7</f>
        <v>0.986301369863014</v>
      </c>
      <c r="F31" s="461" t="n">
        <f aca="false">(+C31+D31)*B31*E31</f>
        <v>84.8219178082192</v>
      </c>
      <c r="G31" s="458"/>
      <c r="H31" s="458"/>
    </row>
    <row r="32" customFormat="false" ht="12.75" hidden="false" customHeight="false" outlineLevel="0" collapsed="false">
      <c r="A32" s="458" t="s">
        <v>326</v>
      </c>
      <c r="B32" s="460" t="n">
        <v>7.188</v>
      </c>
      <c r="C32" s="458" t="n">
        <v>28</v>
      </c>
      <c r="D32" s="458" t="n">
        <v>14</v>
      </c>
      <c r="E32" s="458" t="n">
        <f aca="false">+D$7</f>
        <v>0.986301369863014</v>
      </c>
      <c r="F32" s="461" t="n">
        <f aca="false">(+C32+D32)*B32*E32</f>
        <v>297.760438356164</v>
      </c>
      <c r="G32" s="458"/>
      <c r="H32" s="458"/>
    </row>
    <row r="33" customFormat="false" ht="12.75" hidden="false" customHeight="false" outlineLevel="0" collapsed="false">
      <c r="A33" s="458" t="s">
        <v>504</v>
      </c>
      <c r="B33" s="460" t="n">
        <v>3.145</v>
      </c>
      <c r="C33" s="458" t="n">
        <v>41</v>
      </c>
      <c r="D33" s="458" t="n">
        <v>21</v>
      </c>
      <c r="E33" s="458" t="n">
        <f aca="false">+D$7</f>
        <v>0.986301369863014</v>
      </c>
      <c r="F33" s="461" t="n">
        <f aca="false">(+C33+D33)*B33*E33</f>
        <v>192.318904109589</v>
      </c>
      <c r="G33" s="458"/>
      <c r="H33" s="458"/>
    </row>
    <row r="34" customFormat="false" ht="12.75" hidden="false" customHeight="false" outlineLevel="0" collapsed="false">
      <c r="A34" s="462" t="s">
        <v>902</v>
      </c>
      <c r="B34" s="460" t="n">
        <v>1.912</v>
      </c>
      <c r="C34" s="458" t="n">
        <v>102</v>
      </c>
      <c r="D34" s="458" t="n">
        <v>52</v>
      </c>
      <c r="E34" s="458" t="n">
        <f aca="false">+D$7</f>
        <v>0.986301369863014</v>
      </c>
      <c r="F34" s="461" t="n">
        <f aca="false">(+C34+D34)*B34*E34</f>
        <v>290.414465753425</v>
      </c>
      <c r="G34" s="458"/>
      <c r="H34" s="458"/>
    </row>
    <row r="35" customFormat="false" ht="12.75" hidden="false" customHeight="false" outlineLevel="0" collapsed="false">
      <c r="A35" s="458" t="s">
        <v>903</v>
      </c>
      <c r="B35" s="460" t="n">
        <v>3.942</v>
      </c>
      <c r="C35" s="458" t="n">
        <v>102</v>
      </c>
      <c r="D35" s="458" t="n">
        <v>51</v>
      </c>
      <c r="E35" s="458" t="n">
        <f aca="false">+D$7</f>
        <v>0.986301369863014</v>
      </c>
      <c r="F35" s="461" t="n">
        <f aca="false">(+C35+D35)*B35*E35</f>
        <v>594.864</v>
      </c>
      <c r="G35" s="458"/>
      <c r="H35" s="458"/>
    </row>
    <row r="36" customFormat="false" ht="12.75" hidden="false" customHeight="false" outlineLevel="0" collapsed="false">
      <c r="A36" s="458" t="s">
        <v>904</v>
      </c>
      <c r="B36" s="460" t="n">
        <v>2.691</v>
      </c>
      <c r="C36" s="458" t="n">
        <v>100</v>
      </c>
      <c r="D36" s="458" t="n">
        <v>51</v>
      </c>
      <c r="E36" s="458" t="n">
        <f aca="false">+D$7</f>
        <v>0.986301369863014</v>
      </c>
      <c r="F36" s="461" t="n">
        <f aca="false">(+C36+D36)*B36*E36</f>
        <v>400.774684931507</v>
      </c>
      <c r="G36" s="458"/>
      <c r="H36" s="458"/>
    </row>
    <row r="37" customFormat="false" ht="12.75" hidden="false" customHeight="false" outlineLevel="0" collapsed="false">
      <c r="A37" s="458" t="s">
        <v>905</v>
      </c>
      <c r="B37" s="460" t="n">
        <v>4.076</v>
      </c>
      <c r="C37" s="458" t="n">
        <v>102</v>
      </c>
      <c r="D37" s="458" t="n">
        <v>52</v>
      </c>
      <c r="E37" s="458" t="n">
        <f aca="false">+D$7</f>
        <v>0.986301369863014</v>
      </c>
      <c r="F37" s="461" t="n">
        <f aca="false">(+C37+D37)*B37*E37</f>
        <v>619.105315068493</v>
      </c>
      <c r="G37" s="458"/>
      <c r="H37" s="458"/>
    </row>
    <row r="38" customFormat="false" ht="13.5" hidden="false" customHeight="false" outlineLevel="0" collapsed="false">
      <c r="A38" s="458"/>
      <c r="B38" s="458"/>
      <c r="C38" s="458"/>
      <c r="E38" s="458"/>
      <c r="F38" s="463" t="n">
        <f aca="false">SUM(F30:F37)</f>
        <v>2816.88361643836</v>
      </c>
      <c r="G38" s="458"/>
      <c r="H38" s="458"/>
    </row>
    <row r="39" customFormat="false" ht="13.5" hidden="false" customHeight="false" outlineLevel="0" collapsed="false">
      <c r="A39" s="458"/>
      <c r="B39" s="458"/>
      <c r="C39" s="458"/>
      <c r="E39" s="458" t="s">
        <v>907</v>
      </c>
      <c r="F39" s="458" t="n">
        <f aca="false">+D37+C37</f>
        <v>154</v>
      </c>
      <c r="G39" s="458"/>
      <c r="H39" s="458"/>
    </row>
    <row r="40" customFormat="false" ht="12.75" hidden="false" customHeight="false" outlineLevel="0" collapsed="false">
      <c r="A40" s="458"/>
      <c r="B40" s="458"/>
      <c r="C40" s="458"/>
      <c r="E40" s="458" t="s">
        <v>98</v>
      </c>
      <c r="F40" s="465" t="e">
        <f aca="false">+#REF!</f>
        <v>#REF!</v>
      </c>
      <c r="G40" s="458"/>
      <c r="H40" s="458"/>
    </row>
    <row r="41" customFormat="false" ht="13.5" hidden="false" customHeight="false" outlineLevel="0" collapsed="false">
      <c r="A41" s="458"/>
      <c r="B41" s="458"/>
      <c r="C41" s="458"/>
      <c r="E41" s="458" t="s">
        <v>908</v>
      </c>
      <c r="F41" s="466" t="e">
        <f aca="false">ROUND(+F38/F39/F40,4)</f>
        <v>#REF!</v>
      </c>
      <c r="G41" s="458"/>
      <c r="H41" s="458"/>
    </row>
    <row r="42" customFormat="false" ht="13.5" hidden="false" customHeight="false" outlineLevel="0" collapsed="false">
      <c r="A42" s="458"/>
      <c r="B42" s="458"/>
      <c r="C42" s="458"/>
      <c r="D42" s="458"/>
      <c r="E42" s="458"/>
      <c r="F42" s="458"/>
      <c r="G42" s="458"/>
      <c r="H42" s="458"/>
    </row>
    <row r="43" customFormat="false" ht="12.75" hidden="false" customHeight="false" outlineLevel="0" collapsed="false">
      <c r="A43" s="458"/>
      <c r="B43" s="458"/>
      <c r="C43" s="458"/>
      <c r="D43" s="458"/>
      <c r="E43" s="458"/>
      <c r="F43" s="458"/>
      <c r="G43" s="458"/>
      <c r="H43" s="458"/>
    </row>
    <row r="44" customFormat="false" ht="12.75" hidden="false" customHeight="false" outlineLevel="0" collapsed="false">
      <c r="A44" s="459" t="s">
        <v>897</v>
      </c>
      <c r="B44" s="459" t="n">
        <v>889110</v>
      </c>
      <c r="F44" s="458"/>
      <c r="G44" s="458"/>
      <c r="H44" s="458"/>
    </row>
    <row r="45" customFormat="false" ht="12.75" hidden="false" customHeight="false" outlineLevel="0" collapsed="false">
      <c r="A45" s="459" t="s">
        <v>199</v>
      </c>
      <c r="B45" s="459" t="s">
        <v>279</v>
      </c>
      <c r="C45" s="459"/>
      <c r="D45" s="459"/>
      <c r="E45" s="459"/>
      <c r="F45" s="458"/>
      <c r="G45" s="458"/>
      <c r="H45" s="458"/>
    </row>
    <row r="46" customFormat="false" ht="12.75" hidden="false" customHeight="false" outlineLevel="0" collapsed="false">
      <c r="A46" s="458"/>
      <c r="B46" s="458" t="s">
        <v>898</v>
      </c>
      <c r="C46" s="458" t="s">
        <v>913</v>
      </c>
      <c r="D46" s="458" t="s">
        <v>914</v>
      </c>
      <c r="E46" s="458" t="s">
        <v>895</v>
      </c>
      <c r="F46" s="458" t="s">
        <v>900</v>
      </c>
      <c r="G46" s="458"/>
      <c r="H46" s="458"/>
    </row>
    <row r="47" customFormat="false" ht="12.75" hidden="false" customHeight="false" outlineLevel="0" collapsed="false">
      <c r="A47" s="458" t="s">
        <v>505</v>
      </c>
      <c r="B47" s="460" t="n">
        <v>3.41</v>
      </c>
      <c r="C47" s="458" t="n">
        <v>13</v>
      </c>
      <c r="D47" s="458" t="n">
        <v>0</v>
      </c>
      <c r="E47" s="458" t="n">
        <f aca="false">+D$7</f>
        <v>0.986301369863014</v>
      </c>
      <c r="F47" s="461" t="n">
        <f aca="false">(+C47+D47)*B47*E47</f>
        <v>43.7227397260274</v>
      </c>
      <c r="G47" s="458"/>
      <c r="H47" s="458"/>
    </row>
    <row r="48" customFormat="false" ht="12.75" hidden="false" customHeight="false" outlineLevel="0" collapsed="false">
      <c r="A48" s="458" t="s">
        <v>901</v>
      </c>
      <c r="B48" s="460" t="n">
        <v>3.217</v>
      </c>
      <c r="C48" s="458" t="n">
        <v>4</v>
      </c>
      <c r="D48" s="458" t="n">
        <v>0</v>
      </c>
      <c r="E48" s="458" t="n">
        <f aca="false">+D$7</f>
        <v>0.986301369863014</v>
      </c>
      <c r="F48" s="461" t="n">
        <f aca="false">(+C48+D48)*B48*E48</f>
        <v>12.6917260273973</v>
      </c>
      <c r="G48" s="458"/>
      <c r="H48" s="458"/>
    </row>
    <row r="49" customFormat="false" ht="12.75" hidden="false" customHeight="false" outlineLevel="0" collapsed="false">
      <c r="A49" s="458" t="s">
        <v>326</v>
      </c>
      <c r="B49" s="460" t="n">
        <v>6.965</v>
      </c>
      <c r="C49" s="458" t="n">
        <v>6</v>
      </c>
      <c r="D49" s="458" t="n">
        <v>0</v>
      </c>
      <c r="E49" s="458" t="n">
        <f aca="false">+D$7</f>
        <v>0.986301369863014</v>
      </c>
      <c r="F49" s="461" t="n">
        <f aca="false">(+C49+D49)*B49*E49</f>
        <v>41.2175342465753</v>
      </c>
      <c r="G49" s="458"/>
      <c r="H49" s="458"/>
    </row>
    <row r="50" customFormat="false" ht="12.75" hidden="false" customHeight="false" outlineLevel="0" collapsed="false">
      <c r="A50" s="458" t="s">
        <v>504</v>
      </c>
      <c r="B50" s="460" t="n">
        <v>2.922</v>
      </c>
      <c r="C50" s="458" t="n">
        <v>9</v>
      </c>
      <c r="D50" s="458" t="n">
        <v>0</v>
      </c>
      <c r="E50" s="458" t="n">
        <f aca="false">+D$7</f>
        <v>0.986301369863014</v>
      </c>
      <c r="F50" s="461" t="n">
        <f aca="false">(+C50+D50)*B50*E50</f>
        <v>25.9377534246575</v>
      </c>
      <c r="G50" s="458"/>
      <c r="H50" s="458"/>
    </row>
    <row r="51" customFormat="false" ht="12.75" hidden="false" customHeight="false" outlineLevel="0" collapsed="false">
      <c r="A51" s="462" t="s">
        <v>902</v>
      </c>
      <c r="B51" s="460" t="n">
        <v>1.912</v>
      </c>
      <c r="C51" s="458" t="n">
        <v>21</v>
      </c>
      <c r="D51" s="458" t="n">
        <v>0</v>
      </c>
      <c r="E51" s="458" t="n">
        <f aca="false">+D$7</f>
        <v>0.986301369863014</v>
      </c>
      <c r="F51" s="461" t="n">
        <f aca="false">(+C51+D51)*B51*E51</f>
        <v>39.6019726027397</v>
      </c>
      <c r="G51" s="458"/>
      <c r="H51" s="458"/>
    </row>
    <row r="52" customFormat="false" ht="12.75" hidden="false" customHeight="false" outlineLevel="0" collapsed="false">
      <c r="A52" s="458" t="s">
        <v>903</v>
      </c>
      <c r="B52" s="460" t="n">
        <v>3.942</v>
      </c>
      <c r="C52" s="458" t="n">
        <v>21</v>
      </c>
      <c r="D52" s="458" t="n">
        <v>0</v>
      </c>
      <c r="E52" s="458" t="n">
        <f aca="false">+D$7</f>
        <v>0.986301369863014</v>
      </c>
      <c r="F52" s="461" t="n">
        <f aca="false">(+C52+D52)*B52*E52</f>
        <v>81.648</v>
      </c>
      <c r="G52" s="458"/>
      <c r="H52" s="458"/>
    </row>
    <row r="53" customFormat="false" ht="12.75" hidden="false" customHeight="false" outlineLevel="0" collapsed="false">
      <c r="A53" s="458" t="s">
        <v>915</v>
      </c>
      <c r="B53" s="460" t="n">
        <v>3.796</v>
      </c>
      <c r="C53" s="458" t="n">
        <v>21</v>
      </c>
      <c r="D53" s="458" t="n">
        <v>0</v>
      </c>
      <c r="E53" s="458" t="n">
        <f aca="false">+D$7</f>
        <v>0.986301369863014</v>
      </c>
      <c r="F53" s="461" t="n">
        <f aca="false">(+C53+D53)*B53*E53</f>
        <v>78.624</v>
      </c>
      <c r="G53" s="458"/>
      <c r="H53" s="458"/>
    </row>
    <row r="54" customFormat="false" ht="13.5" hidden="false" customHeight="false" outlineLevel="0" collapsed="false">
      <c r="A54" s="458"/>
      <c r="B54" s="458"/>
      <c r="C54" s="458"/>
      <c r="E54" s="458"/>
      <c r="F54" s="463" t="n">
        <f aca="false">SUM(F47:F53)</f>
        <v>323.443726027397</v>
      </c>
      <c r="G54" s="458"/>
      <c r="H54" s="458"/>
    </row>
    <row r="55" customFormat="false" ht="13.5" hidden="false" customHeight="false" outlineLevel="0" collapsed="false">
      <c r="A55" s="458"/>
      <c r="B55" s="458"/>
      <c r="C55" s="458"/>
      <c r="E55" s="458" t="s">
        <v>907</v>
      </c>
      <c r="F55" s="458" t="n">
        <f aca="false">+C52+D52</f>
        <v>21</v>
      </c>
      <c r="G55" s="458"/>
      <c r="H55" s="458"/>
    </row>
    <row r="56" customFormat="false" ht="12.75" hidden="false" customHeight="false" outlineLevel="0" collapsed="false">
      <c r="A56" s="458"/>
      <c r="B56" s="458"/>
      <c r="C56" s="458"/>
      <c r="E56" s="458" t="s">
        <v>98</v>
      </c>
      <c r="F56" s="465" t="n">
        <f aca="false">+'ECT Trans'!I1</f>
        <v>30</v>
      </c>
      <c r="G56" s="458"/>
      <c r="H56" s="458"/>
    </row>
    <row r="57" customFormat="false" ht="13.5" hidden="false" customHeight="false" outlineLevel="0" collapsed="false">
      <c r="A57" s="458"/>
      <c r="B57" s="458"/>
      <c r="C57" s="458"/>
      <c r="E57" s="458" t="s">
        <v>908</v>
      </c>
      <c r="F57" s="466" t="n">
        <f aca="false">ROUND(+F54/F55/F56,4)</f>
        <v>0.5134</v>
      </c>
      <c r="G57" s="458"/>
      <c r="H57" s="458"/>
    </row>
    <row r="58" customFormat="false" ht="13.5" hidden="false" customHeight="false" outlineLevel="0" collapsed="false">
      <c r="A58" s="458"/>
      <c r="B58" s="458"/>
      <c r="C58" s="458"/>
      <c r="D58" s="458"/>
      <c r="E58" s="458"/>
      <c r="F58" s="458"/>
      <c r="G58" s="458"/>
      <c r="H58" s="458"/>
    </row>
    <row r="59" customFormat="false" ht="12.75" hidden="false" customHeight="false" outlineLevel="0" collapsed="false">
      <c r="A59" s="458"/>
      <c r="B59" s="458"/>
      <c r="C59" s="458"/>
      <c r="D59" s="458"/>
      <c r="E59" s="458"/>
      <c r="F59" s="458"/>
      <c r="G59" s="458"/>
      <c r="H59" s="458"/>
    </row>
    <row r="60" customFormat="false" ht="12.75" hidden="false" customHeight="false" outlineLevel="0" collapsed="false">
      <c r="A60" s="459" t="s">
        <v>897</v>
      </c>
      <c r="B60" s="459" t="n">
        <v>889111</v>
      </c>
      <c r="F60" s="458"/>
      <c r="G60" s="458"/>
      <c r="H60" s="458"/>
    </row>
    <row r="61" customFormat="false" ht="12.75" hidden="false" customHeight="false" outlineLevel="0" collapsed="false">
      <c r="A61" s="459" t="s">
        <v>909</v>
      </c>
      <c r="B61" s="459" t="s">
        <v>279</v>
      </c>
      <c r="C61" s="459"/>
      <c r="D61" s="459"/>
      <c r="E61" s="459"/>
      <c r="F61" s="458"/>
      <c r="G61" s="458"/>
      <c r="H61" s="458"/>
    </row>
    <row r="62" customFormat="false" ht="12.75" hidden="false" customHeight="false" outlineLevel="0" collapsed="false">
      <c r="A62" s="458"/>
      <c r="B62" s="458" t="s">
        <v>898</v>
      </c>
      <c r="C62" s="458" t="s">
        <v>916</v>
      </c>
      <c r="D62" s="458" t="s">
        <v>914</v>
      </c>
      <c r="E62" s="458" t="s">
        <v>895</v>
      </c>
      <c r="F62" s="458" t="s">
        <v>900</v>
      </c>
      <c r="G62" s="458"/>
      <c r="H62" s="458"/>
    </row>
    <row r="63" customFormat="false" ht="12.75" hidden="false" customHeight="false" outlineLevel="0" collapsed="false">
      <c r="A63" s="458" t="s">
        <v>505</v>
      </c>
      <c r="B63" s="460" t="n">
        <v>3.637</v>
      </c>
      <c r="C63" s="458" t="n">
        <v>88</v>
      </c>
      <c r="D63" s="458" t="n">
        <v>0</v>
      </c>
      <c r="E63" s="458" t="n">
        <f aca="false">+D$7</f>
        <v>0.986301369863014</v>
      </c>
      <c r="F63" s="461" t="n">
        <f aca="false">(+C63+D63)*B63*E63</f>
        <v>315.671671232877</v>
      </c>
      <c r="G63" s="458"/>
      <c r="H63" s="458"/>
    </row>
    <row r="64" customFormat="false" ht="12.75" hidden="false" customHeight="false" outlineLevel="0" collapsed="false">
      <c r="A64" s="458" t="s">
        <v>901</v>
      </c>
      <c r="B64" s="460" t="n">
        <v>3.444</v>
      </c>
      <c r="C64" s="458" t="n">
        <v>24</v>
      </c>
      <c r="D64" s="458" t="n">
        <v>0</v>
      </c>
      <c r="E64" s="458" t="n">
        <f aca="false">+D$7</f>
        <v>0.986301369863014</v>
      </c>
      <c r="F64" s="461" t="n">
        <f aca="false">(+C64+D64)*B64*E64</f>
        <v>81.5237260273973</v>
      </c>
      <c r="G64" s="458"/>
      <c r="H64" s="458"/>
    </row>
    <row r="65" customFormat="false" ht="12.75" hidden="false" customHeight="false" outlineLevel="0" collapsed="false">
      <c r="A65" s="458" t="s">
        <v>326</v>
      </c>
      <c r="B65" s="460" t="n">
        <v>7.192</v>
      </c>
      <c r="C65" s="458" t="n">
        <v>39</v>
      </c>
      <c r="D65" s="458" t="n">
        <v>0</v>
      </c>
      <c r="E65" s="458" t="n">
        <f aca="false">+D$7</f>
        <v>0.986301369863014</v>
      </c>
      <c r="F65" s="461" t="n">
        <f aca="false">(+C65+D65)*B65*E65</f>
        <v>276.645698630137</v>
      </c>
      <c r="G65" s="458"/>
      <c r="H65" s="458"/>
    </row>
    <row r="66" customFormat="false" ht="12.75" hidden="false" customHeight="false" outlineLevel="0" collapsed="false">
      <c r="A66" s="458" t="s">
        <v>504</v>
      </c>
      <c r="B66" s="460" t="n">
        <v>3.156</v>
      </c>
      <c r="C66" s="458" t="n">
        <v>58</v>
      </c>
      <c r="D66" s="458" t="n">
        <v>0</v>
      </c>
      <c r="E66" s="458" t="n">
        <f aca="false">+D$7</f>
        <v>0.986301369863014</v>
      </c>
      <c r="F66" s="461" t="n">
        <f aca="false">(+C66+D66)*B66*E66</f>
        <v>180.540493150685</v>
      </c>
      <c r="G66" s="458"/>
      <c r="H66" s="458"/>
    </row>
    <row r="67" customFormat="false" ht="12.75" hidden="false" customHeight="false" outlineLevel="0" collapsed="false">
      <c r="A67" s="462" t="s">
        <v>902</v>
      </c>
      <c r="B67" s="460" t="n">
        <v>1.912</v>
      </c>
      <c r="C67" s="458" t="n">
        <v>141</v>
      </c>
      <c r="D67" s="458" t="n">
        <v>0</v>
      </c>
      <c r="E67" s="458" t="n">
        <f aca="false">+D$7</f>
        <v>0.986301369863014</v>
      </c>
      <c r="F67" s="461" t="n">
        <f aca="false">(+C67+D67)*B67*E67</f>
        <v>265.89895890411</v>
      </c>
      <c r="G67" s="458"/>
      <c r="H67" s="458"/>
    </row>
    <row r="68" customFormat="false" ht="12.75" hidden="false" customHeight="false" outlineLevel="0" collapsed="false">
      <c r="A68" s="458" t="s">
        <v>903</v>
      </c>
      <c r="B68" s="460" t="n">
        <v>3.942</v>
      </c>
      <c r="C68" s="458" t="n">
        <v>141</v>
      </c>
      <c r="D68" s="458" t="n">
        <v>0</v>
      </c>
      <c r="E68" s="458" t="n">
        <f aca="false">+D$7</f>
        <v>0.986301369863014</v>
      </c>
      <c r="F68" s="461" t="n">
        <f aca="false">(+C68+D68)*B68*E68</f>
        <v>548.208</v>
      </c>
      <c r="G68" s="458"/>
      <c r="H68" s="458"/>
    </row>
    <row r="69" customFormat="false" ht="12.75" hidden="false" customHeight="false" outlineLevel="0" collapsed="false">
      <c r="A69" s="458" t="s">
        <v>904</v>
      </c>
      <c r="B69" s="460" t="n">
        <v>2.691</v>
      </c>
      <c r="C69" s="458" t="n">
        <v>138</v>
      </c>
      <c r="D69" s="458" t="n">
        <v>0</v>
      </c>
      <c r="E69" s="458" t="n">
        <f aca="false">+D$7</f>
        <v>0.986301369863014</v>
      </c>
      <c r="F69" s="461" t="n">
        <f aca="false">(+C69+D69)*B69*E69</f>
        <v>366.270904109589</v>
      </c>
      <c r="G69" s="458"/>
      <c r="H69" s="458"/>
    </row>
    <row r="70" customFormat="false" ht="12.75" hidden="false" customHeight="false" outlineLevel="0" collapsed="false">
      <c r="A70" s="458" t="s">
        <v>905</v>
      </c>
      <c r="B70" s="460" t="n">
        <v>4.066</v>
      </c>
      <c r="C70" s="458" t="n">
        <v>141</v>
      </c>
      <c r="D70" s="458" t="n">
        <v>0</v>
      </c>
      <c r="E70" s="458" t="n">
        <f aca="false">+D$7</f>
        <v>0.986301369863014</v>
      </c>
      <c r="F70" s="461" t="n">
        <f aca="false">(+C70+D70)*B70*E70</f>
        <v>565.452493150685</v>
      </c>
      <c r="G70" s="458"/>
      <c r="H70" s="458"/>
    </row>
    <row r="71" customFormat="false" ht="13.5" hidden="false" customHeight="false" outlineLevel="0" collapsed="false">
      <c r="A71" s="458"/>
      <c r="B71" s="458"/>
      <c r="C71" s="458"/>
      <c r="E71" s="458"/>
      <c r="F71" s="463" t="n">
        <f aca="false">SUM(F63:F70)</f>
        <v>2600.21194520548</v>
      </c>
      <c r="G71" s="458"/>
      <c r="H71" s="458"/>
    </row>
    <row r="72" customFormat="false" ht="13.5" hidden="false" customHeight="false" outlineLevel="0" collapsed="false">
      <c r="A72" s="458"/>
      <c r="B72" s="458"/>
      <c r="C72" s="458"/>
      <c r="E72" s="458" t="s">
        <v>907</v>
      </c>
      <c r="F72" s="458" t="n">
        <f aca="false">+C69+D69</f>
        <v>138</v>
      </c>
      <c r="G72" s="458"/>
      <c r="H72" s="458"/>
    </row>
    <row r="73" customFormat="false" ht="12.75" hidden="false" customHeight="false" outlineLevel="0" collapsed="false">
      <c r="A73" s="458"/>
      <c r="B73" s="458"/>
      <c r="C73" s="458"/>
      <c r="E73" s="458" t="s">
        <v>98</v>
      </c>
      <c r="F73" s="465" t="n">
        <f aca="false">+'ECT Trans'!I1</f>
        <v>30</v>
      </c>
      <c r="G73" s="458"/>
      <c r="H73" s="458"/>
    </row>
    <row r="74" customFormat="false" ht="13.5" hidden="false" customHeight="false" outlineLevel="0" collapsed="false">
      <c r="A74" s="458"/>
      <c r="B74" s="458"/>
      <c r="C74" s="458"/>
      <c r="E74" s="458" t="s">
        <v>908</v>
      </c>
      <c r="F74" s="466" t="n">
        <f aca="false">ROUND(+F71/F72/F73,4)</f>
        <v>0.6281</v>
      </c>
      <c r="G74" s="458"/>
      <c r="H74" s="458"/>
    </row>
    <row r="75" customFormat="false" ht="13.5" hidden="false" customHeight="false" outlineLevel="0" collapsed="false">
      <c r="A75" s="458"/>
      <c r="C75" s="458"/>
      <c r="D75" s="458"/>
      <c r="E75" s="458"/>
      <c r="F75" s="458"/>
      <c r="G75" s="458"/>
      <c r="H75" s="458"/>
      <c r="L75" s="73"/>
    </row>
    <row r="76" customFormat="false" ht="12.75" hidden="false" customHeight="false" outlineLevel="0" collapsed="false">
      <c r="A76" s="459" t="s">
        <v>897</v>
      </c>
      <c r="B76" s="459" t="n">
        <v>889112</v>
      </c>
      <c r="F76" s="458"/>
      <c r="G76" s="458"/>
      <c r="H76" s="458"/>
    </row>
    <row r="77" customFormat="false" ht="12.75" hidden="false" customHeight="false" outlineLevel="0" collapsed="false">
      <c r="A77" s="459" t="s">
        <v>199</v>
      </c>
      <c r="B77" s="459" t="s">
        <v>279</v>
      </c>
      <c r="C77" s="459"/>
      <c r="D77" s="459"/>
      <c r="E77" s="459"/>
      <c r="F77" s="458"/>
      <c r="G77" s="458"/>
      <c r="H77" s="458"/>
    </row>
    <row r="78" customFormat="false" ht="12.75" hidden="false" customHeight="false" outlineLevel="0" collapsed="false">
      <c r="A78" s="458"/>
      <c r="B78" s="458" t="s">
        <v>898</v>
      </c>
      <c r="C78" s="458" t="s">
        <v>917</v>
      </c>
      <c r="D78" s="458" t="s">
        <v>895</v>
      </c>
      <c r="E78" s="458" t="s">
        <v>900</v>
      </c>
      <c r="F78" s="458"/>
      <c r="G78" s="458"/>
    </row>
    <row r="79" customFormat="false" ht="12.75" hidden="false" customHeight="false" outlineLevel="0" collapsed="false">
      <c r="A79" s="458" t="s">
        <v>505</v>
      </c>
      <c r="B79" s="460" t="n">
        <v>3.41</v>
      </c>
      <c r="C79" s="458" t="n">
        <v>224</v>
      </c>
      <c r="D79" s="458" t="n">
        <f aca="false">+D$7</f>
        <v>0.986301369863014</v>
      </c>
      <c r="E79" s="461" t="n">
        <f aca="false">(+C79)*B79*D79</f>
        <v>753.376438356164</v>
      </c>
      <c r="F79" s="458"/>
      <c r="G79" s="458"/>
    </row>
    <row r="80" customFormat="false" ht="12.75" hidden="false" customHeight="false" outlineLevel="0" collapsed="false">
      <c r="A80" s="458" t="s">
        <v>901</v>
      </c>
      <c r="B80" s="460" t="n">
        <v>3.217</v>
      </c>
      <c r="C80" s="458" t="n">
        <v>60</v>
      </c>
      <c r="D80" s="458" t="n">
        <f aca="false">+D$7</f>
        <v>0.986301369863014</v>
      </c>
      <c r="E80" s="461" t="n">
        <f aca="false">(+C80)*B80*D80</f>
        <v>190.375890410959</v>
      </c>
      <c r="F80" s="458"/>
      <c r="G80" s="458"/>
    </row>
    <row r="81" customFormat="false" ht="12.75" hidden="false" customHeight="false" outlineLevel="0" collapsed="false">
      <c r="A81" s="458" t="s">
        <v>326</v>
      </c>
      <c r="B81" s="460" t="n">
        <v>6.965</v>
      </c>
      <c r="C81" s="458" t="n">
        <v>98</v>
      </c>
      <c r="D81" s="458" t="n">
        <f aca="false">+D$7</f>
        <v>0.986301369863014</v>
      </c>
      <c r="E81" s="461" t="n">
        <f aca="false">(+C81)*B81*D81</f>
        <v>673.219726027397</v>
      </c>
      <c r="F81" s="458"/>
      <c r="G81" s="458"/>
    </row>
    <row r="82" customFormat="false" ht="12.75" hidden="false" customHeight="false" outlineLevel="0" collapsed="false">
      <c r="A82" s="458" t="s">
        <v>504</v>
      </c>
      <c r="B82" s="460" t="n">
        <v>2.922</v>
      </c>
      <c r="C82" s="458" t="n">
        <v>145</v>
      </c>
      <c r="D82" s="458" t="n">
        <f aca="false">+D$7</f>
        <v>0.986301369863014</v>
      </c>
      <c r="E82" s="461" t="n">
        <f aca="false">(+C82)*B82*D82</f>
        <v>417.88602739726</v>
      </c>
      <c r="F82" s="458"/>
      <c r="G82" s="458"/>
    </row>
    <row r="83" customFormat="false" ht="12.75" hidden="false" customHeight="false" outlineLevel="0" collapsed="false">
      <c r="A83" s="462" t="s">
        <v>902</v>
      </c>
      <c r="B83" s="460" t="n">
        <v>1.912</v>
      </c>
      <c r="C83" s="458" t="n">
        <v>361</v>
      </c>
      <c r="D83" s="458" t="n">
        <f aca="false">+D$7</f>
        <v>0.986301369863014</v>
      </c>
      <c r="E83" s="461" t="n">
        <f aca="false">(+C83)*B83*D83</f>
        <v>680.776767123288</v>
      </c>
      <c r="F83" s="458"/>
      <c r="G83" s="458"/>
    </row>
    <row r="84" customFormat="false" ht="12.75" hidden="false" customHeight="false" outlineLevel="0" collapsed="false">
      <c r="A84" s="458" t="s">
        <v>903</v>
      </c>
      <c r="B84" s="460" t="n">
        <v>3.942</v>
      </c>
      <c r="C84" s="458" t="n">
        <v>358</v>
      </c>
      <c r="D84" s="458" t="n">
        <f aca="false">+D$7</f>
        <v>0.986301369863014</v>
      </c>
      <c r="E84" s="461" t="n">
        <f aca="false">(+C84)*B84*D84</f>
        <v>1391.904</v>
      </c>
      <c r="F84" s="458"/>
      <c r="G84" s="458"/>
    </row>
    <row r="85" customFormat="false" ht="12.75" hidden="false" customHeight="false" outlineLevel="0" collapsed="false">
      <c r="A85" s="458" t="s">
        <v>904</v>
      </c>
      <c r="B85" s="460" t="n">
        <v>2.691</v>
      </c>
      <c r="C85" s="458" t="n">
        <v>352</v>
      </c>
      <c r="D85" s="458" t="n">
        <f aca="false">+D$7</f>
        <v>0.986301369863014</v>
      </c>
      <c r="E85" s="461" t="n">
        <f aca="false">(+C85)*B85*D85</f>
        <v>934.256219178082</v>
      </c>
      <c r="F85" s="458"/>
      <c r="G85" s="458"/>
    </row>
    <row r="86" customFormat="false" ht="12.75" hidden="false" customHeight="false" outlineLevel="0" collapsed="false">
      <c r="A86" s="458" t="s">
        <v>905</v>
      </c>
      <c r="B86" s="460" t="n">
        <v>3.853</v>
      </c>
      <c r="C86" s="458" t="n">
        <v>361</v>
      </c>
      <c r="D86" s="458" t="n">
        <f aca="false">+D$7</f>
        <v>0.986301369863014</v>
      </c>
      <c r="E86" s="461" t="n">
        <f aca="false">(+C86)*B86*D86</f>
        <v>1371.87912328767</v>
      </c>
      <c r="F86" s="458"/>
      <c r="G86" s="458"/>
    </row>
    <row r="87" customFormat="false" ht="13.5" hidden="false" customHeight="false" outlineLevel="0" collapsed="false">
      <c r="A87" s="458"/>
      <c r="B87" s="458"/>
      <c r="C87" s="458"/>
      <c r="D87" s="458"/>
      <c r="E87" s="463" t="n">
        <f aca="false">SUM(E79:E86)</f>
        <v>6413.67419178082</v>
      </c>
      <c r="F87" s="458"/>
      <c r="G87" s="458"/>
    </row>
    <row r="88" customFormat="false" ht="13.5" hidden="false" customHeight="false" outlineLevel="0" collapsed="false">
      <c r="A88" s="458"/>
      <c r="B88" s="458"/>
      <c r="C88" s="458"/>
      <c r="D88" s="458" t="s">
        <v>907</v>
      </c>
      <c r="E88" s="458" t="n">
        <f aca="false">+C85</f>
        <v>352</v>
      </c>
      <c r="F88" s="458"/>
      <c r="G88" s="458"/>
    </row>
    <row r="89" customFormat="false" ht="12.75" hidden="false" customHeight="false" outlineLevel="0" collapsed="false">
      <c r="A89" s="458"/>
      <c r="B89" s="458"/>
      <c r="C89" s="458"/>
      <c r="D89" s="458" t="s">
        <v>98</v>
      </c>
      <c r="E89" s="465" t="n">
        <f aca="false">+'ECT Trans'!I1</f>
        <v>30</v>
      </c>
      <c r="F89" s="458"/>
      <c r="G89" s="458"/>
    </row>
    <row r="90" customFormat="false" ht="13.5" hidden="false" customHeight="false" outlineLevel="0" collapsed="false">
      <c r="A90" s="458"/>
      <c r="B90" s="458"/>
      <c r="C90" s="458"/>
      <c r="D90" s="458" t="s">
        <v>908</v>
      </c>
      <c r="E90" s="466" t="n">
        <f aca="false">ROUND(+E87/E88/E89,4)</f>
        <v>0.6074</v>
      </c>
      <c r="F90" s="458"/>
      <c r="G90" s="458"/>
    </row>
    <row r="91" customFormat="false" ht="13.5" hidden="false" customHeight="false" outlineLevel="0" collapsed="false">
      <c r="A91" s="458"/>
      <c r="B91" s="458"/>
      <c r="C91" s="458"/>
      <c r="D91" s="458"/>
      <c r="E91" s="458"/>
      <c r="F91" s="458"/>
      <c r="G91" s="458"/>
      <c r="H91" s="458"/>
    </row>
    <row r="92" customFormat="false" ht="12.75" hidden="false" customHeight="false" outlineLevel="0" collapsed="false">
      <c r="A92" s="459" t="s">
        <v>897</v>
      </c>
      <c r="B92" s="459" t="n">
        <v>889090</v>
      </c>
      <c r="F92" s="458"/>
      <c r="G92" s="458"/>
      <c r="H92" s="458"/>
    </row>
    <row r="93" customFormat="false" ht="12.75" hidden="false" customHeight="false" outlineLevel="0" collapsed="false">
      <c r="A93" s="459" t="s">
        <v>199</v>
      </c>
      <c r="B93" s="459" t="s">
        <v>279</v>
      </c>
      <c r="C93" s="459"/>
      <c r="D93" s="459"/>
      <c r="E93" s="459"/>
      <c r="F93" s="458"/>
      <c r="G93" s="458"/>
      <c r="H93" s="458"/>
    </row>
    <row r="94" customFormat="false" ht="12.75" hidden="false" customHeight="false" outlineLevel="0" collapsed="false">
      <c r="A94" s="458"/>
      <c r="B94" s="458" t="s">
        <v>898</v>
      </c>
      <c r="C94" s="458" t="s">
        <v>918</v>
      </c>
      <c r="D94" s="458" t="s">
        <v>919</v>
      </c>
      <c r="E94" s="458" t="s">
        <v>895</v>
      </c>
      <c r="F94" s="458" t="s">
        <v>900</v>
      </c>
      <c r="G94" s="458"/>
      <c r="H94" s="458"/>
    </row>
    <row r="95" customFormat="false" ht="12.75" hidden="false" customHeight="false" outlineLevel="0" collapsed="false">
      <c r="A95" s="458" t="s">
        <v>505</v>
      </c>
      <c r="B95" s="460" t="n">
        <v>3.41</v>
      </c>
      <c r="C95" s="458" t="n">
        <v>9</v>
      </c>
      <c r="D95" s="458" t="n">
        <v>4</v>
      </c>
      <c r="E95" s="458" t="n">
        <f aca="false">+D$7</f>
        <v>0.986301369863014</v>
      </c>
      <c r="F95" s="461" t="n">
        <f aca="false">(+C95+D95)*B95*E95</f>
        <v>43.7227397260274</v>
      </c>
      <c r="G95" s="458"/>
      <c r="H95" s="458"/>
    </row>
    <row r="96" customFormat="false" ht="12.75" hidden="false" customHeight="false" outlineLevel="0" collapsed="false">
      <c r="A96" s="458" t="s">
        <v>901</v>
      </c>
      <c r="B96" s="460" t="n">
        <v>3.217</v>
      </c>
      <c r="C96" s="458" t="n">
        <v>2</v>
      </c>
      <c r="D96" s="458" t="n">
        <v>1</v>
      </c>
      <c r="E96" s="458" t="n">
        <f aca="false">+D$7</f>
        <v>0.986301369863014</v>
      </c>
      <c r="F96" s="461" t="n">
        <f aca="false">(+C96+D96)*B96*E96</f>
        <v>9.51879452054794</v>
      </c>
      <c r="G96" s="458"/>
      <c r="H96" s="458"/>
    </row>
    <row r="97" customFormat="false" ht="12.75" hidden="false" customHeight="false" outlineLevel="0" collapsed="false">
      <c r="A97" s="458" t="s">
        <v>326</v>
      </c>
      <c r="B97" s="460" t="n">
        <v>6.965</v>
      </c>
      <c r="C97" s="458" t="n">
        <v>3</v>
      </c>
      <c r="D97" s="458" t="n">
        <v>2</v>
      </c>
      <c r="E97" s="458" t="n">
        <f aca="false">+D$7</f>
        <v>0.986301369863014</v>
      </c>
      <c r="F97" s="461" t="n">
        <f aca="false">(+C97+D97)*B97*E97</f>
        <v>34.3479452054795</v>
      </c>
      <c r="G97" s="458"/>
      <c r="H97" s="458"/>
    </row>
    <row r="98" customFormat="false" ht="12.75" hidden="false" customHeight="false" outlineLevel="0" collapsed="false">
      <c r="A98" s="458" t="s">
        <v>504</v>
      </c>
      <c r="B98" s="460" t="n">
        <v>2.922</v>
      </c>
      <c r="C98" s="458" t="n">
        <v>5</v>
      </c>
      <c r="D98" s="458" t="n">
        <v>2</v>
      </c>
      <c r="E98" s="458" t="n">
        <f aca="false">+D$7</f>
        <v>0.986301369863014</v>
      </c>
      <c r="F98" s="461" t="n">
        <f aca="false">(+C98+D98)*B98*E98</f>
        <v>20.1738082191781</v>
      </c>
      <c r="G98" s="458"/>
      <c r="H98" s="458"/>
    </row>
    <row r="99" customFormat="false" ht="12.75" hidden="false" customHeight="false" outlineLevel="0" collapsed="false">
      <c r="A99" s="462" t="s">
        <v>902</v>
      </c>
      <c r="B99" s="460" t="n">
        <v>1.912</v>
      </c>
      <c r="C99" s="458" t="n">
        <v>16</v>
      </c>
      <c r="D99" s="458" t="n">
        <v>7</v>
      </c>
      <c r="E99" s="458" t="n">
        <f aca="false">+D$7</f>
        <v>0.986301369863014</v>
      </c>
      <c r="F99" s="461" t="n">
        <f aca="false">(+C99+D99)*B99*E99</f>
        <v>43.3735890410959</v>
      </c>
      <c r="G99" s="458"/>
      <c r="H99" s="458"/>
    </row>
    <row r="100" customFormat="false" ht="12.75" hidden="false" customHeight="false" outlineLevel="0" collapsed="false">
      <c r="A100" s="458" t="s">
        <v>903</v>
      </c>
      <c r="B100" s="460" t="n">
        <v>3.942</v>
      </c>
      <c r="C100" s="458" t="n">
        <v>16</v>
      </c>
      <c r="D100" s="458" t="n">
        <v>7</v>
      </c>
      <c r="E100" s="458" t="n">
        <f aca="false">+D$7</f>
        <v>0.986301369863014</v>
      </c>
      <c r="F100" s="461" t="n">
        <f aca="false">(+C100+D100)*B100*E100</f>
        <v>89.424</v>
      </c>
      <c r="G100" s="458"/>
      <c r="H100" s="458"/>
    </row>
    <row r="101" customFormat="false" ht="12.75" hidden="false" customHeight="false" outlineLevel="0" collapsed="false">
      <c r="A101" s="458" t="s">
        <v>915</v>
      </c>
      <c r="B101" s="460" t="n">
        <v>3.796</v>
      </c>
      <c r="C101" s="458" t="n">
        <v>16</v>
      </c>
      <c r="D101" s="458" t="n">
        <v>7</v>
      </c>
      <c r="E101" s="458" t="n">
        <f aca="false">+D$7</f>
        <v>0.986301369863014</v>
      </c>
      <c r="F101" s="461" t="n">
        <f aca="false">(+C101+D101)*B101*E101</f>
        <v>86.112</v>
      </c>
      <c r="G101" s="458"/>
      <c r="H101" s="458"/>
    </row>
    <row r="102" customFormat="false" ht="13.5" hidden="false" customHeight="false" outlineLevel="0" collapsed="false">
      <c r="A102" s="458"/>
      <c r="B102" s="460"/>
      <c r="C102" s="458"/>
      <c r="E102" s="458"/>
      <c r="F102" s="463" t="n">
        <f aca="false">SUM(F95:F101)</f>
        <v>326.672876712329</v>
      </c>
      <c r="G102" s="458"/>
      <c r="H102" s="458"/>
    </row>
    <row r="103" customFormat="false" ht="13.5" hidden="false" customHeight="false" outlineLevel="0" collapsed="false">
      <c r="A103" s="458"/>
      <c r="B103" s="458"/>
      <c r="C103" s="458"/>
      <c r="E103" s="458" t="s">
        <v>920</v>
      </c>
      <c r="F103" s="458" t="n">
        <f aca="false">+C101+D101</f>
        <v>23</v>
      </c>
      <c r="G103" s="458"/>
      <c r="H103" s="458"/>
    </row>
    <row r="104" customFormat="false" ht="12.75" hidden="false" customHeight="false" outlineLevel="0" collapsed="false">
      <c r="A104" s="458"/>
      <c r="B104" s="458"/>
      <c r="C104" s="458"/>
      <c r="E104" s="458" t="s">
        <v>98</v>
      </c>
      <c r="F104" s="465" t="n">
        <f aca="false">+'ECT Trans'!I1</f>
        <v>30</v>
      </c>
      <c r="G104" s="458"/>
      <c r="H104" s="458"/>
    </row>
    <row r="105" customFormat="false" ht="13.5" hidden="false" customHeight="false" outlineLevel="0" collapsed="false">
      <c r="A105" s="458"/>
      <c r="B105" s="458"/>
      <c r="C105" s="458"/>
      <c r="E105" s="458" t="s">
        <v>908</v>
      </c>
      <c r="F105" s="468" t="n">
        <f aca="false">ROUND(+F102/F103/F104,4)</f>
        <v>0.4734</v>
      </c>
      <c r="G105" s="458"/>
      <c r="H105" s="458"/>
    </row>
    <row r="106" customFormat="false" ht="13.5" hidden="false" customHeight="false" outlineLevel="0" collapsed="false">
      <c r="A106" s="458"/>
      <c r="B106" s="458"/>
      <c r="C106" s="458"/>
      <c r="D106" s="458"/>
      <c r="E106" s="469"/>
      <c r="F106" s="458"/>
      <c r="G106" s="458"/>
      <c r="H106" s="458"/>
    </row>
    <row r="107" customFormat="false" ht="12.75" hidden="false" customHeight="false" outlineLevel="0" collapsed="false">
      <c r="A107" s="458"/>
      <c r="B107" s="458"/>
      <c r="C107" s="458"/>
      <c r="D107" s="458"/>
      <c r="E107" s="469"/>
      <c r="F107" s="458"/>
      <c r="G107" s="458"/>
      <c r="H107" s="458"/>
    </row>
    <row r="108" customFormat="false" ht="12.75" hidden="false" customHeight="false" outlineLevel="0" collapsed="false">
      <c r="A108" s="458"/>
      <c r="B108" s="458"/>
      <c r="C108" s="458"/>
      <c r="D108" s="458"/>
      <c r="E108" s="469"/>
      <c r="F108" s="458"/>
      <c r="G108" s="458"/>
      <c r="H108" s="458"/>
    </row>
    <row r="109" customFormat="false" ht="12.75" hidden="false" customHeight="false" outlineLevel="0" collapsed="false">
      <c r="A109" s="459" t="s">
        <v>897</v>
      </c>
      <c r="B109" s="459" t="n">
        <v>888476</v>
      </c>
      <c r="F109" s="458"/>
      <c r="G109" s="458"/>
      <c r="H109" s="458"/>
    </row>
    <row r="110" customFormat="false" ht="12.75" hidden="false" customHeight="false" outlineLevel="0" collapsed="false">
      <c r="A110" s="459" t="s">
        <v>199</v>
      </c>
      <c r="B110" s="459" t="s">
        <v>921</v>
      </c>
      <c r="C110" s="459"/>
      <c r="D110" s="459"/>
      <c r="E110" s="459"/>
      <c r="F110" s="458"/>
      <c r="G110" s="458"/>
      <c r="H110" s="458"/>
    </row>
    <row r="111" customFormat="false" ht="12.75" hidden="false" customHeight="false" outlineLevel="0" collapsed="false">
      <c r="A111" s="458"/>
      <c r="B111" s="458" t="s">
        <v>898</v>
      </c>
      <c r="C111" s="458" t="s">
        <v>899</v>
      </c>
      <c r="D111" s="458"/>
      <c r="E111" s="458" t="s">
        <v>895</v>
      </c>
      <c r="F111" s="458" t="s">
        <v>900</v>
      </c>
      <c r="G111" s="458"/>
      <c r="H111" s="458"/>
    </row>
    <row r="112" customFormat="false" ht="12.75" hidden="false" customHeight="false" outlineLevel="0" collapsed="false">
      <c r="A112" s="458" t="s">
        <v>505</v>
      </c>
      <c r="B112" s="460" t="n">
        <v>3.414</v>
      </c>
      <c r="C112" s="458" t="n">
        <v>24</v>
      </c>
      <c r="D112" s="458"/>
      <c r="E112" s="458" t="n">
        <f aca="false">+D$7</f>
        <v>0.986301369863014</v>
      </c>
      <c r="F112" s="461" t="n">
        <f aca="false">(+C112+D112)*B112*E112</f>
        <v>80.8135890410959</v>
      </c>
      <c r="G112" s="458"/>
      <c r="H112" s="458"/>
    </row>
    <row r="113" customFormat="false" ht="12.75" hidden="false" customHeight="false" outlineLevel="0" collapsed="false">
      <c r="A113" s="458" t="s">
        <v>901</v>
      </c>
      <c r="B113" s="460" t="n">
        <v>3.221</v>
      </c>
      <c r="C113" s="458" t="n">
        <v>2</v>
      </c>
      <c r="D113" s="458"/>
      <c r="E113" s="458" t="n">
        <f aca="false">+D$7</f>
        <v>0.986301369863014</v>
      </c>
      <c r="F113" s="461" t="n">
        <f aca="false">(+C113+D113)*B113*E113</f>
        <v>6.35375342465753</v>
      </c>
      <c r="G113" s="470"/>
      <c r="H113" s="458"/>
    </row>
    <row r="114" customFormat="false" ht="12.75" hidden="false" customHeight="false" outlineLevel="0" collapsed="false">
      <c r="A114" s="458" t="s">
        <v>326</v>
      </c>
      <c r="B114" s="460" t="n">
        <v>6.969</v>
      </c>
      <c r="C114" s="458" t="n">
        <v>10</v>
      </c>
      <c r="D114" s="458"/>
      <c r="E114" s="458" t="n">
        <f aca="false">+D$7</f>
        <v>0.986301369863014</v>
      </c>
      <c r="F114" s="461" t="n">
        <f aca="false">(+C114+D114)*B114*E114</f>
        <v>68.7353424657534</v>
      </c>
      <c r="G114" s="471"/>
      <c r="H114" s="458"/>
    </row>
    <row r="115" customFormat="false" ht="12.75" hidden="false" customHeight="false" outlineLevel="0" collapsed="false">
      <c r="A115" s="458" t="s">
        <v>504</v>
      </c>
      <c r="B115" s="460" t="n">
        <v>2.933</v>
      </c>
      <c r="C115" s="458" t="n">
        <v>17</v>
      </c>
      <c r="D115" s="458"/>
      <c r="E115" s="458" t="n">
        <f aca="false">+D$7</f>
        <v>0.986301369863014</v>
      </c>
      <c r="F115" s="461" t="n">
        <f aca="false">(+C115+D115)*B115*E115</f>
        <v>49.1779726027397</v>
      </c>
      <c r="G115" s="471"/>
      <c r="H115" s="458"/>
    </row>
    <row r="116" customFormat="false" ht="12.75" hidden="false" customHeight="false" outlineLevel="0" collapsed="false">
      <c r="A116" s="462" t="s">
        <v>902</v>
      </c>
      <c r="B116" s="460" t="n">
        <v>1.891</v>
      </c>
      <c r="C116" s="458" t="n">
        <v>31</v>
      </c>
      <c r="D116" s="458"/>
      <c r="E116" s="458" t="n">
        <f aca="false">+D$7</f>
        <v>0.986301369863014</v>
      </c>
      <c r="F116" s="461" t="n">
        <f aca="false">(+C116+D116)*B116*E116</f>
        <v>57.8179726027397</v>
      </c>
      <c r="G116" s="472"/>
      <c r="H116" s="458"/>
    </row>
    <row r="117" customFormat="false" ht="12.75" hidden="false" customHeight="false" outlineLevel="0" collapsed="false">
      <c r="A117" s="458" t="s">
        <v>903</v>
      </c>
      <c r="B117" s="460" t="n">
        <v>3.9</v>
      </c>
      <c r="C117" s="458" t="n">
        <v>31</v>
      </c>
      <c r="D117" s="458"/>
      <c r="E117" s="458" t="n">
        <f aca="false">+D$7</f>
        <v>0.986301369863014</v>
      </c>
      <c r="F117" s="461" t="n">
        <f aca="false">(+C117+D117)*B117*E117</f>
        <v>119.243835616438</v>
      </c>
      <c r="G117" s="471"/>
      <c r="H117" s="458"/>
    </row>
    <row r="118" customFormat="false" ht="12.75" hidden="false" customHeight="false" outlineLevel="0" collapsed="false">
      <c r="A118" s="458" t="s">
        <v>915</v>
      </c>
      <c r="B118" s="460" t="n">
        <v>3.789</v>
      </c>
      <c r="C118" s="458" t="n">
        <v>31</v>
      </c>
      <c r="D118" s="458"/>
      <c r="E118" s="458" t="n">
        <f aca="false">+D$7</f>
        <v>0.986301369863014</v>
      </c>
      <c r="F118" s="461" t="n">
        <f aca="false">(+C118+D118)*B118*E118</f>
        <v>115.84997260274</v>
      </c>
      <c r="G118" s="467"/>
      <c r="H118" s="458"/>
    </row>
    <row r="119" customFormat="false" ht="13.5" hidden="false" customHeight="false" outlineLevel="0" collapsed="false">
      <c r="A119" s="458"/>
      <c r="B119" s="460"/>
      <c r="C119" s="458"/>
      <c r="E119" s="458"/>
      <c r="F119" s="463" t="n">
        <f aca="false">SUM(F112:F118)</f>
        <v>497.992438356164</v>
      </c>
      <c r="G119" s="467"/>
      <c r="H119" s="458"/>
    </row>
    <row r="120" customFormat="false" ht="13.5" hidden="false" customHeight="false" outlineLevel="0" collapsed="false">
      <c r="A120" s="458"/>
      <c r="B120" s="458"/>
      <c r="C120" s="458"/>
      <c r="E120" s="458" t="s">
        <v>920</v>
      </c>
      <c r="F120" s="458" t="n">
        <f aca="false">+C118+D118</f>
        <v>31</v>
      </c>
      <c r="G120" s="73"/>
    </row>
    <row r="121" customFormat="false" ht="12.75" hidden="false" customHeight="false" outlineLevel="0" collapsed="false">
      <c r="A121" s="458"/>
      <c r="B121" s="458"/>
      <c r="C121" s="458"/>
      <c r="E121" s="458" t="s">
        <v>98</v>
      </c>
      <c r="F121" s="465" t="n">
        <f aca="false">+'ECT Trans'!I1</f>
        <v>30</v>
      </c>
    </row>
    <row r="122" customFormat="false" ht="13.5" hidden="false" customHeight="false" outlineLevel="0" collapsed="false">
      <c r="A122" s="458"/>
      <c r="B122" s="458"/>
      <c r="C122" s="458"/>
      <c r="E122" s="458" t="s">
        <v>908</v>
      </c>
      <c r="F122" s="468" t="n">
        <f aca="false">ROUND(+F119/F120/F121,4)</f>
        <v>0.5355</v>
      </c>
    </row>
    <row r="123" customFormat="false" ht="13.5" hidden="false" customHeight="false" outlineLevel="0" collapsed="false"/>
    <row r="124" customFormat="false" ht="12.75" hidden="false" customHeight="false" outlineLevel="0" collapsed="false">
      <c r="A124" s="459" t="s">
        <v>897</v>
      </c>
      <c r="B124" s="459"/>
      <c r="F124" s="458"/>
    </row>
    <row r="125" customFormat="false" ht="12.75" hidden="false" customHeight="false" outlineLevel="0" collapsed="false">
      <c r="A125" s="459" t="s">
        <v>909</v>
      </c>
      <c r="B125" s="459"/>
      <c r="D125" s="459"/>
      <c r="E125" s="459"/>
      <c r="F125" s="458"/>
    </row>
    <row r="126" customFormat="false" ht="12.75" hidden="false" customHeight="false" outlineLevel="0" collapsed="false">
      <c r="A126" s="458"/>
      <c r="B126" s="458" t="s">
        <v>898</v>
      </c>
      <c r="C126" s="458" t="s">
        <v>917</v>
      </c>
      <c r="D126" s="458" t="s">
        <v>895</v>
      </c>
      <c r="E126" s="458" t="s">
        <v>900</v>
      </c>
    </row>
    <row r="127" customFormat="false" ht="12.75" hidden="false" customHeight="false" outlineLevel="0" collapsed="false">
      <c r="A127" s="458" t="s">
        <v>505</v>
      </c>
      <c r="B127" s="460" t="n">
        <v>3.633</v>
      </c>
      <c r="C127" s="458" t="n">
        <v>62</v>
      </c>
      <c r="D127" s="458" t="n">
        <f aca="false">+D$7</f>
        <v>0.986301369863014</v>
      </c>
      <c r="E127" s="461" t="n">
        <f aca="false">(+C127)*B127*D127</f>
        <v>222.160438356164</v>
      </c>
    </row>
    <row r="128" customFormat="false" ht="12.75" hidden="false" customHeight="false" outlineLevel="0" collapsed="false">
      <c r="A128" s="458" t="s">
        <v>901</v>
      </c>
      <c r="B128" s="460" t="n">
        <v>3.44</v>
      </c>
      <c r="C128" s="458" t="n">
        <v>17</v>
      </c>
      <c r="D128" s="458" t="n">
        <f aca="false">+D$7</f>
        <v>0.986301369863014</v>
      </c>
      <c r="E128" s="461" t="n">
        <f aca="false">(+C128)*B128*D128</f>
        <v>57.678904109589</v>
      </c>
    </row>
    <row r="129" customFormat="false" ht="12.75" hidden="false" customHeight="false" outlineLevel="0" collapsed="false">
      <c r="A129" s="458" t="s">
        <v>326</v>
      </c>
      <c r="B129" s="460" t="n">
        <v>7.188</v>
      </c>
      <c r="C129" s="458" t="n">
        <v>28</v>
      </c>
      <c r="D129" s="458" t="n">
        <f aca="false">+D$7</f>
        <v>0.986301369863014</v>
      </c>
      <c r="E129" s="461" t="n">
        <f aca="false">(+C129)*B129*D129</f>
        <v>198.50695890411</v>
      </c>
    </row>
    <row r="130" customFormat="false" ht="12.75" hidden="false" customHeight="false" outlineLevel="0" collapsed="false">
      <c r="A130" s="458" t="s">
        <v>504</v>
      </c>
      <c r="B130" s="460" t="n">
        <v>3.145</v>
      </c>
      <c r="C130" s="458" t="n">
        <v>41</v>
      </c>
      <c r="D130" s="458" t="n">
        <f aca="false">+D$7</f>
        <v>0.986301369863014</v>
      </c>
      <c r="E130" s="461" t="n">
        <f aca="false">(+C130)*B130*D130</f>
        <v>127.178630136986</v>
      </c>
    </row>
    <row r="131" customFormat="false" ht="12.75" hidden="false" customHeight="false" outlineLevel="0" collapsed="false">
      <c r="A131" s="462" t="s">
        <v>902</v>
      </c>
      <c r="B131" s="460" t="n">
        <v>1.912</v>
      </c>
      <c r="C131" s="458" t="n">
        <v>102</v>
      </c>
      <c r="D131" s="458" t="n">
        <f aca="false">+D$7</f>
        <v>0.986301369863014</v>
      </c>
      <c r="E131" s="461" t="n">
        <f aca="false">(+C131)*B131*D131</f>
        <v>192.352438356164</v>
      </c>
    </row>
    <row r="132" customFormat="false" ht="12.75" hidden="false" customHeight="false" outlineLevel="0" collapsed="false">
      <c r="A132" s="458" t="s">
        <v>903</v>
      </c>
      <c r="B132" s="460" t="n">
        <v>3.942</v>
      </c>
      <c r="C132" s="458" t="n">
        <v>102</v>
      </c>
      <c r="D132" s="458" t="n">
        <f aca="false">+D$7</f>
        <v>0.986301369863014</v>
      </c>
      <c r="E132" s="461" t="n">
        <f aca="false">(+C132)*B132*D132</f>
        <v>396.576</v>
      </c>
    </row>
    <row r="133" customFormat="false" ht="12.75" hidden="false" customHeight="false" outlineLevel="0" collapsed="false">
      <c r="A133" s="458" t="s">
        <v>904</v>
      </c>
      <c r="B133" s="460" t="n">
        <v>2.691</v>
      </c>
      <c r="C133" s="458" t="n">
        <v>100</v>
      </c>
      <c r="D133" s="458" t="n">
        <f aca="false">+D$7</f>
        <v>0.986301369863014</v>
      </c>
      <c r="E133" s="461" t="n">
        <f aca="false">(+C133)*B133*D133</f>
        <v>265.413698630137</v>
      </c>
    </row>
    <row r="134" customFormat="false" ht="12.75" hidden="false" customHeight="false" outlineLevel="0" collapsed="false">
      <c r="A134" s="458" t="s">
        <v>905</v>
      </c>
      <c r="B134" s="460" t="n">
        <v>4.076</v>
      </c>
      <c r="C134" s="458" t="n">
        <v>102</v>
      </c>
      <c r="D134" s="458" t="n">
        <f aca="false">+D$7</f>
        <v>0.986301369863014</v>
      </c>
      <c r="E134" s="461" t="n">
        <f aca="false">(+C134)*B134*D134</f>
        <v>410.056767123288</v>
      </c>
    </row>
    <row r="135" customFormat="false" ht="13.5" hidden="false" customHeight="false" outlineLevel="0" collapsed="false">
      <c r="A135" s="458"/>
      <c r="B135" s="458"/>
      <c r="C135" s="458"/>
      <c r="D135" s="458"/>
      <c r="E135" s="463" t="n">
        <f aca="false">SUM(E127:E134)</f>
        <v>1869.92383561644</v>
      </c>
    </row>
    <row r="136" customFormat="false" ht="13.5" hidden="false" customHeight="false" outlineLevel="0" collapsed="false">
      <c r="A136" s="458"/>
      <c r="B136" s="458"/>
      <c r="C136" s="458"/>
      <c r="D136" s="458" t="s">
        <v>907</v>
      </c>
      <c r="E136" s="458" t="e">
        <f aca="false">+#REF!+C134</f>
        <v>#REF!</v>
      </c>
    </row>
    <row r="137" customFormat="false" ht="12.75" hidden="false" customHeight="false" outlineLevel="0" collapsed="false">
      <c r="A137" s="458"/>
      <c r="B137" s="458"/>
      <c r="C137" s="458"/>
      <c r="D137" s="458" t="s">
        <v>98</v>
      </c>
      <c r="E137" s="465" t="e">
        <f aca="false">+#REF!</f>
        <v>#REF!</v>
      </c>
    </row>
    <row r="138" customFormat="false" ht="13.5" hidden="false" customHeight="false" outlineLevel="0" collapsed="false">
      <c r="A138" s="458"/>
      <c r="B138" s="458"/>
      <c r="C138" s="458"/>
      <c r="D138" s="458" t="s">
        <v>908</v>
      </c>
      <c r="E138" s="466" t="e">
        <f aca="false">ROUND(+E135/E136/E137,4)</f>
        <v>#REF!</v>
      </c>
    </row>
    <row r="13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2000-04-19T19:52:44Z</cp:lastPrinted>
  <cp:revision>0</cp:revision>
  <dc:subject/>
  <dc:title/>
</cp:coreProperties>
</file>