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 &amp; Pooling" sheetId="1" state="visible" r:id="rId3"/>
    <sheet name="CES IT" sheetId="2" state="visible" r:id="rId4"/>
    <sheet name="CES Wholesale" sheetId="3" state="visible" r:id="rId5"/>
    <sheet name="ECT Trans" sheetId="4" state="visible" r:id="rId6"/>
    <sheet name="Rates" sheetId="5" state="visible" r:id="rId7"/>
    <sheet name="Matrix Dec" sheetId="6" state="visible" r:id="rId8"/>
    <sheet name="Offseason Rate" sheetId="7" state="visible" r:id="rId9"/>
    <sheet name="Special Rates" sheetId="8" state="visible" r:id="rId10"/>
    <sheet name="Dmd Chrg Calc" sheetId="9" state="visible" r:id="rId11"/>
    <sheet name="Basis" sheetId="10" state="visible" r:id="rId12"/>
    <sheet name="Production" sheetId="11" state="visible" r:id="rId13"/>
    <sheet name="Cashout" sheetId="12" state="visible" r:id="rId14"/>
    <sheet name="Sheet2" sheetId="13" state="visible" r:id="rId15"/>
    <sheet name="Transport Deal Tickets" sheetId="14" state="visible" r:id="rId16"/>
  </sheets>
  <definedNames>
    <definedName function="false" hidden="false" localSheetId="9" name="_xlnm.Print_Area" vbProcedure="false">Basis!$A$33:$I$42</definedName>
    <definedName function="false" hidden="false" localSheetId="3" name="_xlnm.Print_Area" vbProcedure="false">'ECT Trans'!$A$1:$W$135</definedName>
    <definedName function="false" hidden="false" localSheetId="5" name="_xlnm.Print_Area" vbProcedure="false">'Matrix Dec'!$A$3:$M$61</definedName>
    <definedName function="false" hidden="false" localSheetId="4" name="_xlnm.Print_Area" vbProcedure="false">Rates!$S$1:$X$72</definedName>
    <definedName function="false" hidden="false" localSheetId="13" name="_xlnm.Print_Area" vbProcedure="false">'Transport Deal Tickets'!$A$13:$I$50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<sst xmlns="http://schemas.openxmlformats.org/spreadsheetml/2006/main" count="3514" uniqueCount="946">
  <si>
    <t xml:space="preserve">East Desk IT and Pooling Contracts</t>
  </si>
  <si>
    <t xml:space="preserve"> </t>
  </si>
  <si>
    <t xml:space="preserve">Pipeline</t>
  </si>
  <si>
    <t xml:space="preserve">Contract #</t>
  </si>
  <si>
    <t xml:space="preserve">Sitara</t>
  </si>
  <si>
    <t xml:space="preserve">Rate Schedule</t>
  </si>
  <si>
    <t xml:space="preserve">Volume</t>
  </si>
  <si>
    <t xml:space="preserve">Receipt Points</t>
  </si>
  <si>
    <t xml:space="preserve">Delivery Points</t>
  </si>
  <si>
    <t xml:space="preserve">Comment</t>
  </si>
  <si>
    <t xml:space="preserve">Transco </t>
  </si>
  <si>
    <t xml:space="preserve">IT</t>
  </si>
  <si>
    <t xml:space="preserve">All</t>
  </si>
  <si>
    <t xml:space="preserve">??</t>
  </si>
  <si>
    <t xml:space="preserve">Primary use is to nomiante gas to the interconnects.</t>
  </si>
  <si>
    <t xml:space="preserve">Primary use is to nominate supply into the pools</t>
  </si>
  <si>
    <t xml:space="preserve">FT-R</t>
  </si>
  <si>
    <t xml:space="preserve">Master Firm contract - use to nominate firm capacity on rate schedule FT</t>
  </si>
  <si>
    <t xml:space="preserve">PBS</t>
  </si>
  <si>
    <t xml:space="preserve">Use to park and borrow gas.  Remember to update the "DEAL FEES" on the front screen of the deal.</t>
  </si>
  <si>
    <t xml:space="preserve">ICTS</t>
  </si>
  <si>
    <t xml:space="preserve">Interconnect Transfer Service Agreement.</t>
  </si>
  <si>
    <t xml:space="preserve">Tennessee</t>
  </si>
  <si>
    <t xml:space="preserve">Texas Eastern</t>
  </si>
  <si>
    <t xml:space="preserve">B10851</t>
  </si>
  <si>
    <t xml:space="preserve">IT-BH</t>
  </si>
  <si>
    <t xml:space="preserve">Backhaul IT contract</t>
  </si>
  <si>
    <t xml:space="preserve">IT-1</t>
  </si>
  <si>
    <t xml:space="preserve">Forward Haul IT contract</t>
  </si>
  <si>
    <t xml:space="preserve">TABS-1</t>
  </si>
  <si>
    <t xml:space="preserve">Pooling contract.  No transport rates.</t>
  </si>
  <si>
    <t xml:space="preserve">Algonquin</t>
  </si>
  <si>
    <t xml:space="preserve">AIT</t>
  </si>
  <si>
    <t xml:space="preserve">CGLF</t>
  </si>
  <si>
    <t xml:space="preserve">ITS-1</t>
  </si>
  <si>
    <t xml:space="preserve">Used for mainline receipts and deliveries.</t>
  </si>
  <si>
    <t xml:space="preserve">ITS-2</t>
  </si>
  <si>
    <t xml:space="preserve">Used for onshore and offshore receipts and deliveries.</t>
  </si>
  <si>
    <t xml:space="preserve">IPP</t>
  </si>
  <si>
    <t xml:space="preserve">Pooling Contract</t>
  </si>
  <si>
    <t xml:space="preserve">CGAS</t>
  </si>
  <si>
    <t xml:space="preserve">CNG</t>
  </si>
  <si>
    <t xml:space="preserve">MCS105</t>
  </si>
  <si>
    <t xml:space="preserve">MCS</t>
  </si>
  <si>
    <t xml:space="preserve">Use for parking and loaning.</t>
  </si>
  <si>
    <t xml:space="preserve">buy</t>
  </si>
  <si>
    <t xml:space="preserve">1/1/2000 Evergreen</t>
  </si>
  <si>
    <t xml:space="preserve">G0010</t>
  </si>
  <si>
    <t xml:space="preserve">8G0010</t>
  </si>
  <si>
    <t xml:space="preserve">G0011</t>
  </si>
  <si>
    <t xml:space="preserve">8G0011</t>
  </si>
  <si>
    <t xml:space="preserve">G0012</t>
  </si>
  <si>
    <t xml:space="preserve">8G0012</t>
  </si>
  <si>
    <t xml:space="preserve">G0013</t>
  </si>
  <si>
    <t xml:space="preserve">8G0013</t>
  </si>
  <si>
    <t xml:space="preserve">G0014</t>
  </si>
  <si>
    <t xml:space="preserve">8G0014</t>
  </si>
  <si>
    <t xml:space="preserve">T0010</t>
  </si>
  <si>
    <t xml:space="preserve">8T0010</t>
  </si>
  <si>
    <t xml:space="preserve">T0011</t>
  </si>
  <si>
    <t xml:space="preserve">8T0011</t>
  </si>
  <si>
    <t xml:space="preserve">T0012</t>
  </si>
  <si>
    <t xml:space="preserve">8T0012</t>
  </si>
  <si>
    <t xml:space="preserve">T0013</t>
  </si>
  <si>
    <t xml:space="preserve">8T0013</t>
  </si>
  <si>
    <t xml:space="preserve">T0014</t>
  </si>
  <si>
    <t xml:space="preserve">8T0014</t>
  </si>
  <si>
    <t xml:space="preserve">National Fuel Gas Supply</t>
  </si>
  <si>
    <t xml:space="preserve">V02241</t>
  </si>
  <si>
    <t xml:space="preserve">FMS</t>
  </si>
  <si>
    <t xml:space="preserve">NFGUPS</t>
  </si>
  <si>
    <t xml:space="preserve">Use when purchasing gas from National Fuel Gas Supply</t>
  </si>
  <si>
    <t xml:space="preserve">I00454</t>
  </si>
  <si>
    <t xml:space="preserve">Bridgeline Gas Distribution Co. LLC</t>
  </si>
  <si>
    <t xml:space="preserve">1-70-185</t>
  </si>
  <si>
    <t xml:space="preserve">Set up in Sitara</t>
  </si>
  <si>
    <t xml:space="preserve">Marco</t>
  </si>
  <si>
    <t xml:space="preserve">Iroquois</t>
  </si>
  <si>
    <t xml:space="preserve">R-1250-99</t>
  </si>
  <si>
    <t xml:space="preserve">Park &amp; Loan</t>
  </si>
  <si>
    <t xml:space="preserve">R-1250-01</t>
  </si>
  <si>
    <t xml:space="preserve">CES Wholesale East Desk Transportation Capacity for Jan,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</si>
  <si>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</si>
  <si>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</si>
  <si>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</si>
  <si>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</si>
  <si>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</si>
  <si>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Entered from Structuring's Worksheet.</t>
  </si>
  <si>
    <t xml:space="preserve">Comments:</t>
  </si>
  <si>
    <t xml:space="preserve">12/18/99 could not find contract 62039 in Navigator.</t>
  </si>
  <si>
    <t xml:space="preserve">2000 GRI Changes  $.0075 ==&gt; $.0072     and $.23 ==&gt; $.20</t>
  </si>
  <si>
    <t xml:space="preserve">Moved contract 65027 from Wholesale to Retail.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</si>
  <si>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</si>
  <si>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</si>
  <si>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</si>
  <si>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</si>
  <si>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</si>
  <si>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</si>
  <si>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recall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</si>
  <si>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</si>
  <si>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</si>
  <si>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</si>
  <si>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</si>
  <si>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</si>
  <si>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</si>
  <si>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</si>
  <si>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K#</t>
  </si>
  <si>
    <t xml:space="preserve">vol</t>
  </si>
  <si>
    <t xml:space="preserve">comment</t>
  </si>
  <si>
    <t xml:space="preserve">Est Demand</t>
  </si>
  <si>
    <t xml:space="preserve">Act Demand</t>
  </si>
  <si>
    <t xml:space="preserve">Questions</t>
  </si>
  <si>
    <t xml:space="preserve">CES/Agency</t>
  </si>
  <si>
    <t xml:space="preserve">Col Gulf</t>
  </si>
  <si>
    <t xml:space="preserve">CES</t>
  </si>
  <si>
    <t xml:space="preserve">12,000 - Erath, 12,000 - Henry, 6,000 - Venice</t>
  </si>
  <si>
    <t xml:space="preserve">Rayne</t>
  </si>
  <si>
    <t xml:space="preserve">Onshore capacity - 6,000 day Venice receipt, CES has exclusive right of termination.</t>
  </si>
  <si>
    <t xml:space="preserve">demand</t>
  </si>
  <si>
    <t xml:space="preserve">Col Gas</t>
  </si>
  <si>
    <t xml:space="preserve">Evergreen</t>
  </si>
  <si>
    <t xml:space="preserve">P10</t>
  </si>
  <si>
    <t xml:space="preserve">Similar to ENA's k#37147</t>
  </si>
  <si>
    <t xml:space="preserve">CEM/Agency</t>
  </si>
  <si>
    <t xml:space="preserve">CEM</t>
  </si>
  <si>
    <t xml:space="preserve">Similar to ENA's k#39149</t>
  </si>
  <si>
    <t xml:space="preserve">Equitrans</t>
  </si>
  <si>
    <t xml:space="preserve">all</t>
  </si>
  <si>
    <t xml:space="preserve">Used for Zone 2 PVR</t>
  </si>
  <si>
    <t xml:space="preserve">Transco</t>
  </si>
  <si>
    <t xml:space="preserve">Asset Management Deals</t>
  </si>
  <si>
    <t xml:space="preserve">CALPS Exchange</t>
  </si>
  <si>
    <t xml:space="preserve">Buy</t>
  </si>
  <si>
    <t xml:space="preserve">Sell</t>
  </si>
  <si>
    <t xml:space="preserve">CES Wholesale East Desk Transportation Capacity for FEB, 2000</t>
  </si>
  <si>
    <t xml:space="preserve">New K#</t>
  </si>
  <si>
    <t xml:space="preserve">Old K#</t>
  </si>
  <si>
    <t xml:space="preserve">New Sitara</t>
  </si>
  <si>
    <t xml:space="preserve">Old Sitara</t>
  </si>
  <si>
    <t xml:space="preserve">ENA</t>
  </si>
  <si>
    <t xml:space="preserve">NIMO</t>
  </si>
  <si>
    <t xml:space="preserve">50004 Finnefrock</t>
  </si>
  <si>
    <t xml:space="preserve">20500 NIMO</t>
  </si>
  <si>
    <t xml:space="preserve">FTNN</t>
  </si>
  <si>
    <t xml:space="preserve">5A2226</t>
  </si>
  <si>
    <t xml:space="preserve">5A1866</t>
  </si>
  <si>
    <t xml:space="preserve">#12154</t>
  </si>
  <si>
    <t xml:space="preserve">60004 Finnefrock</t>
  </si>
  <si>
    <t xml:space="preserve">MARQ</t>
  </si>
  <si>
    <t xml:space="preserve">Venice</t>
  </si>
  <si>
    <t xml:space="preserve">Onshore capacity - 20,000 day Venice receipt, CES has exclusive right of termination.</t>
  </si>
  <si>
    <t xml:space="preserve">Leach</t>
  </si>
  <si>
    <t xml:space="preserve">Mainline capacity</t>
  </si>
  <si>
    <t xml:space="preserve">24,000 - NGPL Chalkely, 16,000 - Venice</t>
  </si>
  <si>
    <t xml:space="preserve">20,000 - Sonat Shadyside, 20,000 - FGT</t>
  </si>
  <si>
    <t xml:space="preserve">Onshore capacity - 16,000 of Venice capacity.</t>
  </si>
  <si>
    <t xml:space="preserve">8,285 - Mobil Lowry, 8,774 - Erath, 3,200 - Henry, 5,395 - Venice</t>
  </si>
  <si>
    <t xml:space="preserve">Onshore capacity - 5,395 venice capacity.</t>
  </si>
  <si>
    <t xml:space="preserve">WC560</t>
  </si>
  <si>
    <t xml:space="preserve">WC537</t>
  </si>
  <si>
    <t xml:space="preserve">WC537/560 Discounted offshore FT transortation, reimbursed full IT rate by Pennzoil, volumetric demand charge.  CES pays $.0648 for all Pennzoil production from this block.</t>
  </si>
  <si>
    <t xml:space="preserve">Ask Judy why 2 deals</t>
  </si>
  <si>
    <t xml:space="preserve">140440/155261</t>
  </si>
  <si>
    <t xml:space="preserve">Belfry</t>
  </si>
  <si>
    <t xml:space="preserve">Penn Fuel</t>
  </si>
  <si>
    <t xml:space="preserve">270010 Rayne</t>
  </si>
  <si>
    <t xml:space="preserve">801 Leach</t>
  </si>
  <si>
    <t xml:space="preserve">#26785, Penn Fuel</t>
  </si>
  <si>
    <t xml:space="preserve">Release to Delmarva</t>
  </si>
  <si>
    <t xml:space="preserve">Release to NUI Energy Brokers</t>
  </si>
  <si>
    <t xml:space="preserve">Release to UGI Energy Services</t>
  </si>
  <si>
    <t xml:space="preserve">2700010 Rayne</t>
  </si>
  <si>
    <t xml:space="preserve">4056 Burwood</t>
  </si>
  <si>
    <t xml:space="preserve">56-25 PFG-04 Lancaster</t>
  </si>
  <si>
    <t xml:space="preserve">#26782, Penn Fuel asset management capacity</t>
  </si>
  <si>
    <t xml:space="preserve">56-29 PFG-04 Downington</t>
  </si>
  <si>
    <t xml:space="preserve">56W PFG-08 Olean</t>
  </si>
  <si>
    <t xml:space="preserve">Delmarva</t>
  </si>
  <si>
    <t xml:space="preserve">NUI Energy Brokers</t>
  </si>
  <si>
    <t xml:space="preserve">UGI Energy Services</t>
  </si>
  <si>
    <t xml:space="preserve">CES/CALP</t>
  </si>
  <si>
    <t xml:space="preserve">Broad run</t>
  </si>
  <si>
    <t xml:space="preserve">CALP</t>
  </si>
  <si>
    <t xml:space="preserve">Primary delivery to constrained area on TCO 5-7.  For Retail needs.</t>
  </si>
  <si>
    <t xml:space="preserve">Type</t>
  </si>
  <si>
    <t xml:space="preserve">FTS</t>
  </si>
  <si>
    <t xml:space="preserve">Environgas</t>
  </si>
  <si>
    <t xml:space="preserve">Tetco</t>
  </si>
  <si>
    <t xml:space="preserve">Access</t>
  </si>
  <si>
    <t xml:space="preserve">M3</t>
  </si>
  <si>
    <t xml:space="preserve">FT-1</t>
  </si>
  <si>
    <t xml:space="preserve">Killed deal 155389 setup as FTS.</t>
  </si>
  <si>
    <t xml:space="preserve">Killed deal 157598.  Release to Delmarva (100 dth), UGI (100 dth), PG&amp;E (195 dth) and Perry (212 dth).</t>
  </si>
  <si>
    <t xml:space="preserve">S Jersey</t>
  </si>
  <si>
    <t xml:space="preserve">St 65</t>
  </si>
  <si>
    <t xml:space="preserve">6583 S Jersey</t>
  </si>
  <si>
    <t xml:space="preserve">FT -R</t>
  </si>
  <si>
    <t xml:space="preserve">3.3442/.7537</t>
  </si>
  <si>
    <t xml:space="preserve">3.3022 / 2.1432</t>
  </si>
  <si>
    <t xml:space="preserve">143933 / 143932</t>
  </si>
  <si>
    <t xml:space="preserve">1.1501</t>
  </si>
  <si>
    <t xml:space="preserve">CES IT Contract</t>
  </si>
  <si>
    <t xml:space="preserve">Total Demand</t>
  </si>
  <si>
    <t xml:space="preserve">Penn Fuel Reimbursements</t>
  </si>
  <si>
    <t xml:space="preserve">Net East Desk Demand</t>
  </si>
  <si>
    <t xml:space="preserve">East Desk Transportation Capacity for Feb, 2000</t>
  </si>
  <si>
    <t xml:space="preserve">Unsusal Items</t>
  </si>
  <si>
    <t xml:space="preserve">Sitara </t>
  </si>
  <si>
    <t xml:space="preserve">fuel $</t>
  </si>
  <si>
    <t xml:space="preserve">Est demand</t>
  </si>
  <si>
    <t xml:space="preserve">Act demand</t>
  </si>
  <si>
    <t xml:space="preserve">Algon</t>
  </si>
  <si>
    <t xml:space="preserve">Bay State</t>
  </si>
  <si>
    <t xml:space="preserve">2755 from Lambertville, 1245 from Centerville</t>
  </si>
  <si>
    <t xml:space="preserve">Taunton</t>
  </si>
  <si>
    <t xml:space="preserve">n</t>
  </si>
  <si>
    <t xml:space="preserve">offer # 3451</t>
  </si>
  <si>
    <t xml:space="preserve">z3</t>
  </si>
  <si>
    <t xml:space="preserve">s jersey</t>
  </si>
  <si>
    <t xml:space="preserve">2.3232/.7537</t>
  </si>
  <si>
    <t xml:space="preserve">offer# 18007</t>
  </si>
  <si>
    <t xml:space="preserve">Trco</t>
  </si>
  <si>
    <t xml:space="preserve">St 85</t>
  </si>
  <si>
    <t xml:space="preserve">St 30</t>
  </si>
  <si>
    <t xml:space="preserve">3.2018</t>
  </si>
  <si>
    <t xml:space="preserve">Purchased from Transco</t>
  </si>
  <si>
    <t xml:space="preserve">Agency</t>
  </si>
  <si>
    <t xml:space="preserve">tennessee</t>
  </si>
  <si>
    <t xml:space="preserve">Reliant - Entex</t>
  </si>
  <si>
    <t xml:space="preserve">zone 1</t>
  </si>
  <si>
    <t xml:space="preserve">3996/4004</t>
  </si>
  <si>
    <t xml:space="preserve">reimbursed</t>
  </si>
  <si>
    <t xml:space="preserve">FS-MA</t>
  </si>
  <si>
    <t xml:space="preserve">entex strg</t>
  </si>
  <si>
    <t xml:space="preserve">Louisiana Gas Service. Co</t>
  </si>
  <si>
    <t xml:space="preserve">LGS strg</t>
  </si>
  <si>
    <t xml:space="preserve">LGS </t>
  </si>
  <si>
    <t xml:space="preserve">Boston Gas</t>
  </si>
  <si>
    <t xml:space="preserve">zone 1/0</t>
  </si>
  <si>
    <t xml:space="preserve">zn 3</t>
  </si>
  <si>
    <t xml:space="preserve">y</t>
  </si>
  <si>
    <t xml:space="preserve">Conn Natural</t>
  </si>
  <si>
    <t xml:space="preserve">zone/0</t>
  </si>
  <si>
    <t xml:space="preserve">Z5 - Wright</t>
  </si>
  <si>
    <t xml:space="preserve">Z6 - Various</t>
  </si>
  <si>
    <t xml:space="preserve">z4 Northern Strg</t>
  </si>
  <si>
    <t xml:space="preserve">Nicor</t>
  </si>
  <si>
    <t xml:space="preserve">Z0</t>
  </si>
  <si>
    <t xml:space="preserve">MGT - Portland</t>
  </si>
  <si>
    <t xml:space="preserve">z1  100 leg</t>
  </si>
  <si>
    <t xml:space="preserve">TGP</t>
  </si>
  <si>
    <t xml:space="preserve">Niagara</t>
  </si>
  <si>
    <t xml:space="preserve">Zone 4</t>
  </si>
  <si>
    <t xml:space="preserve">Segment</t>
  </si>
  <si>
    <t xml:space="preserve">BUG</t>
  </si>
  <si>
    <t xml:space="preserve">Zone L</t>
  </si>
  <si>
    <t xml:space="preserve">Zone 6</t>
  </si>
  <si>
    <t xml:space="preserve">Zone 5</t>
  </si>
  <si>
    <t xml:space="preserve">zl  800 leg</t>
  </si>
  <si>
    <t xml:space="preserve">CGE</t>
  </si>
  <si>
    <t xml:space="preserve">500 leg</t>
  </si>
  <si>
    <t xml:space="preserve">z2</t>
  </si>
  <si>
    <t xml:space="preserve">recallable</t>
  </si>
  <si>
    <t xml:space="preserve">Discount</t>
  </si>
  <si>
    <t xml:space="preserve">0/1</t>
  </si>
  <si>
    <t xml:space="preserve">Sheffield</t>
  </si>
  <si>
    <t xml:space="preserve">Midcoast</t>
  </si>
  <si>
    <t xml:space="preserve">Russelvile</t>
  </si>
  <si>
    <t xml:space="preserve">FT-G </t>
  </si>
  <si>
    <t xml:space="preserve">Cherokee</t>
  </si>
  <si>
    <t xml:space="preserve">FT-GS</t>
  </si>
  <si>
    <t xml:space="preserve">Decatur</t>
  </si>
  <si>
    <t xml:space="preserve">Huntsville</t>
  </si>
  <si>
    <t xml:space="preserve">col gas</t>
  </si>
  <si>
    <t xml:space="preserve">Midwestern</t>
  </si>
  <si>
    <t xml:space="preserve">NGPL</t>
  </si>
  <si>
    <t xml:space="preserve">FGT, Trco, &amp; Lig</t>
  </si>
  <si>
    <t xml:space="preserve">Portland</t>
  </si>
  <si>
    <t xml:space="preserve">Discount to Tco</t>
  </si>
  <si>
    <t xml:space="preserve">  </t>
  </si>
  <si>
    <t xml:space="preserve">discount</t>
  </si>
  <si>
    <t xml:space="preserve">tetco</t>
  </si>
  <si>
    <t xml:space="preserve">ECT</t>
  </si>
  <si>
    <t xml:space="preserve">Ela </t>
  </si>
  <si>
    <t xml:space="preserve">Ragley</t>
  </si>
  <si>
    <t xml:space="preserve">B10581</t>
  </si>
  <si>
    <t xml:space="preserve">Backhaul IT discount</t>
  </si>
  <si>
    <t xml:space="preserve">col gulf</t>
  </si>
  <si>
    <t xml:space="preserve">cglf trans</t>
  </si>
  <si>
    <t xml:space="preserve">onshore</t>
  </si>
  <si>
    <t xml:space="preserve">mainline</t>
  </si>
  <si>
    <t xml:space="preserve">Term=yr to yr, evergreen with 6 month termination notice.</t>
  </si>
  <si>
    <t xml:space="preserve">cdc</t>
  </si>
  <si>
    <t xml:space="preserve">leach</t>
  </si>
  <si>
    <t xml:space="preserve">#26844</t>
  </si>
  <si>
    <t xml:space="preserve">onshore-Authorized Overrun</t>
  </si>
  <si>
    <t xml:space="preserve">Brazos 105</t>
  </si>
  <si>
    <t xml:space="preserve">TRCO Sta 30</t>
  </si>
  <si>
    <t xml:space="preserve">cg&amp;e</t>
  </si>
  <si>
    <t xml:space="preserve">#26945; recalled 2nd</t>
  </si>
  <si>
    <t xml:space="preserve">#26945</t>
  </si>
  <si>
    <t xml:space="preserve">gathering &amp; processing</t>
  </si>
  <si>
    <t xml:space="preserve">various</t>
  </si>
  <si>
    <t xml:space="preserve">Updated 6/25/99</t>
  </si>
  <si>
    <t xml:space="preserve">Mark West Processing</t>
  </si>
  <si>
    <t xml:space="preserve">Eastern American Processing</t>
  </si>
  <si>
    <t xml:space="preserve">iroq</t>
  </si>
  <si>
    <t xml:space="preserve">r-1250-05</t>
  </si>
  <si>
    <t xml:space="preserve">14,957 mcf; $18.25 - winter; $14.6183 - summer; eff 8/31/98 tarrif rate is below negotiated rate - use tariff rate; eff 11/1/98 MDQ = 2017. Demand = $14.1678</t>
  </si>
  <si>
    <t xml:space="preserve">  waddington </t>
  </si>
  <si>
    <t xml:space="preserve">wright</t>
  </si>
  <si>
    <t xml:space="preserve">cr-1250-08</t>
  </si>
  <si>
    <t xml:space="preserve">BGC K#42001;$8.3862</t>
  </si>
  <si>
    <t xml:space="preserve">South Commack</t>
  </si>
  <si>
    <t xml:space="preserve">cr-1250-01</t>
  </si>
  <si>
    <t xml:space="preserve">This discount is reflected on deal 127773</t>
  </si>
  <si>
    <t xml:space="preserve">CNG Sp</t>
  </si>
  <si>
    <t xml:space="preserve">Trco/Leidy</t>
  </si>
  <si>
    <t xml:space="preserve">D29000</t>
  </si>
  <si>
    <t xml:space="preserve">My flow up to 12,000 day as long as it will flow South to North.</t>
  </si>
  <si>
    <t xml:space="preserve">Nat Fuel</t>
  </si>
  <si>
    <t xml:space="preserve">F01978</t>
  </si>
  <si>
    <t xml:space="preserve">Demand charge billed on receipt volume of 117 DT's.  </t>
  </si>
  <si>
    <t xml:space="preserve">B00693-026471</t>
  </si>
  <si>
    <t xml:space="preserve">Northern Natural</t>
  </si>
  <si>
    <t xml:space="preserve">Brazos Blk133b</t>
  </si>
  <si>
    <t xml:space="preserve">CTGS Capacity</t>
  </si>
  <si>
    <t xml:space="preserve">MidCoast</t>
  </si>
  <si>
    <t xml:space="preserve">Russelville</t>
  </si>
  <si>
    <t xml:space="preserve">Reimbursements CES MUNICIPLES</t>
  </si>
  <si>
    <t xml:space="preserve">Reimbursements COMM(CGAS)</t>
  </si>
  <si>
    <t xml:space="preserve">Reimbursements(CGAS)</t>
  </si>
  <si>
    <t xml:space="preserve">Reimbursements( TENN)Entex demand</t>
  </si>
  <si>
    <t xml:space="preserve">Reimbursements(TENN)LGS</t>
  </si>
  <si>
    <t xml:space="preserve">Reimbursements IROQ( BOSTON)</t>
  </si>
  <si>
    <t xml:space="preserve">Reimbursements IROQ( CANADA)</t>
  </si>
  <si>
    <t xml:space="preserve">Reimbursements TENN( BOSTON)</t>
  </si>
  <si>
    <t xml:space="preserve">Reimbursements TENN( CANADA)</t>
  </si>
  <si>
    <t xml:space="preserve">Total</t>
  </si>
  <si>
    <t xml:space="preserve">                                                                                                                                               </t>
  </si>
  <si>
    <t xml:space="preserve">Gas Daily </t>
  </si>
  <si>
    <t xml:space="preserve">formulas</t>
  </si>
  <si>
    <t xml:space="preserve">Formula</t>
  </si>
  <si>
    <t xml:space="preserve">st 85</t>
  </si>
  <si>
    <t xml:space="preserve">zn 0</t>
  </si>
  <si>
    <t xml:space="preserve">ela</t>
  </si>
  <si>
    <t xml:space="preserve">Sonat La</t>
  </si>
  <si>
    <t xml:space="preserve">On Price</t>
  </si>
  <si>
    <t xml:space="preserve">cng south</t>
  </si>
  <si>
    <t xml:space="preserve">TGT</t>
  </si>
  <si>
    <t xml:space="preserve">Wadd</t>
  </si>
  <si>
    <t xml:space="preserve">Tenn Z0</t>
  </si>
  <si>
    <t xml:space="preserve">st 65</t>
  </si>
  <si>
    <t xml:space="preserve">zn 1 800</t>
  </si>
  <si>
    <t xml:space="preserve">wla</t>
  </si>
  <si>
    <t xml:space="preserve">m/l</t>
  </si>
  <si>
    <t xml:space="preserve">Summer</t>
  </si>
  <si>
    <t xml:space="preserve">Winter</t>
  </si>
  <si>
    <t xml:space="preserve">st 45</t>
  </si>
  <si>
    <t xml:space="preserve">stx</t>
  </si>
  <si>
    <t xml:space="preserve">st 30</t>
  </si>
  <si>
    <t xml:space="preserve">m1</t>
  </si>
  <si>
    <t xml:space="preserve">Z6 NY</t>
  </si>
  <si>
    <t xml:space="preserve">Rates No 37.02</t>
  </si>
  <si>
    <t xml:space="preserve">Winter Fuel Nov - Mar</t>
  </si>
  <si>
    <t xml:space="preserve">Winter Fuel Dec-Mar</t>
  </si>
  <si>
    <t xml:space="preserve">Rates 25 &amp; 28</t>
  </si>
  <si>
    <t xml:space="preserve">Rates 32</t>
  </si>
  <si>
    <t xml:space="preserve">Summer Fuel</t>
  </si>
  <si>
    <t xml:space="preserve">Winter Fuel</t>
  </si>
  <si>
    <t xml:space="preserve">Rates No 4</t>
  </si>
  <si>
    <t xml:space="preserve">Rates No 5</t>
  </si>
  <si>
    <t xml:space="preserve">Fuel No 44</t>
  </si>
  <si>
    <t xml:space="preserve">Rates No 23A</t>
  </si>
  <si>
    <t xml:space="preserve">Rates No  26 &amp; 31</t>
  </si>
  <si>
    <t xml:space="preserve">Rates No  42</t>
  </si>
  <si>
    <t xml:space="preserve">PENDING NEW FUELS</t>
  </si>
  <si>
    <t xml:space="preserve">Fuel</t>
  </si>
  <si>
    <t xml:space="preserve">Apr-Nov</t>
  </si>
  <si>
    <t xml:space="preserve">Dec - Mar</t>
  </si>
  <si>
    <t xml:space="preserve">Nov - Mar</t>
  </si>
  <si>
    <t xml:space="preserve">Fuel changes each month</t>
  </si>
  <si>
    <t xml:space="preserve">Fuel No. 10</t>
  </si>
  <si>
    <t xml:space="preserve">Fuel No 29</t>
  </si>
  <si>
    <t xml:space="preserve">Fuel No 127,128, &amp; 129</t>
  </si>
  <si>
    <t xml:space="preserve">EFFECTIVE 4/1/99</t>
  </si>
  <si>
    <t xml:space="preserve">PENDING Rates &amp; Fuel</t>
  </si>
  <si>
    <t xml:space="preserve">Updated 11/1/99</t>
  </si>
  <si>
    <t xml:space="preserve">Rates 21</t>
  </si>
  <si>
    <t xml:space="preserve">Rates 11A</t>
  </si>
  <si>
    <t xml:space="preserve">Rates update 11/1/99</t>
  </si>
  <si>
    <t xml:space="preserve">Rates Eff 5/1/99</t>
  </si>
  <si>
    <t xml:space="preserve">Updtd Rates 12/1/99</t>
  </si>
  <si>
    <t xml:space="preserve">Need to check GSR &amp; SCRM</t>
  </si>
  <si>
    <t xml:space="preserve">Eff 4/1/99</t>
  </si>
  <si>
    <t xml:space="preserve">Fuel No 40</t>
  </si>
  <si>
    <t xml:space="preserve">Fuel 14</t>
  </si>
  <si>
    <t xml:space="preserve">Updated rates 8/1/99</t>
  </si>
  <si>
    <t xml:space="preserve">CDS and FT-1</t>
  </si>
  <si>
    <t xml:space="preserve">Updated eff 11/1/99</t>
  </si>
  <si>
    <t xml:space="preserve">Fuel Rev 8/1/99</t>
  </si>
  <si>
    <t xml:space="preserve">Price</t>
  </si>
  <si>
    <t xml:space="preserve">(1-1)</t>
  </si>
  <si>
    <t xml:space="preserve">(1-1) it</t>
  </si>
  <si>
    <t xml:space="preserve">Tenn</t>
  </si>
  <si>
    <t xml:space="preserve">(0-0)</t>
  </si>
  <si>
    <t xml:space="preserve">TETCO</t>
  </si>
  <si>
    <t xml:space="preserve">(stx-stx)</t>
  </si>
  <si>
    <t xml:space="preserve">(stx-m2)</t>
  </si>
  <si>
    <t xml:space="preserve">Sonat</t>
  </si>
  <si>
    <t xml:space="preserve">(0-0)FT</t>
  </si>
  <si>
    <t xml:space="preserve">Gulf</t>
  </si>
  <si>
    <t xml:space="preserve">(off-off)fts2</t>
  </si>
  <si>
    <t xml:space="preserve">TCO</t>
  </si>
  <si>
    <t xml:space="preserve">(fts)</t>
  </si>
  <si>
    <t xml:space="preserve">ft</t>
  </si>
  <si>
    <t xml:space="preserve">Algo</t>
  </si>
  <si>
    <t xml:space="preserve">AFT-1</t>
  </si>
  <si>
    <t xml:space="preserve">tgt sl-sl</t>
  </si>
  <si>
    <t xml:space="preserve">IROQ</t>
  </si>
  <si>
    <t xml:space="preserve">FT 1-1</t>
  </si>
  <si>
    <t xml:space="preserve">EQTR</t>
  </si>
  <si>
    <t xml:space="preserve">ITS</t>
  </si>
  <si>
    <t xml:space="preserve">UTOS</t>
  </si>
  <si>
    <t xml:space="preserve">Generic</t>
  </si>
  <si>
    <t xml:space="preserve">comm</t>
  </si>
  <si>
    <t xml:space="preserve">Comm</t>
  </si>
  <si>
    <t xml:space="preserve">ACA</t>
  </si>
  <si>
    <t xml:space="preserve">fuel(.35)</t>
  </si>
  <si>
    <t xml:space="preserve">fuel(0.89)</t>
  </si>
  <si>
    <t xml:space="preserve">fuel(2.68)</t>
  </si>
  <si>
    <t xml:space="preserve">fuel(9.26)</t>
  </si>
  <si>
    <t xml:space="preserve">fuel(1.50)</t>
  </si>
  <si>
    <t xml:space="preserve">fuel(.507)</t>
  </si>
  <si>
    <t xml:space="preserve">fuel(2.116)</t>
  </si>
  <si>
    <t xml:space="preserve">fuel(2.28)</t>
  </si>
  <si>
    <t xml:space="preserve">fuel(.41)</t>
  </si>
  <si>
    <t xml:space="preserve">fuel(1.11)</t>
  </si>
  <si>
    <t xml:space="preserve">fuel(.40)</t>
  </si>
  <si>
    <t xml:space="preserve">fuel(.0)</t>
  </si>
  <si>
    <t xml:space="preserve">fuel(3.00)</t>
  </si>
  <si>
    <t xml:space="preserve">fuel(0.0)</t>
  </si>
  <si>
    <t xml:space="preserve">GRI</t>
  </si>
  <si>
    <t xml:space="preserve">Fuel %</t>
  </si>
  <si>
    <t xml:space="preserve">(1-2)</t>
  </si>
  <si>
    <t xml:space="preserve">(1-2) it</t>
  </si>
  <si>
    <t xml:space="preserve">(0-1)</t>
  </si>
  <si>
    <t xml:space="preserve">(stx-wla)</t>
  </si>
  <si>
    <t xml:space="preserve">(stx-m3)</t>
  </si>
  <si>
    <t xml:space="preserve">(0-1)FT</t>
  </si>
  <si>
    <t xml:space="preserve">(on-on)fts2</t>
  </si>
  <si>
    <t xml:space="preserve">(summer)it</t>
  </si>
  <si>
    <t xml:space="preserve">it</t>
  </si>
  <si>
    <t xml:space="preserve">Fuel $</t>
  </si>
  <si>
    <t xml:space="preserve">AFT-13</t>
  </si>
  <si>
    <t xml:space="preserve">tgt sl-4</t>
  </si>
  <si>
    <t xml:space="preserve">FT 1-2</t>
  </si>
  <si>
    <t xml:space="preserve">STS-1</t>
  </si>
  <si>
    <t xml:space="preserve">Variable</t>
  </si>
  <si>
    <t xml:space="preserve">Delivered</t>
  </si>
  <si>
    <t xml:space="preserve">.</t>
  </si>
  <si>
    <t xml:space="preserve">fuel(.82)</t>
  </si>
  <si>
    <t xml:space="preserve">fuel(2.79)</t>
  </si>
  <si>
    <t xml:space="preserve">fuel(2.93)</t>
  </si>
  <si>
    <t xml:space="preserve">fuel(10.89)</t>
  </si>
  <si>
    <t xml:space="preserve">fuel(.593)</t>
  </si>
  <si>
    <t xml:space="preserve">fuel(3.37)</t>
  </si>
  <si>
    <t xml:space="preserve">fuel(.7)</t>
  </si>
  <si>
    <t xml:space="preserve">(1-3)</t>
  </si>
  <si>
    <t xml:space="preserve">(1-3)IT</t>
  </si>
  <si>
    <t xml:space="preserve">(0-2)</t>
  </si>
  <si>
    <t xml:space="preserve">(stx-ela)</t>
  </si>
  <si>
    <t xml:space="preserve">(wla-m2)</t>
  </si>
  <si>
    <t xml:space="preserve">(0-2)FT</t>
  </si>
  <si>
    <t xml:space="preserve">(ml-ml)fts1</t>
  </si>
  <si>
    <t xml:space="preserve">(winter)it</t>
  </si>
  <si>
    <t xml:space="preserve">Disc It</t>
  </si>
  <si>
    <t xml:space="preserve">tgt 1-4</t>
  </si>
  <si>
    <t xml:space="preserve">IT 1-2</t>
  </si>
  <si>
    <t xml:space="preserve">Gath</t>
  </si>
  <si>
    <t xml:space="preserve">fuel(1.27)</t>
  </si>
  <si>
    <t xml:space="preserve">fuel(5.16)</t>
  </si>
  <si>
    <t xml:space="preserve">fuel(4.28)</t>
  </si>
  <si>
    <t xml:space="preserve">fuel(8.12)</t>
  </si>
  <si>
    <t xml:space="preserve">fuel(2.30)</t>
  </si>
  <si>
    <t xml:space="preserve">fuel(2.988)</t>
  </si>
  <si>
    <t xml:space="preserve">(1-4)</t>
  </si>
  <si>
    <t xml:space="preserve">(1-4) it</t>
  </si>
  <si>
    <t xml:space="preserve">(0-3)</t>
  </si>
  <si>
    <t xml:space="preserve">(stx-m1)</t>
  </si>
  <si>
    <t xml:space="preserve">(wla-m3)</t>
  </si>
  <si>
    <t xml:space="preserve">(0-3)FT</t>
  </si>
  <si>
    <t xml:space="preserve">(off-off)its2</t>
  </si>
  <si>
    <t xml:space="preserve">(gath)it</t>
  </si>
  <si>
    <t xml:space="preserve">fuel(5.0)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</si>
  <si>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</si>
  <si>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fuel(3.2)</t>
  </si>
  <si>
    <t xml:space="preserve">fuel(5.88)</t>
  </si>
  <si>
    <t xml:space="preserve">fuel(6.77)</t>
  </si>
  <si>
    <t xml:space="preserve">fuel(9.75)</t>
  </si>
  <si>
    <t xml:space="preserve">fuel(2.60)</t>
  </si>
  <si>
    <t xml:space="preserve">tgt SL-1</t>
  </si>
  <si>
    <t xml:space="preserve">Disc 1-2</t>
  </si>
  <si>
    <t xml:space="preserve">(1-5)</t>
  </si>
  <si>
    <t xml:space="preserve">(2-2) it</t>
  </si>
  <si>
    <t xml:space="preserve">(0-4)</t>
  </si>
  <si>
    <t xml:space="preserve">(ela-m2)</t>
  </si>
  <si>
    <t xml:space="preserve">(on-on)its2</t>
  </si>
  <si>
    <t xml:space="preserve">fuel(2.13)</t>
  </si>
  <si>
    <t xml:space="preserve">max demand</t>
  </si>
  <si>
    <t xml:space="preserve">fuel(4.72)</t>
  </si>
  <si>
    <t xml:space="preserve">fuel(.47)</t>
  </si>
  <si>
    <t xml:space="preserve">fuel(6.79)</t>
  </si>
  <si>
    <t xml:space="preserve">fuel(7.61)</t>
  </si>
  <si>
    <t xml:space="preserve">aca=.0022</t>
  </si>
  <si>
    <t xml:space="preserve">tgt 1-SL (Backhaul)</t>
  </si>
  <si>
    <t xml:space="preserve">Disc 1-1</t>
  </si>
  <si>
    <t xml:space="preserve">(1-6)</t>
  </si>
  <si>
    <t xml:space="preserve">(2-3)IT</t>
  </si>
  <si>
    <t xml:space="preserve">(0-5)</t>
  </si>
  <si>
    <t xml:space="preserve">(ela-m3)</t>
  </si>
  <si>
    <t xml:space="preserve">(ml-ml)its1</t>
  </si>
  <si>
    <t xml:space="preserve">gri=.0075</t>
  </si>
  <si>
    <t xml:space="preserve">fuel(5.56)</t>
  </si>
  <si>
    <t xml:space="preserve">fuel(0.92)</t>
  </si>
  <si>
    <t xml:space="preserve">fuel(7.88)</t>
  </si>
  <si>
    <t xml:space="preserve">fuel(9.24)</t>
  </si>
  <si>
    <t xml:space="preserve">(2-2)</t>
  </si>
  <si>
    <t xml:space="preserve">(2-4) it</t>
  </si>
  <si>
    <t xml:space="preserve">(0-6)</t>
  </si>
  <si>
    <t xml:space="preserve">(wla-wla)</t>
  </si>
  <si>
    <t xml:space="preserve">(m1-m2)</t>
  </si>
  <si>
    <t xml:space="preserve">Iroq Fuel</t>
  </si>
  <si>
    <t xml:space="preserve">(on-on)DISC</t>
  </si>
  <si>
    <t xml:space="preserve">fuel(2.85)</t>
  </si>
  <si>
    <t xml:space="preserve">fuel(8.71)</t>
  </si>
  <si>
    <t xml:space="preserve">fuel(1.75)</t>
  </si>
  <si>
    <t xml:space="preserve">fuel(4.98)</t>
  </si>
  <si>
    <t xml:space="preserve">Z1 - Z1</t>
  </si>
  <si>
    <t xml:space="preserve">fuel(..593)</t>
  </si>
  <si>
    <t xml:space="preserve">Z1 -Z2</t>
  </si>
  <si>
    <t xml:space="preserve">(2-3)</t>
  </si>
  <si>
    <t xml:space="preserve">(3-3)IT</t>
  </si>
  <si>
    <t xml:space="preserve">(L-L)</t>
  </si>
  <si>
    <t xml:space="preserve">(wla-ela)</t>
  </si>
  <si>
    <t xml:space="preserve">(m1-m3)</t>
  </si>
  <si>
    <t xml:space="preserve">Z2 - Z2</t>
  </si>
  <si>
    <t xml:space="preserve">(rn-lch)Disc</t>
  </si>
  <si>
    <t xml:space="preserve">fuel(.92)</t>
  </si>
  <si>
    <t xml:space="preserve">fuel(0.45)</t>
  </si>
  <si>
    <t xml:space="preserve">fuel(1.01)</t>
  </si>
  <si>
    <t xml:space="preserve">fuel(3.14)</t>
  </si>
  <si>
    <t xml:space="preserve">fuel(6.61)</t>
  </si>
  <si>
    <t xml:space="preserve">(2-5)</t>
  </si>
  <si>
    <t xml:space="preserve">(3-4) it</t>
  </si>
  <si>
    <t xml:space="preserve">(wla-m1)</t>
  </si>
  <si>
    <t xml:space="preserve">(m2-m3)</t>
  </si>
  <si>
    <t xml:space="preserve">fuel(4.37)</t>
  </si>
  <si>
    <t xml:space="preserve">fuel(2.38)</t>
  </si>
  <si>
    <t xml:space="preserve">fuel(1.91)</t>
  </si>
  <si>
    <t xml:space="preserve">fuel(5.63)</t>
  </si>
  <si>
    <t xml:space="preserve">fuel(5.45)</t>
  </si>
  <si>
    <t xml:space="preserve">(2-6)</t>
  </si>
  <si>
    <t xml:space="preserve">(3-4) it disc</t>
  </si>
  <si>
    <t xml:space="preserve">(m3-m3)</t>
  </si>
  <si>
    <t xml:space="preserve">fuel(5.21)</t>
  </si>
  <si>
    <t xml:space="preserve">fuel(2.99)</t>
  </si>
  <si>
    <t xml:space="preserve">(3-3)</t>
  </si>
  <si>
    <t xml:space="preserve">(3-6) it</t>
  </si>
  <si>
    <t xml:space="preserve">fuel (.45)</t>
  </si>
  <si>
    <t xml:space="preserve">fuel(4.74)</t>
  </si>
  <si>
    <t xml:space="preserve">fuel(4.99)</t>
  </si>
  <si>
    <t xml:space="preserve">(3-4) </t>
  </si>
  <si>
    <t xml:space="preserve">(4-4) it</t>
  </si>
  <si>
    <t xml:space="preserve">(etx-stx)</t>
  </si>
  <si>
    <t xml:space="preserve">fuel(1.93)</t>
  </si>
  <si>
    <t xml:space="preserve">fuel(5.96)</t>
  </si>
  <si>
    <t xml:space="preserve">(3-5)</t>
  </si>
  <si>
    <t xml:space="preserve">Transco  </t>
  </si>
  <si>
    <t xml:space="preserve">(4a-4a) it</t>
  </si>
  <si>
    <t xml:space="preserve">(etx-wla)</t>
  </si>
  <si>
    <t xml:space="preserve">fuel(3.90)</t>
  </si>
  <si>
    <t xml:space="preserve">fuel(0.62)</t>
  </si>
  <si>
    <t xml:space="preserve">fuel(6.99)</t>
  </si>
  <si>
    <t xml:space="preserve">fuel(2.63)</t>
  </si>
  <si>
    <t xml:space="preserve">(3-6)</t>
  </si>
  <si>
    <t xml:space="preserve">(etx-etx)</t>
  </si>
  <si>
    <t xml:space="preserve">Transco it</t>
  </si>
  <si>
    <t xml:space="preserve">(6-6) it</t>
  </si>
  <si>
    <t xml:space="preserve">fuel(7.82)</t>
  </si>
  <si>
    <t xml:space="preserve">fuel(0.84)</t>
  </si>
  <si>
    <t xml:space="preserve">(4-4) </t>
  </si>
  <si>
    <t xml:space="preserve">(etx-ela )</t>
  </si>
  <si>
    <t xml:space="preserve">Transco IT Backhaul</t>
  </si>
  <si>
    <t xml:space="preserve">fuel(4.15)</t>
  </si>
  <si>
    <t xml:space="preserve">(4-5) </t>
  </si>
  <si>
    <t xml:space="preserve">(4-4)</t>
  </si>
  <si>
    <t xml:space="preserve">(ela-ela)</t>
  </si>
  <si>
    <t xml:space="preserve">fuel(??)</t>
  </si>
  <si>
    <t xml:space="preserve">???</t>
  </si>
  <si>
    <t xml:space="preserve">fuel(1.09)</t>
  </si>
  <si>
    <t xml:space="preserve">(4-6) </t>
  </si>
  <si>
    <t xml:space="preserve">(4-6)</t>
  </si>
  <si>
    <t xml:space="preserve">(ela-m1)</t>
  </si>
  <si>
    <t xml:space="preserve">fuel(4.29)</t>
  </si>
  <si>
    <t xml:space="preserve">fuel(2.17)</t>
  </si>
  <si>
    <t xml:space="preserve">fuel(5.12)</t>
  </si>
  <si>
    <t xml:space="preserve">(4a-4a)</t>
  </si>
  <si>
    <t xml:space="preserve">(5-5)</t>
  </si>
  <si>
    <t xml:space="preserve">fuel(1.28)</t>
  </si>
  <si>
    <t xml:space="preserve">(5-6) </t>
  </si>
  <si>
    <t xml:space="preserve">fuel(1.52)</t>
  </si>
  <si>
    <t xml:space="preserve">fuel(2.09)</t>
  </si>
  <si>
    <t xml:space="preserve">(5-6)</t>
  </si>
  <si>
    <t xml:space="preserve">(5-4) FT</t>
  </si>
  <si>
    <t xml:space="preserve">(m1-m1)</t>
  </si>
  <si>
    <t xml:space="preserve">fuel(2.36)</t>
  </si>
  <si>
    <t xml:space="preserve">fuel(1.16)</t>
  </si>
  <si>
    <t xml:space="preserve">fuel(2.49)</t>
  </si>
  <si>
    <t xml:space="preserve">(6-6)</t>
  </si>
  <si>
    <t xml:space="preserve">(L-L)  IT</t>
  </si>
  <si>
    <t xml:space="preserve">(0-l)  IT</t>
  </si>
  <si>
    <t xml:space="preserve">Cherokee Expansion</t>
  </si>
  <si>
    <t xml:space="preserve">Sheet No. 37M</t>
  </si>
  <si>
    <t xml:space="preserve">(l-2)  IT</t>
  </si>
  <si>
    <t xml:space="preserve">(m2-m2)</t>
  </si>
  <si>
    <t xml:space="preserve">fuel(3.78)</t>
  </si>
  <si>
    <t xml:space="preserve">Z6 to Z6 FTA K# 2.2173</t>
  </si>
  <si>
    <t xml:space="preserve">(5-5) IT</t>
  </si>
  <si>
    <t xml:space="preserve">Sheet No. 37E</t>
  </si>
  <si>
    <t xml:space="preserve">fuel(.84)</t>
  </si>
  <si>
    <t xml:space="preserve">Transco FT-NT</t>
  </si>
  <si>
    <t xml:space="preserve">Sheet 50 Summer Apr-Oct</t>
  </si>
  <si>
    <t xml:space="preserve">Fuel (7.09)</t>
  </si>
  <si>
    <t xml:space="preserve">Incremental Leidy 2.239</t>
  </si>
  <si>
    <t xml:space="preserve">Sheet No. 37A</t>
  </si>
  <si>
    <t xml:space="preserve">Transco FT Commodity</t>
  </si>
  <si>
    <t xml:space="preserve">4A</t>
  </si>
  <si>
    <t xml:space="preserve">CGAS FT</t>
  </si>
  <si>
    <t xml:space="preserve">CNG FT</t>
  </si>
  <si>
    <t xml:space="preserve">Transco 6-6 k# 2.2173</t>
  </si>
  <si>
    <t xml:space="preserve">INCLUDES GRI ($0.0075) and Great Plains Surcharge ($0.0179)</t>
  </si>
  <si>
    <t xml:space="preserve">Tenn FT Commodity</t>
  </si>
  <si>
    <t xml:space="preserve">Toca/Patt</t>
  </si>
  <si>
    <t xml:space="preserve">Kinder</t>
  </si>
  <si>
    <t xml:space="preserve">Hiedelburg</t>
  </si>
  <si>
    <t xml:space="preserve">Chicago</t>
  </si>
  <si>
    <t xml:space="preserve">Carnes</t>
  </si>
  <si>
    <t xml:space="preserve">Rosehill</t>
  </si>
  <si>
    <t xml:space="preserve">Pugh</t>
  </si>
  <si>
    <t xml:space="preserve">Varibus</t>
  </si>
  <si>
    <t xml:space="preserve">Zone 2 </t>
  </si>
  <si>
    <t xml:space="preserve">Zone 3</t>
  </si>
  <si>
    <t xml:space="preserve">0</t>
  </si>
  <si>
    <t xml:space="preserve">L</t>
  </si>
  <si>
    <t xml:space="preserve">MGT Rate </t>
  </si>
  <si>
    <t xml:space="preserve">Z2-Z6 include GRI of $0.0075</t>
  </si>
  <si>
    <t xml:space="preserve">Z0-Niagara difference:</t>
  </si>
  <si>
    <t xml:space="preserve">Z1-Niagara difference:</t>
  </si>
  <si>
    <t xml:space="preserve">TETCO FT Commodity using April - November Fuels</t>
  </si>
  <si>
    <t xml:space="preserve">STX</t>
  </si>
  <si>
    <t xml:space="preserve">LRC</t>
  </si>
  <si>
    <t xml:space="preserve">M-1</t>
  </si>
  <si>
    <t xml:space="preserve">M-2</t>
  </si>
  <si>
    <t xml:space="preserve">M-3</t>
  </si>
  <si>
    <t xml:space="preserve">Tetco Storage</t>
  </si>
  <si>
    <t xml:space="preserve">It to M2</t>
  </si>
  <si>
    <t xml:space="preserve">It to M3</t>
  </si>
  <si>
    <t xml:space="preserve">ETX</t>
  </si>
  <si>
    <t xml:space="preserve">WLA</t>
  </si>
  <si>
    <t xml:space="preserve">ELA</t>
  </si>
  <si>
    <t xml:space="preserve">M1</t>
  </si>
  <si>
    <t xml:space="preserve">M2</t>
  </si>
  <si>
    <t xml:space="preserve">0-0</t>
  </si>
  <si>
    <t xml:space="preserve">0-1</t>
  </si>
  <si>
    <t xml:space="preserve">0-2</t>
  </si>
  <si>
    <t xml:space="preserve">0-3</t>
  </si>
  <si>
    <t xml:space="preserve">Gulf Onshore IT-Mainline FT</t>
  </si>
  <si>
    <t xml:space="preserve">Texas Gas FT Commodity</t>
  </si>
  <si>
    <t xml:space="preserve">Off</t>
  </si>
  <si>
    <t xml:space="preserve">On</t>
  </si>
  <si>
    <t xml:space="preserve">SL-Inter</t>
  </si>
  <si>
    <t xml:space="preserve">SL-Intra</t>
  </si>
  <si>
    <t xml:space="preserve">1</t>
  </si>
  <si>
    <t xml:space="preserve">4</t>
  </si>
  <si>
    <t xml:space="preserve">SL</t>
  </si>
  <si>
    <t xml:space="preserve">ML</t>
  </si>
  <si>
    <t xml:space="preserve">Offshore and Onshore are IT rates</t>
  </si>
  <si>
    <t xml:space="preserve">Transport expense using Prices shown below</t>
  </si>
  <si>
    <t xml:space="preserve">Trco Z1</t>
  </si>
  <si>
    <t xml:space="preserve">CGLF On</t>
  </si>
  <si>
    <t xml:space="preserve">Trco Z2</t>
  </si>
  <si>
    <t xml:space="preserve">M/L</t>
  </si>
  <si>
    <t xml:space="preserve">Trco Z3</t>
  </si>
  <si>
    <t xml:space="preserve">TGT Sl</t>
  </si>
  <si>
    <t xml:space="preserve">Trco Z4</t>
  </si>
  <si>
    <t xml:space="preserve">Tenn 800</t>
  </si>
  <si>
    <t xml:space="preserve">Trco Z6</t>
  </si>
  <si>
    <t xml:space="preserve">Tenn Niagara</t>
  </si>
  <si>
    <t xml:space="preserve">Stx</t>
  </si>
  <si>
    <t xml:space="preserve">CNG SP</t>
  </si>
  <si>
    <t xml:space="preserve">Wla</t>
  </si>
  <si>
    <t xml:space="preserve">Ela</t>
  </si>
  <si>
    <t xml:space="preserve">Formula ==&gt;</t>
  </si>
  <si>
    <t xml:space="preserve">Spring Fuel Apr - Oct</t>
  </si>
  <si>
    <t xml:space="preserve">Spring Fuel Apr-Nov</t>
  </si>
  <si>
    <t xml:space="preserve">Apr 1 - Oct 31</t>
  </si>
  <si>
    <t xml:space="preserve">Updtd Rates 8/1/99</t>
  </si>
  <si>
    <t xml:space="preserve">fuel(2.35)</t>
  </si>
  <si>
    <t xml:space="preserve">fuel(.22)</t>
  </si>
  <si>
    <t xml:space="preserve">fuel(2.44)</t>
  </si>
  <si>
    <t xml:space="preserve">fuel(2.52)</t>
  </si>
  <si>
    <t xml:space="preserve">fuel(4.43)</t>
  </si>
  <si>
    <t xml:space="preserve">fuel(3.42)</t>
  </si>
  <si>
    <t xml:space="preserve">fuel(5.04)</t>
  </si>
  <si>
    <t xml:space="preserve">fuel(5.64)</t>
  </si>
  <si>
    <t xml:space="preserve">fuel(1.69)</t>
  </si>
  <si>
    <t xml:space="preserve">fuel(5.8)</t>
  </si>
  <si>
    <t xml:space="preserve">fuel(7.32)</t>
  </si>
  <si>
    <t xml:space="preserve">fuel(6.72)</t>
  </si>
  <si>
    <t xml:space="preserve">fuel(8.47)</t>
  </si>
  <si>
    <t xml:space="preserve">fuel(7.42)</t>
  </si>
  <si>
    <t xml:space="preserve">fuel(1.74)</t>
  </si>
  <si>
    <t xml:space="preserve">fuel(.95)</t>
  </si>
  <si>
    <t xml:space="preserve">fuel(2.65)</t>
  </si>
  <si>
    <t xml:space="preserve">fuel(1.70)</t>
  </si>
  <si>
    <t xml:space="preserve">fuel(4.87)</t>
  </si>
  <si>
    <t xml:space="preserve">fuel(3.69)</t>
  </si>
  <si>
    <t xml:space="preserve">fuel(6.55)</t>
  </si>
  <si>
    <t xml:space="preserve">fuel(7.70)</t>
  </si>
  <si>
    <t xml:space="preserve">fuel(5.06)</t>
  </si>
  <si>
    <t xml:space="preserve">fuel(5.97)</t>
  </si>
  <si>
    <t xml:space="preserve">fuel(2.31)</t>
  </si>
  <si>
    <t xml:space="preserve">fuel(6.67)</t>
  </si>
  <si>
    <t xml:space="preserve">fuel(3.58)</t>
  </si>
  <si>
    <t xml:space="preserve">fuel(2.32)</t>
  </si>
  <si>
    <t xml:space="preserve">fuel(1.92)</t>
  </si>
  <si>
    <t xml:space="preserve">fuel(4.53)</t>
  </si>
  <si>
    <t xml:space="preserve">fuel(1.17)</t>
  </si>
  <si>
    <t xml:space="preserve">fuel(6.21)</t>
  </si>
  <si>
    <t xml:space="preserve">fuel(1.86)</t>
  </si>
  <si>
    <t xml:space="preserve">fuel(7.36)</t>
  </si>
  <si>
    <t xml:space="preserve">fuel(1.07)</t>
  </si>
  <si>
    <t xml:space="preserve">fuel(2.22)</t>
  </si>
  <si>
    <t xml:space="preserve">fuel(5.05)</t>
  </si>
  <si>
    <t xml:space="preserve">fuel(3.08)</t>
  </si>
  <si>
    <t xml:space="preserve">fuel(4.23)</t>
  </si>
  <si>
    <t xml:space="preserve">fuel(2.55)</t>
  </si>
  <si>
    <t xml:space="preserve">Storage GSS Sheet 27</t>
  </si>
  <si>
    <t xml:space="preserve">Injection</t>
  </si>
  <si>
    <t xml:space="preserve">Index</t>
  </si>
  <si>
    <t xml:space="preserve">Z6</t>
  </si>
  <si>
    <t xml:space="preserve">Inj Fuel</t>
  </si>
  <si>
    <t xml:space="preserve">  note:  Fuel is the sum of 3.10% from Transco and 1.64% from CNG.</t>
  </si>
  <si>
    <t xml:space="preserve">Fuel Cost</t>
  </si>
  <si>
    <t xml:space="preserve">Total Cost</t>
  </si>
  <si>
    <t xml:space="preserve">Withdrawal</t>
  </si>
  <si>
    <t xml:space="preserve">W/D Fuel</t>
  </si>
  <si>
    <t xml:space="preserve">Storage WSS Sheet 27A</t>
  </si>
  <si>
    <t xml:space="preserve">Storage LSS Sheet 28A</t>
  </si>
  <si>
    <t xml:space="preserve">  note:  Fuel is 100% third party fuel</t>
  </si>
  <si>
    <t xml:space="preserve">Storage SS1 Sheet 28B</t>
  </si>
  <si>
    <t xml:space="preserve">Transco Injection Cost</t>
  </si>
  <si>
    <t xml:space="preserve">Transport</t>
  </si>
  <si>
    <t xml:space="preserve">CNG Transport Cost from Leidy to Tioga</t>
  </si>
  <si>
    <t xml:space="preserve">CNG Transport Cost from Tioga to Leidy</t>
  </si>
  <si>
    <t xml:space="preserve">Transco Withdrawal Cost</t>
  </si>
  <si>
    <t xml:space="preserve">Transport Leidy to Bug Contract 2.2173  Sheet No 37E  FTA-R</t>
  </si>
  <si>
    <t xml:space="preserve">ACA + GRI</t>
  </si>
  <si>
    <t xml:space="preserve">No Great Plains Surcharge</t>
  </si>
  <si>
    <t xml:space="preserve">Storage GSS &amp; GSS-TE</t>
  </si>
  <si>
    <t xml:space="preserve">CNG South</t>
  </si>
  <si>
    <t xml:space="preserve">GSS-TE Surcharge</t>
  </si>
  <si>
    <t xml:space="preserve">Only variable cost difference between GSS and GSSTE is the </t>
  </si>
  <si>
    <t xml:space="preserve">GSS-TE surcharge on withdrawals</t>
  </si>
  <si>
    <t xml:space="preserve">Storage SS-3</t>
  </si>
  <si>
    <t xml:space="preserve">Storage Transport Service STS-1</t>
  </si>
  <si>
    <t xml:space="preserve">Commodity</t>
  </si>
  <si>
    <t xml:space="preserve">January 1999 Demand Calculations</t>
  </si>
  <si>
    <t xml:space="preserve">Factor</t>
  </si>
  <si>
    <t xml:space="preserve">[Factor = (12/365) x # days in Month]</t>
  </si>
  <si>
    <t xml:space="preserve">Contract</t>
  </si>
  <si>
    <t xml:space="preserve">Rate</t>
  </si>
  <si>
    <t xml:space="preserve">Vol </t>
  </si>
  <si>
    <t xml:space="preserve">Amount</t>
  </si>
  <si>
    <t xml:space="preserve">Etx</t>
  </si>
  <si>
    <t xml:space="preserve">1-1</t>
  </si>
  <si>
    <t xml:space="preserve">2-2</t>
  </si>
  <si>
    <t xml:space="preserve">3-3</t>
  </si>
  <si>
    <t xml:space="preserve">1-3</t>
  </si>
  <si>
    <t xml:space="preserve">Surcharge</t>
  </si>
  <si>
    <t xml:space="preserve">M3 Vol</t>
  </si>
  <si>
    <t xml:space="preserve">Unit Rate</t>
  </si>
  <si>
    <t xml:space="preserve">CDS</t>
  </si>
  <si>
    <t xml:space="preserve">Demand charges effective 8/1/98</t>
  </si>
  <si>
    <t xml:space="preserve">Vol #8939</t>
  </si>
  <si>
    <t xml:space="preserve">Vol #9504</t>
  </si>
  <si>
    <t xml:space="preserve">Vol #11677</t>
  </si>
  <si>
    <t xml:space="preserve">Vol #</t>
  </si>
  <si>
    <t xml:space="preserve">1-2</t>
  </si>
  <si>
    <t xml:space="preserve">Vol #11671</t>
  </si>
  <si>
    <t xml:space="preserve">Vol</t>
  </si>
  <si>
    <t xml:space="preserve">Vol #8943</t>
  </si>
  <si>
    <t xml:space="preserve">Vol #9509</t>
  </si>
  <si>
    <t xml:space="preserve">M2 Vol</t>
  </si>
  <si>
    <t xml:space="preserve">Peoples Natural Gas</t>
  </si>
  <si>
    <t xml:space="preserve">apr-nov fuel</t>
  </si>
  <si>
    <t xml:space="preserve">PRO-RATED</t>
  </si>
  <si>
    <t xml:space="preserve">REGION</t>
  </si>
  <si>
    <t xml:space="preserve">CAPACITY</t>
  </si>
  <si>
    <t xml:space="preserve">% TOTAL</t>
  </si>
  <si>
    <t xml:space="preserve">RATE</t>
  </si>
  <si>
    <t xml:space="preserve"> RATE</t>
  </si>
  <si>
    <t xml:space="preserve">BASIS</t>
  </si>
  <si>
    <t xml:space="preserve">TOTAL</t>
  </si>
  <si>
    <t xml:space="preserve">STX - M3</t>
  </si>
  <si>
    <t xml:space="preserve">WLA- M3</t>
  </si>
  <si>
    <t xml:space="preserve">ELA - M3</t>
  </si>
  <si>
    <t xml:space="preserve">m1 - M3</t>
  </si>
  <si>
    <t xml:space="preserve">ETX - M3</t>
  </si>
  <si>
    <t xml:space="preserve">M3 Bid</t>
  </si>
  <si>
    <t xml:space="preserve">Demand</t>
  </si>
  <si>
    <t xml:space="preserve">STX - M2</t>
  </si>
  <si>
    <t xml:space="preserve">WLA - M2</t>
  </si>
  <si>
    <t xml:space="preserve">ELA - M2</t>
  </si>
  <si>
    <t xml:space="preserve">m1 - M2</t>
  </si>
  <si>
    <t xml:space="preserve">ETX - M2</t>
  </si>
  <si>
    <t xml:space="preserve">M2 Bid (CNG)</t>
  </si>
  <si>
    <t xml:space="preserve">Sta 30 - Z6</t>
  </si>
  <si>
    <t xml:space="preserve">Sta 45 - Z6</t>
  </si>
  <si>
    <t xml:space="preserve">Sta 65 - Z6</t>
  </si>
  <si>
    <t xml:space="preserve">Basis</t>
  </si>
  <si>
    <t xml:space="preserve">Onshore</t>
  </si>
  <si>
    <t xml:space="preserve">Other</t>
  </si>
  <si>
    <t xml:space="preserve">On Offer</t>
  </si>
  <si>
    <t xml:space="preserve">TCO Bid</t>
  </si>
  <si>
    <t xml:space="preserve">FT/FT</t>
  </si>
  <si>
    <t xml:space="preserve">IT/FT</t>
  </si>
  <si>
    <t xml:space="preserve">Prod Basis</t>
  </si>
  <si>
    <t xml:space="preserve">Tco Bid</t>
  </si>
  <si>
    <t xml:space="preserve">Z0 to Z3</t>
  </si>
  <si>
    <t xml:space="preserve">Z1 to Z3</t>
  </si>
  <si>
    <t xml:space="preserve">Z0 to Z4</t>
  </si>
  <si>
    <t xml:space="preserve">Z1 to Z4</t>
  </si>
  <si>
    <t xml:space="preserve">Special</t>
  </si>
  <si>
    <t xml:space="preserve">STX - ELA</t>
  </si>
  <si>
    <t xml:space="preserve">ELA BID</t>
  </si>
  <si>
    <t xml:space="preserve">bas diff -</t>
  </si>
  <si>
    <t xml:space="preserve">value * 5 </t>
  </si>
  <si>
    <t xml:space="preserve">pro rate</t>
  </si>
  <si>
    <t xml:space="preserve">pro basis</t>
  </si>
  <si>
    <t xml:space="preserve">basis diff</t>
  </si>
  <si>
    <t xml:space="preserve">rate</t>
  </si>
  <si>
    <t xml:space="preserve">months</t>
  </si>
  <si>
    <t xml:space="preserve">summerrates</t>
  </si>
  <si>
    <t xml:space="preserve">basis</t>
  </si>
  <si>
    <t xml:space="preserve">z1 to z3</t>
  </si>
  <si>
    <t xml:space="preserve">cng s bid</t>
  </si>
  <si>
    <t xml:space="preserve">z1 to z4</t>
  </si>
  <si>
    <t xml:space="preserve">cng n bid</t>
  </si>
  <si>
    <t xml:space="preserve">Z0 to Z5</t>
  </si>
  <si>
    <t xml:space="preserve">Z1 to Z5</t>
  </si>
  <si>
    <t xml:space="preserve">z1 to z5</t>
  </si>
  <si>
    <t xml:space="preserve">DEAL #</t>
  </si>
  <si>
    <t xml:space="preserve">PIPELINE</t>
  </si>
  <si>
    <t xml:space="preserve">POINT</t>
  </si>
  <si>
    <t xml:space="preserve">PRODUCER</t>
  </si>
  <si>
    <t xml:space="preserve">COMMODITY </t>
  </si>
  <si>
    <t xml:space="preserve">FUEL %</t>
  </si>
  <si>
    <t xml:space="preserve">INDEX</t>
  </si>
  <si>
    <t xml:space="preserve">TRANSCO</t>
  </si>
  <si>
    <t xml:space="preserve">Z1 WH</t>
  </si>
  <si>
    <t xml:space="preserve">AMERICAN EXPLORATION</t>
  </si>
  <si>
    <t xml:space="preserve">DOMINION RESERVES</t>
  </si>
  <si>
    <t xml:space="preserve">ZILKHA ENERGY</t>
  </si>
  <si>
    <t xml:space="preserve">Z2 WH</t>
  </si>
  <si>
    <t xml:space="preserve">ENRON OIL &amp; GAS</t>
  </si>
  <si>
    <t xml:space="preserve">Z3 WH</t>
  </si>
  <si>
    <t xml:space="preserve">MARINER ENERGY</t>
  </si>
  <si>
    <t xml:space="preserve">NEWFIELD EXPLORATION</t>
  </si>
  <si>
    <t xml:space="preserve">HALLWOOD PETROLEUM</t>
  </si>
  <si>
    <t xml:space="preserve">OCEAN ENERGY</t>
  </si>
  <si>
    <t xml:space="preserve">Z4 WH</t>
  </si>
  <si>
    <t xml:space="preserve">OEDC EXPLORATION</t>
  </si>
  <si>
    <t xml:space="preserve">VENICE</t>
  </si>
  <si>
    <t xml:space="preserve">S PELTO 5</t>
  </si>
  <si>
    <t xml:space="preserve">UP TO 30,000</t>
  </si>
  <si>
    <t xml:space="preserve">S TIM 37</t>
  </si>
  <si>
    <t xml:space="preserve">Mariner Energy</t>
  </si>
  <si>
    <t xml:space="preserve">6/23/98 CG</t>
  </si>
  <si>
    <t xml:space="preserve">CNR</t>
  </si>
  <si>
    <t xml:space="preserve">ECT deducts processing of $.06 and gathering of $.26 until of February of 1999.</t>
  </si>
  <si>
    <t xml:space="preserve">The following producers pay their own gathering and processing invoices:</t>
  </si>
  <si>
    <t xml:space="preserve">Deal #</t>
  </si>
  <si>
    <t xml:space="preserve">Producer</t>
  </si>
  <si>
    <t xml:space="preserve">Dry Creek Oil &amp; Gas</t>
  </si>
  <si>
    <t xml:space="preserve">Elliott, We Jr., Trustee</t>
  </si>
  <si>
    <t xml:space="preserve">Jacks Creek Oil &amp; Gas</t>
  </si>
  <si>
    <t xml:space="preserve">Lindsey &amp; Elliott Perry/Fletcher</t>
  </si>
  <si>
    <t xml:space="preserve">Lindsey Enterprises</t>
  </si>
  <si>
    <t xml:space="preserve">Gatherco</t>
  </si>
  <si>
    <t xml:space="preserve">ECT pays $.25 gathering for all producers.</t>
  </si>
  <si>
    <t xml:space="preserve">Gathering fees are $.30 if index goes above $3.49</t>
  </si>
  <si>
    <t xml:space="preserve">All producers on Gatherco receive the gathering deduct.</t>
  </si>
  <si>
    <t xml:space="preserve">Cashout Deal Tickets</t>
  </si>
  <si>
    <t xml:space="preserve">Deal</t>
  </si>
  <si>
    <t xml:space="preserve">Tenn 500 L Sale</t>
  </si>
  <si>
    <t xml:space="preserve">Tetco Transport </t>
  </si>
  <si>
    <t xml:space="preserve">Supply</t>
  </si>
  <si>
    <t xml:space="preserve">Market</t>
  </si>
  <si>
    <t xml:space="preserve">Stx - M2</t>
  </si>
  <si>
    <t xml:space="preserve">Stx - Wla</t>
  </si>
  <si>
    <t xml:space="preserve">Stx - Ela</t>
  </si>
  <si>
    <t xml:space="preserve">Stx - Stx</t>
  </si>
  <si>
    <t xml:space="preserve">Wla - M2</t>
  </si>
  <si>
    <t xml:space="preserve">Wla - M3</t>
  </si>
  <si>
    <t xml:space="preserve">Wla - Wla</t>
  </si>
  <si>
    <t xml:space="preserve">Entergy</t>
  </si>
  <si>
    <t xml:space="preserve">Acadian</t>
  </si>
  <si>
    <t xml:space="preserve">Wla - Ela</t>
  </si>
  <si>
    <t xml:space="preserve">Wla - Transco</t>
  </si>
  <si>
    <t xml:space="preserve">Venice - Ela</t>
  </si>
  <si>
    <t xml:space="preserve">Ela - Ela</t>
  </si>
  <si>
    <t xml:space="preserve">Acadian Desk</t>
  </si>
  <si>
    <t xml:space="preserve">Iberville</t>
  </si>
  <si>
    <t xml:space="preserve">500 L deliveries to LIG (500 L)</t>
  </si>
  <si>
    <t xml:space="preserve">800 L to HPL Sabine (800 L)</t>
  </si>
  <si>
    <t xml:space="preserve">500 L to Hattiesburg (500 Z1) - need to include take-or-pay surcharge</t>
  </si>
  <si>
    <t xml:space="preserve">800 L to Varibus (500 L)</t>
  </si>
  <si>
    <t xml:space="preserve">800 L to Trco/Kinder (800 L)</t>
  </si>
  <si>
    <t xml:space="preserve">500 L to FGT (500 L)</t>
  </si>
  <si>
    <t xml:space="preserve">500 L to Trco/Kinder (500 L)</t>
  </si>
  <si>
    <t xml:space="preserve">Z0 to Z6</t>
  </si>
  <si>
    <t xml:space="preserve">Z5 to Z4</t>
  </si>
  <si>
    <t xml:space="preserve">Z5 to Z5</t>
  </si>
  <si>
    <t xml:space="preserve">Mr. Tim Brennan</t>
  </si>
  <si>
    <t xml:space="preserve">Williams Field Services</t>
  </si>
  <si>
    <t xml:space="preserve">P.O. Box 1396</t>
  </si>
  <si>
    <t xml:space="preserve">Houston, TX  77251-1396</t>
  </si>
  <si>
    <t xml:space="preserve">Re:  Egan C Receipts for October, 1998</t>
  </si>
  <si>
    <t xml:space="preserve">Dear Tim:</t>
  </si>
  <si>
    <t xml:space="preserve">Following is a  schedule of receipts at Transco/Columbia Gulf Egan C for October 1998.  The volumes</t>
  </si>
  <si>
    <t xml:space="preserve">flowed on the discounted rate of $.03 from Egan C to Station 65.</t>
  </si>
  <si>
    <t xml:space="preserve">Date</t>
  </si>
  <si>
    <t xml:space="preserve">Please call me with any questions.  </t>
  </si>
  <si>
    <t xml:space="preserve">   </t>
  </si>
</sst>
</file>

<file path=xl/styles.xml><?xml version="1.0" encoding="utf-8"?>
<styleSheet xmlns="http://schemas.openxmlformats.org/spreadsheetml/2006/main">
  <numFmts count="40">
    <numFmt numFmtId="164" formatCode="General"/>
    <numFmt numFmtId="165" formatCode="[$-409]#,##0_);[RED]\(#,##0\)"/>
    <numFmt numFmtId="166" formatCode="[$-409]m/d/yyyy"/>
    <numFmt numFmtId="167" formatCode="@"/>
    <numFmt numFmtId="168" formatCode="[$-409]d\-mmm"/>
    <numFmt numFmtId="169" formatCode="#,##0.00000"/>
    <numFmt numFmtId="170" formatCode="\$#,##0.0000_);[RED]&quot;($&quot;#,##0.0000\)"/>
    <numFmt numFmtId="171" formatCode="0.00%"/>
    <numFmt numFmtId="172" formatCode="0"/>
    <numFmt numFmtId="173" formatCode="0.000%"/>
    <numFmt numFmtId="174" formatCode="#,##0"/>
    <numFmt numFmtId="175" formatCode="_(\$* #,##0.00_);_(\$* \(#,##0.00\);_(\$* \-??_);_(@_)"/>
    <numFmt numFmtId="176" formatCode="_(\$* #,##0.000_);_(\$* \(#,##0.000\);_(\$* \-??_);_(@_)"/>
    <numFmt numFmtId="177" formatCode="_(\$* #,##0.0000_);_(\$* \(#,##0.0000\);_(\$* \-??_);_(@_)"/>
    <numFmt numFmtId="178" formatCode="[$-409]#,##0.00_);[RED]\(#,##0.00\)"/>
    <numFmt numFmtId="179" formatCode="#,##0.00"/>
    <numFmt numFmtId="180" formatCode="_(\$* #,##0_);_(\$* \(#,##0\);_(\$* \-??_);_(@_)"/>
    <numFmt numFmtId="181" formatCode="\$#,##0.0000_);&quot;($&quot;#,##0.0000\)"/>
    <numFmt numFmtId="182" formatCode="_(* #,##0.00_);_(* \(#,##0.00\);_(* \-??_);_(@_)"/>
    <numFmt numFmtId="183" formatCode="_(* #,##0_);_(* \(#,##0\);_(* \-??_);_(@_)"/>
    <numFmt numFmtId="184" formatCode="_(* #,##0.000_);_(* \(#,##0.000\);_(* \-??_);_(@_)"/>
    <numFmt numFmtId="185" formatCode="\$#,##0.00_);&quot;($&quot;#,##0.00\)"/>
    <numFmt numFmtId="186" formatCode="\$#,##0.000_);[RED]&quot;($&quot;#,##0.000\)"/>
    <numFmt numFmtId="187" formatCode="\$#,##0.00_);[RED]&quot;($&quot;#,##0.00\)"/>
    <numFmt numFmtId="188" formatCode="0%"/>
    <numFmt numFmtId="189" formatCode="[$-409]mmm\-yy"/>
    <numFmt numFmtId="190" formatCode="\$#,##0.00000_);[RED]&quot;($&quot;#,##0.00000\)"/>
    <numFmt numFmtId="191" formatCode="_(* #,##0.0000_);_(* \(#,##0.0000\);_(* \-??_);_(@_)"/>
    <numFmt numFmtId="192" formatCode="0.000"/>
    <numFmt numFmtId="193" formatCode="0.00"/>
    <numFmt numFmtId="194" formatCode="_(\$* #,##0.00000_);_(\$* \(#,##0.00000\);_(\$* \-??_);_(@_)"/>
    <numFmt numFmtId="195" formatCode="0.0000%"/>
    <numFmt numFmtId="196" formatCode="\$#,##0.0000"/>
    <numFmt numFmtId="197" formatCode="\$#,##0.00"/>
    <numFmt numFmtId="198" formatCode="0.0000"/>
    <numFmt numFmtId="199" formatCode="#,##0.000"/>
    <numFmt numFmtId="200" formatCode="\$#,##0.000_);&quot;($&quot;#,##0.000\)"/>
    <numFmt numFmtId="201" formatCode="# ?/?"/>
    <numFmt numFmtId="202" formatCode="m/d"/>
    <numFmt numFmtId="203" formatCode="_(* #,##0_);_(* \(#,##0\);_(* \-_);_(@_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u val="singl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u val="single"/>
      <sz val="8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u val="single"/>
      <sz val="10"/>
      <name val="Arial"/>
      <family val="0"/>
    </font>
    <font>
      <sz val="9"/>
      <name val="Arial"/>
      <family val="0"/>
    </font>
    <font>
      <b val="true"/>
      <sz val="9"/>
      <name val="Arial"/>
      <family val="0"/>
    </font>
    <font>
      <u val="single"/>
      <sz val="10"/>
      <name val="Arial"/>
      <family val="0"/>
    </font>
    <font>
      <u val="single"/>
      <sz val="9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FF99CC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00FF"/>
        <bgColor rgb="FFFF00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 diagonalUp="false" diagonalDown="false">
      <left style="thick">
        <color rgb="FFFF0000"/>
      </left>
      <right style="thick">
        <color rgb="FFFF0000"/>
      </right>
      <top/>
      <bottom/>
      <diagonal/>
    </border>
    <border diagonalUp="false" diagonalDown="false"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8" fontId="0" fillId="0" borderId="0" applyFont="true" applyBorder="false" applyAlignment="false" applyProtection="false"/>
  </cellStyleXfs>
  <cellXfs count="4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3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0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1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1" fontId="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1" fontId="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4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1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1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1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5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3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3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3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0" fillId="8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8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4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1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5" fontId="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6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3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5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6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3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7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1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0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3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3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28"/>
    <col collapsed="false" customWidth="true" hidden="false" outlineLevel="0" max="2" min="2" style="2" width="11.99"/>
    <col collapsed="false" customWidth="true" hidden="false" outlineLevel="0" max="3" min="3" style="2" width="11.28"/>
    <col collapsed="false" customWidth="true" hidden="false" outlineLevel="0" max="4" min="4" style="3" width="14.41"/>
    <col collapsed="false" customWidth="true" hidden="false" outlineLevel="0" max="5" min="5" style="1" width="11.28"/>
    <col collapsed="false" customWidth="true" hidden="false" outlineLevel="0" max="6" min="6" style="4" width="15.56"/>
    <col collapsed="false" customWidth="true" hidden="false" outlineLevel="0" max="7" min="7" style="4" width="13.99"/>
    <col collapsed="false" customWidth="false" hidden="false" outlineLevel="0" max="8" min="8" style="1" width="9.14"/>
    <col collapsed="false" customWidth="true" hidden="false" outlineLevel="0" max="9" min="9" style="1" width="13.7"/>
    <col collapsed="false" customWidth="false" hidden="false" outlineLevel="0" max="10" min="10" style="1" width="9.14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1" customFormat="false" ht="12.75" hidden="false" customHeight="false" outlineLevel="0" collapsed="false">
      <c r="A1" s="5" t="s">
        <v>0</v>
      </c>
      <c r="D1" s="2"/>
      <c r="E1" s="6"/>
      <c r="F1" s="5"/>
      <c r="G1" s="5"/>
      <c r="H1" s="7"/>
      <c r="I1" s="8"/>
    </row>
    <row r="2" customFormat="false" ht="12.75" hidden="false" customHeight="false" outlineLevel="0" collapsed="false">
      <c r="A2" s="5"/>
      <c r="D2" s="9"/>
      <c r="E2" s="6"/>
      <c r="F2" s="5"/>
      <c r="G2" s="5"/>
      <c r="H2" s="7"/>
      <c r="I2" s="8"/>
    </row>
    <row r="3" customFormat="false" ht="12.75" hidden="false" customHeight="false" outlineLevel="0" collapsed="false">
      <c r="A3" s="5"/>
      <c r="D3" s="9"/>
      <c r="E3" s="6"/>
      <c r="F3" s="5" t="s">
        <v>1</v>
      </c>
      <c r="G3" s="5" t="s">
        <v>1</v>
      </c>
      <c r="H3" s="7"/>
      <c r="I3" s="8"/>
    </row>
    <row r="4" customFormat="false" ht="12.75" hidden="false" customHeight="false" outlineLevel="0" collapsed="false">
      <c r="A4" s="7"/>
      <c r="D4" s="2"/>
      <c r="E4" s="6"/>
      <c r="F4" s="10"/>
      <c r="G4" s="5"/>
      <c r="H4" s="7"/>
      <c r="I4" s="8"/>
    </row>
    <row r="5" customFormat="false" ht="12.75" hidden="false" customHeight="false" outlineLevel="0" collapsed="false">
      <c r="A5" s="11" t="s">
        <v>2</v>
      </c>
      <c r="B5" s="12" t="s">
        <v>3</v>
      </c>
      <c r="C5" s="12" t="s">
        <v>4</v>
      </c>
      <c r="D5" s="12" t="s">
        <v>5</v>
      </c>
      <c r="E5" s="13" t="s">
        <v>6</v>
      </c>
      <c r="F5" s="14" t="s">
        <v>7</v>
      </c>
      <c r="G5" s="14" t="s">
        <v>8</v>
      </c>
      <c r="H5" s="11" t="s">
        <v>6</v>
      </c>
      <c r="I5" s="14" t="s">
        <v>9</v>
      </c>
    </row>
    <row r="6" customFormat="false" ht="12.75" hidden="false" customHeight="false" outlineLevel="0" collapsed="false">
      <c r="A6" s="7" t="s">
        <v>10</v>
      </c>
      <c r="B6" s="2" t="n">
        <v>0.3051</v>
      </c>
      <c r="C6" s="2" t="n">
        <v>77177</v>
      </c>
      <c r="D6" s="2" t="s">
        <v>11</v>
      </c>
      <c r="E6" s="6"/>
      <c r="F6" s="5" t="s">
        <v>12</v>
      </c>
      <c r="G6" s="5" t="s">
        <v>12</v>
      </c>
      <c r="H6" s="7" t="s">
        <v>13</v>
      </c>
      <c r="I6" s="5" t="s">
        <v>14</v>
      </c>
    </row>
    <row r="7" customFormat="false" ht="12.75" hidden="false" customHeight="false" outlineLevel="0" collapsed="false">
      <c r="A7" s="7" t="s">
        <v>10</v>
      </c>
      <c r="B7" s="2" t="n">
        <v>0.4983</v>
      </c>
      <c r="C7" s="2" t="n">
        <v>77169</v>
      </c>
      <c r="D7" s="2" t="s">
        <v>11</v>
      </c>
      <c r="E7" s="6"/>
      <c r="F7" s="5" t="s">
        <v>12</v>
      </c>
      <c r="G7" s="5" t="s">
        <v>12</v>
      </c>
      <c r="H7" s="7" t="s">
        <v>13</v>
      </c>
      <c r="I7" s="5" t="s">
        <v>15</v>
      </c>
    </row>
    <row r="8" customFormat="false" ht="12.75" hidden="false" customHeight="false" outlineLevel="0" collapsed="false">
      <c r="A8" s="7" t="s">
        <v>10</v>
      </c>
      <c r="B8" s="2" t="n">
        <v>0.2999</v>
      </c>
      <c r="D8" s="2" t="s">
        <v>11</v>
      </c>
      <c r="E8" s="6"/>
      <c r="F8" s="5" t="s">
        <v>12</v>
      </c>
      <c r="G8" s="5" t="s">
        <v>12</v>
      </c>
      <c r="H8" s="7" t="s">
        <v>13</v>
      </c>
      <c r="I8" s="5" t="s">
        <v>15</v>
      </c>
    </row>
    <row r="9" customFormat="false" ht="12.75" hidden="false" customHeight="false" outlineLevel="0" collapsed="false">
      <c r="A9" s="7" t="s">
        <v>10</v>
      </c>
      <c r="B9" s="2" t="n">
        <v>0.2774</v>
      </c>
      <c r="C9" s="2" t="n">
        <v>77175</v>
      </c>
      <c r="D9" s="2" t="s">
        <v>11</v>
      </c>
      <c r="E9" s="6"/>
      <c r="F9" s="5" t="s">
        <v>12</v>
      </c>
      <c r="G9" s="5" t="s">
        <v>12</v>
      </c>
      <c r="H9" s="7" t="s">
        <v>13</v>
      </c>
      <c r="I9" s="5" t="s">
        <v>15</v>
      </c>
    </row>
    <row r="10" customFormat="false" ht="12.75" hidden="false" customHeight="false" outlineLevel="0" collapsed="false">
      <c r="A10" s="7" t="s">
        <v>10</v>
      </c>
      <c r="B10" s="2" t="n">
        <v>0.7537</v>
      </c>
      <c r="C10" s="2" t="n">
        <v>82420</v>
      </c>
      <c r="D10" s="2" t="s">
        <v>16</v>
      </c>
      <c r="E10" s="6"/>
      <c r="F10" s="5" t="s">
        <v>12</v>
      </c>
      <c r="G10" s="5" t="s">
        <v>12</v>
      </c>
      <c r="H10" s="7" t="s">
        <v>13</v>
      </c>
      <c r="I10" s="5" t="s">
        <v>17</v>
      </c>
    </row>
    <row r="11" customFormat="false" ht="12.75" hidden="false" customHeight="false" outlineLevel="0" collapsed="false">
      <c r="A11" s="7" t="s">
        <v>10</v>
      </c>
      <c r="B11" s="2" t="n">
        <v>3.073</v>
      </c>
      <c r="C11" s="2" t="n">
        <v>96503</v>
      </c>
      <c r="D11" s="2" t="s">
        <v>18</v>
      </c>
      <c r="E11" s="6"/>
      <c r="F11" s="5" t="s">
        <v>12</v>
      </c>
      <c r="G11" s="5" t="s">
        <v>12</v>
      </c>
      <c r="H11" s="7" t="s">
        <v>13</v>
      </c>
      <c r="I11" s="5" t="s">
        <v>19</v>
      </c>
    </row>
    <row r="12" customFormat="false" ht="12.75" hidden="false" customHeight="false" outlineLevel="0" collapsed="false">
      <c r="A12" s="7" t="s">
        <v>10</v>
      </c>
      <c r="B12" s="2" t="n">
        <v>1.8793</v>
      </c>
      <c r="C12" s="2" t="n">
        <v>104783</v>
      </c>
      <c r="D12" s="2" t="s">
        <v>20</v>
      </c>
      <c r="E12" s="6"/>
      <c r="F12" s="5" t="s">
        <v>12</v>
      </c>
      <c r="G12" s="5" t="s">
        <v>12</v>
      </c>
      <c r="H12" s="7" t="s">
        <v>13</v>
      </c>
      <c r="I12" s="5" t="s">
        <v>21</v>
      </c>
    </row>
    <row r="14" customFormat="false" ht="12.75" hidden="false" customHeight="false" outlineLevel="0" collapsed="false">
      <c r="A14" s="1" t="s">
        <v>22</v>
      </c>
      <c r="B14" s="2" t="n">
        <v>2891</v>
      </c>
      <c r="D14" s="3" t="s">
        <v>11</v>
      </c>
      <c r="F14" s="4" t="s">
        <v>12</v>
      </c>
      <c r="G14" s="4" t="s">
        <v>12</v>
      </c>
    </row>
    <row r="15" customFormat="false" ht="12.75" hidden="false" customHeight="false" outlineLevel="0" collapsed="false">
      <c r="A15" s="1" t="s">
        <v>22</v>
      </c>
      <c r="B15" s="2" t="n">
        <v>80045</v>
      </c>
      <c r="D15" s="3" t="s">
        <v>13</v>
      </c>
    </row>
    <row r="17" customFormat="false" ht="12.75" hidden="false" customHeight="false" outlineLevel="0" collapsed="false">
      <c r="A17" s="1" t="s">
        <v>23</v>
      </c>
      <c r="B17" s="2" t="s">
        <v>24</v>
      </c>
      <c r="C17" s="2" t="n">
        <v>98243</v>
      </c>
      <c r="D17" s="3" t="s">
        <v>25</v>
      </c>
      <c r="F17" s="4" t="s">
        <v>12</v>
      </c>
      <c r="G17" s="4" t="s">
        <v>12</v>
      </c>
      <c r="I17" s="1" t="s">
        <v>26</v>
      </c>
    </row>
    <row r="18" customFormat="false" ht="12.75" hidden="false" customHeight="false" outlineLevel="0" collapsed="false">
      <c r="A18" s="1" t="s">
        <v>23</v>
      </c>
      <c r="B18" s="2" t="s">
        <v>24</v>
      </c>
      <c r="C18" s="2" t="n">
        <v>98567</v>
      </c>
      <c r="D18" s="3" t="s">
        <v>27</v>
      </c>
      <c r="F18" s="4" t="s">
        <v>12</v>
      </c>
      <c r="G18" s="4" t="s">
        <v>12</v>
      </c>
      <c r="I18" s="1" t="s">
        <v>28</v>
      </c>
    </row>
    <row r="19" customFormat="false" ht="12.75" hidden="false" customHeight="false" outlineLevel="0" collapsed="false">
      <c r="A19" s="1" t="s">
        <v>23</v>
      </c>
      <c r="B19" s="2" t="n">
        <v>600228</v>
      </c>
      <c r="C19" s="2" t="n">
        <v>77009</v>
      </c>
      <c r="D19" s="3" t="s">
        <v>29</v>
      </c>
      <c r="F19" s="4" t="s">
        <v>12</v>
      </c>
      <c r="G19" s="4" t="s">
        <v>12</v>
      </c>
      <c r="I19" s="1" t="s">
        <v>30</v>
      </c>
    </row>
    <row r="21" customFormat="false" ht="12.75" hidden="false" customHeight="false" outlineLevel="0" collapsed="false">
      <c r="A21" s="1" t="s">
        <v>31</v>
      </c>
      <c r="B21" s="2" t="n">
        <v>9310010</v>
      </c>
      <c r="D21" s="3" t="s">
        <v>32</v>
      </c>
    </row>
    <row r="23" customFormat="false" ht="12.75" hidden="false" customHeight="false" outlineLevel="0" collapsed="false">
      <c r="A23" s="1" t="s">
        <v>33</v>
      </c>
      <c r="B23" s="2" t="n">
        <v>38641</v>
      </c>
      <c r="C23" s="2" t="n">
        <v>93039</v>
      </c>
      <c r="D23" s="3" t="s">
        <v>34</v>
      </c>
      <c r="I23" s="1" t="s">
        <v>35</v>
      </c>
    </row>
    <row r="24" customFormat="false" ht="12.75" hidden="false" customHeight="false" outlineLevel="0" collapsed="false">
      <c r="A24" s="1" t="s">
        <v>33</v>
      </c>
      <c r="B24" s="2" t="n">
        <v>37556</v>
      </c>
      <c r="C24" s="2" t="n">
        <v>93037</v>
      </c>
      <c r="D24" s="3" t="s">
        <v>36</v>
      </c>
      <c r="I24" s="1" t="s">
        <v>37</v>
      </c>
    </row>
    <row r="25" customFormat="false" ht="12.75" hidden="false" customHeight="false" outlineLevel="0" collapsed="false">
      <c r="A25" s="1" t="s">
        <v>33</v>
      </c>
      <c r="B25" s="2" t="n">
        <v>39229</v>
      </c>
      <c r="C25" s="2" t="n">
        <v>93030</v>
      </c>
      <c r="D25" s="3" t="s">
        <v>38</v>
      </c>
      <c r="I25" s="1" t="s">
        <v>39</v>
      </c>
    </row>
    <row r="28" customFormat="false" ht="12.75" hidden="false" customHeight="false" outlineLevel="0" collapsed="false">
      <c r="A28" s="1" t="s">
        <v>40</v>
      </c>
      <c r="B28" s="2" t="n">
        <v>40998</v>
      </c>
      <c r="D28" s="3" t="s">
        <v>11</v>
      </c>
    </row>
    <row r="30" customFormat="false" ht="12.75" hidden="false" customHeight="false" outlineLevel="0" collapsed="false">
      <c r="A30" s="1" t="s">
        <v>41</v>
      </c>
      <c r="B30" s="2" t="s">
        <v>42</v>
      </c>
      <c r="C30" s="2" t="n">
        <v>102637</v>
      </c>
      <c r="D30" s="3" t="s">
        <v>43</v>
      </c>
      <c r="E30" s="1" t="n">
        <v>60000</v>
      </c>
      <c r="I30" s="1" t="s">
        <v>44</v>
      </c>
    </row>
    <row r="31" customFormat="false" ht="13.5" hidden="false" customHeight="true" outlineLevel="0" collapsed="false">
      <c r="A31" s="15" t="s">
        <v>45</v>
      </c>
      <c r="B31" s="16" t="s">
        <v>41</v>
      </c>
      <c r="C31" s="16" t="s">
        <v>41</v>
      </c>
      <c r="D31" s="17" t="n">
        <v>35065</v>
      </c>
      <c r="E31" s="17" t="s">
        <v>46</v>
      </c>
      <c r="F31" s="15" t="s">
        <v>47</v>
      </c>
      <c r="G31" s="18" t="n">
        <v>50000</v>
      </c>
      <c r="H31" s="16"/>
      <c r="I31" s="19" t="n">
        <f aca="false">0/'ECT Trans'!I$1</f>
        <v>0</v>
      </c>
      <c r="J31" s="20" t="n">
        <v>0.198</v>
      </c>
      <c r="K31" s="20" t="n">
        <v>0</v>
      </c>
      <c r="L31" s="20" t="n">
        <v>0</v>
      </c>
      <c r="M31" s="20" t="n">
        <v>0.02</v>
      </c>
      <c r="N31" s="20" t="n">
        <f aca="false">+O31*2.2</f>
        <v>0.05016</v>
      </c>
      <c r="O31" s="21" t="n">
        <v>0.0228</v>
      </c>
      <c r="P31" s="20" t="n">
        <f aca="false">SUM(I31:N31)</f>
        <v>0.26816</v>
      </c>
      <c r="Q31" s="22" t="s">
        <v>48</v>
      </c>
      <c r="R31" s="16" t="n">
        <v>85315</v>
      </c>
      <c r="S31" s="15"/>
      <c r="T31" s="23" t="n">
        <v>0</v>
      </c>
      <c r="U31" s="23" t="n">
        <v>0</v>
      </c>
      <c r="V31" s="24" t="n">
        <v>77853</v>
      </c>
      <c r="W31" s="24"/>
    </row>
    <row r="32" customFormat="false" ht="13.5" hidden="false" customHeight="true" outlineLevel="0" collapsed="false">
      <c r="A32" s="15" t="s">
        <v>45</v>
      </c>
      <c r="B32" s="16" t="s">
        <v>41</v>
      </c>
      <c r="C32" s="16" t="s">
        <v>41</v>
      </c>
      <c r="D32" s="17" t="n">
        <v>35065</v>
      </c>
      <c r="E32" s="17" t="s">
        <v>46</v>
      </c>
      <c r="F32" s="15" t="s">
        <v>49</v>
      </c>
      <c r="G32" s="18" t="n">
        <v>50001</v>
      </c>
      <c r="H32" s="16"/>
      <c r="I32" s="19" t="n">
        <f aca="false">0/'ECT Trans'!I$1</f>
        <v>0</v>
      </c>
      <c r="J32" s="20" t="n">
        <v>0.198</v>
      </c>
      <c r="K32" s="20" t="n">
        <v>0</v>
      </c>
      <c r="L32" s="20" t="n">
        <v>0</v>
      </c>
      <c r="M32" s="20" t="n">
        <v>0.02</v>
      </c>
      <c r="N32" s="20" t="n">
        <f aca="false">+O32*2.2</f>
        <v>0.05016</v>
      </c>
      <c r="O32" s="21" t="n">
        <v>0.0228</v>
      </c>
      <c r="P32" s="20" t="n">
        <f aca="false">SUM(I32:N32)</f>
        <v>0.26816</v>
      </c>
      <c r="Q32" s="22" t="s">
        <v>50</v>
      </c>
      <c r="R32" s="16" t="n">
        <v>78123</v>
      </c>
      <c r="S32" s="15"/>
      <c r="T32" s="23" t="n">
        <v>0</v>
      </c>
      <c r="U32" s="23" t="n">
        <v>0</v>
      </c>
      <c r="V32" s="24" t="n">
        <v>77860</v>
      </c>
      <c r="W32" s="24"/>
    </row>
    <row r="33" customFormat="false" ht="13.5" hidden="false" customHeight="true" outlineLevel="0" collapsed="false">
      <c r="A33" s="15" t="s">
        <v>45</v>
      </c>
      <c r="B33" s="16" t="s">
        <v>41</v>
      </c>
      <c r="C33" s="16" t="s">
        <v>41</v>
      </c>
      <c r="D33" s="17" t="n">
        <v>35065</v>
      </c>
      <c r="E33" s="17" t="s">
        <v>46</v>
      </c>
      <c r="F33" s="15" t="s">
        <v>51</v>
      </c>
      <c r="G33" s="18" t="n">
        <v>50002</v>
      </c>
      <c r="H33" s="16"/>
      <c r="I33" s="19" t="n">
        <f aca="false">0/'ECT Trans'!I$1</f>
        <v>0</v>
      </c>
      <c r="J33" s="20" t="n">
        <v>0.198</v>
      </c>
      <c r="K33" s="20" t="n">
        <v>0</v>
      </c>
      <c r="L33" s="20" t="n">
        <v>0</v>
      </c>
      <c r="M33" s="20" t="n">
        <v>0.02</v>
      </c>
      <c r="N33" s="20" t="n">
        <f aca="false">+O33*2.2</f>
        <v>0.05016</v>
      </c>
      <c r="O33" s="21" t="n">
        <v>0.0228</v>
      </c>
      <c r="P33" s="20" t="n">
        <f aca="false">SUM(I33:N33)</f>
        <v>0.26816</v>
      </c>
      <c r="Q33" s="22" t="s">
        <v>52</v>
      </c>
      <c r="R33" s="16" t="n">
        <v>77922</v>
      </c>
      <c r="S33" s="15"/>
      <c r="T33" s="23" t="n">
        <v>0</v>
      </c>
      <c r="U33" s="23" t="n">
        <v>0</v>
      </c>
      <c r="V33" s="24" t="n">
        <v>80517</v>
      </c>
      <c r="W33" s="24"/>
    </row>
    <row r="34" customFormat="false" ht="13.5" hidden="false" customHeight="true" outlineLevel="0" collapsed="false">
      <c r="A34" s="15" t="s">
        <v>45</v>
      </c>
      <c r="B34" s="16" t="s">
        <v>41</v>
      </c>
      <c r="C34" s="16" t="s">
        <v>41</v>
      </c>
      <c r="D34" s="17" t="n">
        <v>35065</v>
      </c>
      <c r="E34" s="17" t="s">
        <v>46</v>
      </c>
      <c r="F34" s="15" t="s">
        <v>53</v>
      </c>
      <c r="G34" s="18" t="n">
        <v>50003</v>
      </c>
      <c r="H34" s="16"/>
      <c r="I34" s="19" t="n">
        <f aca="false">0/'ECT Trans'!I$1</f>
        <v>0</v>
      </c>
      <c r="J34" s="20" t="n">
        <v>0.198</v>
      </c>
      <c r="K34" s="20" t="n">
        <v>0</v>
      </c>
      <c r="L34" s="20" t="n">
        <v>0</v>
      </c>
      <c r="M34" s="20" t="n">
        <v>0.02</v>
      </c>
      <c r="N34" s="20" t="n">
        <f aca="false">+O34*2.2</f>
        <v>0.05016</v>
      </c>
      <c r="O34" s="21" t="n">
        <v>0.0228</v>
      </c>
      <c r="P34" s="20" t="n">
        <f aca="false">SUM(I34:N34)</f>
        <v>0.26816</v>
      </c>
      <c r="Q34" s="22" t="s">
        <v>54</v>
      </c>
      <c r="R34" s="16" t="n">
        <v>35087</v>
      </c>
      <c r="S34" s="15"/>
      <c r="T34" s="23" t="n">
        <v>0</v>
      </c>
      <c r="U34" s="23" t="n">
        <v>0</v>
      </c>
      <c r="V34" s="24" t="n">
        <v>80537</v>
      </c>
      <c r="W34" s="24"/>
    </row>
    <row r="35" customFormat="false" ht="13.5" hidden="false" customHeight="true" outlineLevel="0" collapsed="false">
      <c r="A35" s="15" t="s">
        <v>45</v>
      </c>
      <c r="B35" s="16" t="s">
        <v>41</v>
      </c>
      <c r="C35" s="16" t="s">
        <v>41</v>
      </c>
      <c r="D35" s="17" t="n">
        <v>35065</v>
      </c>
      <c r="E35" s="17" t="s">
        <v>46</v>
      </c>
      <c r="F35" s="15" t="s">
        <v>55</v>
      </c>
      <c r="G35" s="18" t="n">
        <v>50004</v>
      </c>
      <c r="H35" s="16"/>
      <c r="I35" s="19" t="n">
        <f aca="false">0/'ECT Trans'!I$1</f>
        <v>0</v>
      </c>
      <c r="J35" s="20" t="n">
        <v>0.198</v>
      </c>
      <c r="K35" s="20" t="n">
        <v>0</v>
      </c>
      <c r="L35" s="20" t="n">
        <v>0</v>
      </c>
      <c r="M35" s="20" t="n">
        <v>0.02</v>
      </c>
      <c r="N35" s="20" t="n">
        <f aca="false">+O35*2.2</f>
        <v>0.05016</v>
      </c>
      <c r="O35" s="21" t="n">
        <v>0.0228</v>
      </c>
      <c r="P35" s="20" t="n">
        <f aca="false">SUM(I35:N35)</f>
        <v>0.26816</v>
      </c>
      <c r="Q35" s="22" t="s">
        <v>56</v>
      </c>
      <c r="R35" s="16" t="n">
        <v>39194</v>
      </c>
      <c r="S35" s="15"/>
      <c r="T35" s="23" t="n">
        <v>0</v>
      </c>
      <c r="U35" s="23" t="n">
        <v>0</v>
      </c>
      <c r="V35" s="24" t="n">
        <v>80538</v>
      </c>
      <c r="W35" s="24"/>
    </row>
    <row r="36" customFormat="false" ht="13.5" hidden="false" customHeight="true" outlineLevel="0" collapsed="false">
      <c r="A36" s="15" t="s">
        <v>45</v>
      </c>
      <c r="B36" s="16" t="s">
        <v>41</v>
      </c>
      <c r="C36" s="16" t="s">
        <v>41</v>
      </c>
      <c r="D36" s="17" t="n">
        <v>35065</v>
      </c>
      <c r="E36" s="17" t="s">
        <v>46</v>
      </c>
      <c r="F36" s="15" t="s">
        <v>57</v>
      </c>
      <c r="G36" s="18" t="n">
        <v>50000</v>
      </c>
      <c r="H36" s="16"/>
      <c r="I36" s="19" t="n">
        <f aca="false">0/'ECT Trans'!I$1</f>
        <v>0</v>
      </c>
      <c r="J36" s="20" t="n">
        <v>0</v>
      </c>
      <c r="K36" s="20" t="n">
        <v>0</v>
      </c>
      <c r="L36" s="20" t="n">
        <v>0</v>
      </c>
      <c r="M36" s="20" t="n">
        <v>0.02</v>
      </c>
      <c r="N36" s="20" t="n">
        <f aca="false">+O36*2.2</f>
        <v>0</v>
      </c>
      <c r="O36" s="21" t="n">
        <v>0</v>
      </c>
      <c r="P36" s="20" t="n">
        <f aca="false">SUM(I36:N36)</f>
        <v>0.02</v>
      </c>
      <c r="Q36" s="22" t="s">
        <v>58</v>
      </c>
      <c r="R36" s="16" t="n">
        <v>9185</v>
      </c>
      <c r="S36" s="15"/>
      <c r="T36" s="23" t="n">
        <v>0</v>
      </c>
      <c r="U36" s="23" t="n">
        <v>0</v>
      </c>
      <c r="V36" s="24" t="n">
        <v>77852</v>
      </c>
      <c r="W36" s="24"/>
    </row>
    <row r="37" customFormat="false" ht="13.5" hidden="false" customHeight="true" outlineLevel="0" collapsed="false">
      <c r="A37" s="15" t="s">
        <v>45</v>
      </c>
      <c r="B37" s="16" t="s">
        <v>41</v>
      </c>
      <c r="C37" s="16" t="s">
        <v>41</v>
      </c>
      <c r="D37" s="17" t="n">
        <v>35065</v>
      </c>
      <c r="E37" s="17" t="s">
        <v>46</v>
      </c>
      <c r="F37" s="15" t="s">
        <v>59</v>
      </c>
      <c r="G37" s="18" t="n">
        <v>50001</v>
      </c>
      <c r="H37" s="16"/>
      <c r="I37" s="19" t="n">
        <f aca="false">0/'ECT Trans'!I$1</f>
        <v>0</v>
      </c>
      <c r="J37" s="20" t="n">
        <v>0</v>
      </c>
      <c r="K37" s="20" t="n">
        <v>0</v>
      </c>
      <c r="L37" s="20" t="n">
        <v>0</v>
      </c>
      <c r="M37" s="20" t="n">
        <v>0.02</v>
      </c>
      <c r="N37" s="20" t="n">
        <f aca="false">+O37*2.2</f>
        <v>0</v>
      </c>
      <c r="O37" s="21" t="n">
        <v>0</v>
      </c>
      <c r="P37" s="20" t="n">
        <f aca="false">SUM(I37:N37)</f>
        <v>0.02</v>
      </c>
      <c r="Q37" s="22" t="s">
        <v>60</v>
      </c>
      <c r="R37" s="16" t="n">
        <v>16377</v>
      </c>
      <c r="S37" s="15"/>
      <c r="T37" s="23" t="n">
        <v>0</v>
      </c>
      <c r="U37" s="23" t="n">
        <v>0</v>
      </c>
      <c r="V37" s="24" t="n">
        <v>77858</v>
      </c>
      <c r="W37" s="24"/>
    </row>
    <row r="38" customFormat="false" ht="13.5" hidden="false" customHeight="true" outlineLevel="0" collapsed="false">
      <c r="A38" s="15" t="s">
        <v>45</v>
      </c>
      <c r="B38" s="16" t="s">
        <v>41</v>
      </c>
      <c r="C38" s="16" t="s">
        <v>41</v>
      </c>
      <c r="D38" s="17" t="n">
        <v>35065</v>
      </c>
      <c r="E38" s="17" t="s">
        <v>46</v>
      </c>
      <c r="F38" s="15" t="s">
        <v>61</v>
      </c>
      <c r="G38" s="18" t="n">
        <v>50002</v>
      </c>
      <c r="H38" s="16"/>
      <c r="I38" s="19" t="n">
        <f aca="false">0/'ECT Trans'!I$1</f>
        <v>0</v>
      </c>
      <c r="J38" s="20" t="n">
        <v>0</v>
      </c>
      <c r="K38" s="20" t="n">
        <v>0</v>
      </c>
      <c r="L38" s="20" t="n">
        <v>0</v>
      </c>
      <c r="M38" s="20" t="n">
        <v>0.02</v>
      </c>
      <c r="N38" s="20" t="n">
        <f aca="false">+O38*2.2</f>
        <v>0</v>
      </c>
      <c r="O38" s="21" t="n">
        <v>0</v>
      </c>
      <c r="P38" s="20" t="n">
        <f aca="false">SUM(I38:N38)</f>
        <v>0.02</v>
      </c>
      <c r="Q38" s="22" t="s">
        <v>62</v>
      </c>
      <c r="R38" s="16" t="n">
        <v>3578</v>
      </c>
      <c r="S38" s="15"/>
      <c r="T38" s="23" t="n">
        <v>0</v>
      </c>
      <c r="U38" s="23" t="n">
        <v>0</v>
      </c>
      <c r="V38" s="24" t="n">
        <v>77845</v>
      </c>
      <c r="W38" s="24"/>
    </row>
    <row r="39" customFormat="false" ht="13.5" hidden="false" customHeight="true" outlineLevel="0" collapsed="false">
      <c r="A39" s="15" t="s">
        <v>45</v>
      </c>
      <c r="B39" s="16" t="s">
        <v>41</v>
      </c>
      <c r="C39" s="16" t="s">
        <v>41</v>
      </c>
      <c r="D39" s="17" t="n">
        <v>35065</v>
      </c>
      <c r="E39" s="17" t="s">
        <v>46</v>
      </c>
      <c r="F39" s="15" t="s">
        <v>63</v>
      </c>
      <c r="G39" s="18" t="n">
        <v>50003</v>
      </c>
      <c r="H39" s="16"/>
      <c r="I39" s="19" t="n">
        <f aca="false">0/'ECT Trans'!I$1</f>
        <v>0</v>
      </c>
      <c r="J39" s="20" t="n">
        <v>0</v>
      </c>
      <c r="K39" s="20" t="n">
        <v>0</v>
      </c>
      <c r="L39" s="20" t="n">
        <v>0</v>
      </c>
      <c r="M39" s="20" t="n">
        <v>0.02</v>
      </c>
      <c r="N39" s="20" t="n">
        <f aca="false">+O39*2.2</f>
        <v>0</v>
      </c>
      <c r="O39" s="21" t="n">
        <v>0</v>
      </c>
      <c r="P39" s="20" t="n">
        <f aca="false">SUM(I39:N39)</f>
        <v>0.02</v>
      </c>
      <c r="Q39" s="22" t="s">
        <v>64</v>
      </c>
      <c r="R39" s="16" t="n">
        <v>6913</v>
      </c>
      <c r="S39" s="15"/>
      <c r="T39" s="23" t="n">
        <v>0</v>
      </c>
      <c r="U39" s="23" t="n">
        <v>0</v>
      </c>
      <c r="V39" s="24" t="n">
        <v>77848</v>
      </c>
      <c r="W39" s="24"/>
    </row>
    <row r="40" customFormat="false" ht="13.5" hidden="false" customHeight="true" outlineLevel="0" collapsed="false">
      <c r="A40" s="15" t="s">
        <v>45</v>
      </c>
      <c r="B40" s="16" t="s">
        <v>41</v>
      </c>
      <c r="C40" s="16" t="s">
        <v>41</v>
      </c>
      <c r="D40" s="17" t="n">
        <v>35065</v>
      </c>
      <c r="E40" s="17" t="s">
        <v>46</v>
      </c>
      <c r="F40" s="15" t="s">
        <v>65</v>
      </c>
      <c r="G40" s="18" t="n">
        <v>50004</v>
      </c>
      <c r="H40" s="16"/>
      <c r="I40" s="19" t="n">
        <f aca="false">0/'ECT Trans'!I$1</f>
        <v>0</v>
      </c>
      <c r="J40" s="20" t="n">
        <v>0</v>
      </c>
      <c r="K40" s="20" t="n">
        <v>0</v>
      </c>
      <c r="L40" s="20" t="n">
        <v>0</v>
      </c>
      <c r="M40" s="20" t="n">
        <v>0.02</v>
      </c>
      <c r="N40" s="20" t="n">
        <f aca="false">+O40*2.2</f>
        <v>0</v>
      </c>
      <c r="O40" s="21" t="n">
        <v>0</v>
      </c>
      <c r="P40" s="20" t="n">
        <f aca="false">SUM(I40:N40)</f>
        <v>0.02</v>
      </c>
      <c r="Q40" s="22" t="s">
        <v>66</v>
      </c>
      <c r="R40" s="16" t="n">
        <v>18556</v>
      </c>
      <c r="S40" s="15"/>
      <c r="T40" s="23" t="n">
        <v>0</v>
      </c>
      <c r="U40" s="23" t="n">
        <v>0</v>
      </c>
      <c r="V40" s="24" t="n">
        <v>77850</v>
      </c>
      <c r="W40" s="24"/>
    </row>
    <row r="42" customFormat="false" ht="12.75" hidden="false" customHeight="false" outlineLevel="0" collapsed="false">
      <c r="A42" s="1" t="s">
        <v>67</v>
      </c>
      <c r="B42" s="2" t="s">
        <v>68</v>
      </c>
      <c r="C42" s="2" t="n">
        <v>104749</v>
      </c>
      <c r="D42" s="3" t="s">
        <v>69</v>
      </c>
      <c r="F42" s="4" t="s">
        <v>70</v>
      </c>
      <c r="I42" s="1" t="s">
        <v>71</v>
      </c>
    </row>
    <row r="43" customFormat="false" ht="12.75" hidden="false" customHeight="false" outlineLevel="0" collapsed="false">
      <c r="A43" s="1" t="s">
        <v>67</v>
      </c>
      <c r="B43" s="2" t="s">
        <v>72</v>
      </c>
      <c r="C43" s="2" t="n">
        <v>82026</v>
      </c>
      <c r="D43" s="3" t="s">
        <v>11</v>
      </c>
      <c r="F43" s="4" t="s">
        <v>12</v>
      </c>
      <c r="G43" s="4" t="s">
        <v>12</v>
      </c>
    </row>
    <row r="45" customFormat="false" ht="12.75" hidden="false" customHeight="false" outlineLevel="0" collapsed="false">
      <c r="A45" s="1" t="s">
        <v>73</v>
      </c>
      <c r="B45" s="2" t="s">
        <v>74</v>
      </c>
      <c r="C45" s="2" t="n">
        <v>117510</v>
      </c>
      <c r="D45" s="3" t="s">
        <v>11</v>
      </c>
      <c r="I45" s="1" t="s">
        <v>75</v>
      </c>
    </row>
    <row r="47" customFormat="false" ht="12.75" hidden="false" customHeight="false" outlineLevel="0" collapsed="false">
      <c r="A47" s="1" t="s">
        <v>76</v>
      </c>
      <c r="B47" s="2" t="n">
        <v>15</v>
      </c>
      <c r="C47" s="2" t="n">
        <v>125711</v>
      </c>
      <c r="D47" s="3" t="s">
        <v>11</v>
      </c>
    </row>
    <row r="49" customFormat="false" ht="12.75" hidden="false" customHeight="false" outlineLevel="0" collapsed="false">
      <c r="A49" s="1" t="s">
        <v>77</v>
      </c>
      <c r="B49" s="2" t="s">
        <v>78</v>
      </c>
      <c r="C49" s="2" t="n">
        <v>124109</v>
      </c>
      <c r="D49" s="3" t="s">
        <v>79</v>
      </c>
    </row>
    <row r="50" customFormat="false" ht="12.75" hidden="false" customHeight="false" outlineLevel="0" collapsed="false">
      <c r="A50" s="1" t="s">
        <v>77</v>
      </c>
      <c r="B50" s="2" t="s">
        <v>80</v>
      </c>
      <c r="C50" s="2" t="n">
        <v>77753</v>
      </c>
      <c r="D50" s="3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66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G38" activeCellId="0" sqref="G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42"/>
    <col collapsed="false" customWidth="true" hidden="false" outlineLevel="0" max="14" min="12" style="367" width="9.14"/>
  </cols>
  <sheetData>
    <row r="1" customFormat="false" ht="12.75" hidden="false" customHeight="false" outlineLevel="0" collapsed="false">
      <c r="A1" s="368"/>
      <c r="B1" s="368"/>
      <c r="C1" s="368"/>
      <c r="D1" s="368"/>
      <c r="E1" s="368"/>
      <c r="F1" s="368"/>
      <c r="G1" s="368"/>
      <c r="H1" s="368"/>
      <c r="I1" s="368"/>
      <c r="J1" s="368"/>
    </row>
    <row r="2" customFormat="false" ht="12.75" hidden="false" customHeight="false" outlineLevel="0" collapsed="false">
      <c r="A2" s="368"/>
      <c r="B2" s="368"/>
      <c r="C2" s="368"/>
      <c r="D2" s="368"/>
      <c r="E2" s="368"/>
      <c r="F2" s="368"/>
      <c r="G2" s="368"/>
      <c r="H2" s="368"/>
      <c r="I2" s="368"/>
      <c r="J2" s="368"/>
    </row>
    <row r="3" customFormat="false" ht="12.75" hidden="false" customHeight="false" outlineLevel="0" collapsed="false">
      <c r="A3" s="368"/>
      <c r="B3" s="368"/>
      <c r="C3" s="368"/>
      <c r="D3" s="368"/>
      <c r="E3" s="368"/>
      <c r="F3" s="368"/>
      <c r="G3" s="368"/>
      <c r="H3" s="368"/>
      <c r="I3" s="368"/>
      <c r="J3" s="368"/>
    </row>
    <row r="4" customFormat="false" ht="12.75" hidden="false" customHeight="false" outlineLevel="0" collapsed="false">
      <c r="A4" s="368"/>
      <c r="B4" s="368"/>
      <c r="C4" s="368"/>
      <c r="D4" s="368"/>
      <c r="E4" s="368"/>
      <c r="F4" s="368"/>
      <c r="G4" s="368"/>
      <c r="H4" s="368"/>
      <c r="I4" s="368"/>
      <c r="J4" s="368"/>
    </row>
    <row r="5" customFormat="false" ht="12.75" hidden="false" customHeight="false" outlineLevel="0" collapsed="false">
      <c r="A5" s="368"/>
      <c r="B5" s="368"/>
      <c r="C5" s="368"/>
      <c r="D5" s="368"/>
      <c r="E5" s="368"/>
      <c r="F5" s="368"/>
      <c r="G5" s="368"/>
      <c r="H5" s="368"/>
      <c r="I5" s="368"/>
      <c r="J5" s="368"/>
    </row>
    <row r="6" customFormat="false" ht="12.75" hidden="false" customHeight="false" outlineLevel="0" collapsed="false">
      <c r="A6" s="368"/>
      <c r="B6" s="368"/>
      <c r="C6" s="368"/>
      <c r="D6" s="368"/>
      <c r="E6" s="368"/>
      <c r="F6" s="368"/>
      <c r="G6" s="368"/>
      <c r="H6" s="368"/>
      <c r="I6" s="368"/>
      <c r="J6" s="368"/>
    </row>
    <row r="7" customFormat="false" ht="12.75" hidden="false" customHeight="false" outlineLevel="0" collapsed="false">
      <c r="A7" s="368"/>
      <c r="B7" s="368"/>
      <c r="C7" s="368"/>
      <c r="D7" s="368"/>
      <c r="E7" s="368"/>
      <c r="F7" s="368"/>
      <c r="G7" s="368"/>
      <c r="H7" s="368"/>
      <c r="I7" s="368"/>
      <c r="J7" s="368"/>
    </row>
    <row r="8" customFormat="false" ht="12.75" hidden="false" customHeight="false" outlineLevel="0" collapsed="false">
      <c r="A8" s="368"/>
      <c r="B8" s="368"/>
      <c r="C8" s="368"/>
      <c r="D8" s="368"/>
      <c r="E8" s="368"/>
      <c r="F8" s="368"/>
      <c r="G8" s="368"/>
      <c r="H8" s="368"/>
      <c r="I8" s="368"/>
      <c r="J8" s="368"/>
    </row>
    <row r="9" customFormat="false" ht="12.75" hidden="false" customHeight="false" outlineLevel="0" collapsed="false">
      <c r="A9" s="368"/>
      <c r="B9" s="368" t="s">
        <v>23</v>
      </c>
      <c r="C9" s="368"/>
      <c r="D9" s="368"/>
      <c r="E9" s="368"/>
      <c r="F9" s="368"/>
      <c r="G9" s="368"/>
      <c r="H9" s="368"/>
      <c r="I9" s="368"/>
      <c r="J9" s="368"/>
    </row>
    <row r="10" customFormat="false" ht="12.75" hidden="false" customHeight="false" outlineLevel="0" collapsed="false">
      <c r="A10" s="368"/>
      <c r="B10" s="368"/>
      <c r="C10" s="368"/>
      <c r="D10" s="368"/>
      <c r="E10" s="368" t="s">
        <v>806</v>
      </c>
      <c r="F10" s="368" t="s">
        <v>807</v>
      </c>
      <c r="G10" s="368"/>
      <c r="H10" s="368" t="s">
        <v>807</v>
      </c>
      <c r="I10" s="368"/>
      <c r="J10" s="368"/>
    </row>
    <row r="11" customFormat="false" ht="12.75" hidden="false" customHeight="false" outlineLevel="0" collapsed="false">
      <c r="A11" s="368"/>
      <c r="B11" s="369" t="s">
        <v>808</v>
      </c>
      <c r="C11" s="369" t="s">
        <v>809</v>
      </c>
      <c r="D11" s="369" t="s">
        <v>810</v>
      </c>
      <c r="E11" s="369" t="s">
        <v>811</v>
      </c>
      <c r="F11" s="369" t="s">
        <v>812</v>
      </c>
      <c r="G11" s="369" t="s">
        <v>813</v>
      </c>
      <c r="H11" s="369" t="s">
        <v>813</v>
      </c>
      <c r="I11" s="369" t="s">
        <v>814</v>
      </c>
      <c r="J11" s="368"/>
    </row>
    <row r="12" customFormat="false" ht="12.75" hidden="false" customHeight="false" outlineLevel="0" collapsed="false">
      <c r="A12" s="368"/>
      <c r="B12" s="370" t="s">
        <v>815</v>
      </c>
      <c r="C12" s="371" t="n">
        <v>5000</v>
      </c>
      <c r="D12" s="372" t="n">
        <f aca="false">+C12/C17</f>
        <v>0.333333333333333</v>
      </c>
      <c r="E12" s="372" t="n">
        <f aca="false">+'Offseason Rate'!E42</f>
        <v>0.307131246585819</v>
      </c>
      <c r="F12" s="372" t="n">
        <f aca="false">+D12*E12</f>
        <v>0.102377082195273</v>
      </c>
      <c r="G12" s="372" t="n">
        <v>-0.0825</v>
      </c>
      <c r="H12" s="372" t="n">
        <f aca="false">+G12*D12</f>
        <v>-0.0275</v>
      </c>
      <c r="I12" s="372" t="n">
        <f aca="false">+F12+H12</f>
        <v>0.0748770821952729</v>
      </c>
      <c r="J12" s="368"/>
    </row>
    <row r="13" customFormat="false" ht="12.75" hidden="false" customHeight="false" outlineLevel="0" collapsed="false">
      <c r="A13" s="368"/>
      <c r="B13" s="370" t="s">
        <v>816</v>
      </c>
      <c r="C13" s="371" t="n">
        <v>5000</v>
      </c>
      <c r="D13" s="372" t="n">
        <f aca="false">+C13/C17</f>
        <v>0.333333333333333</v>
      </c>
      <c r="E13" s="372" t="n">
        <f aca="false">+'Offseason Rate'!E67</f>
        <v>0.285612134344528</v>
      </c>
      <c r="F13" s="372" t="n">
        <f aca="false">+D13*E13</f>
        <v>0.0952040447815095</v>
      </c>
      <c r="G13" s="372" t="n">
        <v>-0.0575</v>
      </c>
      <c r="H13" s="372" t="n">
        <f aca="false">+G13*D13</f>
        <v>-0.0191666666666667</v>
      </c>
      <c r="I13" s="372" t="n">
        <f aca="false">+F13+H13</f>
        <v>0.0760373781148428</v>
      </c>
      <c r="J13" s="368"/>
    </row>
    <row r="14" customFormat="false" ht="12.75" hidden="false" customHeight="false" outlineLevel="0" collapsed="false">
      <c r="A14" s="368"/>
      <c r="B14" s="370" t="s">
        <v>817</v>
      </c>
      <c r="C14" s="371" t="n">
        <v>5000</v>
      </c>
      <c r="D14" s="372" t="n">
        <f aca="false">+C14/C17</f>
        <v>0.333333333333333</v>
      </c>
      <c r="E14" s="372" t="n">
        <f aca="false">+'Offseason Rate'!E107</f>
        <v>0.301818307426598</v>
      </c>
      <c r="F14" s="372" t="n">
        <f aca="false">+D14*E14</f>
        <v>0.100606102475533</v>
      </c>
      <c r="G14" s="372" t="n">
        <v>-0.045</v>
      </c>
      <c r="H14" s="372" t="n">
        <f aca="false">+G14*D14</f>
        <v>-0.015</v>
      </c>
      <c r="I14" s="372" t="n">
        <f aca="false">+F14+H14</f>
        <v>0.0856061024755326</v>
      </c>
      <c r="J14" s="368"/>
    </row>
    <row r="15" customFormat="false" ht="12.75" hidden="false" customHeight="false" outlineLevel="0" collapsed="false">
      <c r="A15" s="368"/>
      <c r="B15" s="370" t="s">
        <v>818</v>
      </c>
      <c r="C15" s="371" t="n">
        <v>0</v>
      </c>
      <c r="D15" s="372" t="n">
        <f aca="false">+C15/C17</f>
        <v>0</v>
      </c>
      <c r="E15" s="372" t="n">
        <f aca="false">+'Offseason Rate'!E122</f>
        <v>0.223783307003686</v>
      </c>
      <c r="F15" s="372" t="n">
        <f aca="false">+D15*E15</f>
        <v>0</v>
      </c>
      <c r="G15" s="372" t="n">
        <v>0</v>
      </c>
      <c r="H15" s="372" t="n">
        <f aca="false">+G15*D15</f>
        <v>0</v>
      </c>
      <c r="I15" s="372" t="n">
        <f aca="false">+F15+H15</f>
        <v>0</v>
      </c>
      <c r="J15" s="368"/>
    </row>
    <row r="16" customFormat="false" ht="12.75" hidden="false" customHeight="false" outlineLevel="0" collapsed="false">
      <c r="A16" s="368"/>
      <c r="B16" s="370" t="s">
        <v>819</v>
      </c>
      <c r="C16" s="373" t="n">
        <v>0</v>
      </c>
      <c r="D16" s="374" t="n">
        <f aca="false">+C16/C17</f>
        <v>0</v>
      </c>
      <c r="E16" s="372" t="n">
        <f aca="false">+'Offseason Rate'!E107</f>
        <v>0.301818307426598</v>
      </c>
      <c r="F16" s="374" t="n">
        <f aca="false">+D16*E16</f>
        <v>0</v>
      </c>
      <c r="G16" s="372" t="n">
        <v>0</v>
      </c>
      <c r="H16" s="372" t="n">
        <f aca="false">+G16*D16</f>
        <v>0</v>
      </c>
      <c r="I16" s="374" t="n">
        <f aca="false">+F16+H16</f>
        <v>0</v>
      </c>
      <c r="J16" s="368"/>
    </row>
    <row r="17" customFormat="false" ht="12.75" hidden="false" customHeight="false" outlineLevel="0" collapsed="false">
      <c r="A17" s="368"/>
      <c r="B17" s="368"/>
      <c r="C17" s="371" t="n">
        <f aca="false">SUM(C12:C16)</f>
        <v>15000</v>
      </c>
      <c r="D17" s="372" t="n">
        <f aca="false">SUM(D12:D16)</f>
        <v>1</v>
      </c>
      <c r="E17" s="368"/>
      <c r="F17" s="372" t="n">
        <f aca="false">SUM(F12:F16)</f>
        <v>0.298187229452315</v>
      </c>
      <c r="G17" s="368"/>
      <c r="H17" s="368"/>
      <c r="I17" s="375" t="n">
        <f aca="false">SUM(I12:I16)</f>
        <v>0.236520562785648</v>
      </c>
      <c r="J17" s="368"/>
    </row>
    <row r="18" customFormat="false" ht="12.75" hidden="false" customHeight="false" outlineLevel="0" collapsed="false">
      <c r="A18" s="368"/>
      <c r="B18" s="368"/>
      <c r="C18" s="368"/>
      <c r="D18" s="368"/>
      <c r="E18" s="368"/>
      <c r="F18" s="368"/>
      <c r="G18" s="368"/>
      <c r="H18" s="368" t="s">
        <v>820</v>
      </c>
      <c r="I18" s="376" t="n">
        <v>0.215</v>
      </c>
      <c r="J18" s="368"/>
    </row>
    <row r="19" customFormat="false" ht="13.5" hidden="false" customHeight="false" outlineLevel="0" collapsed="false">
      <c r="A19" s="368"/>
      <c r="B19" s="368"/>
      <c r="C19" s="368"/>
      <c r="D19" s="368"/>
      <c r="E19" s="368"/>
      <c r="F19" s="368"/>
      <c r="G19" s="368"/>
      <c r="H19" s="377" t="s">
        <v>821</v>
      </c>
      <c r="I19" s="378" t="n">
        <f aca="false">+I18-I17</f>
        <v>-0.0215205627856483</v>
      </c>
      <c r="J19" s="368"/>
    </row>
    <row r="20" customFormat="false" ht="13.5" hidden="false" customHeight="false" outlineLevel="0" collapsed="false">
      <c r="A20" s="368"/>
      <c r="B20" s="368"/>
      <c r="C20" s="368"/>
      <c r="D20" s="368"/>
      <c r="E20" s="368"/>
      <c r="F20" s="368"/>
      <c r="G20" s="368"/>
      <c r="H20" s="368"/>
      <c r="I20" s="372"/>
      <c r="J20" s="368"/>
    </row>
    <row r="21" customFormat="false" ht="12.75" hidden="false" customHeight="false" outlineLevel="0" collapsed="false">
      <c r="A21" s="368"/>
      <c r="B21" s="368"/>
      <c r="C21" s="368"/>
      <c r="D21" s="368"/>
      <c r="E21" s="368"/>
      <c r="F21" s="368"/>
      <c r="G21" s="368"/>
      <c r="H21" s="368"/>
      <c r="I21" s="368"/>
      <c r="J21" s="368"/>
    </row>
    <row r="22" customFormat="false" ht="12.75" hidden="false" customHeight="false" outlineLevel="0" collapsed="false">
      <c r="A22" s="368"/>
      <c r="B22" s="368"/>
      <c r="C22" s="368"/>
      <c r="D22" s="368"/>
      <c r="E22" s="368"/>
      <c r="F22" s="368"/>
      <c r="G22" s="368"/>
      <c r="H22" s="368"/>
      <c r="I22" s="368"/>
      <c r="J22" s="368"/>
    </row>
    <row r="23" customFormat="false" ht="12.75" hidden="false" customHeight="false" outlineLevel="0" collapsed="false">
      <c r="A23" s="368"/>
      <c r="B23" s="368"/>
      <c r="C23" s="368"/>
      <c r="D23" s="368"/>
      <c r="E23" s="368"/>
      <c r="F23" s="368" t="s">
        <v>807</v>
      </c>
      <c r="G23" s="368"/>
      <c r="H23" s="368" t="s">
        <v>807</v>
      </c>
      <c r="I23" s="368"/>
      <c r="J23" s="368"/>
    </row>
    <row r="24" customFormat="false" ht="12.75" hidden="false" customHeight="false" outlineLevel="0" collapsed="false">
      <c r="A24" s="368"/>
      <c r="B24" s="369" t="s">
        <v>808</v>
      </c>
      <c r="C24" s="369" t="s">
        <v>809</v>
      </c>
      <c r="D24" s="369" t="s">
        <v>810</v>
      </c>
      <c r="E24" s="369" t="s">
        <v>811</v>
      </c>
      <c r="F24" s="369" t="s">
        <v>812</v>
      </c>
      <c r="G24" s="369" t="s">
        <v>813</v>
      </c>
      <c r="H24" s="369" t="s">
        <v>813</v>
      </c>
      <c r="I24" s="369" t="s">
        <v>814</v>
      </c>
      <c r="J24" s="368"/>
    </row>
    <row r="25" customFormat="false" ht="12.75" hidden="false" customHeight="false" outlineLevel="0" collapsed="false">
      <c r="A25" s="368"/>
      <c r="B25" s="370" t="s">
        <v>822</v>
      </c>
      <c r="C25" s="371" t="n">
        <v>0</v>
      </c>
      <c r="D25" s="372" t="n">
        <f aca="false">+C25/C30</f>
        <v>0</v>
      </c>
      <c r="E25" s="372" t="e">
        <f aca="false">+#REF!</f>
        <v>#REF!</v>
      </c>
      <c r="F25" s="372" t="e">
        <f aca="false">+D25*E25</f>
        <v>#REF!</v>
      </c>
      <c r="G25" s="372" t="n">
        <v>-0.07</v>
      </c>
      <c r="H25" s="372" t="n">
        <f aca="false">+G25*D25</f>
        <v>-0</v>
      </c>
      <c r="I25" s="372" t="e">
        <f aca="false">+F25+H25</f>
        <v>#REF!</v>
      </c>
      <c r="J25" s="368"/>
    </row>
    <row r="26" customFormat="false" ht="12.75" hidden="false" customHeight="false" outlineLevel="0" collapsed="false">
      <c r="A26" s="368"/>
      <c r="B26" s="370" t="s">
        <v>823</v>
      </c>
      <c r="C26" s="371" t="n">
        <v>0</v>
      </c>
      <c r="D26" s="372" t="n">
        <f aca="false">+C26/C30</f>
        <v>0</v>
      </c>
      <c r="E26" s="372" t="e">
        <f aca="false">+#REF!</f>
        <v>#REF!</v>
      </c>
      <c r="F26" s="372" t="e">
        <f aca="false">+D26*E26</f>
        <v>#REF!</v>
      </c>
      <c r="G26" s="372" t="n">
        <v>-0.05</v>
      </c>
      <c r="H26" s="372" t="n">
        <f aca="false">+G26*D26</f>
        <v>-0</v>
      </c>
      <c r="I26" s="372" t="e">
        <f aca="false">+F26+H26</f>
        <v>#REF!</v>
      </c>
      <c r="J26" s="368"/>
    </row>
    <row r="27" customFormat="false" ht="12.75" hidden="false" customHeight="false" outlineLevel="0" collapsed="false">
      <c r="A27" s="368"/>
      <c r="B27" s="370" t="s">
        <v>824</v>
      </c>
      <c r="C27" s="371" t="n">
        <v>5000</v>
      </c>
      <c r="D27" s="372" t="n">
        <f aca="false">+C27/C30</f>
        <v>1</v>
      </c>
      <c r="E27" s="372" t="e">
        <f aca="false">+#REF!</f>
        <v>#REF!</v>
      </c>
      <c r="F27" s="372" t="e">
        <f aca="false">+D27*E27</f>
        <v>#REF!</v>
      </c>
      <c r="G27" s="372" t="n">
        <v>-0.035</v>
      </c>
      <c r="H27" s="372" t="n">
        <f aca="false">+G27*D27</f>
        <v>-0.035</v>
      </c>
      <c r="I27" s="372" t="e">
        <f aca="false">+F27+H27</f>
        <v>#REF!</v>
      </c>
      <c r="J27" s="368"/>
    </row>
    <row r="28" customFormat="false" ht="12.75" hidden="false" customHeight="false" outlineLevel="0" collapsed="false">
      <c r="A28" s="368"/>
      <c r="B28" s="370" t="s">
        <v>825</v>
      </c>
      <c r="C28" s="371" t="n">
        <v>0</v>
      </c>
      <c r="D28" s="372" t="n">
        <f aca="false">+C28/C30</f>
        <v>0</v>
      </c>
      <c r="E28" s="372" t="e">
        <f aca="false">+#REF!</f>
        <v>#REF!</v>
      </c>
      <c r="F28" s="372" t="e">
        <f aca="false">+D28*E28</f>
        <v>#REF!</v>
      </c>
      <c r="G28" s="372" t="n">
        <v>-0.01</v>
      </c>
      <c r="H28" s="372" t="n">
        <f aca="false">+G28*D28</f>
        <v>-0</v>
      </c>
      <c r="I28" s="372" t="e">
        <f aca="false">+F28+H28</f>
        <v>#REF!</v>
      </c>
      <c r="J28" s="368"/>
    </row>
    <row r="29" customFormat="false" ht="12.75" hidden="false" customHeight="false" outlineLevel="0" collapsed="false">
      <c r="A29" s="368"/>
      <c r="B29" s="370" t="s">
        <v>826</v>
      </c>
      <c r="C29" s="373" t="n">
        <v>0</v>
      </c>
      <c r="D29" s="374" t="n">
        <f aca="false">+C29/C30</f>
        <v>0</v>
      </c>
      <c r="E29" s="372" t="e">
        <f aca="false">+#REF!</f>
        <v>#REF!</v>
      </c>
      <c r="F29" s="374" t="e">
        <f aca="false">+D29*E29</f>
        <v>#REF!</v>
      </c>
      <c r="G29" s="372" t="n">
        <v>-0.0725</v>
      </c>
      <c r="H29" s="372" t="n">
        <f aca="false">+G29*D29</f>
        <v>-0</v>
      </c>
      <c r="I29" s="374" t="e">
        <f aca="false">+F29+H29</f>
        <v>#REF!</v>
      </c>
      <c r="J29" s="368"/>
    </row>
    <row r="30" customFormat="false" ht="12.75" hidden="false" customHeight="false" outlineLevel="0" collapsed="false">
      <c r="A30" s="368"/>
      <c r="B30" s="368"/>
      <c r="C30" s="371" t="n">
        <f aca="false">SUM(C25:C29)</f>
        <v>5000</v>
      </c>
      <c r="D30" s="372" t="n">
        <f aca="false">SUM(D25:D29)</f>
        <v>1</v>
      </c>
      <c r="E30" s="368"/>
      <c r="F30" s="372" t="e">
        <f aca="false">SUM(F25:F29)</f>
        <v>#REF!</v>
      </c>
      <c r="G30" s="368"/>
      <c r="H30" s="368"/>
      <c r="I30" s="375" t="e">
        <f aca="false">SUM(I25:I29)</f>
        <v>#REF!</v>
      </c>
      <c r="J30" s="368"/>
    </row>
    <row r="31" customFormat="false" ht="12.75" hidden="false" customHeight="false" outlineLevel="0" collapsed="false">
      <c r="A31" s="368"/>
      <c r="B31" s="368"/>
      <c r="C31" s="368"/>
      <c r="D31" s="368"/>
      <c r="E31" s="368"/>
      <c r="F31" s="368"/>
      <c r="G31" s="368"/>
      <c r="H31" s="379" t="s">
        <v>827</v>
      </c>
      <c r="I31" s="376" t="n">
        <v>0.1525</v>
      </c>
      <c r="J31" s="368"/>
    </row>
    <row r="32" customFormat="false" ht="13.5" hidden="false" customHeight="false" outlineLevel="0" collapsed="false">
      <c r="A32" s="368"/>
      <c r="B32" s="368"/>
      <c r="C32" s="368"/>
      <c r="D32" s="368"/>
      <c r="E32" s="368"/>
      <c r="F32" s="368"/>
      <c r="G32" s="368"/>
      <c r="H32" s="377" t="s">
        <v>821</v>
      </c>
      <c r="I32" s="380" t="e">
        <f aca="false">+I31-I30</f>
        <v>#REF!</v>
      </c>
      <c r="J32" s="368"/>
    </row>
    <row r="33" customFormat="false" ht="13.5" hidden="false" customHeight="false" outlineLevel="0" collapsed="false">
      <c r="A33" s="368"/>
      <c r="B33" s="368"/>
      <c r="C33" s="368"/>
      <c r="D33" s="368"/>
      <c r="E33" s="368"/>
      <c r="F33" s="368"/>
      <c r="G33" s="368"/>
      <c r="H33" s="368"/>
      <c r="I33" s="372"/>
      <c r="J33" s="368"/>
    </row>
    <row r="34" customFormat="false" ht="12.75" hidden="false" customHeight="false" outlineLevel="0" collapsed="false">
      <c r="A34" s="368"/>
      <c r="B34" s="377" t="s">
        <v>129</v>
      </c>
      <c r="C34" s="368"/>
      <c r="D34" s="368"/>
      <c r="E34" s="368"/>
      <c r="F34" s="368" t="s">
        <v>807</v>
      </c>
      <c r="G34" s="368"/>
      <c r="H34" s="368" t="s">
        <v>807</v>
      </c>
      <c r="I34" s="368"/>
      <c r="J34" s="368"/>
    </row>
    <row r="35" customFormat="false" ht="12.75" hidden="false" customHeight="false" outlineLevel="0" collapsed="false">
      <c r="A35" s="368"/>
      <c r="B35" s="369" t="s">
        <v>808</v>
      </c>
      <c r="C35" s="369" t="s">
        <v>809</v>
      </c>
      <c r="D35" s="369" t="s">
        <v>810</v>
      </c>
      <c r="E35" s="369" t="s">
        <v>811</v>
      </c>
      <c r="F35" s="369" t="s">
        <v>812</v>
      </c>
      <c r="G35" s="369" t="s">
        <v>813</v>
      </c>
      <c r="H35" s="369" t="s">
        <v>813</v>
      </c>
      <c r="I35" s="369" t="s">
        <v>814</v>
      </c>
      <c r="J35" s="368"/>
    </row>
    <row r="36" customFormat="false" ht="12.75" hidden="false" customHeight="false" outlineLevel="0" collapsed="false">
      <c r="A36" s="368"/>
      <c r="B36" s="368" t="s">
        <v>828</v>
      </c>
      <c r="C36" s="371" t="n">
        <v>0</v>
      </c>
      <c r="D36" s="372" t="n">
        <f aca="false">+C36/C39</f>
        <v>0</v>
      </c>
      <c r="E36" s="372" t="n">
        <f aca="false">+Rates!B42</f>
        <v>0.202559466327827</v>
      </c>
      <c r="F36" s="372" t="n">
        <f aca="false">+D36*E36</f>
        <v>0</v>
      </c>
      <c r="G36" s="372" t="n">
        <v>-0.0275</v>
      </c>
      <c r="H36" s="372" t="n">
        <f aca="false">+G36*D36</f>
        <v>-0</v>
      </c>
      <c r="I36" s="372" t="n">
        <f aca="false">+F36+H36</f>
        <v>0</v>
      </c>
      <c r="J36" s="368"/>
    </row>
    <row r="37" customFormat="false" ht="12.75" hidden="false" customHeight="false" outlineLevel="0" collapsed="false">
      <c r="A37" s="368"/>
      <c r="B37" s="368" t="s">
        <v>829</v>
      </c>
      <c r="C37" s="371" t="n">
        <v>0</v>
      </c>
      <c r="D37" s="372" t="n">
        <f aca="false">+C37/C39</f>
        <v>0</v>
      </c>
      <c r="E37" s="372" t="n">
        <f aca="false">+Rates!B62</f>
        <v>0.190205369764743</v>
      </c>
      <c r="F37" s="372" t="n">
        <f aca="false">+D37*E37</f>
        <v>0</v>
      </c>
      <c r="G37" s="372" t="n">
        <v>0</v>
      </c>
      <c r="H37" s="372" t="n">
        <f aca="false">+G37*D37</f>
        <v>0</v>
      </c>
      <c r="I37" s="372" t="n">
        <f aca="false">+F37+H37</f>
        <v>0</v>
      </c>
      <c r="J37" s="368"/>
    </row>
    <row r="38" customFormat="false" ht="12.75" hidden="false" customHeight="false" outlineLevel="0" collapsed="false">
      <c r="A38" s="368"/>
      <c r="B38" s="368" t="s">
        <v>830</v>
      </c>
      <c r="C38" s="373" t="n">
        <v>1000</v>
      </c>
      <c r="D38" s="374" t="n">
        <f aca="false">+C38/C39</f>
        <v>1</v>
      </c>
      <c r="E38" s="372" t="n">
        <f aca="false">+Rates!B82</f>
        <v>0.175567415494436</v>
      </c>
      <c r="F38" s="374" t="n">
        <f aca="false">+D38*E38</f>
        <v>0.175567415494436</v>
      </c>
      <c r="G38" s="372" t="n">
        <v>0.0075</v>
      </c>
      <c r="H38" s="372" t="n">
        <f aca="false">+G38*D38</f>
        <v>0.0075</v>
      </c>
      <c r="I38" s="372" t="n">
        <f aca="false">+F38+H38</f>
        <v>0.183067415494436</v>
      </c>
      <c r="J38" s="368"/>
    </row>
    <row r="39" customFormat="false" ht="12.75" hidden="false" customHeight="false" outlineLevel="0" collapsed="false">
      <c r="A39" s="368"/>
      <c r="B39" s="368"/>
      <c r="C39" s="371" t="n">
        <f aca="false">SUM(C36:C38)</f>
        <v>1000</v>
      </c>
      <c r="D39" s="372" t="n">
        <f aca="false">SUM(D36:D38)</f>
        <v>1</v>
      </c>
      <c r="E39" s="368"/>
      <c r="F39" s="372" t="n">
        <f aca="false">SUM(F36:F38)</f>
        <v>0.175567415494436</v>
      </c>
      <c r="G39" s="368"/>
      <c r="H39" s="372" t="n">
        <f aca="false">SUM(H36:H38)</f>
        <v>0.0075</v>
      </c>
      <c r="I39" s="375" t="n">
        <f aca="false">SUM(I36:I38)</f>
        <v>0.183067415494436</v>
      </c>
      <c r="J39" s="368"/>
    </row>
    <row r="40" customFormat="false" ht="12.75" hidden="false" customHeight="false" outlineLevel="0" collapsed="false">
      <c r="A40" s="368"/>
      <c r="B40" s="368"/>
      <c r="C40" s="368"/>
      <c r="D40" s="368"/>
      <c r="E40" s="368"/>
      <c r="F40" s="368"/>
      <c r="G40" s="368"/>
      <c r="H40" s="368" t="s">
        <v>831</v>
      </c>
      <c r="I40" s="376" t="n">
        <v>0.24</v>
      </c>
      <c r="J40" s="368"/>
    </row>
    <row r="41" customFormat="false" ht="13.5" hidden="false" customHeight="false" outlineLevel="0" collapsed="false">
      <c r="A41" s="368"/>
      <c r="B41" s="368"/>
      <c r="C41" s="368"/>
      <c r="D41" s="368"/>
      <c r="E41" s="368"/>
      <c r="F41" s="368"/>
      <c r="G41" s="368"/>
      <c r="H41" s="377" t="s">
        <v>821</v>
      </c>
      <c r="I41" s="378" t="n">
        <f aca="false">+I40-I39</f>
        <v>0.0569325845055637</v>
      </c>
      <c r="J41" s="368"/>
      <c r="K41" s="381"/>
    </row>
    <row r="42" customFormat="false" ht="13.5" hidden="false" customHeight="false" outlineLevel="0" collapsed="false">
      <c r="A42" s="368"/>
      <c r="B42" s="368"/>
      <c r="C42" s="368"/>
      <c r="D42" s="368"/>
      <c r="E42" s="368"/>
      <c r="F42" s="368"/>
      <c r="G42" s="368"/>
      <c r="H42" s="368"/>
      <c r="I42" s="368"/>
      <c r="J42" s="368"/>
      <c r="K42" s="381"/>
    </row>
    <row r="43" customFormat="false" ht="12.75" hidden="false" customHeight="false" outlineLevel="0" collapsed="false">
      <c r="A43" s="368"/>
      <c r="B43" s="368"/>
      <c r="C43" s="368"/>
      <c r="D43" s="368"/>
      <c r="E43" s="368"/>
      <c r="F43" s="368"/>
      <c r="G43" s="368"/>
      <c r="H43" s="368"/>
      <c r="I43" s="368"/>
      <c r="J43" s="368"/>
      <c r="K43" s="382"/>
    </row>
    <row r="44" customFormat="false" ht="12.75" hidden="false" customHeight="false" outlineLevel="0" collapsed="false">
      <c r="A44" s="368"/>
      <c r="B44" s="377" t="s">
        <v>33</v>
      </c>
      <c r="C44" s="368" t="s">
        <v>832</v>
      </c>
      <c r="D44" s="368" t="s">
        <v>692</v>
      </c>
      <c r="E44" s="368" t="s">
        <v>338</v>
      </c>
      <c r="F44" s="368" t="s">
        <v>833</v>
      </c>
      <c r="G44" s="368" t="s">
        <v>834</v>
      </c>
      <c r="H44" s="368" t="s">
        <v>835</v>
      </c>
      <c r="I44" s="377" t="s">
        <v>821</v>
      </c>
      <c r="J44" s="368"/>
    </row>
    <row r="45" customFormat="false" ht="12.75" hidden="false" customHeight="false" outlineLevel="0" collapsed="false">
      <c r="A45" s="368"/>
      <c r="B45" s="368" t="s">
        <v>836</v>
      </c>
      <c r="C45" s="376" t="e">
        <f aca="false">+#REF!</f>
        <v>#REF!</v>
      </c>
      <c r="D45" s="376" t="e">
        <f aca="false">+#REF!</f>
        <v>#REF!</v>
      </c>
      <c r="E45" s="376" t="e">
        <f aca="false">+D45+C45</f>
        <v>#REF!</v>
      </c>
      <c r="F45" s="376" t="n">
        <v>0</v>
      </c>
      <c r="G45" s="376" t="n">
        <v>-0.0225</v>
      </c>
      <c r="H45" s="376" t="n">
        <v>0.1325</v>
      </c>
      <c r="I45" s="376" t="e">
        <f aca="false">+H45-G45-F45-E45</f>
        <v>#REF!</v>
      </c>
      <c r="J45" s="368"/>
    </row>
    <row r="46" customFormat="false" ht="12.75" hidden="false" customHeight="false" outlineLevel="0" collapsed="false">
      <c r="A46" s="368"/>
      <c r="B46" s="368" t="s">
        <v>837</v>
      </c>
      <c r="C46" s="376" t="e">
        <f aca="false">+#REF!</f>
        <v>#REF!</v>
      </c>
      <c r="D46" s="376" t="e">
        <f aca="false">+#REF!</f>
        <v>#REF!</v>
      </c>
      <c r="E46" s="376" t="e">
        <f aca="false">+D46+C46</f>
        <v>#REF!</v>
      </c>
      <c r="F46" s="376" t="n">
        <v>0</v>
      </c>
      <c r="G46" s="376" t="n">
        <v>-0.0225</v>
      </c>
      <c r="H46" s="376" t="n">
        <v>0.1325</v>
      </c>
      <c r="I46" s="383" t="e">
        <f aca="false">+H46-G46-F46-E46</f>
        <v>#REF!</v>
      </c>
      <c r="J46" s="368"/>
    </row>
    <row r="47" customFormat="false" ht="12.75" hidden="false" customHeight="false" outlineLevel="0" collapsed="false">
      <c r="A47" s="368"/>
      <c r="B47" s="368"/>
      <c r="C47" s="368"/>
      <c r="D47" s="368"/>
      <c r="E47" s="368"/>
      <c r="F47" s="368"/>
      <c r="G47" s="368"/>
      <c r="H47" s="368"/>
      <c r="I47" s="368"/>
      <c r="J47" s="368"/>
    </row>
    <row r="48" customFormat="false" ht="12.75" hidden="false" customHeight="false" outlineLevel="0" collapsed="false">
      <c r="A48" s="368"/>
      <c r="B48" s="368"/>
      <c r="C48" s="368"/>
      <c r="D48" s="368"/>
      <c r="E48" s="368"/>
      <c r="F48" s="368"/>
      <c r="G48" s="368"/>
      <c r="H48" s="368"/>
      <c r="I48" s="368"/>
      <c r="J48" s="368"/>
    </row>
    <row r="49" customFormat="false" ht="12.75" hidden="false" customHeight="false" outlineLevel="0" collapsed="false">
      <c r="A49" s="368"/>
      <c r="B49" s="377" t="s">
        <v>404</v>
      </c>
      <c r="C49" s="368" t="s">
        <v>782</v>
      </c>
      <c r="D49" s="368" t="s">
        <v>838</v>
      </c>
      <c r="E49" s="368" t="s">
        <v>833</v>
      </c>
      <c r="F49" s="368" t="s">
        <v>839</v>
      </c>
      <c r="H49" s="368"/>
      <c r="I49" s="377" t="s">
        <v>821</v>
      </c>
      <c r="J49" s="368"/>
    </row>
    <row r="50" customFormat="false" ht="12.75" hidden="false" customHeight="false" outlineLevel="0" collapsed="false">
      <c r="A50" s="368"/>
      <c r="B50" s="368" t="s">
        <v>840</v>
      </c>
      <c r="C50" s="376" t="e">
        <f aca="false">+#REF!</f>
        <v>#REF!</v>
      </c>
      <c r="D50" s="384" t="n">
        <v>-0.0725</v>
      </c>
      <c r="E50" s="376" t="n">
        <v>0</v>
      </c>
      <c r="F50" s="376" t="n">
        <v>0.2175</v>
      </c>
      <c r="H50" s="368"/>
      <c r="I50" s="383" t="e">
        <f aca="false">+F50-D50-E50-C50</f>
        <v>#REF!</v>
      </c>
      <c r="J50" s="368"/>
    </row>
    <row r="51" customFormat="false" ht="12.75" hidden="false" customHeight="false" outlineLevel="0" collapsed="false">
      <c r="A51" s="368"/>
      <c r="B51" s="368" t="s">
        <v>841</v>
      </c>
      <c r="C51" s="376" t="e">
        <f aca="false">+#REF!</f>
        <v>#REF!</v>
      </c>
      <c r="D51" s="384" t="n">
        <v>-0.06</v>
      </c>
      <c r="E51" s="376" t="n">
        <v>0</v>
      </c>
      <c r="F51" s="376" t="n">
        <v>0.2175</v>
      </c>
      <c r="H51" s="368"/>
      <c r="I51" s="383" t="e">
        <f aca="false">+F51-D51-E51-C51</f>
        <v>#REF!</v>
      </c>
      <c r="J51" s="368"/>
    </row>
    <row r="52" customFormat="false" ht="12.75" hidden="false" customHeight="false" outlineLevel="0" collapsed="false">
      <c r="A52" s="368"/>
      <c r="B52" s="368"/>
      <c r="C52" s="376"/>
      <c r="D52" s="384"/>
      <c r="E52" s="376"/>
      <c r="F52" s="376"/>
      <c r="H52" s="368"/>
      <c r="I52" s="383"/>
      <c r="J52" s="368"/>
    </row>
    <row r="53" customFormat="false" ht="12.75" hidden="false" customHeight="false" outlineLevel="0" collapsed="false">
      <c r="A53" s="368"/>
      <c r="B53" s="368"/>
      <c r="C53" s="376"/>
      <c r="D53" s="384"/>
      <c r="E53" s="376"/>
      <c r="F53" s="376"/>
      <c r="H53" s="368"/>
      <c r="I53" s="383"/>
      <c r="J53" s="368"/>
    </row>
    <row r="54" customFormat="false" ht="12.75" hidden="false" customHeight="false" outlineLevel="0" collapsed="false">
      <c r="A54" s="368"/>
      <c r="B54" s="368"/>
      <c r="C54" s="376"/>
      <c r="D54" s="384"/>
      <c r="E54" s="376"/>
      <c r="F54" s="376"/>
      <c r="H54" s="368"/>
      <c r="I54" s="383"/>
      <c r="J54" s="368"/>
    </row>
    <row r="55" customFormat="false" ht="12.75" hidden="false" customHeight="false" outlineLevel="0" collapsed="false">
      <c r="A55" s="368"/>
      <c r="B55" s="368" t="s">
        <v>842</v>
      </c>
      <c r="C55" s="376" t="e">
        <f aca="false">+#REF!</f>
        <v>#REF!</v>
      </c>
      <c r="D55" s="384" t="n">
        <v>-0.0725</v>
      </c>
      <c r="E55" s="376" t="n">
        <v>0</v>
      </c>
      <c r="F55" s="376" t="n">
        <v>0.2525</v>
      </c>
      <c r="H55" s="368"/>
      <c r="I55" s="383" t="e">
        <f aca="false">+F55-D55-E55-C55</f>
        <v>#REF!</v>
      </c>
      <c r="J55" s="368"/>
    </row>
    <row r="56" customFormat="false" ht="12.75" hidden="false" customHeight="false" outlineLevel="0" collapsed="false">
      <c r="A56" s="368"/>
      <c r="B56" s="368" t="s">
        <v>843</v>
      </c>
      <c r="C56" s="376" t="e">
        <f aca="false">+#REF!</f>
        <v>#REF!</v>
      </c>
      <c r="D56" s="384" t="n">
        <v>-0.06</v>
      </c>
      <c r="E56" s="376" t="n">
        <v>0</v>
      </c>
      <c r="F56" s="376" t="n">
        <v>0.2525</v>
      </c>
      <c r="H56" s="368"/>
      <c r="I56" s="383" t="e">
        <f aca="false">+F56-D56-E56-C56</f>
        <v>#REF!</v>
      </c>
      <c r="J56" s="368"/>
    </row>
    <row r="57" customFormat="false" ht="12.75" hidden="false" customHeight="false" outlineLevel="0" collapsed="false">
      <c r="A57" s="368" t="s">
        <v>844</v>
      </c>
      <c r="B57" s="368" t="s">
        <v>843</v>
      </c>
      <c r="C57" s="376" t="e">
        <f aca="false">+#REF!</f>
        <v>#REF!</v>
      </c>
      <c r="D57" s="384" t="n">
        <v>-0.05</v>
      </c>
      <c r="E57" s="376" t="n">
        <v>0.021</v>
      </c>
      <c r="F57" s="376" t="n">
        <v>0</v>
      </c>
      <c r="H57" s="368"/>
      <c r="I57" s="383" t="e">
        <f aca="false">+F57-D57-E57-C57</f>
        <v>#REF!</v>
      </c>
      <c r="J57" s="368"/>
    </row>
    <row r="58" customFormat="false" ht="12.75" hidden="false" customHeight="false" outlineLevel="0" collapsed="false">
      <c r="A58" s="368"/>
      <c r="B58" s="368"/>
      <c r="C58" s="368"/>
      <c r="D58" s="368"/>
      <c r="E58" s="368"/>
      <c r="F58" s="368"/>
      <c r="G58" s="368"/>
      <c r="H58" s="368"/>
      <c r="I58" s="368"/>
      <c r="J58" s="368"/>
    </row>
    <row r="59" customFormat="false" ht="12.75" hidden="false" customHeight="false" outlineLevel="0" collapsed="false">
      <c r="A59" s="368"/>
      <c r="B59" s="368"/>
      <c r="C59" s="368"/>
      <c r="D59" s="368"/>
      <c r="E59" s="368"/>
      <c r="F59" s="368"/>
      <c r="G59" s="368"/>
      <c r="H59" s="368"/>
      <c r="I59" s="368"/>
      <c r="J59" s="368"/>
    </row>
    <row r="60" customFormat="false" ht="12.75" hidden="false" customHeight="false" outlineLevel="0" collapsed="false">
      <c r="A60" s="368"/>
      <c r="B60" s="368"/>
      <c r="C60" s="368"/>
      <c r="D60" s="368"/>
      <c r="E60" s="368"/>
      <c r="F60" s="368"/>
      <c r="G60" s="368"/>
      <c r="H60" s="368"/>
      <c r="I60" s="368"/>
      <c r="J60" s="368"/>
    </row>
    <row r="61" customFormat="false" ht="12.75" hidden="false" customHeight="false" outlineLevel="0" collapsed="false">
      <c r="A61" s="368"/>
      <c r="B61" s="377" t="s">
        <v>404</v>
      </c>
      <c r="C61" s="368" t="s">
        <v>782</v>
      </c>
      <c r="D61" s="368" t="s">
        <v>838</v>
      </c>
      <c r="E61" s="368" t="s">
        <v>833</v>
      </c>
      <c r="F61" s="368" t="s">
        <v>839</v>
      </c>
      <c r="H61" s="368"/>
      <c r="I61" s="377" t="s">
        <v>821</v>
      </c>
      <c r="J61" s="368"/>
    </row>
    <row r="62" customFormat="false" ht="12.75" hidden="false" customHeight="false" outlineLevel="0" collapsed="false">
      <c r="A62" s="368"/>
      <c r="B62" s="368" t="s">
        <v>840</v>
      </c>
      <c r="C62" s="376" t="n">
        <f aca="false">+Rates!H32</f>
        <v>0.254934126646834</v>
      </c>
      <c r="D62" s="384" t="n">
        <v>-0.0725</v>
      </c>
      <c r="E62" s="376" t="n">
        <v>0</v>
      </c>
      <c r="F62" s="376" t="n">
        <v>0.2175</v>
      </c>
      <c r="H62" s="368"/>
      <c r="I62" s="383" t="n">
        <f aca="false">+F62-D62-E62-C62</f>
        <v>0.0350658733531662</v>
      </c>
      <c r="J62" s="368"/>
    </row>
    <row r="63" customFormat="false" ht="12.75" hidden="false" customHeight="false" outlineLevel="0" collapsed="false">
      <c r="A63" s="368"/>
      <c r="B63" s="368" t="s">
        <v>841</v>
      </c>
      <c r="C63" s="376" t="n">
        <f aca="false">+Rates!H67</f>
        <v>0.228680086306705</v>
      </c>
      <c r="D63" s="384" t="n">
        <v>-0.06</v>
      </c>
      <c r="E63" s="376" t="n">
        <v>0</v>
      </c>
      <c r="F63" s="376" t="n">
        <v>0.2175</v>
      </c>
      <c r="H63" s="368"/>
      <c r="I63" s="383" t="n">
        <f aca="false">+F63-D63-E63-C63</f>
        <v>0.0488199136932954</v>
      </c>
      <c r="J63" s="368"/>
    </row>
    <row r="64" customFormat="false" ht="12.75" hidden="false" customHeight="false" outlineLevel="0" collapsed="false">
      <c r="A64" s="368"/>
      <c r="B64" s="368" t="s">
        <v>842</v>
      </c>
      <c r="C64" s="376" t="n">
        <f aca="false">+Rates!H37</f>
        <v>0.302158727604334</v>
      </c>
      <c r="D64" s="384" t="n">
        <v>-0.0725</v>
      </c>
      <c r="E64" s="376" t="n">
        <v>0</v>
      </c>
      <c r="F64" s="376" t="n">
        <v>0.2525</v>
      </c>
      <c r="H64" s="368"/>
      <c r="I64" s="383" t="n">
        <f aca="false">+F64-D64-E64-C64</f>
        <v>0.0228412723956657</v>
      </c>
      <c r="J64" s="368"/>
    </row>
    <row r="65" customFormat="false" ht="12.75" hidden="false" customHeight="false" outlineLevel="0" collapsed="false">
      <c r="A65" s="368"/>
      <c r="B65" s="368" t="s">
        <v>843</v>
      </c>
      <c r="C65" s="376" t="n">
        <f aca="false">+Rates!H72</f>
        <v>0.27735302869288</v>
      </c>
      <c r="D65" s="384" t="n">
        <v>-0.06</v>
      </c>
      <c r="E65" s="376" t="n">
        <v>0</v>
      </c>
      <c r="F65" s="376" t="n">
        <v>0.2525</v>
      </c>
      <c r="H65" s="368"/>
      <c r="I65" s="383" t="n">
        <f aca="false">+F65-D65-E65-C65</f>
        <v>0.0351469713071204</v>
      </c>
      <c r="J65" s="368"/>
    </row>
    <row r="66" customFormat="false" ht="12.75" hidden="false" customHeight="false" outlineLevel="0" collapsed="false">
      <c r="A66" s="368"/>
      <c r="B66" s="368"/>
      <c r="C66" s="368"/>
      <c r="D66" s="368"/>
      <c r="E66" s="368"/>
      <c r="F66" s="368"/>
      <c r="G66" s="368"/>
      <c r="H66" s="368"/>
      <c r="I66" s="368"/>
      <c r="J66" s="368"/>
    </row>
    <row r="67" customFormat="false" ht="12.75" hidden="false" customHeight="false" outlineLevel="0" collapsed="false">
      <c r="A67" s="368"/>
      <c r="B67" s="368"/>
      <c r="C67" s="368"/>
      <c r="D67" s="368"/>
      <c r="E67" s="368"/>
      <c r="F67" s="368"/>
      <c r="G67" s="368"/>
      <c r="H67" s="368"/>
      <c r="I67" s="368"/>
      <c r="J67" s="368"/>
    </row>
    <row r="68" customFormat="false" ht="12.75" hidden="false" customHeight="false" outlineLevel="0" collapsed="false">
      <c r="A68" s="368"/>
      <c r="B68" s="368"/>
      <c r="C68" s="368"/>
      <c r="D68" s="368"/>
      <c r="E68" s="368"/>
      <c r="F68" s="368"/>
      <c r="G68" s="368"/>
      <c r="H68" s="368"/>
      <c r="I68" s="368"/>
      <c r="J68" s="368"/>
    </row>
    <row r="69" customFormat="false" ht="12.75" hidden="false" customHeight="false" outlineLevel="0" collapsed="false">
      <c r="A69" s="368"/>
      <c r="B69" s="368"/>
      <c r="C69" s="368"/>
      <c r="D69" s="368"/>
      <c r="E69" s="368"/>
      <c r="F69" s="368"/>
      <c r="G69" s="368"/>
      <c r="H69" s="368"/>
      <c r="I69" s="368"/>
      <c r="J69" s="368"/>
    </row>
    <row r="70" customFormat="false" ht="12.75" hidden="false" customHeight="false" outlineLevel="0" collapsed="false">
      <c r="A70" s="368"/>
      <c r="B70" s="368"/>
      <c r="C70" s="368"/>
      <c r="D70" s="368"/>
      <c r="E70" s="368"/>
      <c r="F70" s="368"/>
      <c r="G70" s="368"/>
      <c r="H70" s="368"/>
      <c r="I70" s="368"/>
      <c r="J70" s="368"/>
    </row>
    <row r="71" customFormat="false" ht="12.75" hidden="false" customHeight="false" outlineLevel="0" collapsed="false">
      <c r="A71" s="368"/>
      <c r="B71" s="368" t="s">
        <v>23</v>
      </c>
      <c r="C71" s="368"/>
      <c r="D71" s="368"/>
      <c r="E71" s="368"/>
      <c r="F71" s="368"/>
      <c r="G71" s="368"/>
      <c r="H71" s="368"/>
      <c r="I71" s="368"/>
      <c r="J71" s="368"/>
    </row>
    <row r="72" customFormat="false" ht="12.75" hidden="false" customHeight="false" outlineLevel="0" collapsed="false">
      <c r="A72" s="368"/>
      <c r="B72" s="368"/>
      <c r="C72" s="368"/>
      <c r="D72" s="368"/>
      <c r="E72" s="368"/>
      <c r="F72" s="368" t="s">
        <v>807</v>
      </c>
      <c r="G72" s="368"/>
      <c r="H72" s="368" t="s">
        <v>807</v>
      </c>
      <c r="I72" s="368"/>
      <c r="J72" s="368"/>
    </row>
    <row r="73" customFormat="false" ht="12.75" hidden="false" customHeight="false" outlineLevel="0" collapsed="false">
      <c r="A73" s="368"/>
      <c r="B73" s="369" t="s">
        <v>808</v>
      </c>
      <c r="C73" s="369" t="s">
        <v>809</v>
      </c>
      <c r="D73" s="369" t="s">
        <v>810</v>
      </c>
      <c r="E73" s="369" t="s">
        <v>811</v>
      </c>
      <c r="F73" s="369" t="s">
        <v>812</v>
      </c>
      <c r="G73" s="369" t="s">
        <v>813</v>
      </c>
      <c r="H73" s="369" t="s">
        <v>813</v>
      </c>
      <c r="I73" s="369" t="s">
        <v>814</v>
      </c>
      <c r="J73" s="368"/>
    </row>
    <row r="74" customFormat="false" ht="12.75" hidden="false" customHeight="false" outlineLevel="0" collapsed="false">
      <c r="A74" s="368"/>
      <c r="B74" s="370" t="s">
        <v>845</v>
      </c>
      <c r="C74" s="371" t="n">
        <v>5000</v>
      </c>
      <c r="D74" s="372" t="n">
        <f aca="false">+C74/C74</f>
        <v>1</v>
      </c>
      <c r="E74" s="372" t="e">
        <f aca="false">+#REF!</f>
        <v>#REF!</v>
      </c>
      <c r="F74" s="372" t="e">
        <f aca="false">+D74*E74</f>
        <v>#REF!</v>
      </c>
      <c r="G74" s="372" t="n">
        <v>-0.23</v>
      </c>
      <c r="H74" s="372" t="n">
        <f aca="false">+G74*D74</f>
        <v>-0.23</v>
      </c>
      <c r="I74" s="372" t="e">
        <f aca="false">+F74+H74</f>
        <v>#REF!</v>
      </c>
      <c r="J74" s="368"/>
    </row>
    <row r="75" customFormat="false" ht="12.75" hidden="false" customHeight="false" outlineLevel="0" collapsed="false">
      <c r="A75" s="368"/>
      <c r="B75" s="370" t="s">
        <v>846</v>
      </c>
      <c r="C75" s="371" t="s">
        <v>1</v>
      </c>
      <c r="D75" s="372" t="s">
        <v>1</v>
      </c>
      <c r="E75" s="372" t="s">
        <v>1</v>
      </c>
      <c r="F75" s="372" t="s">
        <v>279</v>
      </c>
      <c r="G75" s="372" t="s">
        <v>1</v>
      </c>
      <c r="H75" s="372" t="s">
        <v>1</v>
      </c>
      <c r="I75" s="372" t="n">
        <v>-0.05</v>
      </c>
      <c r="J75" s="368"/>
    </row>
    <row r="76" customFormat="false" ht="12.75" hidden="false" customHeight="false" outlineLevel="0" collapsed="false">
      <c r="A76" s="368"/>
      <c r="B76" s="368"/>
      <c r="C76" s="368"/>
      <c r="D76" s="368"/>
      <c r="E76" s="368"/>
      <c r="F76" s="368"/>
      <c r="G76" s="368"/>
      <c r="H76" s="368"/>
      <c r="I76" s="368"/>
      <c r="J76" s="368"/>
    </row>
    <row r="77" customFormat="false" ht="12.75" hidden="false" customHeight="false" outlineLevel="0" collapsed="false">
      <c r="A77" s="368"/>
      <c r="B77" s="368"/>
      <c r="C77" s="368"/>
      <c r="D77" s="368"/>
      <c r="E77" s="368"/>
      <c r="F77" s="368"/>
      <c r="G77" s="368"/>
      <c r="H77" s="368"/>
      <c r="I77" s="368"/>
      <c r="J77" s="368"/>
    </row>
    <row r="78" customFormat="false" ht="12.75" hidden="false" customHeight="false" outlineLevel="0" collapsed="false">
      <c r="A78" s="368"/>
      <c r="B78" s="370" t="s">
        <v>816</v>
      </c>
      <c r="C78" s="371" t="n">
        <v>0</v>
      </c>
      <c r="D78" s="372" t="e">
        <f aca="false">+C78/C82</f>
        <v>#DIV/0!</v>
      </c>
      <c r="E78" s="372" t="e">
        <f aca="false">+#REF!</f>
        <v>#REF!</v>
      </c>
      <c r="F78" s="372" t="e">
        <f aca="false">+D78*E78</f>
        <v>#REF!</v>
      </c>
      <c r="G78" s="372" t="n">
        <v>-0.07</v>
      </c>
      <c r="H78" s="372" t="e">
        <f aca="false">+G78*D78</f>
        <v>#DIV/0!</v>
      </c>
      <c r="I78" s="372" t="e">
        <f aca="false">+F78+H78</f>
        <v>#DIV/0!</v>
      </c>
      <c r="J78" s="368"/>
    </row>
    <row r="79" customFormat="false" ht="12.75" hidden="false" customHeight="false" outlineLevel="0" collapsed="false">
      <c r="A79" s="368"/>
      <c r="B79" s="368"/>
      <c r="C79" s="368"/>
      <c r="D79" s="368"/>
      <c r="E79" s="368"/>
      <c r="F79" s="368"/>
      <c r="G79" s="368"/>
      <c r="H79" s="368"/>
      <c r="I79" s="368"/>
      <c r="J79" s="368"/>
    </row>
    <row r="80" customFormat="false" ht="12.75" hidden="false" customHeight="false" outlineLevel="0" collapsed="false">
      <c r="A80" s="368"/>
      <c r="B80" s="368"/>
      <c r="C80" s="368"/>
      <c r="D80" s="368"/>
      <c r="E80" s="368"/>
      <c r="F80" s="368"/>
      <c r="G80" s="368"/>
      <c r="H80" s="368"/>
      <c r="I80" s="368"/>
      <c r="J80" s="368"/>
    </row>
    <row r="81" customFormat="false" ht="12.75" hidden="false" customHeight="false" outlineLevel="0" collapsed="false">
      <c r="A81" s="368"/>
      <c r="B81" s="368"/>
      <c r="C81" s="368"/>
      <c r="D81" s="368"/>
      <c r="E81" s="368"/>
      <c r="F81" s="368"/>
      <c r="G81" s="368"/>
      <c r="H81" s="368"/>
      <c r="I81" s="368"/>
      <c r="J81" s="368"/>
    </row>
    <row r="100" customFormat="false" ht="12.75" hidden="false" customHeight="false" outlineLevel="0" collapsed="false">
      <c r="M100" s="367" t="s">
        <v>847</v>
      </c>
      <c r="N100" s="367" t="s">
        <v>848</v>
      </c>
    </row>
    <row r="101" customFormat="false" ht="12.75" hidden="false" customHeight="false" outlineLevel="0" collapsed="false">
      <c r="B101" s="377" t="s">
        <v>404</v>
      </c>
      <c r="C101" s="369" t="s">
        <v>809</v>
      </c>
      <c r="D101" s="369" t="s">
        <v>810</v>
      </c>
      <c r="E101" s="368" t="s">
        <v>782</v>
      </c>
      <c r="F101" s="368" t="s">
        <v>838</v>
      </c>
      <c r="G101" s="368" t="s">
        <v>849</v>
      </c>
      <c r="H101" s="368" t="s">
        <v>850</v>
      </c>
      <c r="I101" s="368" t="s">
        <v>839</v>
      </c>
      <c r="J101" s="368"/>
      <c r="K101" s="377" t="s">
        <v>821</v>
      </c>
      <c r="L101" s="367" t="s">
        <v>851</v>
      </c>
      <c r="M101" s="367" t="s">
        <v>852</v>
      </c>
      <c r="N101" s="367" t="s">
        <v>853</v>
      </c>
    </row>
    <row r="102" customFormat="false" ht="12.75" hidden="false" customHeight="false" outlineLevel="0" collapsed="false">
      <c r="B102" s="368" t="s">
        <v>840</v>
      </c>
      <c r="C102" s="371" t="n">
        <v>1163</v>
      </c>
      <c r="D102" s="372" t="n">
        <f aca="false">+C102/C105</f>
        <v>0.358397534668721</v>
      </c>
      <c r="E102" s="376" t="e">
        <f aca="false">+#REF!</f>
        <v>#REF!</v>
      </c>
      <c r="F102" s="384" t="n">
        <v>-0.0725</v>
      </c>
      <c r="G102" s="385" t="e">
        <f aca="false">+D102*E102</f>
        <v>#REF!</v>
      </c>
      <c r="H102" s="376" t="n">
        <f aca="false">+F102*D102</f>
        <v>-0.0259838212634823</v>
      </c>
      <c r="I102" s="376" t="n">
        <v>0.2175</v>
      </c>
      <c r="J102" s="368"/>
      <c r="K102" s="386" t="e">
        <f aca="false">(+G102*H102)</f>
        <v>#REF!</v>
      </c>
      <c r="L102" s="367" t="n">
        <f aca="false">+I102-F102</f>
        <v>0.29</v>
      </c>
      <c r="M102" s="367" t="e">
        <f aca="false">+L102-E102</f>
        <v>#REF!</v>
      </c>
      <c r="N102" s="367" t="e">
        <f aca="false">+M102*5</f>
        <v>#REF!</v>
      </c>
      <c r="O102" s="0" t="e">
        <f aca="false">+N102*D102</f>
        <v>#REF!</v>
      </c>
    </row>
    <row r="103" customFormat="false" ht="12.75" hidden="false" customHeight="false" outlineLevel="0" collapsed="false">
      <c r="B103" s="368" t="s">
        <v>841</v>
      </c>
      <c r="C103" s="371" t="n">
        <v>2082</v>
      </c>
      <c r="D103" s="372" t="n">
        <f aca="false">+C103/C105</f>
        <v>0.641602465331279</v>
      </c>
      <c r="E103" s="376" t="e">
        <f aca="false">+#REF!</f>
        <v>#REF!</v>
      </c>
      <c r="F103" s="384" t="n">
        <v>-0.06</v>
      </c>
      <c r="G103" s="385" t="e">
        <f aca="false">+D103*E103</f>
        <v>#REF!</v>
      </c>
      <c r="H103" s="376" t="n">
        <f aca="false">+F103*D103</f>
        <v>-0.0384961479198767</v>
      </c>
      <c r="I103" s="376" t="n">
        <v>0.2175</v>
      </c>
      <c r="J103" s="368"/>
      <c r="K103" s="386" t="e">
        <f aca="false">(+G103*H103)</f>
        <v>#REF!</v>
      </c>
      <c r="L103" s="367" t="n">
        <f aca="false">+I103-F103</f>
        <v>0.2775</v>
      </c>
      <c r="M103" s="367" t="e">
        <f aca="false">+L103-E103</f>
        <v>#REF!</v>
      </c>
      <c r="N103" s="367" t="e">
        <f aca="false">+M103*5</f>
        <v>#REF!</v>
      </c>
      <c r="O103" s="0" t="e">
        <f aca="false">+N103*D103</f>
        <v>#REF!</v>
      </c>
    </row>
    <row r="104" customFormat="false" ht="12.75" hidden="false" customHeight="false" outlineLevel="0" collapsed="false">
      <c r="C104" s="373" t="n">
        <v>0</v>
      </c>
      <c r="D104" s="374" t="n">
        <f aca="false">+C104/C105</f>
        <v>0</v>
      </c>
      <c r="O104" s="0" t="e">
        <f aca="false">SUM(O102:O103)</f>
        <v>#REF!</v>
      </c>
    </row>
    <row r="105" customFormat="false" ht="12.75" hidden="false" customHeight="false" outlineLevel="0" collapsed="false">
      <c r="C105" s="371" t="n">
        <f aca="false">SUM(C102:C104)</f>
        <v>3245</v>
      </c>
      <c r="D105" s="372" t="n">
        <f aca="false">SUM(D102:D104)</f>
        <v>1</v>
      </c>
    </row>
    <row r="106" customFormat="false" ht="12.75" hidden="false" customHeight="false" outlineLevel="0" collapsed="false">
      <c r="C106" s="382" t="n">
        <f aca="false">+C102*F102</f>
        <v>-84.3175</v>
      </c>
    </row>
    <row r="107" customFormat="false" ht="12.75" hidden="false" customHeight="false" outlineLevel="0" collapsed="false">
      <c r="C107" s="382" t="n">
        <f aca="false">+C103*F103</f>
        <v>-124.92</v>
      </c>
    </row>
    <row r="108" customFormat="false" ht="12.75" hidden="false" customHeight="false" outlineLevel="0" collapsed="false">
      <c r="C108" s="382" t="n">
        <f aca="false">+C107+C106</f>
        <v>-209.2375</v>
      </c>
      <c r="D108" s="0" t="n">
        <f aca="false">+C108/C105</f>
        <v>-0.064479969183359</v>
      </c>
      <c r="I108" s="0" t="s">
        <v>1</v>
      </c>
    </row>
    <row r="109" customFormat="false" ht="12.75" hidden="false" customHeight="false" outlineLevel="0" collapsed="false">
      <c r="A109" s="368"/>
      <c r="B109" s="377" t="s">
        <v>404</v>
      </c>
      <c r="C109" s="368" t="s">
        <v>1</v>
      </c>
      <c r="D109" s="369" t="s">
        <v>810</v>
      </c>
      <c r="E109" s="368" t="s">
        <v>854</v>
      </c>
      <c r="F109" s="368" t="s">
        <v>855</v>
      </c>
      <c r="G109" s="0" t="s">
        <v>849</v>
      </c>
      <c r="H109" s="368" t="s">
        <v>850</v>
      </c>
      <c r="I109" s="368" t="s">
        <v>839</v>
      </c>
      <c r="J109" s="368"/>
      <c r="K109" s="377" t="s">
        <v>821</v>
      </c>
    </row>
    <row r="110" customFormat="false" ht="12.75" hidden="false" customHeight="false" outlineLevel="0" collapsed="false">
      <c r="A110" s="368"/>
      <c r="B110" s="368" t="s">
        <v>840</v>
      </c>
      <c r="C110" s="371" t="n">
        <v>1163</v>
      </c>
      <c r="D110" s="372" t="n">
        <f aca="false">+C110/C113</f>
        <v>0.358397534668721</v>
      </c>
      <c r="E110" s="376" t="n">
        <f aca="false">+Rates!H32</f>
        <v>0.254934126646834</v>
      </c>
      <c r="F110" s="384" t="n">
        <v>-0.0725</v>
      </c>
      <c r="G110" s="385" t="n">
        <f aca="false">+D110*E110</f>
        <v>0.0913677624931488</v>
      </c>
      <c r="H110" s="376" t="n">
        <f aca="false">+F110*D110</f>
        <v>-0.0259838212634823</v>
      </c>
      <c r="I110" s="376" t="n">
        <v>0.2175</v>
      </c>
      <c r="J110" s="368"/>
      <c r="K110" s="386" t="n">
        <f aca="false">(+G110*H110)</f>
        <v>-0.00237408360986628</v>
      </c>
      <c r="L110" s="367" t="n">
        <f aca="false">+I110-F110</f>
        <v>0.29</v>
      </c>
      <c r="M110" s="367" t="n">
        <f aca="false">+L110-E110</f>
        <v>0.0350658733531662</v>
      </c>
      <c r="N110" s="367" t="n">
        <f aca="false">+M110*7</f>
        <v>0.245461113472163</v>
      </c>
      <c r="O110" s="0" t="n">
        <f aca="false">+N110*D110</f>
        <v>0.0879726579254625</v>
      </c>
    </row>
    <row r="111" customFormat="false" ht="12.75" hidden="false" customHeight="false" outlineLevel="0" collapsed="false">
      <c r="A111" s="368"/>
      <c r="B111" s="368" t="s">
        <v>856</v>
      </c>
      <c r="C111" s="371" t="n">
        <v>2082</v>
      </c>
      <c r="D111" s="372" t="n">
        <f aca="false">+C111/C113</f>
        <v>0.641602465331279</v>
      </c>
      <c r="E111" s="376" t="n">
        <f aca="false">+Rates!H67</f>
        <v>0.228680086306705</v>
      </c>
      <c r="F111" s="376" t="n">
        <v>-0.06</v>
      </c>
      <c r="G111" s="385" t="n">
        <f aca="false">+D111*E111</f>
        <v>0.146721707146551</v>
      </c>
      <c r="H111" s="376" t="n">
        <f aca="false">+F111*D111</f>
        <v>-0.0384961479198767</v>
      </c>
      <c r="I111" s="376" t="n">
        <v>0.2175</v>
      </c>
      <c r="J111" s="368"/>
      <c r="K111" s="386" t="n">
        <f aca="false">(+G111*H111)</f>
        <v>-0.00564822054137047</v>
      </c>
      <c r="L111" s="367" t="n">
        <f aca="false">+I111-F111</f>
        <v>0.2775</v>
      </c>
      <c r="M111" s="367" t="n">
        <f aca="false">+L111-E111</f>
        <v>0.0488199136932954</v>
      </c>
      <c r="N111" s="367" t="n">
        <f aca="false">+M111*7</f>
        <v>0.341739395853068</v>
      </c>
      <c r="O111" s="0" t="n">
        <f aca="false">+N111*D111</f>
        <v>0.21926083888015</v>
      </c>
    </row>
    <row r="112" customFormat="false" ht="12.75" hidden="false" customHeight="false" outlineLevel="0" collapsed="false">
      <c r="A112" s="368"/>
      <c r="B112" s="368"/>
      <c r="C112" s="376" t="n">
        <v>0</v>
      </c>
      <c r="D112" s="374" t="n">
        <f aca="false">+C112/C113</f>
        <v>0</v>
      </c>
      <c r="E112" s="376"/>
      <c r="F112" s="376" t="s">
        <v>1</v>
      </c>
      <c r="H112" s="368"/>
      <c r="I112" s="383"/>
      <c r="J112" s="368"/>
      <c r="O112" s="0" t="n">
        <f aca="false">SUM(O110:O111)</f>
        <v>0.307233496805613</v>
      </c>
    </row>
    <row r="113" customFormat="false" ht="12.75" hidden="false" customHeight="false" outlineLevel="0" collapsed="false">
      <c r="C113" s="371" t="n">
        <f aca="false">SUM(C110:C112)</f>
        <v>3245</v>
      </c>
      <c r="D113" s="372" t="n">
        <f aca="false">SUM(D110:D112)</f>
        <v>1</v>
      </c>
      <c r="M113" s="367" t="n">
        <f aca="false">AVERAGE(M110:M111)</f>
        <v>0.0419428935232308</v>
      </c>
    </row>
    <row r="114" customFormat="false" ht="12.75" hidden="false" customHeight="false" outlineLevel="0" collapsed="false">
      <c r="O114" s="0" t="e">
        <f aca="false">+O112+O104</f>
        <v>#REF!</v>
      </c>
    </row>
    <row r="115" customFormat="false" ht="12.75" hidden="false" customHeight="false" outlineLevel="0" collapsed="false">
      <c r="O115" s="0" t="e">
        <f aca="false">+O114/12</f>
        <v>#REF!</v>
      </c>
    </row>
    <row r="116" customFormat="false" ht="12.75" hidden="false" customHeight="false" outlineLevel="0" collapsed="false">
      <c r="M116" s="367" t="n">
        <f aca="false">+M113+M105</f>
        <v>0.0419428935232308</v>
      </c>
    </row>
    <row r="131" customFormat="false" ht="12.75" hidden="false" customHeight="false" outlineLevel="0" collapsed="false">
      <c r="B131" s="377" t="s">
        <v>404</v>
      </c>
      <c r="C131" s="369" t="s">
        <v>809</v>
      </c>
      <c r="D131" s="369" t="s">
        <v>810</v>
      </c>
      <c r="E131" s="368" t="s">
        <v>782</v>
      </c>
      <c r="F131" s="368" t="s">
        <v>838</v>
      </c>
      <c r="G131" s="368" t="s">
        <v>849</v>
      </c>
      <c r="H131" s="368" t="s">
        <v>850</v>
      </c>
      <c r="I131" s="368" t="s">
        <v>857</v>
      </c>
      <c r="J131" s="368"/>
      <c r="K131" s="377" t="s">
        <v>1</v>
      </c>
      <c r="L131" s="367" t="s">
        <v>851</v>
      </c>
      <c r="M131" s="367" t="s">
        <v>852</v>
      </c>
      <c r="N131" s="367" t="s">
        <v>853</v>
      </c>
    </row>
    <row r="132" customFormat="false" ht="12.75" hidden="false" customHeight="false" outlineLevel="0" collapsed="false">
      <c r="B132" s="368" t="s">
        <v>842</v>
      </c>
      <c r="C132" s="371" t="n">
        <v>1163</v>
      </c>
      <c r="D132" s="372" t="n">
        <f aca="false">+C132/C135</f>
        <v>0.358397534668721</v>
      </c>
      <c r="E132" s="376" t="e">
        <f aca="false">+#REF!</f>
        <v>#REF!</v>
      </c>
      <c r="F132" s="384" t="n">
        <v>-0.0725</v>
      </c>
      <c r="G132" s="385" t="e">
        <f aca="false">+D132*E132</f>
        <v>#REF!</v>
      </c>
      <c r="H132" s="376" t="n">
        <f aca="false">+F132*D132</f>
        <v>-0.0259838212634823</v>
      </c>
      <c r="I132" s="376" t="n">
        <v>0.2525</v>
      </c>
      <c r="J132" s="368"/>
      <c r="K132" s="386" t="s">
        <v>1</v>
      </c>
      <c r="L132" s="367" t="n">
        <f aca="false">+I132-F132</f>
        <v>0.325</v>
      </c>
      <c r="M132" s="367" t="e">
        <f aca="false">+L132-E132</f>
        <v>#REF!</v>
      </c>
      <c r="N132" s="367" t="e">
        <f aca="false">+M132*5</f>
        <v>#REF!</v>
      </c>
      <c r="O132" s="0" t="e">
        <f aca="false">+N132*D132</f>
        <v>#REF!</v>
      </c>
    </row>
    <row r="133" customFormat="false" ht="12.75" hidden="false" customHeight="false" outlineLevel="0" collapsed="false">
      <c r="B133" s="368" t="s">
        <v>843</v>
      </c>
      <c r="C133" s="371" t="n">
        <v>2082</v>
      </c>
      <c r="D133" s="372" t="n">
        <f aca="false">+C133/C135</f>
        <v>0.641602465331279</v>
      </c>
      <c r="E133" s="376" t="e">
        <f aca="false">+#REF!</f>
        <v>#REF!</v>
      </c>
      <c r="F133" s="384" t="n">
        <v>-0.06</v>
      </c>
      <c r="G133" s="385" t="e">
        <f aca="false">+D133*E133</f>
        <v>#REF!</v>
      </c>
      <c r="H133" s="376" t="n">
        <f aca="false">+F133*D133</f>
        <v>-0.0384961479198767</v>
      </c>
      <c r="I133" s="376" t="n">
        <v>0.2525</v>
      </c>
      <c r="J133" s="368"/>
      <c r="K133" s="386" t="s">
        <v>1</v>
      </c>
      <c r="L133" s="367" t="n">
        <f aca="false">+I133-F133</f>
        <v>0.3125</v>
      </c>
      <c r="M133" s="367" t="e">
        <f aca="false">+L133-E133</f>
        <v>#REF!</v>
      </c>
      <c r="N133" s="367" t="e">
        <f aca="false">+M133*5</f>
        <v>#REF!</v>
      </c>
      <c r="O133" s="0" t="e">
        <f aca="false">+N133*D133</f>
        <v>#REF!</v>
      </c>
    </row>
    <row r="134" customFormat="false" ht="12.75" hidden="false" customHeight="false" outlineLevel="0" collapsed="false">
      <c r="C134" s="373" t="n">
        <v>0</v>
      </c>
      <c r="D134" s="374" t="n">
        <f aca="false">+C134/C135</f>
        <v>0</v>
      </c>
      <c r="O134" s="0" t="e">
        <f aca="false">SUM(O132:O133)</f>
        <v>#REF!</v>
      </c>
    </row>
    <row r="135" customFormat="false" ht="12.75" hidden="false" customHeight="false" outlineLevel="0" collapsed="false">
      <c r="C135" s="371" t="n">
        <f aca="false">SUM(C132:C134)</f>
        <v>3245</v>
      </c>
      <c r="D135" s="372" t="n">
        <f aca="false">SUM(D132:D134)</f>
        <v>1</v>
      </c>
    </row>
    <row r="136" customFormat="false" ht="12.75" hidden="false" customHeight="false" outlineLevel="0" collapsed="false">
      <c r="C136" s="382" t="n">
        <f aca="false">+C132*F132</f>
        <v>-84.3175</v>
      </c>
    </row>
    <row r="137" customFormat="false" ht="12.75" hidden="false" customHeight="false" outlineLevel="0" collapsed="false">
      <c r="C137" s="382" t="n">
        <f aca="false">+C133*F133</f>
        <v>-124.92</v>
      </c>
    </row>
    <row r="138" customFormat="false" ht="12.75" hidden="false" customHeight="false" outlineLevel="0" collapsed="false">
      <c r="C138" s="382" t="n">
        <f aca="false">+C137+C136</f>
        <v>-209.2375</v>
      </c>
      <c r="D138" s="0" t="n">
        <f aca="false">+C138/C135</f>
        <v>-0.064479969183359</v>
      </c>
      <c r="I138" s="0" t="s">
        <v>1</v>
      </c>
    </row>
    <row r="139" customFormat="false" ht="12.75" hidden="false" customHeight="false" outlineLevel="0" collapsed="false">
      <c r="A139" s="368"/>
      <c r="B139" s="377" t="s">
        <v>404</v>
      </c>
      <c r="C139" s="368" t="s">
        <v>1</v>
      </c>
      <c r="D139" s="369" t="s">
        <v>810</v>
      </c>
      <c r="E139" s="368" t="s">
        <v>854</v>
      </c>
      <c r="F139" s="368" t="s">
        <v>855</v>
      </c>
      <c r="G139" s="0" t="s">
        <v>849</v>
      </c>
      <c r="H139" s="368" t="s">
        <v>850</v>
      </c>
      <c r="I139" s="368" t="s">
        <v>839</v>
      </c>
      <c r="J139" s="368"/>
      <c r="K139" s="377" t="s">
        <v>1</v>
      </c>
    </row>
    <row r="140" customFormat="false" ht="12.75" hidden="false" customHeight="false" outlineLevel="0" collapsed="false">
      <c r="A140" s="368"/>
      <c r="B140" s="368" t="s">
        <v>842</v>
      </c>
      <c r="C140" s="371" t="n">
        <v>1163</v>
      </c>
      <c r="D140" s="372" t="n">
        <f aca="false">+C140/C143</f>
        <v>0.358397534668721</v>
      </c>
      <c r="E140" s="376" t="n">
        <f aca="false">+Rates!H37</f>
        <v>0.302158727604334</v>
      </c>
      <c r="F140" s="384" t="n">
        <v>-0.0725</v>
      </c>
      <c r="G140" s="385" t="n">
        <f aca="false">+D140*E140</f>
        <v>0.108292943052031</v>
      </c>
      <c r="H140" s="376" t="n">
        <f aca="false">+F140*D140</f>
        <v>-0.0259838212634823</v>
      </c>
      <c r="I140" s="376" t="n">
        <v>0.2525</v>
      </c>
      <c r="J140" s="368"/>
      <c r="K140" s="386" t="s">
        <v>1</v>
      </c>
      <c r="L140" s="367" t="n">
        <f aca="false">+I140-F140</f>
        <v>0.325</v>
      </c>
      <c r="M140" s="367" t="n">
        <f aca="false">+L140-E140</f>
        <v>0.0228412723956657</v>
      </c>
      <c r="N140" s="367" t="n">
        <f aca="false">+M140*7</f>
        <v>0.15988890676966</v>
      </c>
      <c r="O140" s="0" t="n">
        <f aca="false">+N140*D140</f>
        <v>0.0573037900071231</v>
      </c>
    </row>
    <row r="141" customFormat="false" ht="12.75" hidden="false" customHeight="false" outlineLevel="0" collapsed="false">
      <c r="A141" s="368"/>
      <c r="B141" s="368" t="s">
        <v>858</v>
      </c>
      <c r="C141" s="371" t="n">
        <v>2082</v>
      </c>
      <c r="D141" s="372" t="n">
        <f aca="false">+C141/C143</f>
        <v>0.641602465331279</v>
      </c>
      <c r="E141" s="376" t="n">
        <f aca="false">+Rates!H72</f>
        <v>0.27735302869288</v>
      </c>
      <c r="F141" s="376" t="n">
        <v>-0.06</v>
      </c>
      <c r="G141" s="385" t="n">
        <f aca="false">+D141*E141</f>
        <v>0.177950386976449</v>
      </c>
      <c r="H141" s="376" t="n">
        <f aca="false">+F141*D141</f>
        <v>-0.0384961479198767</v>
      </c>
      <c r="I141" s="376" t="n">
        <v>0.2525</v>
      </c>
      <c r="J141" s="368"/>
      <c r="K141" s="386" t="s">
        <v>1</v>
      </c>
      <c r="L141" s="367" t="n">
        <f aca="false">+I141-F141</f>
        <v>0.3125</v>
      </c>
      <c r="M141" s="367" t="n">
        <f aca="false">+L141-E141</f>
        <v>0.0351469713071204</v>
      </c>
      <c r="N141" s="367" t="n">
        <f aca="false">+M141*7</f>
        <v>0.246028799149843</v>
      </c>
      <c r="O141" s="0" t="n">
        <f aca="false">+N141*D141</f>
        <v>0.157852684077033</v>
      </c>
    </row>
    <row r="142" customFormat="false" ht="12.75" hidden="false" customHeight="false" outlineLevel="0" collapsed="false">
      <c r="A142" s="368"/>
      <c r="B142" s="368"/>
      <c r="C142" s="376" t="n">
        <v>0</v>
      </c>
      <c r="D142" s="374" t="n">
        <f aca="false">+C142/C143</f>
        <v>0</v>
      </c>
      <c r="E142" s="376"/>
      <c r="F142" s="376" t="s">
        <v>1</v>
      </c>
      <c r="H142" s="368"/>
      <c r="I142" s="383"/>
      <c r="J142" s="368"/>
      <c r="O142" s="0" t="n">
        <f aca="false">SUM(O140:O141)</f>
        <v>0.215156474084156</v>
      </c>
    </row>
    <row r="143" customFormat="false" ht="12.75" hidden="false" customHeight="false" outlineLevel="0" collapsed="false">
      <c r="C143" s="371" t="n">
        <f aca="false">SUM(C140:C142)</f>
        <v>3245</v>
      </c>
      <c r="D143" s="372" t="n">
        <f aca="false">SUM(D140:D142)</f>
        <v>1</v>
      </c>
      <c r="M143" s="367" t="n">
        <f aca="false">AVERAGE(M140:M141)</f>
        <v>0.028994121851393</v>
      </c>
    </row>
    <row r="144" customFormat="false" ht="12.75" hidden="false" customHeight="false" outlineLevel="0" collapsed="false">
      <c r="O144" s="0" t="e">
        <f aca="false">+O142+O134</f>
        <v>#REF!</v>
      </c>
    </row>
    <row r="145" customFormat="false" ht="12.75" hidden="false" customHeight="false" outlineLevel="0" collapsed="false">
      <c r="O145" s="0" t="e">
        <f aca="false">+O144/12</f>
        <v>#REF!</v>
      </c>
    </row>
    <row r="146" customFormat="false" ht="12.75" hidden="false" customHeight="false" outlineLevel="0" collapsed="false">
      <c r="M146" s="367" t="n">
        <f aca="false">+M143+M135</f>
        <v>0.028994121851393</v>
      </c>
    </row>
    <row r="151" customFormat="false" ht="12.75" hidden="false" customHeight="false" outlineLevel="0" collapsed="false">
      <c r="B151" s="377" t="s">
        <v>404</v>
      </c>
      <c r="C151" s="369" t="s">
        <v>809</v>
      </c>
      <c r="D151" s="369" t="s">
        <v>810</v>
      </c>
      <c r="E151" s="368" t="s">
        <v>782</v>
      </c>
      <c r="F151" s="368" t="s">
        <v>838</v>
      </c>
      <c r="G151" s="368" t="s">
        <v>849</v>
      </c>
      <c r="H151" s="368" t="s">
        <v>850</v>
      </c>
      <c r="I151" s="368" t="s">
        <v>859</v>
      </c>
      <c r="J151" s="368"/>
      <c r="K151" s="377" t="s">
        <v>1</v>
      </c>
      <c r="L151" s="367" t="s">
        <v>851</v>
      </c>
      <c r="M151" s="367" t="s">
        <v>852</v>
      </c>
      <c r="N151" s="367" t="s">
        <v>853</v>
      </c>
    </row>
    <row r="152" customFormat="false" ht="12.75" hidden="false" customHeight="false" outlineLevel="0" collapsed="false">
      <c r="B152" s="368" t="s">
        <v>860</v>
      </c>
      <c r="C152" s="371" t="n">
        <v>1163</v>
      </c>
      <c r="D152" s="372" t="n">
        <f aca="false">+C152/C155</f>
        <v>0.358397534668721</v>
      </c>
      <c r="E152" s="376" t="e">
        <f aca="false">+#REF!</f>
        <v>#REF!</v>
      </c>
      <c r="F152" s="384" t="n">
        <v>-0.0725</v>
      </c>
      <c r="G152" s="385" t="e">
        <f aca="false">+D152*E152</f>
        <v>#REF!</v>
      </c>
      <c r="H152" s="376" t="n">
        <f aca="false">+F152*D152</f>
        <v>-0.0259838212634823</v>
      </c>
      <c r="I152" s="376" t="n">
        <v>0.285</v>
      </c>
      <c r="J152" s="368"/>
      <c r="K152" s="386" t="s">
        <v>1</v>
      </c>
      <c r="L152" s="367" t="n">
        <f aca="false">+I152-F152</f>
        <v>0.3575</v>
      </c>
      <c r="M152" s="367" t="e">
        <f aca="false">+L152-E152</f>
        <v>#REF!</v>
      </c>
      <c r="N152" s="367" t="e">
        <f aca="false">+M152*5</f>
        <v>#REF!</v>
      </c>
      <c r="O152" s="0" t="e">
        <f aca="false">+N152*D152</f>
        <v>#REF!</v>
      </c>
    </row>
    <row r="153" customFormat="false" ht="12.75" hidden="false" customHeight="false" outlineLevel="0" collapsed="false">
      <c r="B153" s="368" t="s">
        <v>861</v>
      </c>
      <c r="C153" s="371" t="n">
        <v>2082</v>
      </c>
      <c r="D153" s="372" t="n">
        <f aca="false">+C153/C155</f>
        <v>0.641602465331279</v>
      </c>
      <c r="E153" s="376" t="e">
        <f aca="false">+#REF!</f>
        <v>#REF!</v>
      </c>
      <c r="F153" s="384" t="n">
        <v>-0.06</v>
      </c>
      <c r="G153" s="385" t="e">
        <f aca="false">+D153*E153</f>
        <v>#REF!</v>
      </c>
      <c r="H153" s="376" t="n">
        <f aca="false">+F153*D153</f>
        <v>-0.0384961479198767</v>
      </c>
      <c r="I153" s="376" t="n">
        <v>0.285</v>
      </c>
      <c r="J153" s="368"/>
      <c r="K153" s="386" t="s">
        <v>1</v>
      </c>
      <c r="L153" s="367" t="n">
        <f aca="false">+I153-F153</f>
        <v>0.345</v>
      </c>
      <c r="M153" s="367" t="e">
        <f aca="false">+L153-E153</f>
        <v>#REF!</v>
      </c>
      <c r="N153" s="367" t="e">
        <f aca="false">+M153*5</f>
        <v>#REF!</v>
      </c>
      <c r="O153" s="0" t="e">
        <f aca="false">+N153*D153</f>
        <v>#REF!</v>
      </c>
    </row>
    <row r="154" customFormat="false" ht="12.75" hidden="false" customHeight="false" outlineLevel="0" collapsed="false">
      <c r="C154" s="373" t="n">
        <v>0</v>
      </c>
      <c r="D154" s="374" t="n">
        <f aca="false">+C154/C155</f>
        <v>0</v>
      </c>
      <c r="O154" s="0" t="e">
        <f aca="false">SUM(O152:O153)</f>
        <v>#REF!</v>
      </c>
    </row>
    <row r="155" customFormat="false" ht="12.75" hidden="false" customHeight="false" outlineLevel="0" collapsed="false">
      <c r="C155" s="371" t="n">
        <f aca="false">SUM(C152:C154)</f>
        <v>3245</v>
      </c>
      <c r="D155" s="372" t="n">
        <f aca="false">SUM(D152:D154)</f>
        <v>1</v>
      </c>
    </row>
    <row r="156" customFormat="false" ht="12.75" hidden="false" customHeight="false" outlineLevel="0" collapsed="false">
      <c r="C156" s="382" t="n">
        <f aca="false">+C152*F152</f>
        <v>-84.3175</v>
      </c>
    </row>
    <row r="157" customFormat="false" ht="12.75" hidden="false" customHeight="false" outlineLevel="0" collapsed="false">
      <c r="C157" s="382" t="n">
        <f aca="false">+C153*F153</f>
        <v>-124.92</v>
      </c>
    </row>
    <row r="158" customFormat="false" ht="12.75" hidden="false" customHeight="false" outlineLevel="0" collapsed="false">
      <c r="C158" s="382" t="n">
        <f aca="false">+C157+C156</f>
        <v>-209.2375</v>
      </c>
      <c r="D158" s="0" t="n">
        <f aca="false">+C158/C155</f>
        <v>-0.064479969183359</v>
      </c>
      <c r="I158" s="0" t="s">
        <v>1</v>
      </c>
    </row>
    <row r="159" customFormat="false" ht="12.75" hidden="false" customHeight="false" outlineLevel="0" collapsed="false">
      <c r="B159" s="377" t="s">
        <v>404</v>
      </c>
      <c r="C159" s="368" t="s">
        <v>1</v>
      </c>
      <c r="D159" s="369" t="s">
        <v>810</v>
      </c>
      <c r="E159" s="368" t="s">
        <v>854</v>
      </c>
      <c r="F159" s="368" t="s">
        <v>855</v>
      </c>
      <c r="G159" s="0" t="s">
        <v>849</v>
      </c>
      <c r="H159" s="368" t="s">
        <v>850</v>
      </c>
      <c r="I159" s="368" t="s">
        <v>859</v>
      </c>
      <c r="J159" s="368"/>
      <c r="K159" s="377" t="s">
        <v>1</v>
      </c>
    </row>
    <row r="160" customFormat="false" ht="12.75" hidden="false" customHeight="false" outlineLevel="0" collapsed="false">
      <c r="B160" s="368" t="s">
        <v>860</v>
      </c>
      <c r="C160" s="371" t="n">
        <v>1163</v>
      </c>
      <c r="D160" s="372" t="n">
        <f aca="false">+C160/C163</f>
        <v>0.358397534668721</v>
      </c>
      <c r="E160" s="376" t="n">
        <f aca="false">+Rates!H42</f>
        <v>0.344940686061659</v>
      </c>
      <c r="F160" s="384" t="n">
        <v>-0.0725</v>
      </c>
      <c r="G160" s="385" t="n">
        <f aca="false">+D160*E160</f>
        <v>0.123625891491436</v>
      </c>
      <c r="H160" s="376" t="n">
        <f aca="false">+F160*D160</f>
        <v>-0.0259838212634823</v>
      </c>
      <c r="I160" s="376" t="n">
        <v>0.285</v>
      </c>
      <c r="J160" s="368"/>
      <c r="K160" s="386" t="s">
        <v>1</v>
      </c>
      <c r="L160" s="367" t="n">
        <f aca="false">+I160-F160</f>
        <v>0.3575</v>
      </c>
      <c r="M160" s="367" t="n">
        <f aca="false">+L160-E160</f>
        <v>0.0125593139383411</v>
      </c>
      <c r="N160" s="367" t="n">
        <f aca="false">+M160*7</f>
        <v>0.087915197568388</v>
      </c>
      <c r="O160" s="0" t="n">
        <f aca="false">+N160*D160</f>
        <v>0.0315085900684238</v>
      </c>
    </row>
    <row r="161" customFormat="false" ht="12.75" hidden="false" customHeight="false" outlineLevel="0" collapsed="false">
      <c r="B161" s="368" t="s">
        <v>862</v>
      </c>
      <c r="C161" s="371" t="n">
        <v>2082</v>
      </c>
      <c r="D161" s="372" t="n">
        <f aca="false">+C161/C163</f>
        <v>0.641602465331279</v>
      </c>
      <c r="E161" s="376" t="n">
        <f aca="false">+Rates!H77</f>
        <v>0.321456004730674</v>
      </c>
      <c r="F161" s="376" t="n">
        <v>-0.06</v>
      </c>
      <c r="G161" s="385" t="n">
        <f aca="false">+D161*E161</f>
        <v>0.206246965130744</v>
      </c>
      <c r="H161" s="376" t="n">
        <f aca="false">+F161*D161</f>
        <v>-0.0384961479198767</v>
      </c>
      <c r="I161" s="376" t="n">
        <v>0.285</v>
      </c>
      <c r="J161" s="368"/>
      <c r="K161" s="386" t="s">
        <v>1</v>
      </c>
      <c r="L161" s="367" t="n">
        <f aca="false">+I161-F161</f>
        <v>0.345</v>
      </c>
      <c r="M161" s="367" t="n">
        <f aca="false">+L161-E161</f>
        <v>0.023543995269326</v>
      </c>
      <c r="N161" s="367" t="n">
        <f aca="false">+M161*7</f>
        <v>0.164807966885282</v>
      </c>
      <c r="O161" s="0" t="n">
        <f aca="false">+N161*D161</f>
        <v>0.105741197859833</v>
      </c>
    </row>
    <row r="162" customFormat="false" ht="12.75" hidden="false" customHeight="false" outlineLevel="0" collapsed="false">
      <c r="B162" s="368"/>
      <c r="C162" s="376" t="n">
        <v>0</v>
      </c>
      <c r="D162" s="374" t="n">
        <f aca="false">+C162/C163</f>
        <v>0</v>
      </c>
      <c r="E162" s="376"/>
      <c r="F162" s="376" t="s">
        <v>1</v>
      </c>
      <c r="H162" s="368"/>
      <c r="I162" s="383"/>
      <c r="J162" s="368"/>
      <c r="O162" s="0" t="n">
        <f aca="false">SUM(O160:O161)</f>
        <v>0.137249787928256</v>
      </c>
    </row>
    <row r="163" customFormat="false" ht="12.75" hidden="false" customHeight="false" outlineLevel="0" collapsed="false">
      <c r="C163" s="371" t="n">
        <f aca="false">SUM(C160:C162)</f>
        <v>3245</v>
      </c>
      <c r="D163" s="372" t="n">
        <f aca="false">SUM(D160:D162)</f>
        <v>1</v>
      </c>
      <c r="M163" s="367" t="n">
        <f aca="false">AVERAGE(M160:M161)</f>
        <v>0.0180516546038336</v>
      </c>
    </row>
    <row r="164" customFormat="false" ht="12.75" hidden="false" customHeight="false" outlineLevel="0" collapsed="false">
      <c r="O164" s="0" t="e">
        <f aca="false">+O162+O154</f>
        <v>#REF!</v>
      </c>
    </row>
    <row r="165" customFormat="false" ht="12.75" hidden="false" customHeight="false" outlineLevel="0" collapsed="false">
      <c r="O165" s="0" t="e">
        <f aca="false">+O164/12</f>
        <v>#REF!</v>
      </c>
    </row>
    <row r="166" customFormat="false" ht="12.75" hidden="false" customHeight="false" outlineLevel="0" collapsed="false">
      <c r="M166" s="367" t="n">
        <f aca="false">+M163+M155</f>
        <v>0.0180516546038336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9" activeCellId="0" sqref="N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85"/>
  </cols>
  <sheetData>
    <row r="3" customFormat="false" ht="12.75" hidden="false" customHeight="false" outlineLevel="0" collapsed="false">
      <c r="B3" s="0" t="s">
        <v>863</v>
      </c>
      <c r="C3" s="0" t="s">
        <v>864</v>
      </c>
      <c r="D3" s="0" t="s">
        <v>865</v>
      </c>
      <c r="F3" s="0" t="s">
        <v>866</v>
      </c>
      <c r="I3" s="0" t="s">
        <v>867</v>
      </c>
      <c r="L3" s="0" t="s">
        <v>868</v>
      </c>
      <c r="M3" s="0" t="s">
        <v>869</v>
      </c>
    </row>
    <row r="5" customFormat="false" ht="12.75" hidden="false" customHeight="false" outlineLevel="0" collapsed="false">
      <c r="B5" s="387" t="n">
        <v>72671</v>
      </c>
      <c r="C5" s="0" t="s">
        <v>870</v>
      </c>
      <c r="D5" s="0" t="s">
        <v>871</v>
      </c>
      <c r="F5" s="0" t="s">
        <v>872</v>
      </c>
      <c r="J5" s="388" t="n">
        <v>0.0758</v>
      </c>
      <c r="L5" s="259" t="n">
        <v>0.0037</v>
      </c>
      <c r="M5" s="389" t="n">
        <v>2.97</v>
      </c>
      <c r="N5" s="388" t="n">
        <f aca="false">(M5)/(1-L5)-M5+J5</f>
        <v>0.086829810298103</v>
      </c>
    </row>
    <row r="6" customFormat="false" ht="12.75" hidden="false" customHeight="false" outlineLevel="0" collapsed="false">
      <c r="B6" s="390" t="n">
        <v>72673</v>
      </c>
      <c r="C6" s="0" t="s">
        <v>870</v>
      </c>
      <c r="D6" s="0" t="s">
        <v>871</v>
      </c>
      <c r="F6" s="0" t="s">
        <v>873</v>
      </c>
      <c r="J6" s="388" t="n">
        <v>0.0758</v>
      </c>
      <c r="L6" s="259" t="n">
        <v>0.0037</v>
      </c>
      <c r="M6" s="389" t="n">
        <v>2.97</v>
      </c>
      <c r="N6" s="388" t="n">
        <f aca="false">(M6)/(1-L6)-M6+J6</f>
        <v>0.086829810298103</v>
      </c>
    </row>
    <row r="7" customFormat="false" ht="12.75" hidden="false" customHeight="false" outlineLevel="0" collapsed="false">
      <c r="B7" s="390" t="n">
        <v>52019</v>
      </c>
      <c r="C7" s="0" t="s">
        <v>870</v>
      </c>
      <c r="D7" s="0" t="s">
        <v>871</v>
      </c>
      <c r="F7" s="0" t="s">
        <v>872</v>
      </c>
      <c r="J7" s="388" t="n">
        <v>0.0758</v>
      </c>
      <c r="L7" s="259" t="n">
        <v>0.0037</v>
      </c>
      <c r="M7" s="389" t="n">
        <v>2.97</v>
      </c>
      <c r="N7" s="388" t="n">
        <f aca="false">(M7)/(1-L7)-M7+J7</f>
        <v>0.086829810298103</v>
      </c>
    </row>
    <row r="8" customFormat="false" ht="12.75" hidden="false" customHeight="false" outlineLevel="0" collapsed="false">
      <c r="B8" s="390" t="n">
        <v>67580</v>
      </c>
      <c r="C8" s="0" t="s">
        <v>870</v>
      </c>
      <c r="D8" s="0" t="s">
        <v>871</v>
      </c>
      <c r="F8" s="0" t="s">
        <v>873</v>
      </c>
      <c r="J8" s="388" t="n">
        <v>0.0758</v>
      </c>
      <c r="L8" s="259" t="n">
        <v>0.0037</v>
      </c>
      <c r="M8" s="389" t="n">
        <v>2.97</v>
      </c>
      <c r="N8" s="388" t="n">
        <f aca="false">(M8)/(1-L8)-M8+J8</f>
        <v>0.086829810298103</v>
      </c>
    </row>
    <row r="9" customFormat="false" ht="12.75" hidden="false" customHeight="false" outlineLevel="0" collapsed="false">
      <c r="B9" s="390" t="n">
        <v>68000</v>
      </c>
      <c r="C9" s="0" t="s">
        <v>870</v>
      </c>
      <c r="D9" s="0" t="s">
        <v>871</v>
      </c>
      <c r="F9" s="0" t="s">
        <v>874</v>
      </c>
      <c r="J9" s="388" t="n">
        <v>0.0758</v>
      </c>
      <c r="L9" s="259" t="n">
        <v>0.0037</v>
      </c>
      <c r="M9" s="389" t="n">
        <v>2.97</v>
      </c>
      <c r="N9" s="388" t="n">
        <f aca="false">(M9)/(1-L9)-M9+J9</f>
        <v>0.086829810298103</v>
      </c>
    </row>
    <row r="10" customFormat="false" ht="12.75" hidden="false" customHeight="false" outlineLevel="0" collapsed="false">
      <c r="B10" s="390" t="n">
        <v>68001</v>
      </c>
      <c r="C10" s="0" t="s">
        <v>870</v>
      </c>
      <c r="D10" s="0" t="s">
        <v>871</v>
      </c>
      <c r="F10" s="0" t="s">
        <v>874</v>
      </c>
      <c r="J10" s="388" t="n">
        <v>0.0758</v>
      </c>
      <c r="L10" s="259" t="n">
        <v>0.0037</v>
      </c>
      <c r="M10" s="389" t="n">
        <v>2.97</v>
      </c>
      <c r="N10" s="388" t="n">
        <f aca="false">(M10)/(1-L10)-M10+J10</f>
        <v>0.086829810298103</v>
      </c>
    </row>
    <row r="11" customFormat="false" ht="12.75" hidden="false" customHeight="false" outlineLevel="0" collapsed="false">
      <c r="B11" s="390" t="n">
        <v>68002</v>
      </c>
      <c r="C11" s="0" t="s">
        <v>870</v>
      </c>
      <c r="D11" s="0" t="s">
        <v>871</v>
      </c>
      <c r="F11" s="0" t="s">
        <v>874</v>
      </c>
      <c r="J11" s="388" t="n">
        <v>0.0758</v>
      </c>
      <c r="L11" s="259" t="n">
        <v>0.0037</v>
      </c>
      <c r="M11" s="389" t="n">
        <v>2.97</v>
      </c>
      <c r="N11" s="388" t="n">
        <f aca="false">(M11)/(1-L11)-M11+J11</f>
        <v>0.086829810298103</v>
      </c>
    </row>
    <row r="12" customFormat="false" ht="12.75" hidden="false" customHeight="false" outlineLevel="0" collapsed="false">
      <c r="B12" s="390" t="n">
        <v>102029</v>
      </c>
      <c r="C12" s="0" t="s">
        <v>870</v>
      </c>
      <c r="D12" s="0" t="s">
        <v>875</v>
      </c>
      <c r="F12" s="0" t="s">
        <v>876</v>
      </c>
      <c r="J12" s="388" t="n">
        <v>0.0816</v>
      </c>
      <c r="L12" s="259" t="n">
        <v>0.0046</v>
      </c>
      <c r="M12" s="389" t="n">
        <v>3.02</v>
      </c>
      <c r="N12" s="388" t="n">
        <f aca="false">(M12)/(1-L12)-M12+J12</f>
        <v>0.0955561985131609</v>
      </c>
    </row>
    <row r="13" customFormat="false" ht="12.75" hidden="false" customHeight="false" outlineLevel="0" collapsed="false">
      <c r="B13" s="390" t="n">
        <v>67996</v>
      </c>
      <c r="C13" s="0" t="s">
        <v>870</v>
      </c>
      <c r="D13" s="0" t="s">
        <v>875</v>
      </c>
      <c r="F13" s="0" t="s">
        <v>874</v>
      </c>
      <c r="J13" s="388" t="n">
        <v>0.0816</v>
      </c>
      <c r="L13" s="259" t="n">
        <v>0.0046</v>
      </c>
      <c r="M13" s="389" t="n">
        <v>3.02</v>
      </c>
      <c r="N13" s="388" t="n">
        <f aca="false">(M13)/(1-L13)-M13+J13</f>
        <v>0.0955561985131609</v>
      </c>
    </row>
    <row r="14" customFormat="false" ht="12.75" hidden="false" customHeight="false" outlineLevel="0" collapsed="false">
      <c r="B14" s="390" t="n">
        <v>102841</v>
      </c>
      <c r="C14" s="0" t="s">
        <v>870</v>
      </c>
      <c r="D14" s="0" t="s">
        <v>877</v>
      </c>
      <c r="F14" s="0" t="s">
        <v>878</v>
      </c>
      <c r="J14" s="388" t="n">
        <v>0.0928</v>
      </c>
      <c r="L14" s="259" t="n">
        <v>0.0042</v>
      </c>
      <c r="M14" s="389" t="n">
        <v>3.1</v>
      </c>
      <c r="N14" s="388" t="n">
        <f aca="false">(M14)/(1-L14)-M14+J14</f>
        <v>0.105874914641494</v>
      </c>
    </row>
    <row r="15" customFormat="false" ht="12.75" hidden="false" customHeight="false" outlineLevel="0" collapsed="false">
      <c r="B15" s="390" t="n">
        <v>96296</v>
      </c>
      <c r="C15" s="0" t="s">
        <v>870</v>
      </c>
      <c r="D15" s="0" t="s">
        <v>877</v>
      </c>
      <c r="F15" s="0" t="s">
        <v>879</v>
      </c>
      <c r="J15" s="388" t="n">
        <v>0.0928</v>
      </c>
      <c r="L15" s="259" t="n">
        <v>0.0042</v>
      </c>
      <c r="M15" s="389" t="n">
        <v>3.1</v>
      </c>
      <c r="N15" s="388" t="n">
        <f aca="false">(M15)/(1-L15)-M15+J15</f>
        <v>0.105874914641494</v>
      </c>
    </row>
    <row r="16" customFormat="false" ht="12.75" hidden="false" customHeight="false" outlineLevel="0" collapsed="false">
      <c r="B16" s="390" t="n">
        <v>91891</v>
      </c>
      <c r="C16" s="0" t="s">
        <v>870</v>
      </c>
      <c r="D16" s="0" t="s">
        <v>877</v>
      </c>
      <c r="F16" s="0" t="s">
        <v>880</v>
      </c>
      <c r="J16" s="388" t="n">
        <v>0.0928</v>
      </c>
      <c r="L16" s="259" t="n">
        <v>0.0042</v>
      </c>
      <c r="M16" s="389" t="n">
        <v>3.1</v>
      </c>
      <c r="N16" s="388" t="n">
        <f aca="false">(M16)/(1-L16)-M16+J16</f>
        <v>0.105874914641494</v>
      </c>
    </row>
    <row r="17" customFormat="false" ht="12.75" hidden="false" customHeight="false" outlineLevel="0" collapsed="false">
      <c r="B17" s="390" t="n">
        <v>102544</v>
      </c>
      <c r="C17" s="0" t="s">
        <v>870</v>
      </c>
      <c r="D17" s="0" t="s">
        <v>877</v>
      </c>
      <c r="F17" s="0" t="s">
        <v>878</v>
      </c>
      <c r="J17" s="388" t="n">
        <v>0.0928</v>
      </c>
      <c r="L17" s="259" t="n">
        <v>0.0042</v>
      </c>
      <c r="M17" s="389" t="n">
        <v>3.1</v>
      </c>
      <c r="N17" s="388" t="n">
        <f aca="false">(M17)/(1-L17)-M17+J17</f>
        <v>0.105874914641494</v>
      </c>
    </row>
    <row r="18" customFormat="false" ht="12.75" hidden="false" customHeight="false" outlineLevel="0" collapsed="false">
      <c r="B18" s="390" t="n">
        <v>102703</v>
      </c>
      <c r="C18" s="0" t="s">
        <v>870</v>
      </c>
      <c r="D18" s="0" t="s">
        <v>877</v>
      </c>
      <c r="F18" s="0" t="s">
        <v>881</v>
      </c>
      <c r="J18" s="388" t="n">
        <v>0.0928</v>
      </c>
      <c r="L18" s="259" t="n">
        <v>0.0042</v>
      </c>
      <c r="M18" s="389" t="n">
        <v>3.1</v>
      </c>
      <c r="N18" s="388" t="n">
        <f aca="false">(M18)/(1-L18)-M18+J18</f>
        <v>0.105874914641494</v>
      </c>
    </row>
    <row r="19" customFormat="false" ht="12.75" hidden="false" customHeight="false" outlineLevel="0" collapsed="false">
      <c r="B19" s="390" t="n">
        <v>67999</v>
      </c>
      <c r="C19" s="0" t="s">
        <v>870</v>
      </c>
      <c r="D19" s="0" t="s">
        <v>877</v>
      </c>
      <c r="F19" s="0" t="s">
        <v>874</v>
      </c>
      <c r="J19" s="388" t="n">
        <v>0.0928</v>
      </c>
      <c r="L19" s="259" t="n">
        <v>0.0042</v>
      </c>
      <c r="M19" s="389" t="n">
        <v>3.1</v>
      </c>
      <c r="N19" s="388" t="n">
        <f aca="false">(M19)/(1-L19)-M19+J19</f>
        <v>0.105874914641494</v>
      </c>
    </row>
    <row r="20" customFormat="false" ht="12.75" hidden="false" customHeight="false" outlineLevel="0" collapsed="false">
      <c r="B20" s="390" t="n">
        <v>85795</v>
      </c>
      <c r="C20" s="0" t="s">
        <v>870</v>
      </c>
      <c r="D20" s="0" t="s">
        <v>877</v>
      </c>
      <c r="F20" s="0" t="s">
        <v>874</v>
      </c>
      <c r="J20" s="388" t="n">
        <v>0.0928</v>
      </c>
      <c r="L20" s="259" t="n">
        <v>0.0042</v>
      </c>
      <c r="M20" s="389" t="n">
        <v>3.1</v>
      </c>
      <c r="N20" s="388" t="n">
        <f aca="false">(M20)/(1-L20)-M20+J20</f>
        <v>0.105874914641494</v>
      </c>
    </row>
    <row r="21" customFormat="false" ht="12.75" hidden="false" customHeight="false" outlineLevel="0" collapsed="false">
      <c r="B21" s="390" t="n">
        <v>88734</v>
      </c>
      <c r="C21" s="0" t="s">
        <v>870</v>
      </c>
      <c r="D21" s="0" t="s">
        <v>882</v>
      </c>
      <c r="F21" s="0" t="s">
        <v>883</v>
      </c>
      <c r="J21" s="388" t="n">
        <v>0.0892</v>
      </c>
      <c r="L21" s="259" t="n">
        <v>0.005</v>
      </c>
      <c r="M21" s="389" t="n">
        <v>3.01</v>
      </c>
      <c r="N21" s="388" t="n">
        <f aca="false">(M21)/(1-L21)-M21+J21</f>
        <v>0.104325628140704</v>
      </c>
    </row>
    <row r="24" customFormat="false" ht="12.75" hidden="false" customHeight="false" outlineLevel="0" collapsed="false">
      <c r="B24" s="390" t="n">
        <v>98468</v>
      </c>
      <c r="C24" s="0" t="s">
        <v>884</v>
      </c>
      <c r="D24" s="0" t="s">
        <v>885</v>
      </c>
      <c r="F24" s="0" t="s">
        <v>874</v>
      </c>
      <c r="J24" s="388" t="n">
        <v>0.09</v>
      </c>
      <c r="L24" s="259" t="n">
        <v>0.01</v>
      </c>
      <c r="M24" s="389" t="n">
        <v>3.04</v>
      </c>
      <c r="N24" s="388" t="n">
        <f aca="false">(M24)/(1-L24)-M24+J24</f>
        <v>0.120707070707071</v>
      </c>
      <c r="O24" s="0" t="s">
        <v>886</v>
      </c>
    </row>
    <row r="25" customFormat="false" ht="12.75" hidden="false" customHeight="false" outlineLevel="0" collapsed="false">
      <c r="B25" s="390" t="n">
        <v>98480</v>
      </c>
      <c r="C25" s="0" t="s">
        <v>884</v>
      </c>
      <c r="D25" s="0" t="s">
        <v>887</v>
      </c>
      <c r="F25" s="0" t="s">
        <v>874</v>
      </c>
      <c r="J25" s="388" t="n">
        <v>0.125</v>
      </c>
      <c r="L25" s="259" t="n">
        <v>0.01</v>
      </c>
      <c r="M25" s="389" t="n">
        <v>3.04</v>
      </c>
      <c r="N25" s="388" t="n">
        <f aca="false">(M25)/(1-L25)-M25+J25</f>
        <v>0.155707070707071</v>
      </c>
      <c r="O25" s="0" t="s">
        <v>1</v>
      </c>
    </row>
    <row r="26" customFormat="false" ht="12.75" hidden="false" customHeight="false" outlineLevel="0" collapsed="false">
      <c r="B26" s="390" t="n">
        <v>98469</v>
      </c>
      <c r="C26" s="0" t="s">
        <v>884</v>
      </c>
      <c r="D26" s="0" t="s">
        <v>885</v>
      </c>
      <c r="F26" s="0" t="s">
        <v>874</v>
      </c>
      <c r="J26" s="388" t="n">
        <v>0.09</v>
      </c>
      <c r="L26" s="259" t="n">
        <v>0.01</v>
      </c>
      <c r="M26" s="389" t="n">
        <v>3.04</v>
      </c>
      <c r="N26" s="388" t="n">
        <f aca="false">(M26)/(1-L26)-M26+J26</f>
        <v>0.120707070707071</v>
      </c>
      <c r="O26" s="0" t="s">
        <v>1</v>
      </c>
    </row>
    <row r="27" customFormat="false" ht="12.75" hidden="false" customHeight="false" outlineLevel="0" collapsed="false">
      <c r="B27" s="390" t="n">
        <v>98479</v>
      </c>
      <c r="C27" s="0" t="s">
        <v>884</v>
      </c>
      <c r="D27" s="0" t="s">
        <v>887</v>
      </c>
      <c r="F27" s="0" t="s">
        <v>874</v>
      </c>
      <c r="J27" s="388" t="n">
        <v>0.125</v>
      </c>
      <c r="L27" s="259" t="n">
        <v>0.01</v>
      </c>
      <c r="M27" s="389" t="n">
        <v>3.04</v>
      </c>
      <c r="N27" s="388" t="n">
        <f aca="false">(M27)/(1-L27)-M27+J27</f>
        <v>0.155707070707071</v>
      </c>
      <c r="O27" s="0" t="s">
        <v>1</v>
      </c>
    </row>
    <row r="28" customFormat="false" ht="12.75" hidden="false" customHeight="false" outlineLevel="0" collapsed="false">
      <c r="B28" s="390" t="n">
        <v>98481</v>
      </c>
      <c r="C28" s="0" t="s">
        <v>884</v>
      </c>
      <c r="D28" s="0" t="s">
        <v>887</v>
      </c>
      <c r="F28" s="0" t="s">
        <v>874</v>
      </c>
      <c r="J28" s="388" t="n">
        <v>0.125</v>
      </c>
      <c r="L28" s="259" t="n">
        <v>0.01</v>
      </c>
      <c r="M28" s="389" t="n">
        <v>3.04</v>
      </c>
      <c r="N28" s="388" t="n">
        <f aca="false">(M28)/(1-L28)-M28+J28</f>
        <v>0.155707070707071</v>
      </c>
      <c r="O28" s="0" t="s">
        <v>1</v>
      </c>
    </row>
    <row r="30" customFormat="false" ht="12.75" hidden="false" customHeight="false" outlineLevel="0" collapsed="false">
      <c r="B30" s="0" t="n">
        <v>102541</v>
      </c>
      <c r="C30" s="0" t="s">
        <v>33</v>
      </c>
      <c r="F30" s="0" t="s">
        <v>888</v>
      </c>
      <c r="J30" s="0" t="n">
        <v>0.0902</v>
      </c>
      <c r="L30" s="259" t="n">
        <v>0.01</v>
      </c>
      <c r="M30" s="0" t="n">
        <v>1.99</v>
      </c>
      <c r="N30" s="388"/>
    </row>
    <row r="34" customFormat="false" ht="12.75" hidden="false" customHeight="false" outlineLevel="0" collapsed="false">
      <c r="A34" s="0" t="s">
        <v>889</v>
      </c>
      <c r="C34" s="0" t="s">
        <v>890</v>
      </c>
      <c r="D34" s="0" t="s">
        <v>891</v>
      </c>
    </row>
    <row r="35" customFormat="false" ht="12.75" hidden="false" customHeight="false" outlineLevel="0" collapsed="false">
      <c r="D35" s="0" t="s">
        <v>892</v>
      </c>
    </row>
    <row r="36" customFormat="false" ht="12.75" hidden="false" customHeight="false" outlineLevel="0" collapsed="false">
      <c r="E36" s="0" t="s">
        <v>893</v>
      </c>
      <c r="F36" s="0" t="s">
        <v>894</v>
      </c>
    </row>
    <row r="37" customFormat="false" ht="12.75" hidden="false" customHeight="false" outlineLevel="0" collapsed="false">
      <c r="E37" s="391" t="n">
        <v>130666</v>
      </c>
      <c r="F37" s="0" t="s">
        <v>895</v>
      </c>
    </row>
    <row r="38" customFormat="false" ht="12.75" hidden="false" customHeight="false" outlineLevel="0" collapsed="false">
      <c r="E38" s="391" t="n">
        <v>113451</v>
      </c>
      <c r="F38" s="0" t="s">
        <v>896</v>
      </c>
    </row>
    <row r="39" customFormat="false" ht="12.75" hidden="false" customHeight="false" outlineLevel="0" collapsed="false">
      <c r="E39" s="391" t="n">
        <v>130665</v>
      </c>
      <c r="F39" s="0" t="s">
        <v>897</v>
      </c>
    </row>
    <row r="40" customFormat="false" ht="12.75" hidden="false" customHeight="false" outlineLevel="0" collapsed="false">
      <c r="E40" s="391" t="n">
        <v>106153</v>
      </c>
      <c r="F40" s="0" t="s">
        <v>898</v>
      </c>
    </row>
    <row r="41" customFormat="false" ht="12.75" hidden="false" customHeight="false" outlineLevel="0" collapsed="false">
      <c r="E41" s="391" t="n">
        <v>113336</v>
      </c>
      <c r="F41" s="0" t="s">
        <v>898</v>
      </c>
    </row>
    <row r="42" customFormat="false" ht="12.75" hidden="false" customHeight="false" outlineLevel="0" collapsed="false">
      <c r="E42" s="391" t="n">
        <v>113342</v>
      </c>
      <c r="F42" s="0" t="s">
        <v>899</v>
      </c>
    </row>
    <row r="43" customFormat="false" ht="12.75" hidden="false" customHeight="false" outlineLevel="0" collapsed="false">
      <c r="E43" s="391" t="n">
        <v>113340</v>
      </c>
      <c r="F43" s="0" t="s">
        <v>899</v>
      </c>
    </row>
    <row r="44" customFormat="false" ht="12.75" hidden="false" customHeight="false" outlineLevel="0" collapsed="false">
      <c r="E44" s="391" t="n">
        <v>113341</v>
      </c>
      <c r="F44" s="0" t="s">
        <v>899</v>
      </c>
    </row>
    <row r="45" customFormat="false" ht="12.75" hidden="false" customHeight="false" outlineLevel="0" collapsed="false">
      <c r="E45" s="391" t="n">
        <v>113343</v>
      </c>
      <c r="F45" s="0" t="s">
        <v>899</v>
      </c>
    </row>
    <row r="46" customFormat="false" ht="12.75" hidden="false" customHeight="false" outlineLevel="0" collapsed="false">
      <c r="E46" s="391"/>
    </row>
    <row r="47" customFormat="false" ht="12.75" hidden="false" customHeight="false" outlineLevel="0" collapsed="false">
      <c r="A47" s="0" t="s">
        <v>889</v>
      </c>
      <c r="C47" s="0" t="s">
        <v>900</v>
      </c>
      <c r="D47" s="0" t="s">
        <v>901</v>
      </c>
      <c r="E47" s="391"/>
    </row>
    <row r="48" customFormat="false" ht="12.75" hidden="false" customHeight="false" outlineLevel="0" collapsed="false">
      <c r="D48" s="0" t="s">
        <v>902</v>
      </c>
    </row>
    <row r="49" customFormat="false" ht="12.75" hidden="false" customHeight="false" outlineLevel="0" collapsed="false">
      <c r="D49" s="0" t="s">
        <v>903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13"/>
    <col collapsed="false" customWidth="true" hidden="false" outlineLevel="0" max="4" min="4" style="0" width="3.7"/>
    <col collapsed="false" customWidth="true" hidden="false" outlineLevel="0" max="6" min="6" style="0" width="3.28"/>
  </cols>
  <sheetData>
    <row r="1" customFormat="false" ht="12.75" hidden="false" customHeight="false" outlineLevel="0" collapsed="false">
      <c r="A1" s="0" t="s">
        <v>904</v>
      </c>
    </row>
    <row r="2" customFormat="false" ht="12.75" hidden="false" customHeight="false" outlineLevel="0" collapsed="false">
      <c r="C2" s="0" t="s">
        <v>905</v>
      </c>
      <c r="E2" s="0" t="s">
        <v>401</v>
      </c>
    </row>
    <row r="3" customFormat="false" ht="12.75" hidden="false" customHeight="false" outlineLevel="0" collapsed="false">
      <c r="A3" s="0" t="s">
        <v>906</v>
      </c>
      <c r="C3" s="0" t="n">
        <v>307497</v>
      </c>
      <c r="E3" s="347" t="n">
        <v>1.6</v>
      </c>
    </row>
    <row r="8" customFormat="false" ht="12.75" hidden="false" customHeight="false" outlineLevel="0" collapsed="false">
      <c r="A8" s="0" t="s">
        <v>907</v>
      </c>
    </row>
    <row r="9" customFormat="false" ht="12.75" hidden="false" customHeight="false" outlineLevel="0" collapsed="false">
      <c r="B9" s="392" t="s">
        <v>660</v>
      </c>
      <c r="C9" s="392"/>
      <c r="D9" s="392"/>
      <c r="E9" s="392"/>
      <c r="F9" s="392"/>
      <c r="G9" s="392"/>
    </row>
    <row r="10" customFormat="false" ht="12.75" hidden="false" customHeight="false" outlineLevel="0" collapsed="false">
      <c r="B10" s="0" t="s">
        <v>905</v>
      </c>
      <c r="C10" s="0" t="s">
        <v>9</v>
      </c>
      <c r="E10" s="0" t="s">
        <v>908</v>
      </c>
      <c r="G10" s="0" t="s">
        <v>909</v>
      </c>
    </row>
    <row r="11" customFormat="false" ht="12.75" hidden="false" customHeight="false" outlineLevel="0" collapsed="false">
      <c r="B11" s="0" t="n">
        <v>68900</v>
      </c>
      <c r="C11" s="0" t="s">
        <v>910</v>
      </c>
    </row>
    <row r="12" customFormat="false" ht="12.75" hidden="false" customHeight="false" outlineLevel="0" collapsed="false">
      <c r="B12" s="0" t="n">
        <v>79139</v>
      </c>
      <c r="C12" s="0" t="s">
        <v>911</v>
      </c>
    </row>
    <row r="13" customFormat="false" ht="12.75" hidden="false" customHeight="false" outlineLevel="0" collapsed="false">
      <c r="B13" s="0" t="n">
        <v>82058</v>
      </c>
      <c r="C13" s="0" t="s">
        <v>912</v>
      </c>
    </row>
    <row r="14" customFormat="false" ht="12.75" hidden="false" customHeight="false" outlineLevel="0" collapsed="false">
      <c r="B14" s="0" t="n">
        <v>83440</v>
      </c>
      <c r="C14" s="0" t="s">
        <v>912</v>
      </c>
    </row>
    <row r="15" customFormat="false" ht="12.75" hidden="false" customHeight="false" outlineLevel="0" collapsed="false">
      <c r="B15" s="0" t="n">
        <v>35535</v>
      </c>
      <c r="C15" s="0" t="s">
        <v>913</v>
      </c>
    </row>
    <row r="20" customFormat="false" ht="12.75" hidden="false" customHeight="false" outlineLevel="0" collapsed="false">
      <c r="B20" s="392" t="s">
        <v>669</v>
      </c>
      <c r="C20" s="392"/>
      <c r="D20" s="392"/>
      <c r="E20" s="392"/>
      <c r="F20" s="392"/>
      <c r="G20" s="392"/>
    </row>
    <row r="21" customFormat="false" ht="12.75" hidden="false" customHeight="false" outlineLevel="0" collapsed="false">
      <c r="B21" s="0" t="s">
        <v>905</v>
      </c>
      <c r="C21" s="0" t="s">
        <v>9</v>
      </c>
      <c r="E21" s="0" t="s">
        <v>908</v>
      </c>
      <c r="G21" s="0" t="s">
        <v>909</v>
      </c>
    </row>
    <row r="22" customFormat="false" ht="12.75" hidden="false" customHeight="false" outlineLevel="0" collapsed="false">
      <c r="B22" s="0" t="n">
        <v>68903</v>
      </c>
      <c r="C22" s="0" t="s">
        <v>914</v>
      </c>
    </row>
    <row r="23" customFormat="false" ht="12.75" hidden="false" customHeight="false" outlineLevel="0" collapsed="false">
      <c r="B23" s="0" t="n">
        <v>68904</v>
      </c>
      <c r="C23" s="0" t="s">
        <v>915</v>
      </c>
    </row>
    <row r="24" customFormat="false" ht="12.75" hidden="false" customHeight="false" outlineLevel="0" collapsed="false">
      <c r="B24" s="0" t="n">
        <v>79798</v>
      </c>
      <c r="C24" s="0" t="s">
        <v>916</v>
      </c>
    </row>
    <row r="25" customFormat="false" ht="12.75" hidden="false" customHeight="false" outlineLevel="0" collapsed="false">
      <c r="C25" s="0" t="s">
        <v>917</v>
      </c>
    </row>
    <row r="26" customFormat="false" ht="12.75" hidden="false" customHeight="false" outlineLevel="0" collapsed="false">
      <c r="B26" s="0" t="n">
        <v>79801</v>
      </c>
      <c r="C26" s="0" t="s">
        <v>912</v>
      </c>
    </row>
    <row r="27" customFormat="false" ht="12.75" hidden="false" customHeight="false" outlineLevel="0" collapsed="false">
      <c r="C27" s="0" t="s">
        <v>918</v>
      </c>
    </row>
    <row r="28" customFormat="false" ht="12.75" hidden="false" customHeight="false" outlineLevel="0" collapsed="false">
      <c r="B28" s="0" t="n">
        <v>83404</v>
      </c>
      <c r="C28" s="0" t="s">
        <v>919</v>
      </c>
    </row>
    <row r="29" customFormat="false" ht="12.75" hidden="false" customHeight="false" outlineLevel="0" collapsed="false">
      <c r="C29" s="0" t="s">
        <v>917</v>
      </c>
    </row>
    <row r="30" customFormat="false" ht="12.75" hidden="false" customHeight="false" outlineLevel="0" collapsed="false">
      <c r="B30" s="0" t="n">
        <v>79141</v>
      </c>
      <c r="C30" s="0" t="s">
        <v>916</v>
      </c>
    </row>
    <row r="31" customFormat="false" ht="12.75" hidden="false" customHeight="false" outlineLevel="0" collapsed="false">
      <c r="B31" s="0" t="n">
        <v>79139</v>
      </c>
      <c r="C31" s="0" t="s">
        <v>911</v>
      </c>
    </row>
    <row r="32" customFormat="false" ht="12.75" hidden="false" customHeight="false" outlineLevel="0" collapsed="false">
      <c r="B32" s="0" t="n">
        <v>79136</v>
      </c>
      <c r="C32" s="0" t="s">
        <v>920</v>
      </c>
    </row>
    <row r="35" customFormat="false" ht="12.75" hidden="false" customHeight="false" outlineLevel="0" collapsed="false">
      <c r="B35" s="392" t="s">
        <v>702</v>
      </c>
      <c r="C35" s="392"/>
      <c r="D35" s="392"/>
      <c r="E35" s="392"/>
      <c r="F35" s="392"/>
      <c r="G35" s="392"/>
    </row>
    <row r="36" customFormat="false" ht="12.75" hidden="false" customHeight="false" outlineLevel="0" collapsed="false">
      <c r="B36" s="0" t="s">
        <v>905</v>
      </c>
      <c r="C36" s="0" t="s">
        <v>9</v>
      </c>
      <c r="E36" s="0" t="s">
        <v>908</v>
      </c>
      <c r="G36" s="0" t="s">
        <v>909</v>
      </c>
    </row>
    <row r="37" customFormat="false" ht="12.75" hidden="false" customHeight="false" outlineLevel="0" collapsed="false">
      <c r="B37" s="0" t="n">
        <v>75839</v>
      </c>
      <c r="C37" s="0" t="s">
        <v>921</v>
      </c>
    </row>
    <row r="38" customFormat="false" ht="12.75" hidden="false" customHeight="false" outlineLevel="0" collapsed="false">
      <c r="B38" s="0" t="n">
        <v>79811</v>
      </c>
      <c r="C38" s="0" t="s">
        <v>922</v>
      </c>
    </row>
    <row r="39" customFormat="false" ht="12.75" hidden="false" customHeight="false" outlineLevel="0" collapsed="false">
      <c r="C39" s="0" t="s">
        <v>923</v>
      </c>
    </row>
    <row r="40" customFormat="false" ht="12.75" hidden="false" customHeight="false" outlineLevel="0" collapsed="false">
      <c r="B40" s="0" t="n">
        <v>83404</v>
      </c>
      <c r="C40" s="0" t="s">
        <v>919</v>
      </c>
    </row>
    <row r="41" customFormat="false" ht="12.75" hidden="false" customHeight="false" outlineLevel="0" collapsed="false">
      <c r="B41" s="0" t="n">
        <v>81129</v>
      </c>
      <c r="C41" s="0" t="s">
        <v>922</v>
      </c>
    </row>
    <row r="42" customFormat="false" ht="12.75" hidden="false" customHeight="false" outlineLevel="0" collapsed="false">
      <c r="B42" s="0" t="n">
        <v>82058</v>
      </c>
      <c r="C42" s="0" t="s">
        <v>912</v>
      </c>
    </row>
    <row r="43" customFormat="false" ht="12.75" hidden="false" customHeight="false" outlineLevel="0" collapsed="false">
      <c r="C43" s="0" t="s">
        <v>924</v>
      </c>
    </row>
    <row r="44" customFormat="false" ht="12.75" hidden="false" customHeight="false" outlineLevel="0" collapsed="false">
      <c r="B44" s="0" t="n">
        <v>83440</v>
      </c>
      <c r="C44" s="0" t="s">
        <v>912</v>
      </c>
    </row>
    <row r="45" customFormat="false" ht="12.75" hidden="false" customHeight="false" outlineLevel="0" collapsed="false">
      <c r="C45" s="0" t="s">
        <v>918</v>
      </c>
    </row>
  </sheetData>
  <mergeCells count="3">
    <mergeCell ref="B9:G9"/>
    <mergeCell ref="B20:G20"/>
    <mergeCell ref="B35:G35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C9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68" width="10.13"/>
    <col collapsed="false" customWidth="true" hidden="false" outlineLevel="0" max="2" min="2" style="371" width="1.85"/>
    <col collapsed="false" customWidth="false" hidden="false" outlineLevel="0" max="3" min="3" style="368" width="9.14"/>
    <col collapsed="false" customWidth="true" hidden="false" outlineLevel="0" max="4" min="4" style="368" width="12.7"/>
    <col collapsed="false" customWidth="false" hidden="false" outlineLevel="0" max="5" min="5" style="368" width="9.14"/>
    <col collapsed="false" customWidth="true" hidden="false" outlineLevel="0" max="6" min="6" style="368" width="12.7"/>
    <col collapsed="false" customWidth="false" hidden="false" outlineLevel="0" max="257" min="7" style="368" width="9.14"/>
  </cols>
  <sheetData>
    <row r="1" customFormat="false" ht="12.75" hidden="false" customHeight="false" outlineLevel="0" collapsed="false">
      <c r="A1" s="0"/>
      <c r="B1" s="393"/>
    </row>
    <row r="2" customFormat="false" ht="12" hidden="false" customHeight="false" outlineLevel="0" collapsed="false">
      <c r="A2" s="368" t="s">
        <v>22</v>
      </c>
    </row>
    <row r="3" customFormat="false" ht="12" hidden="false" customHeight="false" outlineLevel="0" collapsed="false">
      <c r="A3" s="368" t="n">
        <v>26964</v>
      </c>
      <c r="C3" s="368" t="s">
        <v>925</v>
      </c>
    </row>
    <row r="4" customFormat="false" ht="12" hidden="false" customHeight="false" outlineLevel="0" collapsed="false">
      <c r="A4" s="368" t="n">
        <v>26586</v>
      </c>
      <c r="C4" s="368" t="s">
        <v>926</v>
      </c>
    </row>
    <row r="5" customFormat="false" ht="12" hidden="false" customHeight="false" outlineLevel="0" collapsed="false">
      <c r="A5" s="368" t="n">
        <v>26070</v>
      </c>
      <c r="C5" s="394" t="s">
        <v>927</v>
      </c>
    </row>
    <row r="6" customFormat="false" ht="12" hidden="false" customHeight="false" outlineLevel="0" collapsed="false">
      <c r="A6" s="368" t="n">
        <v>26901</v>
      </c>
      <c r="C6" s="394" t="s">
        <v>928</v>
      </c>
    </row>
    <row r="7" customFormat="false" ht="12" hidden="false" customHeight="false" outlineLevel="0" collapsed="false">
      <c r="A7" s="368" t="n">
        <v>24787</v>
      </c>
      <c r="C7" s="368" t="s">
        <v>929</v>
      </c>
    </row>
    <row r="8" customFormat="false" ht="12" hidden="false" customHeight="false" outlineLevel="0" collapsed="false">
      <c r="A8" s="368" t="n">
        <v>25431</v>
      </c>
      <c r="C8" s="368" t="s">
        <v>930</v>
      </c>
    </row>
    <row r="9" customFormat="false" ht="12" hidden="false" customHeight="false" outlineLevel="0" collapsed="false">
      <c r="A9" s="368" t="n">
        <v>24976</v>
      </c>
      <c r="C9" s="368" t="s">
        <v>931</v>
      </c>
    </row>
    <row r="10" customFormat="false" ht="12" hidden="false" customHeight="false" outlineLevel="0" collapsed="false">
      <c r="A10" s="368" t="n">
        <v>25635</v>
      </c>
      <c r="C10" s="368" t="s">
        <v>932</v>
      </c>
    </row>
    <row r="11" customFormat="false" ht="12" hidden="false" customHeight="false" outlineLevel="0" collapsed="false">
      <c r="A11" s="368" t="n">
        <v>24530</v>
      </c>
      <c r="C11" s="368" t="s">
        <v>933</v>
      </c>
    </row>
    <row r="12" customFormat="false" ht="12" hidden="false" customHeight="false" outlineLevel="0" collapsed="false">
      <c r="A12" s="368" t="n">
        <v>24566</v>
      </c>
      <c r="C12" s="368" t="s">
        <v>934</v>
      </c>
    </row>
    <row r="15" customFormat="false" ht="12" hidden="false" customHeight="false" outlineLevel="0" collapsed="false">
      <c r="A15" s="368" t="s">
        <v>935</v>
      </c>
    </row>
    <row r="16" customFormat="false" ht="12" hidden="false" customHeight="false" outlineLevel="0" collapsed="false">
      <c r="A16" s="368" t="s">
        <v>936</v>
      </c>
    </row>
    <row r="17" customFormat="false" ht="12" hidden="false" customHeight="false" outlineLevel="0" collapsed="false">
      <c r="A17" s="368" t="s">
        <v>937</v>
      </c>
    </row>
    <row r="18" customFormat="false" ht="12" hidden="false" customHeight="false" outlineLevel="0" collapsed="false">
      <c r="A18" s="395" t="s">
        <v>938</v>
      </c>
      <c r="C18" s="376"/>
      <c r="E18" s="376"/>
    </row>
    <row r="19" customFormat="false" ht="12" hidden="false" customHeight="false" outlineLevel="0" collapsed="false">
      <c r="A19" s="395"/>
      <c r="C19" s="376"/>
      <c r="E19" s="376"/>
    </row>
    <row r="20" customFormat="false" ht="12" hidden="false" customHeight="false" outlineLevel="0" collapsed="false">
      <c r="A20" s="395" t="s">
        <v>939</v>
      </c>
      <c r="C20" s="376"/>
      <c r="E20" s="376"/>
    </row>
    <row r="21" customFormat="false" ht="12" hidden="false" customHeight="false" outlineLevel="0" collapsed="false">
      <c r="A21" s="395"/>
      <c r="C21" s="376"/>
      <c r="E21" s="376"/>
    </row>
    <row r="22" customFormat="false" ht="12" hidden="false" customHeight="false" outlineLevel="0" collapsed="false">
      <c r="A22" s="395" t="s">
        <v>940</v>
      </c>
      <c r="C22" s="376"/>
      <c r="E22" s="376"/>
    </row>
    <row r="23" customFormat="false" ht="12" hidden="false" customHeight="false" outlineLevel="0" collapsed="false">
      <c r="A23" s="395"/>
      <c r="C23" s="376"/>
      <c r="E23" s="376"/>
    </row>
    <row r="24" customFormat="false" ht="12" hidden="false" customHeight="false" outlineLevel="0" collapsed="false">
      <c r="A24" s="395" t="s">
        <v>941</v>
      </c>
      <c r="C24" s="376"/>
      <c r="E24" s="376"/>
    </row>
    <row r="25" customFormat="false" ht="12" hidden="false" customHeight="false" outlineLevel="0" collapsed="false">
      <c r="A25" s="395" t="s">
        <v>942</v>
      </c>
      <c r="C25" s="376"/>
      <c r="E25" s="376"/>
    </row>
    <row r="26" customFormat="false" ht="12" hidden="false" customHeight="false" outlineLevel="0" collapsed="false">
      <c r="A26" s="395"/>
      <c r="C26" s="376"/>
      <c r="E26" s="376"/>
      <c r="M26" s="376" t="s">
        <v>943</v>
      </c>
      <c r="N26" s="368" t="s">
        <v>6</v>
      </c>
    </row>
    <row r="27" customFormat="false" ht="12" hidden="false" customHeight="false" outlineLevel="0" collapsed="false">
      <c r="A27" s="395"/>
      <c r="C27" s="376" t="s">
        <v>943</v>
      </c>
      <c r="D27" s="368" t="s">
        <v>6</v>
      </c>
      <c r="E27" s="376"/>
      <c r="M27" s="376"/>
    </row>
    <row r="28" customFormat="false" ht="12" hidden="false" customHeight="false" outlineLevel="0" collapsed="false">
      <c r="A28" s="395"/>
      <c r="C28" s="376"/>
      <c r="E28" s="376"/>
      <c r="M28" s="396" t="n">
        <v>36070</v>
      </c>
      <c r="N28" s="397" t="n">
        <v>22766</v>
      </c>
    </row>
    <row r="29" customFormat="false" ht="12" hidden="false" customHeight="false" outlineLevel="0" collapsed="false">
      <c r="A29" s="395"/>
      <c r="C29" s="396" t="n">
        <v>36070</v>
      </c>
      <c r="D29" s="397" t="n">
        <v>23000</v>
      </c>
      <c r="E29" s="376"/>
      <c r="M29" s="396" t="n">
        <v>36071</v>
      </c>
      <c r="N29" s="397" t="n">
        <v>258</v>
      </c>
    </row>
    <row r="30" customFormat="false" ht="12" hidden="false" customHeight="false" outlineLevel="0" collapsed="false">
      <c r="A30" s="395"/>
      <c r="C30" s="396" t="n">
        <v>36079</v>
      </c>
      <c r="D30" s="397" t="n">
        <v>60000</v>
      </c>
      <c r="E30" s="376"/>
      <c r="M30" s="396" t="n">
        <v>36079</v>
      </c>
      <c r="N30" s="397" t="n">
        <v>66349</v>
      </c>
    </row>
    <row r="31" customFormat="false" ht="12" hidden="false" customHeight="false" outlineLevel="0" collapsed="false">
      <c r="A31" s="395"/>
      <c r="C31" s="396" t="n">
        <v>36080</v>
      </c>
      <c r="D31" s="397" t="n">
        <v>72000</v>
      </c>
      <c r="E31" s="376"/>
      <c r="M31" s="396" t="n">
        <v>36080</v>
      </c>
      <c r="N31" s="397" t="n">
        <v>80468</v>
      </c>
    </row>
    <row r="32" customFormat="false" ht="12" hidden="false" customHeight="false" outlineLevel="0" collapsed="false">
      <c r="A32" s="395"/>
      <c r="C32" s="396" t="n">
        <v>36081</v>
      </c>
      <c r="D32" s="397" t="n">
        <v>27000</v>
      </c>
      <c r="E32" s="376"/>
      <c r="M32" s="396" t="n">
        <v>36081</v>
      </c>
      <c r="N32" s="397" t="n">
        <v>27726</v>
      </c>
    </row>
    <row r="33" customFormat="false" ht="12" hidden="false" customHeight="false" outlineLevel="0" collapsed="false">
      <c r="A33" s="395"/>
      <c r="C33" s="396" t="n">
        <v>36082</v>
      </c>
      <c r="D33" s="397" t="n">
        <v>53000</v>
      </c>
      <c r="E33" s="376"/>
      <c r="M33" s="396" t="n">
        <v>36082</v>
      </c>
      <c r="N33" s="397" t="n">
        <v>52469</v>
      </c>
    </row>
    <row r="34" customFormat="false" ht="12" hidden="false" customHeight="false" outlineLevel="0" collapsed="false">
      <c r="A34" s="395"/>
      <c r="C34" s="396" t="n">
        <v>36085</v>
      </c>
      <c r="D34" s="397" t="n">
        <v>51000</v>
      </c>
      <c r="E34" s="376"/>
      <c r="M34" s="396" t="n">
        <v>36083</v>
      </c>
      <c r="N34" s="397" t="n">
        <v>1497</v>
      </c>
    </row>
    <row r="35" customFormat="false" ht="12" hidden="false" customHeight="false" outlineLevel="0" collapsed="false">
      <c r="A35" s="395"/>
      <c r="C35" s="396" t="n">
        <v>36086</v>
      </c>
      <c r="D35" s="397" t="n">
        <v>51000</v>
      </c>
      <c r="E35" s="376"/>
      <c r="M35" s="396" t="n">
        <v>36084</v>
      </c>
      <c r="N35" s="397" t="n">
        <f aca="false">2083+75</f>
        <v>2158</v>
      </c>
    </row>
    <row r="36" customFormat="false" ht="12" hidden="false" customHeight="false" outlineLevel="0" collapsed="false">
      <c r="A36" s="395"/>
      <c r="C36" s="396" t="n">
        <v>36087</v>
      </c>
      <c r="D36" s="397" t="n">
        <v>63730</v>
      </c>
      <c r="M36" s="396" t="n">
        <v>36085</v>
      </c>
      <c r="N36" s="397" t="n">
        <f aca="false">9365+175+9+9759+16833+13341+1513</f>
        <v>50995</v>
      </c>
    </row>
    <row r="37" customFormat="false" ht="12" hidden="false" customHeight="false" outlineLevel="0" collapsed="false">
      <c r="A37" s="395"/>
      <c r="C37" s="396" t="n">
        <v>36092</v>
      </c>
      <c r="D37" s="397" t="n">
        <v>25000</v>
      </c>
      <c r="M37" s="396" t="n">
        <v>36086</v>
      </c>
      <c r="N37" s="397" t="n">
        <f aca="false">9365+175+9+9759+16833+13341+1513</f>
        <v>50995</v>
      </c>
    </row>
    <row r="38" customFormat="false" ht="12" hidden="false" customHeight="false" outlineLevel="0" collapsed="false">
      <c r="A38" s="395"/>
      <c r="C38" s="396" t="n">
        <v>36093</v>
      </c>
      <c r="D38" s="397" t="n">
        <v>25000</v>
      </c>
      <c r="M38" s="396" t="n">
        <v>36087</v>
      </c>
      <c r="N38" s="397" t="n">
        <f aca="false">28107+9305+175+8+13256+9696+1502+1219</f>
        <v>63268</v>
      </c>
    </row>
    <row r="39" customFormat="false" ht="14.25" hidden="false" customHeight="false" outlineLevel="0" collapsed="false">
      <c r="A39" s="395"/>
      <c r="C39" s="396" t="n">
        <v>36094</v>
      </c>
      <c r="D39" s="398" t="n">
        <v>25000</v>
      </c>
      <c r="M39" s="396" t="n">
        <v>36088</v>
      </c>
      <c r="N39" s="397" t="n">
        <f aca="false">2088+175</f>
        <v>2263</v>
      </c>
    </row>
    <row r="40" customFormat="false" ht="12.75" hidden="false" customHeight="false" outlineLevel="0" collapsed="false">
      <c r="A40" s="395"/>
      <c r="C40" s="396" t="s">
        <v>1</v>
      </c>
      <c r="D40" s="397" t="n">
        <f aca="false">SUM(D23:D39)</f>
        <v>475730</v>
      </c>
      <c r="M40" s="396" t="n">
        <v>36089</v>
      </c>
      <c r="N40" s="397" t="n">
        <v>175</v>
      </c>
    </row>
    <row r="41" customFormat="false" ht="12" hidden="false" customHeight="false" outlineLevel="0" collapsed="false">
      <c r="A41" s="395"/>
      <c r="C41" s="396" t="s">
        <v>1</v>
      </c>
      <c r="D41" s="397" t="s">
        <v>1</v>
      </c>
      <c r="F41" s="399"/>
      <c r="M41" s="396" t="n">
        <v>36092</v>
      </c>
      <c r="N41" s="397" t="n">
        <f aca="false">15001+10001</f>
        <v>25002</v>
      </c>
    </row>
    <row r="42" customFormat="false" ht="12" hidden="false" customHeight="false" outlineLevel="0" collapsed="false">
      <c r="A42" s="395"/>
      <c r="C42" s="396" t="s">
        <v>1</v>
      </c>
      <c r="D42" s="397" t="s">
        <v>1</v>
      </c>
      <c r="M42" s="396" t="n">
        <v>36093</v>
      </c>
      <c r="N42" s="397" t="n">
        <f aca="false">15001+10001</f>
        <v>25002</v>
      </c>
    </row>
    <row r="43" customFormat="false" ht="12" hidden="false" customHeight="false" outlineLevel="0" collapsed="false">
      <c r="A43" s="395"/>
      <c r="C43" s="396" t="s">
        <v>1</v>
      </c>
      <c r="D43" s="397" t="s">
        <v>1</v>
      </c>
      <c r="M43" s="396" t="n">
        <v>36094</v>
      </c>
      <c r="N43" s="397" t="n">
        <f aca="false">15001+10001</f>
        <v>25002</v>
      </c>
    </row>
    <row r="44" customFormat="false" ht="14.25" hidden="false" customHeight="false" outlineLevel="0" collapsed="false">
      <c r="A44" s="395"/>
      <c r="C44" s="396" t="s">
        <v>279</v>
      </c>
      <c r="D44" s="397" t="s">
        <v>1</v>
      </c>
      <c r="M44" s="396" t="n">
        <v>36095</v>
      </c>
      <c r="N44" s="398" t="n">
        <v>1908</v>
      </c>
    </row>
    <row r="45" customFormat="false" ht="12" hidden="false" customHeight="false" outlineLevel="0" collapsed="false">
      <c r="A45" s="395"/>
      <c r="C45" s="396" t="s">
        <v>1</v>
      </c>
      <c r="D45" s="400" t="s">
        <v>1</v>
      </c>
      <c r="M45" s="396" t="s">
        <v>1</v>
      </c>
      <c r="N45" s="397" t="n">
        <f aca="false">SUM(N28:N44)</f>
        <v>498301</v>
      </c>
    </row>
    <row r="46" customFormat="false" ht="12" hidden="false" customHeight="false" outlineLevel="0" collapsed="false">
      <c r="A46" s="395"/>
      <c r="C46" s="396" t="s">
        <v>1</v>
      </c>
      <c r="D46" s="397" t="s">
        <v>1</v>
      </c>
      <c r="M46" s="396" t="s">
        <v>1</v>
      </c>
    </row>
    <row r="47" customFormat="false" ht="12" hidden="false" customHeight="false" outlineLevel="0" collapsed="false">
      <c r="A47" s="395"/>
      <c r="C47" s="396" t="s">
        <v>1</v>
      </c>
    </row>
    <row r="48" customFormat="false" ht="12" hidden="false" customHeight="false" outlineLevel="0" collapsed="false">
      <c r="A48" s="395"/>
      <c r="C48" s="396" t="s">
        <v>1</v>
      </c>
    </row>
    <row r="49" customFormat="false" ht="12" hidden="false" customHeight="false" outlineLevel="0" collapsed="false">
      <c r="A49" s="395" t="s">
        <v>944</v>
      </c>
      <c r="C49" s="396"/>
    </row>
    <row r="50" customFormat="false" ht="12" hidden="false" customHeight="false" outlineLevel="0" collapsed="false">
      <c r="A50" s="395" t="s">
        <v>1</v>
      </c>
      <c r="C50" s="396" t="s">
        <v>1</v>
      </c>
    </row>
    <row r="51" customFormat="false" ht="12" hidden="false" customHeight="false" outlineLevel="0" collapsed="false">
      <c r="A51" s="395" t="s">
        <v>1</v>
      </c>
      <c r="C51" s="396" t="s">
        <v>1</v>
      </c>
    </row>
    <row r="52" customFormat="false" ht="12" hidden="false" customHeight="false" outlineLevel="0" collapsed="false">
      <c r="A52" s="395" t="s">
        <v>1</v>
      </c>
      <c r="C52" s="396" t="s">
        <v>1</v>
      </c>
    </row>
    <row r="53" customFormat="false" ht="12" hidden="false" customHeight="false" outlineLevel="0" collapsed="false">
      <c r="A53" s="395" t="s">
        <v>1</v>
      </c>
      <c r="C53" s="396" t="s">
        <v>1</v>
      </c>
    </row>
    <row r="54" customFormat="false" ht="12" hidden="false" customHeight="false" outlineLevel="0" collapsed="false">
      <c r="A54" s="395" t="s">
        <v>1</v>
      </c>
      <c r="C54" s="396" t="s">
        <v>1</v>
      </c>
    </row>
    <row r="55" customFormat="false" ht="12" hidden="false" customHeight="false" outlineLevel="0" collapsed="false">
      <c r="A55" s="395" t="s">
        <v>1</v>
      </c>
      <c r="C55" s="396" t="s">
        <v>1</v>
      </c>
    </row>
    <row r="56" customFormat="false" ht="12" hidden="false" customHeight="false" outlineLevel="0" collapsed="false">
      <c r="A56" s="395" t="s">
        <v>1</v>
      </c>
      <c r="C56" s="396" t="s">
        <v>279</v>
      </c>
    </row>
    <row r="57" customFormat="false" ht="12" hidden="false" customHeight="false" outlineLevel="0" collapsed="false">
      <c r="A57" s="395" t="s">
        <v>1</v>
      </c>
      <c r="C57" s="396" t="s">
        <v>1</v>
      </c>
    </row>
    <row r="58" customFormat="false" ht="12" hidden="false" customHeight="false" outlineLevel="0" collapsed="false">
      <c r="A58" s="395" t="s">
        <v>1</v>
      </c>
      <c r="C58" s="396" t="s">
        <v>1</v>
      </c>
    </row>
    <row r="59" customFormat="false" ht="12" hidden="false" customHeight="false" outlineLevel="0" collapsed="false">
      <c r="A59" s="395" t="s">
        <v>1</v>
      </c>
      <c r="C59" s="396" t="s">
        <v>1</v>
      </c>
    </row>
    <row r="60" customFormat="false" ht="12" hidden="false" customHeight="false" outlineLevel="0" collapsed="false">
      <c r="A60" s="395" t="s">
        <v>1</v>
      </c>
      <c r="C60" s="396" t="s">
        <v>1</v>
      </c>
    </row>
    <row r="61" customFormat="false" ht="12" hidden="false" customHeight="false" outlineLevel="0" collapsed="false">
      <c r="A61" s="395" t="s">
        <v>1</v>
      </c>
      <c r="C61" s="396" t="s">
        <v>1</v>
      </c>
    </row>
    <row r="62" customFormat="false" ht="12" hidden="false" customHeight="false" outlineLevel="0" collapsed="false">
      <c r="A62" s="395" t="s">
        <v>1</v>
      </c>
      <c r="C62" s="396" t="s">
        <v>279</v>
      </c>
    </row>
    <row r="63" customFormat="false" ht="12" hidden="false" customHeight="false" outlineLevel="0" collapsed="false">
      <c r="A63" s="395" t="s">
        <v>1</v>
      </c>
      <c r="C63" s="396" t="s">
        <v>1</v>
      </c>
    </row>
    <row r="64" customFormat="false" ht="12" hidden="false" customHeight="false" outlineLevel="0" collapsed="false">
      <c r="A64" s="395" t="s">
        <v>1</v>
      </c>
      <c r="C64" s="396" t="s">
        <v>1</v>
      </c>
    </row>
    <row r="65" customFormat="false" ht="12" hidden="false" customHeight="false" outlineLevel="0" collapsed="false">
      <c r="A65" s="395" t="s">
        <v>1</v>
      </c>
      <c r="C65" s="396" t="s">
        <v>1</v>
      </c>
    </row>
    <row r="66" customFormat="false" ht="12" hidden="false" customHeight="false" outlineLevel="0" collapsed="false">
      <c r="A66" s="395" t="s">
        <v>1</v>
      </c>
      <c r="C66" s="396" t="s">
        <v>1</v>
      </c>
    </row>
    <row r="67" customFormat="false" ht="12" hidden="false" customHeight="false" outlineLevel="0" collapsed="false">
      <c r="A67" s="395" t="s">
        <v>1</v>
      </c>
      <c r="C67" s="396" t="s">
        <v>279</v>
      </c>
    </row>
    <row r="68" customFormat="false" ht="12" hidden="false" customHeight="false" outlineLevel="0" collapsed="false">
      <c r="A68" s="395" t="s">
        <v>1</v>
      </c>
      <c r="C68" s="396" t="s">
        <v>1</v>
      </c>
    </row>
    <row r="69" customFormat="false" ht="12" hidden="false" customHeight="false" outlineLevel="0" collapsed="false">
      <c r="A69" s="395" t="s">
        <v>1</v>
      </c>
    </row>
    <row r="70" customFormat="false" ht="12" hidden="false" customHeight="false" outlineLevel="0" collapsed="false">
      <c r="A70" s="395" t="s">
        <v>1</v>
      </c>
    </row>
    <row r="71" customFormat="false" ht="12" hidden="false" customHeight="false" outlineLevel="0" collapsed="false">
      <c r="A71" s="395" t="s">
        <v>1</v>
      </c>
    </row>
    <row r="72" customFormat="false" ht="12" hidden="false" customHeight="false" outlineLevel="0" collapsed="false">
      <c r="A72" s="395" t="s">
        <v>1</v>
      </c>
    </row>
    <row r="73" customFormat="false" ht="12" hidden="false" customHeight="false" outlineLevel="0" collapsed="false">
      <c r="A73" s="395" t="s">
        <v>1</v>
      </c>
    </row>
    <row r="74" customFormat="false" ht="12" hidden="false" customHeight="false" outlineLevel="0" collapsed="false">
      <c r="A74" s="395" t="s">
        <v>1</v>
      </c>
    </row>
    <row r="75" customFormat="false" ht="12" hidden="false" customHeight="false" outlineLevel="0" collapsed="false">
      <c r="A75" s="395" t="s">
        <v>1</v>
      </c>
    </row>
    <row r="76" customFormat="false" ht="12" hidden="false" customHeight="false" outlineLevel="0" collapsed="false">
      <c r="A76" s="395" t="s">
        <v>1</v>
      </c>
    </row>
    <row r="77" customFormat="false" ht="12" hidden="false" customHeight="false" outlineLevel="0" collapsed="false">
      <c r="A77" s="395" t="s">
        <v>1</v>
      </c>
    </row>
    <row r="78" customFormat="false" ht="12" hidden="false" customHeight="false" outlineLevel="0" collapsed="false">
      <c r="A78" s="395" t="s">
        <v>1</v>
      </c>
    </row>
    <row r="79" customFormat="false" ht="12" hidden="false" customHeight="false" outlineLevel="0" collapsed="false">
      <c r="A79" s="395" t="s">
        <v>1</v>
      </c>
    </row>
    <row r="80" customFormat="false" ht="12" hidden="false" customHeight="false" outlineLevel="0" collapsed="false">
      <c r="A80" s="395" t="s">
        <v>1</v>
      </c>
    </row>
    <row r="81" customFormat="false" ht="12" hidden="false" customHeight="false" outlineLevel="0" collapsed="false">
      <c r="A81" s="395" t="s">
        <v>1</v>
      </c>
    </row>
    <row r="82" customFormat="false" ht="12" hidden="false" customHeight="false" outlineLevel="0" collapsed="false">
      <c r="A82" s="395" t="s">
        <v>1</v>
      </c>
    </row>
    <row r="83" customFormat="false" ht="12" hidden="false" customHeight="false" outlineLevel="0" collapsed="false">
      <c r="A83" s="395" t="s">
        <v>1</v>
      </c>
    </row>
    <row r="84" customFormat="false" ht="12" hidden="false" customHeight="false" outlineLevel="0" collapsed="false">
      <c r="A84" s="395" t="s">
        <v>1</v>
      </c>
    </row>
    <row r="85" customFormat="false" ht="12" hidden="false" customHeight="false" outlineLevel="0" collapsed="false">
      <c r="A85" s="395" t="s">
        <v>1</v>
      </c>
    </row>
    <row r="86" customFormat="false" ht="12" hidden="false" customHeight="false" outlineLevel="0" collapsed="false">
      <c r="A86" s="395" t="s">
        <v>1</v>
      </c>
    </row>
    <row r="87" customFormat="false" ht="12" hidden="false" customHeight="false" outlineLevel="0" collapsed="false">
      <c r="A87" s="395" t="s">
        <v>1</v>
      </c>
    </row>
    <row r="88" customFormat="false" ht="12" hidden="false" customHeight="false" outlineLevel="0" collapsed="false">
      <c r="A88" s="395" t="s">
        <v>1</v>
      </c>
    </row>
    <row r="89" customFormat="false" ht="12" hidden="false" customHeight="false" outlineLevel="0" collapsed="false">
      <c r="A89" s="395" t="s">
        <v>1</v>
      </c>
    </row>
    <row r="90" customFormat="false" ht="12" hidden="false" customHeight="false" outlineLevel="0" collapsed="false">
      <c r="A90" s="395" t="s">
        <v>1</v>
      </c>
    </row>
    <row r="91" customFormat="false" ht="12" hidden="false" customHeight="false" outlineLevel="0" collapsed="false">
      <c r="A91" s="395" t="s">
        <v>1</v>
      </c>
    </row>
    <row r="92" customFormat="false" ht="12" hidden="false" customHeight="false" outlineLevel="0" collapsed="false">
      <c r="A92" s="395" t="s">
        <v>1</v>
      </c>
    </row>
    <row r="93" customFormat="false" ht="12" hidden="false" customHeight="false" outlineLevel="0" collapsed="false">
      <c r="A93" s="395" t="s">
        <v>1</v>
      </c>
    </row>
    <row r="94" customFormat="false" ht="12" hidden="false" customHeight="false" outlineLevel="0" collapsed="false">
      <c r="A94" s="395" t="s">
        <v>1</v>
      </c>
    </row>
    <row r="95" customFormat="false" ht="12" hidden="false" customHeight="false" outlineLevel="0" collapsed="false">
      <c r="A95" s="395" t="s">
        <v>1</v>
      </c>
    </row>
    <row r="96" customFormat="false" ht="12" hidden="false" customHeight="false" outlineLevel="0" collapsed="false">
      <c r="A96" s="395" t="s">
        <v>1</v>
      </c>
    </row>
    <row r="97" customFormat="false" ht="12" hidden="false" customHeight="false" outlineLevel="0" collapsed="false">
      <c r="A97" s="395" t="s">
        <v>1</v>
      </c>
    </row>
    <row r="98" customFormat="false" ht="12" hidden="false" customHeight="false" outlineLevel="0" collapsed="false">
      <c r="A98" s="395" t="s">
        <v>1</v>
      </c>
    </row>
    <row r="99" customFormat="false" ht="12" hidden="false" customHeight="false" outlineLevel="0" collapsed="false">
      <c r="A99" s="395" t="s">
        <v>1</v>
      </c>
    </row>
    <row r="100" customFormat="false" ht="12" hidden="false" customHeight="false" outlineLevel="0" collapsed="false">
      <c r="A100" s="395" t="s">
        <v>1</v>
      </c>
    </row>
    <row r="101" customFormat="false" ht="12" hidden="false" customHeight="false" outlineLevel="0" collapsed="false">
      <c r="A101" s="395" t="s">
        <v>1</v>
      </c>
    </row>
    <row r="102" customFormat="false" ht="12" hidden="false" customHeight="false" outlineLevel="0" collapsed="false">
      <c r="A102" s="395" t="s">
        <v>1</v>
      </c>
    </row>
    <row r="103" customFormat="false" ht="12" hidden="false" customHeight="false" outlineLevel="0" collapsed="false">
      <c r="A103" s="395" t="s">
        <v>1</v>
      </c>
    </row>
    <row r="104" customFormat="false" ht="12" hidden="false" customHeight="false" outlineLevel="0" collapsed="false">
      <c r="A104" s="395" t="s">
        <v>1</v>
      </c>
    </row>
    <row r="105" customFormat="false" ht="12" hidden="false" customHeight="false" outlineLevel="0" collapsed="false">
      <c r="A105" s="395" t="s">
        <v>1</v>
      </c>
    </row>
    <row r="106" customFormat="false" ht="12" hidden="false" customHeight="false" outlineLevel="0" collapsed="false">
      <c r="A106" s="395" t="s">
        <v>1</v>
      </c>
    </row>
    <row r="107" customFormat="false" ht="12" hidden="false" customHeight="false" outlineLevel="0" collapsed="false">
      <c r="A107" s="395" t="s">
        <v>1</v>
      </c>
    </row>
    <row r="108" customFormat="false" ht="12" hidden="false" customHeight="false" outlineLevel="0" collapsed="false">
      <c r="A108" s="395" t="s">
        <v>1</v>
      </c>
    </row>
    <row r="109" customFormat="false" ht="12" hidden="false" customHeight="false" outlineLevel="0" collapsed="false">
      <c r="A109" s="395" t="s">
        <v>1</v>
      </c>
    </row>
    <row r="110" customFormat="false" ht="12" hidden="false" customHeight="false" outlineLevel="0" collapsed="false">
      <c r="A110" s="395" t="s">
        <v>1</v>
      </c>
    </row>
    <row r="111" customFormat="false" ht="12" hidden="false" customHeight="false" outlineLevel="0" collapsed="false">
      <c r="A111" s="395" t="s">
        <v>1</v>
      </c>
    </row>
    <row r="112" customFormat="false" ht="12" hidden="false" customHeight="false" outlineLevel="0" collapsed="false">
      <c r="A112" s="395" t="s">
        <v>1</v>
      </c>
    </row>
    <row r="113" customFormat="false" ht="12" hidden="false" customHeight="false" outlineLevel="0" collapsed="false">
      <c r="A113" s="395" t="s">
        <v>1</v>
      </c>
    </row>
    <row r="114" customFormat="false" ht="12" hidden="false" customHeight="false" outlineLevel="0" collapsed="false">
      <c r="A114" s="395" t="s">
        <v>1</v>
      </c>
    </row>
    <row r="115" customFormat="false" ht="12" hidden="false" customHeight="false" outlineLevel="0" collapsed="false">
      <c r="A115" s="395" t="s">
        <v>279</v>
      </c>
    </row>
    <row r="116" customFormat="false" ht="12" hidden="false" customHeight="false" outlineLevel="0" collapsed="false">
      <c r="A116" s="395" t="s">
        <v>1</v>
      </c>
    </row>
    <row r="117" customFormat="false" ht="12" hidden="false" customHeight="false" outlineLevel="0" collapsed="false">
      <c r="A117" s="395" t="s">
        <v>279</v>
      </c>
    </row>
    <row r="118" customFormat="false" ht="12" hidden="false" customHeight="false" outlineLevel="0" collapsed="false">
      <c r="A118" s="395" t="s">
        <v>1</v>
      </c>
    </row>
    <row r="119" customFormat="false" ht="12" hidden="false" customHeight="false" outlineLevel="0" collapsed="false">
      <c r="A119" s="395" t="s">
        <v>1</v>
      </c>
    </row>
    <row r="120" customFormat="false" ht="12" hidden="false" customHeight="false" outlineLevel="0" collapsed="false">
      <c r="A120" s="395" t="s">
        <v>1</v>
      </c>
    </row>
    <row r="121" customFormat="false" ht="12" hidden="false" customHeight="false" outlineLevel="0" collapsed="false">
      <c r="A121" s="395" t="s">
        <v>1</v>
      </c>
    </row>
    <row r="122" customFormat="false" ht="12" hidden="false" customHeight="false" outlineLevel="0" collapsed="false">
      <c r="A122" s="395" t="s">
        <v>1</v>
      </c>
    </row>
    <row r="123" customFormat="false" ht="12" hidden="false" customHeight="false" outlineLevel="0" collapsed="false">
      <c r="A123" s="395" t="s">
        <v>1</v>
      </c>
    </row>
    <row r="124" customFormat="false" ht="12" hidden="false" customHeight="false" outlineLevel="0" collapsed="false">
      <c r="A124" s="395" t="s">
        <v>1</v>
      </c>
    </row>
    <row r="125" customFormat="false" ht="12" hidden="false" customHeight="false" outlineLevel="0" collapsed="false">
      <c r="A125" s="395" t="s">
        <v>1</v>
      </c>
    </row>
    <row r="126" customFormat="false" ht="12" hidden="false" customHeight="false" outlineLevel="0" collapsed="false">
      <c r="A126" s="395" t="s">
        <v>945</v>
      </c>
    </row>
    <row r="127" customFormat="false" ht="12" hidden="false" customHeight="false" outlineLevel="0" collapsed="false">
      <c r="A127" s="395" t="s">
        <v>1</v>
      </c>
    </row>
    <row r="128" customFormat="false" ht="12" hidden="false" customHeight="false" outlineLevel="0" collapsed="false">
      <c r="A128" s="395" t="s">
        <v>1</v>
      </c>
    </row>
    <row r="129" customFormat="false" ht="12" hidden="false" customHeight="false" outlineLevel="0" collapsed="false">
      <c r="A129" s="395" t="s">
        <v>1</v>
      </c>
    </row>
    <row r="130" customFormat="false" ht="12" hidden="false" customHeight="false" outlineLevel="0" collapsed="false">
      <c r="A130" s="395" t="s">
        <v>1</v>
      </c>
    </row>
    <row r="131" customFormat="false" ht="12" hidden="false" customHeight="false" outlineLevel="0" collapsed="false">
      <c r="A131" s="395" t="s">
        <v>1</v>
      </c>
    </row>
    <row r="132" customFormat="false" ht="12" hidden="false" customHeight="false" outlineLevel="0" collapsed="false">
      <c r="A132" s="395" t="s">
        <v>1</v>
      </c>
    </row>
    <row r="133" customFormat="false" ht="12" hidden="false" customHeight="false" outlineLevel="0" collapsed="false">
      <c r="A133" s="395" t="s">
        <v>1</v>
      </c>
    </row>
    <row r="134" customFormat="false" ht="12" hidden="false" customHeight="false" outlineLevel="0" collapsed="false">
      <c r="A134" s="395" t="s">
        <v>1</v>
      </c>
    </row>
    <row r="135" customFormat="false" ht="12" hidden="false" customHeight="false" outlineLevel="0" collapsed="false">
      <c r="A135" s="395" t="s">
        <v>1</v>
      </c>
    </row>
    <row r="136" customFormat="false" ht="12" hidden="false" customHeight="false" outlineLevel="0" collapsed="false">
      <c r="A136" s="395" t="s">
        <v>1</v>
      </c>
    </row>
    <row r="137" customFormat="false" ht="12" hidden="false" customHeight="false" outlineLevel="0" collapsed="false">
      <c r="A137" s="395" t="s">
        <v>1</v>
      </c>
    </row>
    <row r="138" customFormat="false" ht="12" hidden="false" customHeight="false" outlineLevel="0" collapsed="false">
      <c r="A138" s="395" t="s">
        <v>1</v>
      </c>
    </row>
    <row r="139" customFormat="false" ht="12" hidden="false" customHeight="false" outlineLevel="0" collapsed="false">
      <c r="A139" s="395" t="s">
        <v>1</v>
      </c>
    </row>
    <row r="140" customFormat="false" ht="12" hidden="false" customHeight="false" outlineLevel="0" collapsed="false">
      <c r="A140" s="395" t="s">
        <v>1</v>
      </c>
    </row>
    <row r="141" customFormat="false" ht="12" hidden="false" customHeight="false" outlineLevel="0" collapsed="false">
      <c r="A141" s="395" t="s">
        <v>1</v>
      </c>
    </row>
    <row r="142" customFormat="false" ht="12" hidden="false" customHeight="false" outlineLevel="0" collapsed="false">
      <c r="A142" s="395" t="s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4" activeCellId="0" sqref="E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" width="8.85"/>
    <col collapsed="false" customWidth="false" hidden="false" outlineLevel="0" max="2" min="2" style="25" width="9.14"/>
    <col collapsed="false" customWidth="true" hidden="false" outlineLevel="0" max="3" min="3" style="25" width="10.56"/>
    <col collapsed="false" customWidth="true" hidden="false" outlineLevel="0" max="4" min="4" style="25" width="8.7"/>
    <col collapsed="false" customWidth="true" hidden="false" outlineLevel="0" max="5" min="5" style="25" width="10.99"/>
    <col collapsed="false" customWidth="true" hidden="false" outlineLevel="0" max="6" min="6" style="26" width="12.42"/>
    <col collapsed="false" customWidth="true" hidden="false" outlineLevel="0" max="7" min="7" style="26" width="7.99"/>
    <col collapsed="false" customWidth="true" hidden="false" outlineLevel="0" max="8" min="8" style="25" width="6.41"/>
    <col collapsed="false" customWidth="true" hidden="true" outlineLevel="0" max="9" min="9" style="25" width="8.85"/>
    <col collapsed="false" customWidth="true" hidden="true" outlineLevel="0" max="13" min="10" style="25" width="9.06"/>
    <col collapsed="false" customWidth="true" hidden="true" outlineLevel="0" max="14" min="14" style="27" width="9.06"/>
    <col collapsed="false" customWidth="true" hidden="true" outlineLevel="0" max="15" min="15" style="25" width="9.06"/>
    <col collapsed="false" customWidth="true" hidden="false" outlineLevel="0" max="16" min="16" style="28" width="12.28"/>
    <col collapsed="false" customWidth="false" hidden="false" outlineLevel="0" max="17" min="17" style="25" width="9.14"/>
    <col collapsed="false" customWidth="true" hidden="false" outlineLevel="0" max="18" min="18" style="25" width="13.7"/>
    <col collapsed="false" customWidth="false" hidden="false" outlineLevel="0" max="20" min="19" style="25" width="9.14"/>
    <col collapsed="false" customWidth="true" hidden="false" outlineLevel="0" max="21" min="21" style="28" width="13.56"/>
    <col collapsed="false" customWidth="true" hidden="false" outlineLevel="0" max="22" min="22" style="25" width="42.28"/>
    <col collapsed="false" customWidth="false" hidden="false" outlineLevel="0" max="24" min="23" style="28" width="9.14"/>
    <col collapsed="false" customWidth="true" hidden="false" outlineLevel="0" max="25" min="25" style="25" width="12.42"/>
    <col collapsed="false" customWidth="false" hidden="false" outlineLevel="0" max="257" min="26" style="25" width="9.14"/>
  </cols>
  <sheetData>
    <row r="1" customFormat="false" ht="12.75" hidden="false" customHeight="false" outlineLevel="0" collapsed="false">
      <c r="A1" s="29" t="s">
        <v>81</v>
      </c>
      <c r="B1" s="16"/>
      <c r="C1" s="16"/>
      <c r="D1" s="17"/>
      <c r="E1" s="17"/>
      <c r="F1" s="15"/>
      <c r="G1" s="15"/>
      <c r="H1" s="16" t="s">
        <v>82</v>
      </c>
      <c r="I1" s="30" t="n">
        <v>31</v>
      </c>
      <c r="J1" s="31" t="s">
        <v>83</v>
      </c>
      <c r="K1" s="20"/>
      <c r="L1" s="20"/>
      <c r="M1" s="20"/>
      <c r="N1" s="32"/>
      <c r="O1" s="20"/>
      <c r="P1" s="24"/>
      <c r="Q1" s="33"/>
      <c r="R1" s="34"/>
      <c r="S1" s="34"/>
      <c r="T1" s="34"/>
      <c r="U1" s="35"/>
      <c r="V1" s="34"/>
      <c r="W1" s="36"/>
      <c r="X1" s="36"/>
    </row>
    <row r="2" customFormat="false" ht="12.75" hidden="false" customHeight="false" outlineLevel="0" collapsed="false">
      <c r="A2" s="37" t="s">
        <v>84</v>
      </c>
      <c r="B2" s="37"/>
      <c r="C2" s="37"/>
      <c r="D2" s="17"/>
      <c r="E2" s="17"/>
      <c r="F2" s="15"/>
      <c r="G2" s="15"/>
      <c r="H2" s="16"/>
      <c r="I2" s="30"/>
      <c r="J2" s="31" t="s">
        <v>85</v>
      </c>
      <c r="K2" s="20"/>
      <c r="L2" s="20"/>
      <c r="M2" s="20"/>
      <c r="N2" s="32"/>
      <c r="O2" s="20"/>
      <c r="P2" s="24"/>
      <c r="Q2" s="33"/>
      <c r="R2" s="34"/>
      <c r="S2" s="34"/>
      <c r="T2" s="34"/>
      <c r="U2" s="35"/>
      <c r="V2" s="34"/>
      <c r="W2" s="36"/>
      <c r="X2" s="36"/>
    </row>
    <row r="3" customFormat="false" ht="12.75" hidden="false" customHeight="false" outlineLevel="0" collapsed="false">
      <c r="A3" s="38" t="s">
        <v>86</v>
      </c>
      <c r="B3" s="38"/>
      <c r="C3" s="38"/>
      <c r="D3" s="17"/>
      <c r="E3" s="17"/>
      <c r="F3" s="39" t="s">
        <v>1</v>
      </c>
      <c r="G3" s="15" t="s">
        <v>1</v>
      </c>
      <c r="H3" s="33" t="s">
        <v>1</v>
      </c>
      <c r="I3" s="19"/>
      <c r="J3" s="40" t="s">
        <v>1</v>
      </c>
      <c r="K3" s="20"/>
      <c r="L3" s="40" t="s">
        <v>1</v>
      </c>
      <c r="M3" s="20"/>
      <c r="N3" s="32"/>
      <c r="O3" s="40" t="s">
        <v>1</v>
      </c>
      <c r="P3" s="24"/>
      <c r="Q3" s="33"/>
      <c r="R3" s="34"/>
      <c r="S3" s="34"/>
      <c r="T3" s="34"/>
      <c r="U3" s="35"/>
      <c r="V3" s="34"/>
      <c r="W3" s="36"/>
      <c r="X3" s="36"/>
    </row>
    <row r="4" customFormat="false" ht="12.75" hidden="false" customHeight="false" outlineLevel="0" collapsed="false">
      <c r="A4" s="41" t="s">
        <v>87</v>
      </c>
      <c r="B4" s="42"/>
      <c r="C4" s="42"/>
      <c r="D4" s="17"/>
      <c r="E4" s="17"/>
      <c r="F4" s="43"/>
      <c r="G4" s="15"/>
      <c r="H4" s="43"/>
      <c r="I4" s="19"/>
      <c r="J4" s="43"/>
      <c r="K4" s="20"/>
      <c r="L4" s="43"/>
      <c r="M4" s="33"/>
      <c r="N4" s="32"/>
      <c r="O4" s="33"/>
      <c r="P4" s="24"/>
      <c r="Q4" s="33"/>
      <c r="R4" s="34"/>
      <c r="S4" s="44"/>
      <c r="T4" s="44"/>
      <c r="U4" s="45"/>
      <c r="V4" s="34"/>
      <c r="W4" s="36"/>
      <c r="X4" s="36"/>
    </row>
    <row r="5" customFormat="false" ht="12.75" hidden="false" customHeight="false" outlineLevel="0" collapsed="false">
      <c r="A5" s="15" t="s">
        <v>88</v>
      </c>
      <c r="B5" s="16"/>
      <c r="C5" s="46" t="s">
        <v>89</v>
      </c>
      <c r="D5" s="17"/>
      <c r="E5" s="17"/>
      <c r="F5" s="43"/>
      <c r="G5" s="15"/>
      <c r="H5" s="43"/>
      <c r="I5" s="19"/>
      <c r="J5" s="43"/>
      <c r="K5" s="20"/>
      <c r="L5" s="43"/>
      <c r="M5" s="33"/>
      <c r="N5" s="32"/>
      <c r="O5" s="33"/>
      <c r="P5" s="24"/>
      <c r="Q5" s="33"/>
      <c r="R5" s="34"/>
      <c r="S5" s="44"/>
      <c r="T5" s="44"/>
      <c r="U5" s="45"/>
      <c r="V5" s="34"/>
      <c r="W5" s="36"/>
      <c r="X5" s="36"/>
    </row>
    <row r="6" customFormat="false" ht="12.75" hidden="false" customHeight="false" outlineLevel="0" collapsed="false">
      <c r="A6" s="15"/>
      <c r="B6" s="16"/>
      <c r="C6" s="46" t="s">
        <v>90</v>
      </c>
      <c r="D6" s="17"/>
      <c r="E6" s="17"/>
      <c r="F6" s="43"/>
      <c r="G6" s="15"/>
      <c r="H6" s="43"/>
      <c r="I6" s="19"/>
      <c r="J6" s="43"/>
      <c r="K6" s="20"/>
      <c r="L6" s="43"/>
      <c r="M6" s="33"/>
      <c r="N6" s="32"/>
      <c r="O6" s="33"/>
      <c r="P6" s="24"/>
      <c r="Q6" s="33"/>
      <c r="R6" s="34"/>
      <c r="S6" s="44"/>
      <c r="T6" s="44"/>
      <c r="U6" s="45"/>
      <c r="V6" s="34"/>
      <c r="W6" s="36"/>
      <c r="X6" s="36"/>
    </row>
    <row r="7" customFormat="false" ht="12.75" hidden="false" customHeight="false" outlineLevel="0" collapsed="false">
      <c r="A7" s="15"/>
      <c r="B7" s="16"/>
      <c r="C7" s="46" t="s">
        <v>91</v>
      </c>
      <c r="D7" s="17"/>
      <c r="E7" s="17"/>
      <c r="F7" s="43"/>
      <c r="G7" s="15"/>
      <c r="H7" s="43"/>
      <c r="I7" s="19"/>
      <c r="J7" s="43"/>
      <c r="K7" s="20"/>
      <c r="L7" s="43"/>
      <c r="M7" s="33"/>
      <c r="N7" s="32"/>
      <c r="O7" s="33"/>
      <c r="P7" s="24"/>
      <c r="Q7" s="33"/>
      <c r="R7" s="34"/>
      <c r="S7" s="44"/>
      <c r="T7" s="44"/>
      <c r="U7" s="45"/>
      <c r="V7" s="34"/>
      <c r="W7" s="36"/>
      <c r="X7" s="36"/>
    </row>
    <row r="8" customFormat="false" ht="12.75" hidden="false" customHeight="false" outlineLevel="0" collapsed="false">
      <c r="A8" s="15"/>
      <c r="B8" s="16"/>
      <c r="C8" s="46"/>
      <c r="D8" s="17"/>
      <c r="E8" s="17"/>
      <c r="F8" s="43"/>
      <c r="G8" s="15"/>
      <c r="H8" s="43"/>
      <c r="I8" s="19"/>
      <c r="J8" s="43"/>
      <c r="K8" s="20"/>
      <c r="L8" s="43"/>
      <c r="M8" s="33"/>
      <c r="N8" s="32"/>
      <c r="O8" s="33"/>
      <c r="P8" s="24"/>
      <c r="Q8" s="33"/>
      <c r="R8" s="34"/>
      <c r="S8" s="44"/>
      <c r="T8" s="44"/>
      <c r="U8" s="45"/>
      <c r="V8" s="34"/>
      <c r="W8" s="36"/>
      <c r="X8" s="36"/>
    </row>
    <row r="9" customFormat="false" ht="12.75" hidden="false" customHeight="false" outlineLevel="0" collapsed="false">
      <c r="A9" s="15"/>
      <c r="B9" s="16"/>
      <c r="C9" s="46"/>
      <c r="D9" s="17"/>
      <c r="E9" s="17"/>
      <c r="F9" s="43"/>
      <c r="G9" s="15"/>
      <c r="H9" s="43"/>
      <c r="I9" s="19"/>
      <c r="J9" s="43"/>
      <c r="K9" s="20"/>
      <c r="L9" s="43"/>
      <c r="M9" s="33"/>
      <c r="N9" s="32"/>
      <c r="O9" s="33"/>
      <c r="P9" s="24"/>
      <c r="Q9" s="33"/>
      <c r="R9" s="34"/>
      <c r="S9" s="44"/>
      <c r="T9" s="44"/>
      <c r="U9" s="45"/>
      <c r="V9" s="34"/>
      <c r="W9" s="36"/>
      <c r="X9" s="36"/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43"/>
      <c r="G10" s="15"/>
      <c r="H10" s="43"/>
      <c r="I10" s="19"/>
      <c r="J10" s="43"/>
      <c r="K10" s="20"/>
      <c r="L10" s="43"/>
      <c r="M10" s="33"/>
      <c r="N10" s="32"/>
      <c r="O10" s="33"/>
      <c r="P10" s="24"/>
      <c r="Q10" s="33"/>
      <c r="R10" s="34"/>
      <c r="S10" s="44"/>
      <c r="T10" s="44"/>
      <c r="U10" s="45"/>
      <c r="V10" s="34"/>
      <c r="W10" s="36"/>
      <c r="X10" s="36"/>
    </row>
    <row r="11" customFormat="false" ht="12.75" hidden="false" customHeight="false" outlineLevel="0" collapsed="false">
      <c r="A11" s="47" t="s">
        <v>92</v>
      </c>
      <c r="B11" s="48" t="s">
        <v>93</v>
      </c>
      <c r="C11" s="48" t="s">
        <v>94</v>
      </c>
      <c r="D11" s="49" t="s">
        <v>95</v>
      </c>
      <c r="E11" s="49"/>
      <c r="F11" s="47" t="s">
        <v>96</v>
      </c>
      <c r="G11" s="47" t="s">
        <v>97</v>
      </c>
      <c r="H11" s="48" t="s">
        <v>98</v>
      </c>
      <c r="I11" s="50" t="s">
        <v>99</v>
      </c>
      <c r="J11" s="48" t="s">
        <v>100</v>
      </c>
      <c r="K11" s="48" t="s">
        <v>101</v>
      </c>
      <c r="L11" s="48" t="s">
        <v>102</v>
      </c>
      <c r="M11" s="48" t="s">
        <v>103</v>
      </c>
      <c r="N11" s="51" t="s">
        <v>104</v>
      </c>
      <c r="O11" s="48" t="s">
        <v>105</v>
      </c>
      <c r="P11" s="52" t="s">
        <v>106</v>
      </c>
      <c r="Q11" s="48" t="s">
        <v>107</v>
      </c>
      <c r="R11" s="47" t="s">
        <v>108</v>
      </c>
      <c r="S11" s="53" t="s">
        <v>109</v>
      </c>
      <c r="T11" s="53" t="s">
        <v>110</v>
      </c>
      <c r="U11" s="54" t="s">
        <v>4</v>
      </c>
      <c r="V11" s="53" t="s">
        <v>111</v>
      </c>
      <c r="W11" s="24"/>
      <c r="X11" s="24"/>
    </row>
    <row r="12" customFormat="false" ht="12.75" hidden="false" customHeight="false" outlineLevel="0" collapsed="false">
      <c r="A12" s="15" t="s">
        <v>112</v>
      </c>
      <c r="B12" s="16" t="s">
        <v>113</v>
      </c>
      <c r="C12" s="16" t="s">
        <v>114</v>
      </c>
      <c r="D12" s="17" t="n">
        <v>36526</v>
      </c>
      <c r="E12" s="17" t="n">
        <v>36830</v>
      </c>
      <c r="F12" s="15" t="s">
        <v>115</v>
      </c>
      <c r="G12" s="15" t="s">
        <v>116</v>
      </c>
      <c r="H12" s="16"/>
      <c r="I12" s="19" t="n">
        <f aca="false">1.0603/I$1</f>
        <v>0.0342032258064516</v>
      </c>
      <c r="J12" s="20" t="n">
        <v>0.0017</v>
      </c>
      <c r="K12" s="20" t="n">
        <v>0.0022</v>
      </c>
      <c r="L12" s="20" t="n">
        <v>0</v>
      </c>
      <c r="M12" s="20" t="n">
        <v>0</v>
      </c>
      <c r="N12" s="32" t="n">
        <v>0.00593</v>
      </c>
      <c r="O12" s="20" t="n">
        <f aca="false">SUM(I12:M12)</f>
        <v>0.0381032258064516</v>
      </c>
      <c r="P12" s="24" t="n">
        <v>42789</v>
      </c>
      <c r="Q12" s="16" t="n">
        <v>30000</v>
      </c>
      <c r="R12" s="15" t="s">
        <v>117</v>
      </c>
      <c r="S12" s="23" t="n">
        <f aca="false">I12*I$1*Q12</f>
        <v>31809</v>
      </c>
      <c r="T12" s="23"/>
      <c r="U12" s="55" t="n">
        <v>140447</v>
      </c>
      <c r="V12" s="15"/>
      <c r="W12" s="24"/>
      <c r="X12" s="24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56" t="s">
        <v>1</v>
      </c>
      <c r="B13" s="57" t="s">
        <v>1</v>
      </c>
      <c r="C13" s="58" t="s">
        <v>1</v>
      </c>
      <c r="D13" s="59" t="s">
        <v>1</v>
      </c>
      <c r="E13" s="59"/>
      <c r="F13" s="56" t="s">
        <v>1</v>
      </c>
      <c r="G13" s="60" t="s">
        <v>1</v>
      </c>
      <c r="H13" s="57" t="s">
        <v>1</v>
      </c>
      <c r="I13" s="61"/>
      <c r="J13" s="62"/>
      <c r="K13" s="62"/>
      <c r="L13" s="62"/>
      <c r="M13" s="62"/>
      <c r="N13" s="63"/>
      <c r="O13" s="62"/>
      <c r="P13" s="64" t="s">
        <v>1</v>
      </c>
      <c r="Q13" s="57" t="n">
        <f aca="false">SUM(Q12)</f>
        <v>30000</v>
      </c>
      <c r="R13" s="56" t="s">
        <v>1</v>
      </c>
      <c r="S13" s="65" t="n">
        <f aca="false">SUM(S12)</f>
        <v>31809</v>
      </c>
      <c r="T13" s="65" t="n">
        <f aca="false">SUM(T12)</f>
        <v>0</v>
      </c>
      <c r="U13" s="66"/>
      <c r="V13" s="67"/>
      <c r="W13" s="24"/>
      <c r="X13" s="24"/>
    </row>
    <row r="14" customFormat="false" ht="12.75" hidden="false" customHeight="false" outlineLevel="0" collapsed="false">
      <c r="A14" s="47" t="s">
        <v>92</v>
      </c>
      <c r="B14" s="48" t="s">
        <v>93</v>
      </c>
      <c r="C14" s="48" t="s">
        <v>94</v>
      </c>
      <c r="D14" s="49" t="s">
        <v>95</v>
      </c>
      <c r="E14" s="49"/>
      <c r="F14" s="47" t="s">
        <v>96</v>
      </c>
      <c r="G14" s="47" t="s">
        <v>97</v>
      </c>
      <c r="H14" s="48" t="s">
        <v>98</v>
      </c>
      <c r="I14" s="50" t="s">
        <v>99</v>
      </c>
      <c r="J14" s="48" t="s">
        <v>100</v>
      </c>
      <c r="K14" s="48" t="s">
        <v>101</v>
      </c>
      <c r="L14" s="48" t="s">
        <v>102</v>
      </c>
      <c r="M14" s="48" t="s">
        <v>103</v>
      </c>
      <c r="N14" s="51" t="s">
        <v>104</v>
      </c>
      <c r="O14" s="48" t="s">
        <v>105</v>
      </c>
      <c r="P14" s="52" t="s">
        <v>106</v>
      </c>
      <c r="Q14" s="48" t="s">
        <v>107</v>
      </c>
      <c r="R14" s="47" t="s">
        <v>108</v>
      </c>
      <c r="S14" s="53" t="s">
        <v>118</v>
      </c>
      <c r="T14" s="53" t="s">
        <v>118</v>
      </c>
      <c r="U14" s="54"/>
      <c r="V14" s="53" t="str">
        <f aca="false">+V11</f>
        <v>Questions</v>
      </c>
      <c r="W14" s="24"/>
      <c r="X14" s="24"/>
    </row>
    <row r="15" customFormat="false" ht="12.75" hidden="false" customHeight="false" outlineLevel="0" collapsed="false">
      <c r="A15" s="15" t="s">
        <v>112</v>
      </c>
      <c r="B15" s="16" t="s">
        <v>119</v>
      </c>
      <c r="C15" s="16" t="s">
        <v>114</v>
      </c>
      <c r="D15" s="17" t="n">
        <v>36526</v>
      </c>
      <c r="E15" s="17" t="s">
        <v>120</v>
      </c>
      <c r="F15" s="15" t="s">
        <v>121</v>
      </c>
      <c r="G15" s="15" t="s">
        <v>121</v>
      </c>
      <c r="H15" s="16"/>
      <c r="I15" s="19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32" t="n">
        <v>0</v>
      </c>
      <c r="O15" s="20" t="n">
        <f aca="false">SUM(I15:M15)</f>
        <v>0</v>
      </c>
      <c r="P15" s="24" t="n">
        <v>36907</v>
      </c>
      <c r="Q15" s="16" t="n">
        <v>0</v>
      </c>
      <c r="R15" s="15" t="s">
        <v>122</v>
      </c>
      <c r="S15" s="23" t="n">
        <f aca="false">I15*I$1*Q15</f>
        <v>0</v>
      </c>
      <c r="T15" s="23"/>
      <c r="U15" s="55" t="n">
        <v>148659</v>
      </c>
      <c r="V15" s="23"/>
      <c r="W15" s="24"/>
      <c r="X15" s="24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15" t="s">
        <v>123</v>
      </c>
      <c r="B16" s="16" t="s">
        <v>119</v>
      </c>
      <c r="C16" s="16" t="s">
        <v>124</v>
      </c>
      <c r="D16" s="17" t="n">
        <v>36526</v>
      </c>
      <c r="E16" s="17" t="s">
        <v>120</v>
      </c>
      <c r="F16" s="15" t="s">
        <v>121</v>
      </c>
      <c r="G16" s="15" t="s">
        <v>121</v>
      </c>
      <c r="H16" s="16"/>
      <c r="I16" s="19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32" t="n">
        <v>0</v>
      </c>
      <c r="O16" s="20" t="n">
        <f aca="false">SUM(I16:M16)</f>
        <v>0</v>
      </c>
      <c r="P16" s="24" t="n">
        <v>48049</v>
      </c>
      <c r="Q16" s="16" t="n">
        <v>0</v>
      </c>
      <c r="R16" s="15" t="s">
        <v>122</v>
      </c>
      <c r="S16" s="23" t="n">
        <f aca="false">I16*I$1*Q16</f>
        <v>0</v>
      </c>
      <c r="T16" s="23"/>
      <c r="U16" s="55" t="n">
        <v>149173</v>
      </c>
      <c r="V16" s="23"/>
      <c r="W16" s="24"/>
      <c r="X16" s="24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15" t="s">
        <v>112</v>
      </c>
      <c r="B17" s="16" t="s">
        <v>119</v>
      </c>
      <c r="C17" s="16" t="s">
        <v>114</v>
      </c>
      <c r="D17" s="17" t="n">
        <v>36526</v>
      </c>
      <c r="E17" s="17" t="s">
        <v>120</v>
      </c>
      <c r="F17" s="15" t="s">
        <v>121</v>
      </c>
      <c r="G17" s="15" t="s">
        <v>121</v>
      </c>
      <c r="H17" s="16"/>
      <c r="I17" s="19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32" t="n">
        <v>0</v>
      </c>
      <c r="O17" s="20" t="n">
        <f aca="false">SUM(I17:M17)</f>
        <v>0</v>
      </c>
      <c r="P17" s="24" t="n">
        <v>39999</v>
      </c>
      <c r="Q17" s="16" t="n">
        <v>0</v>
      </c>
      <c r="R17" s="15" t="s">
        <v>125</v>
      </c>
      <c r="S17" s="23" t="n">
        <f aca="false">I17*I$1*Q17</f>
        <v>0</v>
      </c>
      <c r="T17" s="23"/>
      <c r="U17" s="55" t="n">
        <v>149337</v>
      </c>
      <c r="V17" s="23"/>
      <c r="W17" s="24"/>
      <c r="X17" s="24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5" t="s">
        <v>123</v>
      </c>
      <c r="B18" s="16" t="s">
        <v>119</v>
      </c>
      <c r="C18" s="16" t="s">
        <v>124</v>
      </c>
      <c r="D18" s="17" t="n">
        <v>36526</v>
      </c>
      <c r="E18" s="17" t="s">
        <v>120</v>
      </c>
      <c r="F18" s="15" t="s">
        <v>121</v>
      </c>
      <c r="G18" s="15" t="s">
        <v>121</v>
      </c>
      <c r="H18" s="16"/>
      <c r="I18" s="19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32" t="n">
        <v>0</v>
      </c>
      <c r="O18" s="20" t="n">
        <f aca="false">SUM(I18:M18)</f>
        <v>0</v>
      </c>
      <c r="P18" s="24" t="n">
        <v>48050</v>
      </c>
      <c r="Q18" s="16" t="n">
        <v>0</v>
      </c>
      <c r="R18" s="15" t="s">
        <v>125</v>
      </c>
      <c r="S18" s="23" t="n">
        <f aca="false">I18*I$1*Q18</f>
        <v>0</v>
      </c>
      <c r="T18" s="23"/>
      <c r="U18" s="55" t="n">
        <v>149338</v>
      </c>
      <c r="V18" s="23"/>
      <c r="W18" s="24"/>
      <c r="X18" s="24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5"/>
      <c r="B19" s="16"/>
      <c r="C19" s="16"/>
      <c r="D19" s="17" t="s">
        <v>1</v>
      </c>
      <c r="E19" s="17"/>
      <c r="F19" s="15"/>
      <c r="G19" s="15"/>
      <c r="H19" s="16"/>
      <c r="I19" s="19"/>
      <c r="J19" s="20"/>
      <c r="K19" s="68"/>
      <c r="L19" s="20"/>
      <c r="M19" s="20"/>
      <c r="N19" s="32"/>
      <c r="O19" s="20"/>
      <c r="P19" s="36"/>
      <c r="Q19" s="44"/>
      <c r="R19" s="69"/>
      <c r="S19" s="70"/>
      <c r="T19" s="34"/>
      <c r="U19" s="35"/>
      <c r="V19" s="34"/>
      <c r="W19" s="36"/>
      <c r="X19" s="36"/>
    </row>
    <row r="20" customFormat="false" ht="12.75" hidden="false" customHeight="false" outlineLevel="0" collapsed="false">
      <c r="A20" s="47" t="s">
        <v>92</v>
      </c>
      <c r="B20" s="48" t="s">
        <v>93</v>
      </c>
      <c r="C20" s="48" t="s">
        <v>94</v>
      </c>
      <c r="D20" s="49" t="s">
        <v>95</v>
      </c>
      <c r="E20" s="49"/>
      <c r="F20" s="47" t="s">
        <v>96</v>
      </c>
      <c r="G20" s="47" t="s">
        <v>97</v>
      </c>
      <c r="H20" s="48" t="s">
        <v>98</v>
      </c>
      <c r="I20" s="50" t="s">
        <v>99</v>
      </c>
      <c r="J20" s="48" t="s">
        <v>100</v>
      </c>
      <c r="K20" s="48" t="s">
        <v>101</v>
      </c>
      <c r="L20" s="48" t="s">
        <v>102</v>
      </c>
      <c r="M20" s="48" t="s">
        <v>103</v>
      </c>
      <c r="N20" s="51" t="s">
        <v>104</v>
      </c>
      <c r="O20" s="48" t="s">
        <v>105</v>
      </c>
      <c r="P20" s="52" t="s">
        <v>106</v>
      </c>
      <c r="Q20" s="48" t="s">
        <v>107</v>
      </c>
      <c r="R20" s="47" t="s">
        <v>108</v>
      </c>
      <c r="S20" s="53" t="s">
        <v>109</v>
      </c>
      <c r="T20" s="53" t="s">
        <v>110</v>
      </c>
      <c r="U20" s="54" t="s">
        <v>4</v>
      </c>
      <c r="V20" s="53" t="s">
        <v>111</v>
      </c>
      <c r="W20" s="24"/>
      <c r="X20" s="24"/>
    </row>
    <row r="21" customFormat="false" ht="12.75" hidden="false" customHeight="false" outlineLevel="0" collapsed="false">
      <c r="A21" s="15" t="s">
        <v>112</v>
      </c>
      <c r="B21" s="16" t="s">
        <v>126</v>
      </c>
      <c r="C21" s="16" t="s">
        <v>114</v>
      </c>
      <c r="D21" s="17" t="n">
        <v>36526</v>
      </c>
      <c r="E21" s="17" t="s">
        <v>120</v>
      </c>
      <c r="F21" s="15" t="s">
        <v>127</v>
      </c>
      <c r="G21" s="15" t="s">
        <v>127</v>
      </c>
      <c r="H21" s="16" t="s">
        <v>11</v>
      </c>
      <c r="I21" s="19" t="n">
        <v>0</v>
      </c>
      <c r="J21" s="20" t="n">
        <v>0</v>
      </c>
      <c r="K21" s="20" t="n">
        <v>0</v>
      </c>
      <c r="L21" s="20" t="n">
        <v>0</v>
      </c>
      <c r="M21" s="20" t="n">
        <v>0</v>
      </c>
      <c r="N21" s="32" t="n">
        <v>0</v>
      </c>
      <c r="O21" s="20" t="n">
        <f aca="false">SUM(I21:M21)</f>
        <v>0</v>
      </c>
      <c r="P21" s="24" t="n">
        <v>238</v>
      </c>
      <c r="Q21" s="16" t="n">
        <v>0</v>
      </c>
      <c r="R21" s="15" t="s">
        <v>128</v>
      </c>
      <c r="S21" s="23" t="n">
        <f aca="false">I21*I$1*Q21</f>
        <v>0</v>
      </c>
      <c r="T21" s="23"/>
      <c r="U21" s="55" t="n">
        <v>149902</v>
      </c>
      <c r="V21" s="15"/>
      <c r="W21" s="24"/>
      <c r="X21" s="24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56" t="s">
        <v>1</v>
      </c>
      <c r="B22" s="57" t="s">
        <v>1</v>
      </c>
      <c r="C22" s="58" t="s">
        <v>1</v>
      </c>
      <c r="D22" s="59" t="s">
        <v>1</v>
      </c>
      <c r="E22" s="59"/>
      <c r="F22" s="56" t="s">
        <v>1</v>
      </c>
      <c r="G22" s="60" t="s">
        <v>1</v>
      </c>
      <c r="H22" s="57" t="s">
        <v>1</v>
      </c>
      <c r="I22" s="61"/>
      <c r="J22" s="62"/>
      <c r="K22" s="62"/>
      <c r="L22" s="62"/>
      <c r="M22" s="62"/>
      <c r="N22" s="63"/>
      <c r="O22" s="62"/>
      <c r="P22" s="64" t="s">
        <v>1</v>
      </c>
      <c r="Q22" s="57" t="n">
        <f aca="false">SUM(Q21)</f>
        <v>0</v>
      </c>
      <c r="R22" s="56" t="s">
        <v>1</v>
      </c>
      <c r="S22" s="65" t="n">
        <f aca="false">SUM(S21)</f>
        <v>0</v>
      </c>
      <c r="T22" s="65" t="n">
        <f aca="false">SUM(T21)</f>
        <v>0</v>
      </c>
      <c r="U22" s="66"/>
      <c r="V22" s="67"/>
      <c r="W22" s="24"/>
      <c r="X22" s="24"/>
    </row>
    <row r="23" customFormat="false" ht="12.75" hidden="false" customHeight="false" outlineLevel="0" collapsed="false">
      <c r="A23" s="47" t="s">
        <v>92</v>
      </c>
      <c r="B23" s="48" t="s">
        <v>93</v>
      </c>
      <c r="C23" s="48" t="s">
        <v>94</v>
      </c>
      <c r="D23" s="49" t="s">
        <v>95</v>
      </c>
      <c r="E23" s="49"/>
      <c r="F23" s="47" t="s">
        <v>96</v>
      </c>
      <c r="G23" s="47" t="s">
        <v>97</v>
      </c>
      <c r="H23" s="48" t="s">
        <v>98</v>
      </c>
      <c r="I23" s="50" t="s">
        <v>99</v>
      </c>
      <c r="J23" s="48" t="s">
        <v>100</v>
      </c>
      <c r="K23" s="48" t="s">
        <v>101</v>
      </c>
      <c r="L23" s="48" t="s">
        <v>102</v>
      </c>
      <c r="M23" s="48" t="s">
        <v>103</v>
      </c>
      <c r="N23" s="51" t="s">
        <v>104</v>
      </c>
      <c r="O23" s="48" t="s">
        <v>105</v>
      </c>
      <c r="P23" s="52" t="s">
        <v>106</v>
      </c>
      <c r="Q23" s="48" t="s">
        <v>107</v>
      </c>
      <c r="R23" s="47" t="s">
        <v>108</v>
      </c>
      <c r="S23" s="53" t="s">
        <v>109</v>
      </c>
      <c r="T23" s="53" t="s">
        <v>110</v>
      </c>
      <c r="U23" s="54" t="s">
        <v>4</v>
      </c>
      <c r="V23" s="53" t="s">
        <v>111</v>
      </c>
      <c r="W23" s="24"/>
      <c r="X23" s="24"/>
    </row>
    <row r="24" customFormat="false" ht="12.75" hidden="false" customHeight="false" outlineLevel="0" collapsed="false">
      <c r="A24" s="15" t="s">
        <v>112</v>
      </c>
      <c r="B24" s="16" t="s">
        <v>129</v>
      </c>
      <c r="C24" s="16" t="s">
        <v>114</v>
      </c>
      <c r="D24" s="17" t="n">
        <v>36526</v>
      </c>
      <c r="E24" s="17" t="s">
        <v>120</v>
      </c>
      <c r="F24" s="15" t="s">
        <v>127</v>
      </c>
      <c r="G24" s="15" t="s">
        <v>127</v>
      </c>
      <c r="H24" s="16" t="s">
        <v>11</v>
      </c>
      <c r="I24" s="19" t="n">
        <v>0</v>
      </c>
      <c r="J24" s="20" t="n">
        <v>0</v>
      </c>
      <c r="K24" s="20" t="n">
        <v>0</v>
      </c>
      <c r="L24" s="20" t="n">
        <v>0</v>
      </c>
      <c r="M24" s="20" t="n">
        <v>0</v>
      </c>
      <c r="N24" s="32" t="n">
        <v>0</v>
      </c>
      <c r="O24" s="20" t="n">
        <f aca="false">SUM(I24:M24)</f>
        <v>0</v>
      </c>
      <c r="P24" s="24" t="n">
        <v>3.2846</v>
      </c>
      <c r="Q24" s="16" t="n">
        <v>0</v>
      </c>
      <c r="R24" s="15" t="s">
        <v>128</v>
      </c>
      <c r="S24" s="23" t="n">
        <f aca="false">I24*I$1*Q24</f>
        <v>0</v>
      </c>
      <c r="T24" s="23"/>
      <c r="U24" s="55" t="n">
        <v>149876</v>
      </c>
      <c r="V24" s="15"/>
      <c r="W24" s="24"/>
      <c r="X24" s="24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56" t="s">
        <v>1</v>
      </c>
      <c r="B25" s="57" t="s">
        <v>1</v>
      </c>
      <c r="C25" s="58" t="s">
        <v>1</v>
      </c>
      <c r="D25" s="59" t="s">
        <v>1</v>
      </c>
      <c r="E25" s="59"/>
      <c r="F25" s="56" t="s">
        <v>1</v>
      </c>
      <c r="G25" s="60" t="s">
        <v>1</v>
      </c>
      <c r="H25" s="57" t="s">
        <v>1</v>
      </c>
      <c r="I25" s="61"/>
      <c r="J25" s="62"/>
      <c r="K25" s="62"/>
      <c r="L25" s="62"/>
      <c r="M25" s="62"/>
      <c r="N25" s="63"/>
      <c r="O25" s="62"/>
      <c r="P25" s="64" t="s">
        <v>1</v>
      </c>
      <c r="Q25" s="57" t="n">
        <f aca="false">SUM(Q24)</f>
        <v>0</v>
      </c>
      <c r="R25" s="56" t="s">
        <v>1</v>
      </c>
      <c r="S25" s="65" t="n">
        <f aca="false">SUM(S24)</f>
        <v>0</v>
      </c>
      <c r="T25" s="65" t="n">
        <f aca="false">SUM(T24)</f>
        <v>0</v>
      </c>
      <c r="U25" s="66"/>
      <c r="V25" s="67"/>
      <c r="W25" s="24"/>
      <c r="X25" s="24"/>
    </row>
    <row r="26" customFormat="false" ht="12.75" hidden="false" customHeight="false" outlineLevel="0" collapsed="false">
      <c r="A26" s="26"/>
      <c r="B26" s="16"/>
      <c r="C26" s="16"/>
      <c r="D26" s="17"/>
      <c r="E26" s="17"/>
      <c r="F26" s="15"/>
      <c r="G26" s="15"/>
      <c r="H26" s="16"/>
      <c r="I26" s="19"/>
      <c r="J26" s="20"/>
      <c r="K26" s="20"/>
      <c r="L26" s="20"/>
      <c r="M26" s="20"/>
      <c r="N26" s="32"/>
      <c r="O26" s="20"/>
      <c r="P26" s="36"/>
      <c r="Q26" s="71"/>
      <c r="R26" s="69"/>
      <c r="S26" s="34"/>
      <c r="T26" s="34"/>
      <c r="U26" s="35"/>
      <c r="V26" s="34"/>
      <c r="W26" s="36"/>
      <c r="X26" s="36"/>
    </row>
    <row r="27" customFormat="false" ht="12.75" hidden="false" customHeight="false" outlineLevel="0" collapsed="false">
      <c r="A27" s="26"/>
      <c r="B27" s="16"/>
      <c r="C27" s="16"/>
      <c r="D27" s="17"/>
      <c r="E27" s="17"/>
      <c r="F27" s="15"/>
      <c r="G27" s="15"/>
      <c r="H27" s="16"/>
      <c r="I27" s="20"/>
      <c r="J27" s="20"/>
      <c r="K27" s="20"/>
      <c r="L27" s="20"/>
      <c r="M27" s="20"/>
      <c r="N27" s="32"/>
      <c r="O27" s="20"/>
      <c r="P27" s="36"/>
      <c r="Q27" s="71"/>
      <c r="R27" s="34"/>
      <c r="S27" s="34"/>
      <c r="T27" s="34"/>
      <c r="U27" s="35"/>
      <c r="V27" s="34"/>
      <c r="W27" s="36"/>
      <c r="X27" s="36"/>
    </row>
    <row r="28" customFormat="false" ht="12.75" hidden="false" customHeight="false" outlineLevel="0" collapsed="false">
      <c r="A28" s="26"/>
      <c r="B28" s="16"/>
      <c r="C28" s="16"/>
      <c r="D28" s="17"/>
      <c r="E28" s="17"/>
      <c r="F28" s="15"/>
      <c r="G28" s="15"/>
      <c r="H28" s="16"/>
      <c r="I28" s="19"/>
      <c r="J28" s="20"/>
      <c r="K28" s="20"/>
      <c r="L28" s="20"/>
      <c r="M28" s="20"/>
      <c r="N28" s="32"/>
      <c r="O28" s="20"/>
      <c r="P28" s="36"/>
      <c r="Q28" s="71"/>
      <c r="R28" s="34"/>
      <c r="S28" s="34"/>
      <c r="T28" s="34"/>
      <c r="U28" s="35"/>
      <c r="V28" s="34"/>
      <c r="W28" s="36"/>
      <c r="X28" s="36"/>
    </row>
    <row r="29" customFormat="false" ht="12.75" hidden="false" customHeight="false" outlineLevel="0" collapsed="false">
      <c r="A29" s="26" t="s">
        <v>130</v>
      </c>
      <c r="B29" s="16"/>
      <c r="C29" s="16"/>
      <c r="D29" s="17"/>
      <c r="E29" s="17"/>
      <c r="F29" s="15"/>
      <c r="G29" s="15"/>
      <c r="H29" s="16"/>
      <c r="I29" s="20"/>
      <c r="J29" s="20"/>
      <c r="K29" s="20"/>
      <c r="L29" s="20"/>
      <c r="M29" s="20"/>
      <c r="N29" s="32"/>
      <c r="O29" s="20"/>
      <c r="P29" s="36"/>
      <c r="Q29" s="71"/>
      <c r="R29" s="34"/>
      <c r="S29" s="34"/>
      <c r="T29" s="34"/>
      <c r="U29" s="35"/>
      <c r="V29" s="34"/>
      <c r="W29" s="36"/>
      <c r="X29" s="36"/>
    </row>
    <row r="30" customFormat="false" ht="12.75" hidden="false" customHeight="false" outlineLevel="0" collapsed="false">
      <c r="A30" s="26"/>
      <c r="B30" s="15" t="s">
        <v>131</v>
      </c>
      <c r="C30" s="16"/>
      <c r="D30" s="17"/>
      <c r="E30" s="17"/>
      <c r="F30" s="15"/>
      <c r="G30" s="15"/>
      <c r="H30" s="16"/>
      <c r="I30" s="19"/>
      <c r="J30" s="20"/>
      <c r="K30" s="20"/>
      <c r="L30" s="20"/>
      <c r="M30" s="20"/>
      <c r="N30" s="32"/>
      <c r="O30" s="20"/>
      <c r="P30" s="36"/>
      <c r="Q30" s="71"/>
      <c r="R30" s="34"/>
      <c r="S30" s="34"/>
      <c r="T30" s="34"/>
      <c r="U30" s="35"/>
      <c r="V30" s="34"/>
      <c r="W30" s="36"/>
      <c r="X30" s="36"/>
    </row>
    <row r="31" customFormat="false" ht="12.75" hidden="false" customHeight="false" outlineLevel="0" collapsed="false">
      <c r="A31" s="26"/>
      <c r="B31" s="16" t="s">
        <v>132</v>
      </c>
      <c r="C31" s="24" t="n">
        <v>149776</v>
      </c>
      <c r="D31" s="17"/>
      <c r="E31" s="17"/>
      <c r="F31" s="15"/>
      <c r="G31" s="15"/>
      <c r="H31" s="16"/>
      <c r="I31" s="20"/>
      <c r="J31" s="20"/>
      <c r="K31" s="20"/>
      <c r="L31" s="20"/>
      <c r="M31" s="20"/>
      <c r="N31" s="32"/>
      <c r="O31" s="20"/>
      <c r="P31" s="36"/>
      <c r="Q31" s="71"/>
      <c r="R31" s="34"/>
      <c r="S31" s="34"/>
      <c r="T31" s="34"/>
      <c r="U31" s="35"/>
      <c r="V31" s="34"/>
      <c r="W31" s="36"/>
      <c r="X31" s="36"/>
    </row>
    <row r="32" customFormat="false" ht="12.75" hidden="false" customHeight="false" outlineLevel="0" collapsed="false">
      <c r="A32" s="26"/>
      <c r="B32" s="16" t="s">
        <v>133</v>
      </c>
      <c r="C32" s="24" t="n">
        <v>149775</v>
      </c>
      <c r="D32" s="17"/>
      <c r="E32" s="17"/>
      <c r="F32" s="15"/>
      <c r="G32" s="15"/>
      <c r="H32" s="16"/>
      <c r="I32" s="20"/>
      <c r="J32" s="20"/>
      <c r="K32" s="20"/>
      <c r="L32" s="20"/>
      <c r="M32" s="20"/>
      <c r="N32" s="32"/>
      <c r="O32" s="20"/>
      <c r="P32" s="36"/>
      <c r="Q32" s="71"/>
      <c r="R32" s="34"/>
      <c r="S32" s="34"/>
      <c r="T32" s="34"/>
      <c r="U32" s="35"/>
      <c r="V32" s="34"/>
      <c r="W32" s="69"/>
      <c r="X32" s="36"/>
    </row>
    <row r="33" customFormat="false" ht="12.75" hidden="false" customHeight="false" outlineLevel="0" collapsed="false">
      <c r="A33" s="26"/>
      <c r="B33" s="16"/>
      <c r="C33" s="16"/>
      <c r="D33" s="17"/>
      <c r="E33" s="17"/>
      <c r="F33" s="15"/>
      <c r="G33" s="15"/>
      <c r="H33" s="16"/>
      <c r="I33" s="20"/>
      <c r="J33" s="20"/>
      <c r="K33" s="20"/>
      <c r="L33" s="20"/>
      <c r="M33" s="20"/>
      <c r="N33" s="32"/>
      <c r="O33" s="20"/>
      <c r="P33" s="36"/>
      <c r="Q33" s="71"/>
      <c r="R33" s="34"/>
      <c r="S33" s="34"/>
      <c r="T33" s="34"/>
      <c r="U33" s="35"/>
      <c r="V33" s="34"/>
      <c r="W33" s="36"/>
      <c r="X33" s="36"/>
    </row>
    <row r="34" customFormat="false" ht="12.75" hidden="false" customHeight="false" outlineLevel="0" collapsed="false">
      <c r="A34" s="26"/>
      <c r="B34" s="16"/>
      <c r="C34" s="16"/>
      <c r="D34" s="17"/>
      <c r="E34" s="17"/>
      <c r="F34" s="15"/>
      <c r="G34" s="15"/>
      <c r="H34" s="16"/>
      <c r="I34" s="20"/>
      <c r="J34" s="20"/>
      <c r="K34" s="20"/>
      <c r="L34" s="20"/>
      <c r="M34" s="20"/>
      <c r="N34" s="32"/>
      <c r="O34" s="20"/>
      <c r="P34" s="36"/>
      <c r="Q34" s="71"/>
      <c r="R34" s="34"/>
      <c r="S34" s="34"/>
      <c r="T34" s="34"/>
      <c r="U34" s="35"/>
      <c r="V34" s="34"/>
      <c r="W34" s="36"/>
      <c r="X34" s="36"/>
    </row>
    <row r="35" customFormat="false" ht="12.75" hidden="false" customHeight="false" outlineLevel="0" collapsed="false">
      <c r="A35" s="26"/>
      <c r="B35" s="16"/>
      <c r="C35" s="16"/>
      <c r="D35" s="17"/>
      <c r="E35" s="17"/>
      <c r="F35" s="15"/>
      <c r="G35" s="15"/>
      <c r="H35" s="16"/>
      <c r="I35" s="19"/>
      <c r="J35" s="20"/>
      <c r="K35" s="20"/>
      <c r="L35" s="20"/>
      <c r="M35" s="20"/>
      <c r="N35" s="32"/>
      <c r="O35" s="20"/>
      <c r="P35" s="36"/>
      <c r="Q35" s="71"/>
      <c r="R35" s="69"/>
      <c r="S35" s="34"/>
      <c r="T35" s="34"/>
      <c r="U35" s="35"/>
      <c r="V35" s="34"/>
      <c r="W35" s="36"/>
      <c r="X35" s="36"/>
    </row>
    <row r="36" customFormat="false" ht="12.75" hidden="false" customHeight="false" outlineLevel="0" collapsed="false">
      <c r="A36" s="26"/>
      <c r="B36" s="16"/>
      <c r="C36" s="16"/>
      <c r="D36" s="17"/>
      <c r="E36" s="17"/>
      <c r="F36" s="15"/>
      <c r="G36" s="15"/>
      <c r="H36" s="16"/>
      <c r="I36" s="19"/>
      <c r="J36" s="20"/>
      <c r="K36" s="20"/>
      <c r="L36" s="20"/>
      <c r="M36" s="20"/>
      <c r="N36" s="32"/>
      <c r="O36" s="20"/>
      <c r="P36" s="36"/>
      <c r="Q36" s="71"/>
      <c r="R36" s="69"/>
      <c r="S36" s="34"/>
      <c r="T36" s="34"/>
      <c r="U36" s="35"/>
      <c r="V36" s="34"/>
      <c r="W36" s="36"/>
      <c r="X36" s="36"/>
    </row>
    <row r="37" customFormat="false" ht="12.75" hidden="false" customHeight="false" outlineLevel="0" collapsed="false">
      <c r="P37" s="72"/>
      <c r="Q37" s="73"/>
      <c r="R37" s="73"/>
      <c r="S37" s="73"/>
      <c r="T37" s="73"/>
      <c r="U37" s="72"/>
      <c r="V37" s="73"/>
      <c r="W37" s="72"/>
    </row>
    <row r="38" customFormat="false" ht="12.75" hidden="false" customHeight="false" outlineLevel="0" collapsed="false">
      <c r="P38" s="72"/>
      <c r="Q38" s="73"/>
      <c r="R38" s="73"/>
      <c r="S38" s="73"/>
      <c r="T38" s="73"/>
      <c r="U38" s="72"/>
      <c r="V38" s="73"/>
      <c r="W38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G32" colorId="64" zoomScale="100" zoomScaleNormal="100" zoomScalePageLayoutView="100" workbookViewId="0">
      <selection pane="topLeft" activeCell="T56" activeCellId="0" sqref="T5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" width="8.85"/>
    <col collapsed="false" customWidth="false" hidden="false" outlineLevel="0" max="2" min="2" style="25" width="9.14"/>
    <col collapsed="false" customWidth="true" hidden="false" outlineLevel="0" max="3" min="3" style="25" width="10.56"/>
    <col collapsed="false" customWidth="true" hidden="false" outlineLevel="0" max="4" min="4" style="25" width="8.7"/>
    <col collapsed="false" customWidth="true" hidden="false" outlineLevel="0" max="5" min="5" style="25" width="10.99"/>
    <col collapsed="false" customWidth="true" hidden="false" outlineLevel="0" max="6" min="6" style="26" width="12.42"/>
    <col collapsed="false" customWidth="true" hidden="false" outlineLevel="0" max="7" min="7" style="26" width="7.99"/>
    <col collapsed="false" customWidth="true" hidden="false" outlineLevel="0" max="8" min="8" style="25" width="6.41"/>
    <col collapsed="false" customWidth="true" hidden="true" outlineLevel="0" max="9" min="9" style="25" width="8.85"/>
    <col collapsed="false" customWidth="true" hidden="true" outlineLevel="0" max="13" min="10" style="25" width="9.06"/>
    <col collapsed="false" customWidth="true" hidden="true" outlineLevel="0" max="14" min="14" style="27" width="9.06"/>
    <col collapsed="false" customWidth="true" hidden="true" outlineLevel="0" max="15" min="15" style="25" width="9.06"/>
    <col collapsed="false" customWidth="true" hidden="false" outlineLevel="0" max="17" min="16" style="25" width="12.28"/>
    <col collapsed="false" customWidth="false" hidden="false" outlineLevel="0" max="18" min="18" style="25" width="9.14"/>
    <col collapsed="false" customWidth="true" hidden="false" outlineLevel="0" max="19" min="19" style="25" width="13.7"/>
    <col collapsed="false" customWidth="true" hidden="false" outlineLevel="0" max="20" min="20" style="25" width="12.85"/>
    <col collapsed="false" customWidth="false" hidden="false" outlineLevel="0" max="21" min="21" style="25" width="9.14"/>
    <col collapsed="false" customWidth="true" hidden="false" outlineLevel="0" max="23" min="22" style="28" width="13.56"/>
    <col collapsed="false" customWidth="false" hidden="false" outlineLevel="0" max="25" min="24" style="28" width="9.14"/>
    <col collapsed="false" customWidth="true" hidden="false" outlineLevel="0" max="26" min="26" style="25" width="12.42"/>
    <col collapsed="false" customWidth="false" hidden="false" outlineLevel="0" max="257" min="27" style="25" width="9.14"/>
  </cols>
  <sheetData>
    <row r="1" customFormat="false" ht="12.75" hidden="false" customHeight="false" outlineLevel="0" collapsed="false">
      <c r="A1" s="29" t="s">
        <v>134</v>
      </c>
      <c r="B1" s="16"/>
      <c r="C1" s="16"/>
      <c r="D1" s="17"/>
      <c r="E1" s="17"/>
      <c r="F1" s="15"/>
      <c r="G1" s="15"/>
      <c r="H1" s="16" t="s">
        <v>82</v>
      </c>
      <c r="I1" s="30" t="n">
        <v>31</v>
      </c>
      <c r="J1" s="31" t="s">
        <v>83</v>
      </c>
      <c r="K1" s="20"/>
      <c r="L1" s="20"/>
      <c r="M1" s="20"/>
      <c r="N1" s="32"/>
      <c r="O1" s="20"/>
      <c r="P1" s="22"/>
      <c r="Q1" s="22"/>
      <c r="R1" s="33"/>
      <c r="S1" s="34"/>
      <c r="T1" s="34"/>
      <c r="U1" s="34"/>
      <c r="V1" s="35"/>
      <c r="W1" s="35"/>
      <c r="X1" s="36"/>
      <c r="Y1" s="36"/>
    </row>
    <row r="2" customFormat="false" ht="12.75" hidden="false" customHeight="false" outlineLevel="0" collapsed="false">
      <c r="A2" s="37" t="s">
        <v>84</v>
      </c>
      <c r="B2" s="37"/>
      <c r="C2" s="37"/>
      <c r="D2" s="17"/>
      <c r="E2" s="17"/>
      <c r="F2" s="15"/>
      <c r="G2" s="15"/>
      <c r="H2" s="16"/>
      <c r="I2" s="30"/>
      <c r="J2" s="31" t="s">
        <v>85</v>
      </c>
      <c r="K2" s="20"/>
      <c r="L2" s="20"/>
      <c r="M2" s="20"/>
      <c r="N2" s="32"/>
      <c r="O2" s="20"/>
      <c r="P2" s="22"/>
      <c r="Q2" s="22"/>
      <c r="R2" s="33"/>
      <c r="S2" s="34"/>
      <c r="T2" s="34"/>
      <c r="U2" s="34"/>
      <c r="V2" s="35"/>
      <c r="W2" s="35"/>
      <c r="X2" s="36"/>
      <c r="Y2" s="36"/>
    </row>
    <row r="3" customFormat="false" ht="12.75" hidden="false" customHeight="false" outlineLevel="0" collapsed="false">
      <c r="A3" s="38" t="s">
        <v>86</v>
      </c>
      <c r="B3" s="38"/>
      <c r="C3" s="38"/>
      <c r="D3" s="17"/>
      <c r="E3" s="17"/>
      <c r="F3" s="39" t="s">
        <v>1</v>
      </c>
      <c r="G3" s="15" t="s">
        <v>1</v>
      </c>
      <c r="H3" s="33" t="s">
        <v>1</v>
      </c>
      <c r="I3" s="19"/>
      <c r="J3" s="40" t="s">
        <v>1</v>
      </c>
      <c r="K3" s="20"/>
      <c r="L3" s="40" t="s">
        <v>1</v>
      </c>
      <c r="M3" s="20"/>
      <c r="N3" s="32"/>
      <c r="O3" s="40" t="s">
        <v>1</v>
      </c>
      <c r="P3" s="22"/>
      <c r="Q3" s="22"/>
      <c r="R3" s="33"/>
      <c r="S3" s="34"/>
      <c r="T3" s="34"/>
      <c r="U3" s="34"/>
      <c r="V3" s="35"/>
      <c r="W3" s="35"/>
      <c r="X3" s="36"/>
      <c r="Y3" s="36"/>
    </row>
    <row r="4" customFormat="false" ht="12.75" hidden="false" customHeight="false" outlineLevel="0" collapsed="false">
      <c r="A4" s="41" t="s">
        <v>87</v>
      </c>
      <c r="B4" s="42"/>
      <c r="C4" s="42"/>
      <c r="D4" s="17"/>
      <c r="E4" s="17"/>
      <c r="F4" s="43"/>
      <c r="G4" s="15"/>
      <c r="H4" s="43"/>
      <c r="I4" s="19"/>
      <c r="J4" s="43"/>
      <c r="K4" s="20"/>
      <c r="L4" s="43"/>
      <c r="M4" s="33"/>
      <c r="N4" s="32"/>
      <c r="O4" s="33"/>
      <c r="P4" s="22"/>
      <c r="Q4" s="22"/>
      <c r="R4" s="33"/>
      <c r="S4" s="34"/>
      <c r="T4" s="44"/>
      <c r="U4" s="44"/>
      <c r="V4" s="45"/>
      <c r="W4" s="45"/>
      <c r="X4" s="36"/>
      <c r="Y4" s="36"/>
    </row>
    <row r="5" customFormat="false" ht="12.75" hidden="false" customHeight="false" outlineLevel="0" collapsed="false">
      <c r="A5" s="15" t="s">
        <v>88</v>
      </c>
      <c r="B5" s="16"/>
      <c r="C5" s="46" t="s">
        <v>89</v>
      </c>
      <c r="D5" s="17"/>
      <c r="E5" s="17"/>
      <c r="F5" s="43"/>
      <c r="G5" s="15"/>
      <c r="H5" s="43"/>
      <c r="I5" s="19"/>
      <c r="J5" s="43"/>
      <c r="K5" s="20"/>
      <c r="L5" s="43"/>
      <c r="M5" s="33"/>
      <c r="N5" s="32"/>
      <c r="O5" s="33"/>
      <c r="P5" s="22"/>
      <c r="Q5" s="22"/>
      <c r="R5" s="33"/>
      <c r="S5" s="34"/>
      <c r="T5" s="44"/>
      <c r="U5" s="44"/>
      <c r="V5" s="45"/>
      <c r="W5" s="45"/>
      <c r="X5" s="36"/>
      <c r="Y5" s="36"/>
    </row>
    <row r="6" customFormat="false" ht="12.75" hidden="false" customHeight="false" outlineLevel="0" collapsed="false">
      <c r="A6" s="15"/>
      <c r="B6" s="16"/>
      <c r="C6" s="46" t="s">
        <v>90</v>
      </c>
      <c r="D6" s="17"/>
      <c r="E6" s="17"/>
      <c r="F6" s="43"/>
      <c r="G6" s="15"/>
      <c r="H6" s="43"/>
      <c r="I6" s="19"/>
      <c r="J6" s="43"/>
      <c r="K6" s="20"/>
      <c r="L6" s="43"/>
      <c r="M6" s="33"/>
      <c r="N6" s="32"/>
      <c r="O6" s="33"/>
      <c r="P6" s="22"/>
      <c r="Q6" s="22"/>
      <c r="R6" s="33"/>
      <c r="S6" s="34"/>
      <c r="T6" s="44"/>
      <c r="U6" s="44"/>
      <c r="V6" s="45"/>
      <c r="W6" s="45"/>
      <c r="X6" s="36"/>
      <c r="Y6" s="36"/>
    </row>
    <row r="7" customFormat="false" ht="12.75" hidden="false" customHeight="false" outlineLevel="0" collapsed="false">
      <c r="A7" s="15"/>
      <c r="B7" s="16"/>
      <c r="C7" s="46" t="s">
        <v>91</v>
      </c>
      <c r="D7" s="17"/>
      <c r="E7" s="17"/>
      <c r="F7" s="43"/>
      <c r="G7" s="15"/>
      <c r="H7" s="43"/>
      <c r="I7" s="19"/>
      <c r="J7" s="43"/>
      <c r="K7" s="20"/>
      <c r="L7" s="43"/>
      <c r="M7" s="33"/>
      <c r="N7" s="32"/>
      <c r="O7" s="33"/>
      <c r="P7" s="22"/>
      <c r="Q7" s="22"/>
      <c r="R7" s="33"/>
      <c r="S7" s="34"/>
      <c r="T7" s="44"/>
      <c r="U7" s="44"/>
      <c r="V7" s="45"/>
      <c r="W7" s="45"/>
      <c r="X7" s="36"/>
      <c r="Y7" s="36"/>
    </row>
    <row r="8" customFormat="false" ht="12.75" hidden="false" customHeight="false" outlineLevel="0" collapsed="false">
      <c r="A8" s="15"/>
      <c r="B8" s="16"/>
      <c r="C8" s="46"/>
      <c r="D8" s="17"/>
      <c r="E8" s="17"/>
      <c r="F8" s="43"/>
      <c r="G8" s="15"/>
      <c r="H8" s="43"/>
      <c r="I8" s="19"/>
      <c r="J8" s="43"/>
      <c r="K8" s="20"/>
      <c r="L8" s="43"/>
      <c r="M8" s="33"/>
      <c r="N8" s="32"/>
      <c r="O8" s="33"/>
      <c r="P8" s="22"/>
      <c r="Q8" s="22"/>
      <c r="R8" s="33"/>
      <c r="S8" s="34"/>
      <c r="T8" s="44"/>
      <c r="U8" s="44"/>
      <c r="V8" s="45"/>
      <c r="W8" s="45"/>
      <c r="X8" s="36"/>
      <c r="Y8" s="36"/>
    </row>
    <row r="9" customFormat="false" ht="12.75" hidden="false" customHeight="false" outlineLevel="0" collapsed="false">
      <c r="A9" s="15"/>
      <c r="B9" s="16"/>
      <c r="C9" s="46"/>
      <c r="D9" s="17"/>
      <c r="E9" s="17"/>
      <c r="F9" s="43"/>
      <c r="G9" s="15"/>
      <c r="H9" s="43"/>
      <c r="I9" s="19"/>
      <c r="J9" s="43"/>
      <c r="K9" s="20"/>
      <c r="L9" s="43"/>
      <c r="M9" s="33"/>
      <c r="N9" s="32"/>
      <c r="O9" s="33"/>
      <c r="P9" s="22"/>
      <c r="Q9" s="22"/>
      <c r="R9" s="33"/>
      <c r="S9" s="34"/>
      <c r="T9" s="44"/>
      <c r="U9" s="44"/>
      <c r="V9" s="45"/>
      <c r="W9" s="45"/>
      <c r="X9" s="36"/>
      <c r="Y9" s="36"/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43"/>
      <c r="G10" s="15"/>
      <c r="H10" s="43"/>
      <c r="I10" s="19"/>
      <c r="J10" s="43"/>
      <c r="K10" s="20"/>
      <c r="L10" s="43"/>
      <c r="M10" s="33"/>
      <c r="N10" s="32"/>
      <c r="O10" s="33"/>
      <c r="P10" s="22"/>
      <c r="Q10" s="22"/>
      <c r="R10" s="33"/>
      <c r="S10" s="34"/>
      <c r="T10" s="44"/>
      <c r="U10" s="44"/>
      <c r="V10" s="45"/>
      <c r="W10" s="45"/>
      <c r="X10" s="36"/>
      <c r="Y10" s="36"/>
    </row>
    <row r="11" customFormat="false" ht="12.75" hidden="false" customHeight="false" outlineLevel="0" collapsed="false">
      <c r="A11" s="47" t="s">
        <v>92</v>
      </c>
      <c r="B11" s="48" t="s">
        <v>93</v>
      </c>
      <c r="C11" s="48" t="s">
        <v>94</v>
      </c>
      <c r="D11" s="49" t="s">
        <v>95</v>
      </c>
      <c r="E11" s="49"/>
      <c r="F11" s="47" t="s">
        <v>96</v>
      </c>
      <c r="G11" s="47" t="s">
        <v>97</v>
      </c>
      <c r="H11" s="48" t="s">
        <v>98</v>
      </c>
      <c r="I11" s="50" t="s">
        <v>99</v>
      </c>
      <c r="J11" s="48" t="s">
        <v>100</v>
      </c>
      <c r="K11" s="48" t="s">
        <v>101</v>
      </c>
      <c r="L11" s="48" t="s">
        <v>102</v>
      </c>
      <c r="M11" s="48" t="s">
        <v>103</v>
      </c>
      <c r="N11" s="51" t="s">
        <v>104</v>
      </c>
      <c r="O11" s="48" t="s">
        <v>105</v>
      </c>
      <c r="P11" s="74" t="s">
        <v>135</v>
      </c>
      <c r="Q11" s="74" t="s">
        <v>136</v>
      </c>
      <c r="R11" s="48" t="s">
        <v>107</v>
      </c>
      <c r="S11" s="47" t="s">
        <v>108</v>
      </c>
      <c r="T11" s="53" t="s">
        <v>109</v>
      </c>
      <c r="U11" s="53" t="s">
        <v>110</v>
      </c>
      <c r="V11" s="54" t="s">
        <v>137</v>
      </c>
      <c r="W11" s="54" t="s">
        <v>138</v>
      </c>
      <c r="X11" s="24"/>
      <c r="Y11" s="24"/>
    </row>
    <row r="12" customFormat="false" ht="12.75" hidden="false" customHeight="false" outlineLevel="0" collapsed="false">
      <c r="A12" s="37" t="s">
        <v>139</v>
      </c>
      <c r="B12" s="75" t="s">
        <v>41</v>
      </c>
      <c r="C12" s="75" t="s">
        <v>140</v>
      </c>
      <c r="D12" s="76" t="n">
        <v>36557</v>
      </c>
      <c r="E12" s="76" t="n">
        <v>36616</v>
      </c>
      <c r="F12" s="37" t="s">
        <v>141</v>
      </c>
      <c r="G12" s="37" t="s">
        <v>142</v>
      </c>
      <c r="H12" s="75" t="s">
        <v>143</v>
      </c>
      <c r="I12" s="77" t="n">
        <f aca="false">5.75/I$1</f>
        <v>0.185483870967742</v>
      </c>
      <c r="J12" s="78" t="n">
        <v>0.0434</v>
      </c>
      <c r="K12" s="78" t="n">
        <v>0.0022</v>
      </c>
      <c r="L12" s="78" t="n">
        <v>0</v>
      </c>
      <c r="M12" s="78" t="n">
        <v>0</v>
      </c>
      <c r="N12" s="79" t="n">
        <v>0.0228</v>
      </c>
      <c r="O12" s="78" t="n">
        <f aca="false">SUM(I12:M12)</f>
        <v>0.231083870967742</v>
      </c>
      <c r="P12" s="80" t="s">
        <v>144</v>
      </c>
      <c r="Q12" s="80" t="s">
        <v>145</v>
      </c>
      <c r="R12" s="75" t="n">
        <v>4600</v>
      </c>
      <c r="S12" s="37" t="s">
        <v>146</v>
      </c>
      <c r="T12" s="81" t="n">
        <f aca="false">I12*I$1*R12</f>
        <v>26450</v>
      </c>
      <c r="U12" s="81"/>
      <c r="V12" s="82" t="n">
        <v>153171</v>
      </c>
      <c r="W12" s="82" t="n">
        <v>142516</v>
      </c>
      <c r="X12" s="83"/>
      <c r="Y12" s="83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customFormat="false" ht="12.75" hidden="false" customHeight="false" outlineLevel="0" collapsed="false">
      <c r="A13" s="37" t="s">
        <v>139</v>
      </c>
      <c r="B13" s="75" t="s">
        <v>41</v>
      </c>
      <c r="C13" s="75" t="s">
        <v>140</v>
      </c>
      <c r="D13" s="76" t="n">
        <v>36557</v>
      </c>
      <c r="E13" s="76" t="n">
        <v>36616</v>
      </c>
      <c r="F13" s="37" t="s">
        <v>147</v>
      </c>
      <c r="G13" s="37" t="s">
        <v>142</v>
      </c>
      <c r="H13" s="75" t="s">
        <v>143</v>
      </c>
      <c r="I13" s="77" t="n">
        <f aca="false">5.75/I$1</f>
        <v>0.185483870967742</v>
      </c>
      <c r="J13" s="78" t="n">
        <v>0.0434</v>
      </c>
      <c r="K13" s="78" t="n">
        <v>0.0022</v>
      </c>
      <c r="L13" s="78" t="n">
        <v>0</v>
      </c>
      <c r="M13" s="78" t="n">
        <v>0</v>
      </c>
      <c r="N13" s="79" t="n">
        <v>0.0228</v>
      </c>
      <c r="O13" s="78" t="n">
        <f aca="false">SUM(I13:M13)</f>
        <v>0.231083870967742</v>
      </c>
      <c r="P13" s="80" t="s">
        <v>144</v>
      </c>
      <c r="Q13" s="80" t="s">
        <v>145</v>
      </c>
      <c r="R13" s="75" t="n">
        <v>11357</v>
      </c>
      <c r="S13" s="37" t="s">
        <v>146</v>
      </c>
      <c r="T13" s="81" t="n">
        <f aca="false">I13*I$1*R13</f>
        <v>65302.75</v>
      </c>
      <c r="U13" s="81"/>
      <c r="V13" s="82" t="n">
        <v>153171</v>
      </c>
      <c r="W13" s="82" t="n">
        <v>142516</v>
      </c>
      <c r="X13" s="83"/>
      <c r="Y13" s="83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customFormat="false" ht="12.75" hidden="false" customHeight="false" outlineLevel="0" collapsed="false">
      <c r="A14" s="37" t="s">
        <v>139</v>
      </c>
      <c r="B14" s="75" t="s">
        <v>41</v>
      </c>
      <c r="C14" s="75" t="s">
        <v>140</v>
      </c>
      <c r="D14" s="76" t="n">
        <v>36557</v>
      </c>
      <c r="E14" s="76" t="n">
        <v>36616</v>
      </c>
      <c r="F14" s="37"/>
      <c r="G14" s="37"/>
      <c r="H14" s="75" t="s">
        <v>148</v>
      </c>
      <c r="I14" s="77" t="n">
        <f aca="false">6.25/I$1</f>
        <v>0.201612903225806</v>
      </c>
      <c r="J14" s="78" t="n">
        <v>0</v>
      </c>
      <c r="K14" s="78" t="n">
        <v>0</v>
      </c>
      <c r="L14" s="78" t="n">
        <v>0</v>
      </c>
      <c r="M14" s="78" t="n">
        <v>0</v>
      </c>
      <c r="N14" s="79" t="n">
        <v>0</v>
      </c>
      <c r="O14" s="78" t="n">
        <f aca="false">SUM(I14:M14)</f>
        <v>0.201612903225806</v>
      </c>
      <c r="P14" s="80" t="s">
        <v>144</v>
      </c>
      <c r="Q14" s="80" t="s">
        <v>145</v>
      </c>
      <c r="R14" s="75" t="n">
        <v>15957</v>
      </c>
      <c r="S14" s="37" t="s">
        <v>146</v>
      </c>
      <c r="T14" s="81" t="n">
        <f aca="false">I14*I$1*R14</f>
        <v>99731.25</v>
      </c>
      <c r="U14" s="81"/>
      <c r="V14" s="82" t="n">
        <v>153171</v>
      </c>
      <c r="W14" s="82" t="n">
        <v>142516</v>
      </c>
      <c r="X14" s="83"/>
      <c r="Y14" s="83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customFormat="false" ht="12.75" hidden="false" customHeight="false" outlineLevel="0" collapsed="false">
      <c r="A15" s="15"/>
      <c r="B15" s="16"/>
      <c r="C15" s="16"/>
      <c r="D15" s="17"/>
      <c r="E15" s="17"/>
      <c r="F15" s="15"/>
      <c r="G15" s="15"/>
      <c r="H15" s="16"/>
      <c r="I15" s="19"/>
      <c r="J15" s="20"/>
      <c r="K15" s="20"/>
      <c r="L15" s="20"/>
      <c r="M15" s="20"/>
      <c r="N15" s="32"/>
      <c r="O15" s="20"/>
      <c r="P15" s="22"/>
      <c r="Q15" s="22"/>
      <c r="R15" s="16"/>
      <c r="S15" s="15"/>
      <c r="T15" s="23" t="n">
        <f aca="false">SUM(T12:T14)</f>
        <v>191484</v>
      </c>
      <c r="U15" s="23"/>
      <c r="V15" s="55"/>
      <c r="W15" s="55"/>
      <c r="X15" s="24"/>
      <c r="Y15" s="24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47" t="s">
        <v>92</v>
      </c>
      <c r="B16" s="48" t="s">
        <v>93</v>
      </c>
      <c r="C16" s="48" t="s">
        <v>94</v>
      </c>
      <c r="D16" s="49" t="s">
        <v>95</v>
      </c>
      <c r="E16" s="49"/>
      <c r="F16" s="47" t="s">
        <v>96</v>
      </c>
      <c r="G16" s="47" t="s">
        <v>97</v>
      </c>
      <c r="H16" s="48" t="s">
        <v>98</v>
      </c>
      <c r="I16" s="50" t="s">
        <v>99</v>
      </c>
      <c r="J16" s="48" t="s">
        <v>100</v>
      </c>
      <c r="K16" s="48" t="s">
        <v>101</v>
      </c>
      <c r="L16" s="48" t="s">
        <v>102</v>
      </c>
      <c r="M16" s="48" t="s">
        <v>103</v>
      </c>
      <c r="N16" s="51" t="s">
        <v>104</v>
      </c>
      <c r="O16" s="48" t="s">
        <v>105</v>
      </c>
      <c r="P16" s="74" t="s">
        <v>135</v>
      </c>
      <c r="Q16" s="74" t="s">
        <v>136</v>
      </c>
      <c r="R16" s="48" t="s">
        <v>107</v>
      </c>
      <c r="S16" s="47" t="s">
        <v>108</v>
      </c>
      <c r="T16" s="53" t="s">
        <v>109</v>
      </c>
      <c r="U16" s="53" t="s">
        <v>110</v>
      </c>
      <c r="V16" s="54" t="s">
        <v>137</v>
      </c>
      <c r="W16" s="54" t="s">
        <v>138</v>
      </c>
      <c r="X16" s="24"/>
      <c r="Y16" s="24"/>
    </row>
    <row r="17" customFormat="false" ht="12.75" hidden="false" customHeight="false" outlineLevel="0" collapsed="false">
      <c r="A17" s="37" t="s">
        <v>139</v>
      </c>
      <c r="B17" s="75" t="s">
        <v>113</v>
      </c>
      <c r="C17" s="75" t="s">
        <v>114</v>
      </c>
      <c r="D17" s="76" t="n">
        <v>36557</v>
      </c>
      <c r="E17" s="76" t="n">
        <v>36830</v>
      </c>
      <c r="F17" s="37" t="s">
        <v>115</v>
      </c>
      <c r="G17" s="37" t="s">
        <v>116</v>
      </c>
      <c r="H17" s="75"/>
      <c r="I17" s="77" t="n">
        <f aca="false">1.0603/I$1</f>
        <v>0.0342032258064516</v>
      </c>
      <c r="J17" s="78" t="n">
        <v>0.0017</v>
      </c>
      <c r="K17" s="78" t="n">
        <v>0.0022</v>
      </c>
      <c r="L17" s="78" t="n">
        <v>0</v>
      </c>
      <c r="M17" s="78" t="n">
        <v>0</v>
      </c>
      <c r="N17" s="79" t="n">
        <v>0.00593</v>
      </c>
      <c r="O17" s="78" t="n">
        <f aca="false">SUM(I17:M17)</f>
        <v>0.0381032258064516</v>
      </c>
      <c r="P17" s="80" t="n">
        <v>42789</v>
      </c>
      <c r="Q17" s="80" t="n">
        <v>42789</v>
      </c>
      <c r="R17" s="75" t="n">
        <v>30000</v>
      </c>
      <c r="S17" s="37" t="s">
        <v>117</v>
      </c>
      <c r="T17" s="81" t="n">
        <f aca="false">I17*I$1*R17</f>
        <v>31809</v>
      </c>
      <c r="U17" s="81"/>
      <c r="V17" s="82" t="n">
        <v>156388</v>
      </c>
      <c r="W17" s="82" t="n">
        <v>140447</v>
      </c>
      <c r="X17" s="83"/>
      <c r="Y17" s="83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customFormat="false" ht="12.75" hidden="false" customHeight="false" outlineLevel="0" collapsed="false">
      <c r="A18" s="37" t="s">
        <v>139</v>
      </c>
      <c r="B18" s="75" t="s">
        <v>113</v>
      </c>
      <c r="C18" s="75" t="s">
        <v>114</v>
      </c>
      <c r="D18" s="76" t="n">
        <v>36557</v>
      </c>
      <c r="E18" s="76" t="n">
        <v>36830</v>
      </c>
      <c r="F18" s="37" t="s">
        <v>149</v>
      </c>
      <c r="G18" s="37" t="s">
        <v>116</v>
      </c>
      <c r="H18" s="75"/>
      <c r="I18" s="77" t="n">
        <f aca="false">1.0603/I$1</f>
        <v>0.0342032258064516</v>
      </c>
      <c r="J18" s="78" t="n">
        <v>0.0017</v>
      </c>
      <c r="K18" s="78" t="n">
        <v>0.0022</v>
      </c>
      <c r="L18" s="78" t="n">
        <v>0</v>
      </c>
      <c r="M18" s="78" t="n">
        <v>0</v>
      </c>
      <c r="N18" s="79" t="n">
        <v>0.00593</v>
      </c>
      <c r="O18" s="78" t="n">
        <f aca="false">SUM(I18:M18)</f>
        <v>0.0381032258064516</v>
      </c>
      <c r="P18" s="80" t="n">
        <v>50250</v>
      </c>
      <c r="Q18" s="80" t="n">
        <v>50250</v>
      </c>
      <c r="R18" s="75" t="n">
        <v>20000</v>
      </c>
      <c r="S18" s="37" t="s">
        <v>150</v>
      </c>
      <c r="T18" s="81" t="n">
        <f aca="false">I18*I$1*R18</f>
        <v>21206</v>
      </c>
      <c r="U18" s="81"/>
      <c r="V18" s="82" t="n">
        <v>156399</v>
      </c>
      <c r="W18" s="82" t="n">
        <v>140448</v>
      </c>
      <c r="X18" s="83"/>
      <c r="Y18" s="83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customFormat="false" ht="12.75" hidden="false" customHeight="false" outlineLevel="0" collapsed="false">
      <c r="A19" s="37" t="s">
        <v>139</v>
      </c>
      <c r="B19" s="75" t="s">
        <v>113</v>
      </c>
      <c r="C19" s="75" t="s">
        <v>114</v>
      </c>
      <c r="D19" s="76" t="n">
        <v>36557</v>
      </c>
      <c r="E19" s="76" t="n">
        <v>38442</v>
      </c>
      <c r="F19" s="37" t="s">
        <v>116</v>
      </c>
      <c r="G19" s="37" t="s">
        <v>151</v>
      </c>
      <c r="H19" s="75"/>
      <c r="I19" s="77" t="n">
        <f aca="false">3.145/I$1</f>
        <v>0.101451612903226</v>
      </c>
      <c r="J19" s="78" t="n">
        <v>0.017</v>
      </c>
      <c r="K19" s="78" t="n">
        <v>0.0022</v>
      </c>
      <c r="L19" s="78" t="n">
        <v>0</v>
      </c>
      <c r="M19" s="78" t="n">
        <v>0</v>
      </c>
      <c r="N19" s="79" t="n">
        <v>0.02988</v>
      </c>
      <c r="O19" s="78" t="n">
        <f aca="false">SUM(I19:M19)</f>
        <v>0.120651612903226</v>
      </c>
      <c r="P19" s="80" t="n">
        <v>58654</v>
      </c>
      <c r="Q19" s="80" t="n">
        <v>58654</v>
      </c>
      <c r="R19" s="75" t="n">
        <v>15000</v>
      </c>
      <c r="S19" s="37" t="s">
        <v>152</v>
      </c>
      <c r="T19" s="81" t="n">
        <f aca="false">I19*I$1*R19</f>
        <v>47175</v>
      </c>
      <c r="U19" s="81"/>
      <c r="V19" s="82" t="n">
        <v>156408</v>
      </c>
      <c r="W19" s="82" t="n">
        <v>140445</v>
      </c>
      <c r="X19" s="83"/>
      <c r="Y19" s="83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0" customFormat="false" ht="12.75" hidden="false" customHeight="false" outlineLevel="0" collapsed="false">
      <c r="A20" s="37" t="s">
        <v>139</v>
      </c>
      <c r="B20" s="75" t="s">
        <v>113</v>
      </c>
      <c r="C20" s="75" t="s">
        <v>114</v>
      </c>
      <c r="D20" s="76" t="n">
        <v>36557</v>
      </c>
      <c r="E20" s="76" t="n">
        <v>37955</v>
      </c>
      <c r="F20" s="37" t="s">
        <v>153</v>
      </c>
      <c r="G20" s="37" t="s">
        <v>154</v>
      </c>
      <c r="H20" s="75"/>
      <c r="I20" s="77" t="n">
        <f aca="false">1.0603/I$1</f>
        <v>0.0342032258064516</v>
      </c>
      <c r="J20" s="78" t="n">
        <v>0.0017</v>
      </c>
      <c r="K20" s="78" t="n">
        <v>0.0022</v>
      </c>
      <c r="L20" s="78" t="n">
        <v>0</v>
      </c>
      <c r="M20" s="78" t="n">
        <v>0</v>
      </c>
      <c r="N20" s="79" t="n">
        <v>0.00593</v>
      </c>
      <c r="O20" s="78" t="n">
        <f aca="false">SUM(I20:M20)</f>
        <v>0.0381032258064516</v>
      </c>
      <c r="P20" s="80" t="n">
        <v>62408</v>
      </c>
      <c r="Q20" s="80" t="n">
        <v>62408</v>
      </c>
      <c r="R20" s="75" t="n">
        <v>40000</v>
      </c>
      <c r="S20" s="37" t="s">
        <v>155</v>
      </c>
      <c r="T20" s="81" t="n">
        <f aca="false">I20*I$1*R20</f>
        <v>42412</v>
      </c>
      <c r="U20" s="81"/>
      <c r="V20" s="82" t="n">
        <v>156526</v>
      </c>
      <c r="W20" s="82" t="n">
        <v>140443</v>
      </c>
      <c r="X20" s="83"/>
      <c r="Y20" s="83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</row>
    <row r="21" customFormat="false" ht="12.75" hidden="false" customHeight="false" outlineLevel="0" collapsed="false">
      <c r="A21" s="37" t="s">
        <v>139</v>
      </c>
      <c r="B21" s="75" t="s">
        <v>113</v>
      </c>
      <c r="C21" s="75" t="s">
        <v>114</v>
      </c>
      <c r="D21" s="76" t="n">
        <v>36557</v>
      </c>
      <c r="E21" s="76" t="n">
        <v>37346</v>
      </c>
      <c r="F21" s="37" t="s">
        <v>116</v>
      </c>
      <c r="G21" s="37" t="s">
        <v>151</v>
      </c>
      <c r="H21" s="75"/>
      <c r="I21" s="77" t="n">
        <v>0.088</v>
      </c>
      <c r="J21" s="78" t="n">
        <v>0.017</v>
      </c>
      <c r="K21" s="78" t="n">
        <v>0.0022</v>
      </c>
      <c r="L21" s="78" t="n">
        <v>0</v>
      </c>
      <c r="M21" s="78" t="n">
        <v>0</v>
      </c>
      <c r="N21" s="79" t="n">
        <v>0.02988</v>
      </c>
      <c r="O21" s="78" t="n">
        <f aca="false">SUM(I21:M21)</f>
        <v>0.1072</v>
      </c>
      <c r="P21" s="80" t="n">
        <v>63115</v>
      </c>
      <c r="Q21" s="80" t="n">
        <v>63115</v>
      </c>
      <c r="R21" s="75" t="n">
        <v>30000</v>
      </c>
      <c r="S21" s="37" t="s">
        <v>152</v>
      </c>
      <c r="T21" s="81" t="n">
        <f aca="false">I21*I$1*R21</f>
        <v>81840</v>
      </c>
      <c r="U21" s="81"/>
      <c r="V21" s="82" t="n">
        <v>156532</v>
      </c>
      <c r="W21" s="82" t="n">
        <v>140442</v>
      </c>
      <c r="X21" s="83"/>
      <c r="Y21" s="83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</row>
    <row r="22" customFormat="false" ht="12.75" hidden="false" customHeight="false" outlineLevel="0" collapsed="false">
      <c r="A22" s="37" t="s">
        <v>139</v>
      </c>
      <c r="B22" s="75" t="s">
        <v>113</v>
      </c>
      <c r="C22" s="75" t="s">
        <v>114</v>
      </c>
      <c r="D22" s="76" t="n">
        <v>36557</v>
      </c>
      <c r="E22" s="76" t="n">
        <v>38291</v>
      </c>
      <c r="F22" s="37" t="s">
        <v>156</v>
      </c>
      <c r="G22" s="37" t="s">
        <v>116</v>
      </c>
      <c r="H22" s="75"/>
      <c r="I22" s="77" t="n">
        <f aca="false">1.0603/I$1</f>
        <v>0.0342032258064516</v>
      </c>
      <c r="J22" s="78" t="n">
        <v>0.0017</v>
      </c>
      <c r="K22" s="78" t="n">
        <v>0.0022</v>
      </c>
      <c r="L22" s="78" t="n">
        <v>0</v>
      </c>
      <c r="M22" s="78" t="n">
        <v>0</v>
      </c>
      <c r="N22" s="79" t="n">
        <v>0.00593</v>
      </c>
      <c r="O22" s="78" t="n">
        <f aca="false">SUM(I22:M22)</f>
        <v>0.0381032258064516</v>
      </c>
      <c r="P22" s="80" t="n">
        <v>63922</v>
      </c>
      <c r="Q22" s="80" t="n">
        <v>63922</v>
      </c>
      <c r="R22" s="75" t="n">
        <v>25654</v>
      </c>
      <c r="S22" s="37" t="s">
        <v>157</v>
      </c>
      <c r="T22" s="81" t="n">
        <f aca="false">I22*I$1*R22</f>
        <v>27200.9362</v>
      </c>
      <c r="U22" s="81"/>
      <c r="V22" s="82" t="n">
        <v>156540</v>
      </c>
      <c r="W22" s="82" t="n">
        <v>140444</v>
      </c>
      <c r="X22" s="83"/>
      <c r="Y22" s="83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  <c r="IW22" s="84"/>
    </row>
    <row r="23" customFormat="false" ht="12.75" hidden="false" customHeight="false" outlineLevel="0" collapsed="false">
      <c r="A23" s="37" t="s">
        <v>139</v>
      </c>
      <c r="B23" s="75" t="s">
        <v>113</v>
      </c>
      <c r="C23" s="75" t="s">
        <v>114</v>
      </c>
      <c r="D23" s="76" t="n">
        <v>36557</v>
      </c>
      <c r="E23" s="76" t="n">
        <v>36769</v>
      </c>
      <c r="F23" s="37" t="s">
        <v>158</v>
      </c>
      <c r="G23" s="37" t="s">
        <v>159</v>
      </c>
      <c r="H23" s="75"/>
      <c r="I23" s="77" t="n">
        <v>0.0648</v>
      </c>
      <c r="J23" s="78" t="n">
        <v>0</v>
      </c>
      <c r="K23" s="78" t="n">
        <v>0.0022</v>
      </c>
      <c r="L23" s="78" t="n">
        <v>0</v>
      </c>
      <c r="M23" s="78" t="n">
        <v>0</v>
      </c>
      <c r="N23" s="79" t="n">
        <v>0.00593</v>
      </c>
      <c r="O23" s="78" t="n">
        <f aca="false">SUM(I23:M23)</f>
        <v>0.067</v>
      </c>
      <c r="P23" s="80" t="n">
        <v>64502</v>
      </c>
      <c r="Q23" s="80" t="n">
        <v>64502</v>
      </c>
      <c r="R23" s="75" t="n">
        <v>29000</v>
      </c>
      <c r="S23" s="37" t="s">
        <v>160</v>
      </c>
      <c r="T23" s="81" t="n">
        <f aca="false">I23*I$1*R23</f>
        <v>58255.2</v>
      </c>
      <c r="U23" s="81"/>
      <c r="V23" s="82" t="s">
        <v>161</v>
      </c>
      <c r="W23" s="82" t="s">
        <v>162</v>
      </c>
      <c r="X23" s="83"/>
      <c r="Y23" s="83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  <c r="IQ23" s="84"/>
      <c r="IR23" s="84"/>
      <c r="IS23" s="84"/>
      <c r="IT23" s="84"/>
      <c r="IU23" s="84"/>
      <c r="IV23" s="84"/>
      <c r="IW23" s="84"/>
    </row>
    <row r="24" customFormat="false" ht="12.75" hidden="false" customHeight="false" outlineLevel="0" collapsed="false">
      <c r="A24" s="15" t="s">
        <v>139</v>
      </c>
      <c r="B24" s="85" t="s">
        <v>113</v>
      </c>
      <c r="C24" s="85" t="s">
        <v>114</v>
      </c>
      <c r="D24" s="86" t="n">
        <v>36373</v>
      </c>
      <c r="E24" s="86" t="n">
        <v>36738</v>
      </c>
      <c r="F24" s="87"/>
      <c r="G24" s="87"/>
      <c r="H24" s="85"/>
      <c r="I24" s="88"/>
      <c r="J24" s="89"/>
      <c r="K24" s="89"/>
      <c r="L24" s="89"/>
      <c r="M24" s="89"/>
      <c r="N24" s="90"/>
      <c r="O24" s="89"/>
      <c r="P24" s="91"/>
      <c r="Q24" s="91"/>
      <c r="R24" s="85"/>
      <c r="S24" s="87" t="s">
        <v>163</v>
      </c>
      <c r="T24" s="92"/>
      <c r="U24" s="92"/>
      <c r="V24" s="93"/>
      <c r="W24" s="93"/>
      <c r="X24" s="94"/>
      <c r="Y24" s="94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95"/>
      <c r="DU24" s="95"/>
      <c r="DV24" s="95"/>
      <c r="DW24" s="95"/>
      <c r="DX24" s="95"/>
      <c r="DY24" s="95"/>
      <c r="DZ24" s="95"/>
      <c r="EA24" s="95"/>
      <c r="EB24" s="95"/>
      <c r="EC24" s="95"/>
      <c r="ED24" s="95"/>
      <c r="EE24" s="95"/>
      <c r="EF24" s="95"/>
      <c r="EG24" s="95"/>
      <c r="EH24" s="95"/>
      <c r="EI24" s="95"/>
      <c r="EJ24" s="95"/>
      <c r="EK24" s="95"/>
      <c r="EL24" s="95"/>
      <c r="EM24" s="95"/>
      <c r="EN24" s="95"/>
      <c r="EO24" s="95"/>
      <c r="EP24" s="95"/>
      <c r="EQ24" s="95"/>
      <c r="ER24" s="95"/>
      <c r="ES24" s="95"/>
      <c r="ET24" s="95"/>
      <c r="EU24" s="95"/>
      <c r="EV24" s="95"/>
      <c r="EW24" s="95"/>
      <c r="EX24" s="95"/>
      <c r="EY24" s="95"/>
      <c r="EZ24" s="95"/>
      <c r="FA24" s="95"/>
      <c r="FB24" s="95"/>
      <c r="FC24" s="95"/>
      <c r="FD24" s="95"/>
      <c r="FE24" s="95"/>
      <c r="FF24" s="95"/>
      <c r="FG24" s="95"/>
      <c r="FH24" s="95"/>
      <c r="FI24" s="95"/>
      <c r="FJ24" s="95"/>
      <c r="FK24" s="95"/>
      <c r="FL24" s="95"/>
      <c r="FM24" s="95"/>
      <c r="FN24" s="95"/>
      <c r="FO24" s="95"/>
      <c r="FP24" s="95"/>
      <c r="FQ24" s="95"/>
      <c r="FR24" s="95"/>
      <c r="FS24" s="95"/>
      <c r="FT24" s="95"/>
      <c r="FU24" s="95"/>
      <c r="FV24" s="95"/>
      <c r="FW24" s="95"/>
      <c r="FX24" s="95"/>
      <c r="FY24" s="95"/>
      <c r="FZ24" s="95"/>
      <c r="GA24" s="95"/>
      <c r="GB24" s="95"/>
      <c r="GC24" s="95"/>
      <c r="GD24" s="95"/>
      <c r="GE24" s="95"/>
      <c r="GF24" s="95"/>
      <c r="GG24" s="95"/>
      <c r="GH24" s="95"/>
      <c r="GI24" s="95"/>
      <c r="GJ24" s="95"/>
      <c r="GK24" s="95"/>
      <c r="GL24" s="95"/>
      <c r="GM24" s="95"/>
      <c r="GN24" s="95"/>
      <c r="GO24" s="95"/>
      <c r="GP24" s="95"/>
      <c r="GQ24" s="95"/>
      <c r="GR24" s="95"/>
      <c r="GS24" s="95"/>
      <c r="GT24" s="95"/>
      <c r="GU24" s="95"/>
      <c r="GV24" s="95"/>
      <c r="GW24" s="95"/>
      <c r="GX24" s="95"/>
      <c r="GY24" s="95"/>
      <c r="GZ24" s="95"/>
      <c r="HA24" s="95"/>
      <c r="HB24" s="95"/>
      <c r="HC24" s="95"/>
      <c r="HD24" s="95"/>
      <c r="HE24" s="95"/>
      <c r="HF24" s="95"/>
      <c r="HG24" s="95"/>
      <c r="HH24" s="95"/>
      <c r="HI24" s="95"/>
      <c r="HJ24" s="95"/>
      <c r="HK24" s="95"/>
      <c r="HL24" s="95"/>
      <c r="HM24" s="95"/>
      <c r="HN24" s="95"/>
      <c r="HO24" s="95"/>
      <c r="HP24" s="95"/>
      <c r="HQ24" s="95"/>
      <c r="HR24" s="95"/>
      <c r="HS24" s="95"/>
      <c r="HT24" s="95"/>
      <c r="HU24" s="95"/>
      <c r="HV24" s="95"/>
      <c r="HW24" s="95"/>
      <c r="HX24" s="95"/>
      <c r="HY24" s="95"/>
      <c r="HZ24" s="95"/>
      <c r="IA24" s="95"/>
      <c r="IB24" s="95"/>
      <c r="IC24" s="95"/>
      <c r="ID24" s="95"/>
      <c r="IE24" s="95"/>
      <c r="IF24" s="95"/>
      <c r="IG24" s="95"/>
      <c r="IH24" s="95"/>
      <c r="II24" s="95"/>
      <c r="IJ24" s="95"/>
      <c r="IK24" s="95"/>
      <c r="IL24" s="95"/>
      <c r="IM24" s="95"/>
      <c r="IN24" s="95"/>
      <c r="IO24" s="95"/>
      <c r="IP24" s="95"/>
      <c r="IQ24" s="95"/>
      <c r="IR24" s="95"/>
      <c r="IS24" s="95"/>
      <c r="IT24" s="95"/>
      <c r="IU24" s="95"/>
      <c r="IV24" s="95"/>
      <c r="IW24" s="95"/>
    </row>
    <row r="25" customFormat="false" ht="13.5" hidden="false" customHeight="false" outlineLevel="0" collapsed="false">
      <c r="A25" s="37" t="s">
        <v>139</v>
      </c>
      <c r="B25" s="75" t="s">
        <v>113</v>
      </c>
      <c r="C25" s="75" t="s">
        <v>164</v>
      </c>
      <c r="D25" s="76" t="n">
        <v>36557</v>
      </c>
      <c r="E25" s="76" t="n">
        <v>36830</v>
      </c>
      <c r="F25" s="37" t="s">
        <v>165</v>
      </c>
      <c r="G25" s="37" t="s">
        <v>166</v>
      </c>
      <c r="H25" s="75"/>
      <c r="I25" s="77" t="n">
        <f aca="false">3.145/I$1</f>
        <v>0.101451612903226</v>
      </c>
      <c r="J25" s="78" t="n">
        <v>0</v>
      </c>
      <c r="K25" s="78" t="n">
        <v>0.0022</v>
      </c>
      <c r="L25" s="78" t="n">
        <v>0</v>
      </c>
      <c r="M25" s="78" t="n">
        <v>0</v>
      </c>
      <c r="N25" s="79" t="n">
        <v>0.00593</v>
      </c>
      <c r="O25" s="78" t="n">
        <f aca="false">SUM(I25:M25)</f>
        <v>0.103651612903226</v>
      </c>
      <c r="P25" s="80" t="n">
        <v>65072</v>
      </c>
      <c r="Q25" s="80" t="n">
        <v>65072</v>
      </c>
      <c r="R25" s="75" t="n">
        <v>7610</v>
      </c>
      <c r="S25" s="37" t="s">
        <v>167</v>
      </c>
      <c r="T25" s="81" t="n">
        <f aca="false">I25*I$1*R25</f>
        <v>23933.45</v>
      </c>
      <c r="U25" s="81"/>
      <c r="V25" s="82" t="n">
        <v>156603</v>
      </c>
      <c r="W25" s="82" t="n">
        <v>145034</v>
      </c>
      <c r="X25" s="83"/>
      <c r="Y25" s="83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  <c r="IU25" s="84"/>
      <c r="IV25" s="84"/>
      <c r="IW25" s="84"/>
    </row>
    <row r="26" customFormat="false" ht="13.5" hidden="false" customHeight="false" outlineLevel="0" collapsed="false">
      <c r="A26" s="37" t="s">
        <v>139</v>
      </c>
      <c r="B26" s="75" t="s">
        <v>113</v>
      </c>
      <c r="C26" s="75" t="s">
        <v>164</v>
      </c>
      <c r="D26" s="76" t="n">
        <v>36557</v>
      </c>
      <c r="E26" s="76" t="n">
        <v>36585</v>
      </c>
      <c r="F26" s="37" t="s">
        <v>165</v>
      </c>
      <c r="G26" s="37" t="s">
        <v>166</v>
      </c>
      <c r="H26" s="75"/>
      <c r="I26" s="77" t="n">
        <f aca="false">3.145/I$1</f>
        <v>0.101451612903226</v>
      </c>
      <c r="J26" s="78" t="n">
        <v>0</v>
      </c>
      <c r="K26" s="78" t="n">
        <v>0.0022</v>
      </c>
      <c r="L26" s="78" t="n">
        <v>0</v>
      </c>
      <c r="M26" s="78" t="n">
        <v>0</v>
      </c>
      <c r="N26" s="79" t="n">
        <v>0.00593</v>
      </c>
      <c r="O26" s="78" t="n">
        <f aca="false">SUM(I26:M26)</f>
        <v>0.103651612903226</v>
      </c>
      <c r="P26" s="80" t="n">
        <v>65072</v>
      </c>
      <c r="Q26" s="80" t="n">
        <v>65072</v>
      </c>
      <c r="R26" s="96" t="n">
        <v>-103</v>
      </c>
      <c r="S26" s="37" t="s">
        <v>168</v>
      </c>
      <c r="T26" s="81" t="n">
        <f aca="false">I26*I$1*R26</f>
        <v>-323.935</v>
      </c>
      <c r="U26" s="81"/>
      <c r="V26" s="82"/>
      <c r="W26" s="82"/>
      <c r="X26" s="83"/>
      <c r="Y26" s="83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  <c r="IU26" s="84"/>
      <c r="IV26" s="84"/>
      <c r="IW26" s="84"/>
    </row>
    <row r="27" customFormat="false" ht="12.75" hidden="false" customHeight="false" outlineLevel="0" collapsed="false">
      <c r="A27" s="37" t="s">
        <v>139</v>
      </c>
      <c r="B27" s="75" t="s">
        <v>113</v>
      </c>
      <c r="C27" s="75" t="s">
        <v>164</v>
      </c>
      <c r="D27" s="76" t="n">
        <v>36557</v>
      </c>
      <c r="E27" s="76" t="n">
        <v>36585</v>
      </c>
      <c r="F27" s="37" t="s">
        <v>165</v>
      </c>
      <c r="G27" s="37" t="s">
        <v>166</v>
      </c>
      <c r="H27" s="75"/>
      <c r="I27" s="77" t="n">
        <f aca="false">3.145/I$1</f>
        <v>0.101451612903226</v>
      </c>
      <c r="J27" s="78" t="n">
        <v>0</v>
      </c>
      <c r="K27" s="78" t="n">
        <v>0.0022</v>
      </c>
      <c r="L27" s="78" t="n">
        <v>0</v>
      </c>
      <c r="M27" s="78" t="n">
        <v>0</v>
      </c>
      <c r="N27" s="79" t="n">
        <v>0.00593</v>
      </c>
      <c r="O27" s="78" t="n">
        <f aca="false">SUM(I27:M27)</f>
        <v>0.103651612903226</v>
      </c>
      <c r="P27" s="80" t="n">
        <v>65072</v>
      </c>
      <c r="Q27" s="80" t="n">
        <v>65072</v>
      </c>
      <c r="R27" s="97" t="n">
        <v>-103</v>
      </c>
      <c r="S27" s="37" t="s">
        <v>169</v>
      </c>
      <c r="T27" s="81" t="n">
        <f aca="false">I27*I$1*R27</f>
        <v>-323.935</v>
      </c>
      <c r="U27" s="81"/>
      <c r="V27" s="82"/>
      <c r="W27" s="82"/>
      <c r="X27" s="83"/>
      <c r="Y27" s="83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  <c r="IU27" s="84"/>
      <c r="IV27" s="84"/>
      <c r="IW27" s="84"/>
    </row>
    <row r="28" customFormat="false" ht="13.5" hidden="false" customHeight="false" outlineLevel="0" collapsed="false">
      <c r="A28" s="37" t="s">
        <v>139</v>
      </c>
      <c r="B28" s="75" t="s">
        <v>113</v>
      </c>
      <c r="C28" s="75" t="s">
        <v>164</v>
      </c>
      <c r="D28" s="76" t="n">
        <v>36557</v>
      </c>
      <c r="E28" s="76" t="n">
        <v>36585</v>
      </c>
      <c r="F28" s="37" t="s">
        <v>165</v>
      </c>
      <c r="G28" s="37" t="s">
        <v>166</v>
      </c>
      <c r="H28" s="75"/>
      <c r="I28" s="77" t="n">
        <f aca="false">3.145/I$1</f>
        <v>0.101451612903226</v>
      </c>
      <c r="J28" s="78" t="n">
        <v>0</v>
      </c>
      <c r="K28" s="78" t="n">
        <v>0.0022</v>
      </c>
      <c r="L28" s="78" t="n">
        <v>0</v>
      </c>
      <c r="M28" s="78" t="n">
        <v>0</v>
      </c>
      <c r="N28" s="79" t="n">
        <v>0.00593</v>
      </c>
      <c r="O28" s="78" t="n">
        <f aca="false">SUM(I28:M28)</f>
        <v>0.103651612903226</v>
      </c>
      <c r="P28" s="80" t="n">
        <v>65072</v>
      </c>
      <c r="Q28" s="80" t="n">
        <v>65072</v>
      </c>
      <c r="R28" s="98" t="n">
        <v>-230</v>
      </c>
      <c r="S28" s="37" t="s">
        <v>170</v>
      </c>
      <c r="T28" s="81" t="n">
        <f aca="false">I28*I$1*R28</f>
        <v>-723.35</v>
      </c>
      <c r="U28" s="81"/>
      <c r="V28" s="82"/>
      <c r="W28" s="82"/>
      <c r="X28" s="83"/>
      <c r="Y28" s="83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  <c r="IV28" s="84"/>
      <c r="IW28" s="84"/>
    </row>
    <row r="29" customFormat="false" ht="13.5" hidden="false" customHeight="false" outlineLevel="0" collapsed="false">
      <c r="A29" s="37" t="s">
        <v>112</v>
      </c>
      <c r="B29" s="75" t="s">
        <v>113</v>
      </c>
      <c r="C29" s="75" t="s">
        <v>139</v>
      </c>
      <c r="D29" s="76" t="n">
        <v>36557</v>
      </c>
      <c r="E29" s="76" t="n">
        <v>36585</v>
      </c>
      <c r="F29" s="37" t="s">
        <v>171</v>
      </c>
      <c r="G29" s="37" t="s">
        <v>172</v>
      </c>
      <c r="H29" s="75"/>
      <c r="I29" s="77" t="n">
        <f aca="false">1.16/30.417</f>
        <v>0.0381365683663741</v>
      </c>
      <c r="J29" s="78"/>
      <c r="K29" s="78"/>
      <c r="L29" s="78"/>
      <c r="M29" s="78"/>
      <c r="N29" s="79"/>
      <c r="O29" s="78"/>
      <c r="P29" s="80" t="n">
        <v>66278</v>
      </c>
      <c r="Q29" s="80" t="n">
        <v>66281</v>
      </c>
      <c r="R29" s="99" t="n">
        <v>9500</v>
      </c>
      <c r="S29" s="37"/>
      <c r="T29" s="81"/>
      <c r="U29" s="81"/>
      <c r="V29" s="82"/>
      <c r="W29" s="82"/>
      <c r="X29" s="83"/>
      <c r="Y29" s="83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  <c r="IU29" s="84"/>
      <c r="IV29" s="84"/>
      <c r="IW29" s="84"/>
    </row>
    <row r="30" customFormat="false" ht="12.75" hidden="false" customHeight="false" outlineLevel="0" collapsed="false">
      <c r="A30" s="56" t="s">
        <v>1</v>
      </c>
      <c r="B30" s="57" t="s">
        <v>1</v>
      </c>
      <c r="C30" s="58" t="s">
        <v>1</v>
      </c>
      <c r="D30" s="59" t="s">
        <v>1</v>
      </c>
      <c r="E30" s="59"/>
      <c r="F30" s="56" t="s">
        <v>1</v>
      </c>
      <c r="G30" s="60" t="s">
        <v>1</v>
      </c>
      <c r="H30" s="57" t="s">
        <v>1</v>
      </c>
      <c r="I30" s="61"/>
      <c r="J30" s="62"/>
      <c r="K30" s="62"/>
      <c r="L30" s="62"/>
      <c r="M30" s="62"/>
      <c r="N30" s="63"/>
      <c r="O30" s="62"/>
      <c r="P30" s="100" t="s">
        <v>1</v>
      </c>
      <c r="Q30" s="100" t="s">
        <v>1</v>
      </c>
      <c r="R30" s="57" t="n">
        <f aca="false">SUM(R17:R28)</f>
        <v>196828</v>
      </c>
      <c r="S30" s="56" t="s">
        <v>1</v>
      </c>
      <c r="T30" s="65" t="n">
        <f aca="false">SUM(T17:T28)</f>
        <v>332460.3662</v>
      </c>
      <c r="U30" s="65" t="n">
        <f aca="false">SUM(U17:U28)</f>
        <v>0</v>
      </c>
      <c r="V30" s="66"/>
      <c r="W30" s="66"/>
      <c r="X30" s="24"/>
      <c r="Y30" s="24"/>
    </row>
    <row r="31" customFormat="false" ht="12.75" hidden="false" customHeight="false" outlineLevel="0" collapsed="false">
      <c r="A31" s="47" t="s">
        <v>92</v>
      </c>
      <c r="B31" s="48" t="s">
        <v>93</v>
      </c>
      <c r="C31" s="48" t="s">
        <v>94</v>
      </c>
      <c r="D31" s="49" t="s">
        <v>95</v>
      </c>
      <c r="E31" s="49"/>
      <c r="F31" s="47" t="s">
        <v>96</v>
      </c>
      <c r="G31" s="47" t="s">
        <v>97</v>
      </c>
      <c r="H31" s="48" t="s">
        <v>98</v>
      </c>
      <c r="I31" s="50" t="s">
        <v>99</v>
      </c>
      <c r="J31" s="48" t="s">
        <v>100</v>
      </c>
      <c r="K31" s="48" t="s">
        <v>101</v>
      </c>
      <c r="L31" s="48" t="s">
        <v>102</v>
      </c>
      <c r="M31" s="48" t="s">
        <v>103</v>
      </c>
      <c r="N31" s="51" t="s">
        <v>104</v>
      </c>
      <c r="O31" s="48" t="s">
        <v>105</v>
      </c>
      <c r="P31" s="74" t="s">
        <v>135</v>
      </c>
      <c r="Q31" s="74" t="s">
        <v>136</v>
      </c>
      <c r="R31" s="48" t="s">
        <v>107</v>
      </c>
      <c r="S31" s="47" t="s">
        <v>108</v>
      </c>
      <c r="T31" s="53" t="s">
        <v>118</v>
      </c>
      <c r="U31" s="53" t="s">
        <v>118</v>
      </c>
      <c r="V31" s="54"/>
      <c r="W31" s="54"/>
      <c r="X31" s="24"/>
      <c r="Y31" s="24"/>
    </row>
    <row r="32" customFormat="false" ht="12.75" hidden="false" customHeight="false" outlineLevel="0" collapsed="false">
      <c r="A32" s="37" t="s">
        <v>139</v>
      </c>
      <c r="B32" s="75" t="s">
        <v>119</v>
      </c>
      <c r="C32" s="75" t="s">
        <v>164</v>
      </c>
      <c r="D32" s="76" t="n">
        <v>36464</v>
      </c>
      <c r="E32" s="76" t="n">
        <v>36860</v>
      </c>
      <c r="F32" s="37" t="s">
        <v>166</v>
      </c>
      <c r="G32" s="37" t="s">
        <v>173</v>
      </c>
      <c r="H32" s="75"/>
      <c r="I32" s="77" t="n">
        <f aca="false">6.5/I$1</f>
        <v>0.209677419354839</v>
      </c>
      <c r="J32" s="78" t="n">
        <v>0.0132</v>
      </c>
      <c r="K32" s="78" t="n">
        <v>0.0022</v>
      </c>
      <c r="L32" s="78" t="n">
        <v>0.0075</v>
      </c>
      <c r="M32" s="78" t="n">
        <v>0</v>
      </c>
      <c r="N32" s="79" t="n">
        <v>0.02116</v>
      </c>
      <c r="O32" s="78" t="n">
        <f aca="false">SUM(I32:M32)</f>
        <v>0.232577419354839</v>
      </c>
      <c r="P32" s="80" t="n">
        <v>65071</v>
      </c>
      <c r="Q32" s="80" t="n">
        <v>65071</v>
      </c>
      <c r="R32" s="75" t="n">
        <v>5429</v>
      </c>
      <c r="S32" s="37" t="s">
        <v>174</v>
      </c>
      <c r="T32" s="81" t="n">
        <f aca="false">I32*I$1*R32</f>
        <v>35288.5</v>
      </c>
      <c r="U32" s="81"/>
      <c r="V32" s="82" t="n">
        <v>156558</v>
      </c>
      <c r="W32" s="82" t="n">
        <v>144867</v>
      </c>
      <c r="X32" s="83"/>
      <c r="Y32" s="83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  <c r="IU32" s="84"/>
      <c r="IV32" s="84"/>
      <c r="IW32" s="84"/>
    </row>
    <row r="33" customFormat="false" ht="12.75" hidden="false" customHeight="false" outlineLevel="0" collapsed="false">
      <c r="A33" s="37" t="s">
        <v>139</v>
      </c>
      <c r="B33" s="75" t="s">
        <v>119</v>
      </c>
      <c r="C33" s="75" t="s">
        <v>164</v>
      </c>
      <c r="D33" s="76" t="n">
        <v>36464</v>
      </c>
      <c r="E33" s="76" t="n">
        <v>36860</v>
      </c>
      <c r="F33" s="37" t="s">
        <v>166</v>
      </c>
      <c r="G33" s="37" t="s">
        <v>175</v>
      </c>
      <c r="H33" s="75"/>
      <c r="I33" s="77" t="n">
        <f aca="false">6.5/I$1</f>
        <v>0.209677419354839</v>
      </c>
      <c r="J33" s="78" t="n">
        <v>0.0132</v>
      </c>
      <c r="K33" s="78" t="n">
        <v>0.0022</v>
      </c>
      <c r="L33" s="78" t="n">
        <v>0.0075</v>
      </c>
      <c r="M33" s="78" t="n">
        <v>0</v>
      </c>
      <c r="N33" s="79" t="n">
        <v>0.02116</v>
      </c>
      <c r="O33" s="78" t="n">
        <f aca="false">SUM(I33:M33)</f>
        <v>0.232577419354839</v>
      </c>
      <c r="P33" s="80" t="n">
        <v>65071</v>
      </c>
      <c r="Q33" s="80" t="n">
        <v>65071</v>
      </c>
      <c r="R33" s="75" t="n">
        <v>1000</v>
      </c>
      <c r="S33" s="37" t="s">
        <v>174</v>
      </c>
      <c r="T33" s="81" t="n">
        <f aca="false">I33*I$1*R33</f>
        <v>6500</v>
      </c>
      <c r="U33" s="81"/>
      <c r="V33" s="82" t="n">
        <v>156558</v>
      </c>
      <c r="W33" s="82" t="n">
        <v>144867</v>
      </c>
      <c r="X33" s="83"/>
      <c r="Y33" s="83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  <c r="IU33" s="84"/>
      <c r="IV33" s="84"/>
      <c r="IW33" s="84"/>
    </row>
    <row r="34" customFormat="false" ht="13.5" hidden="false" customHeight="false" outlineLevel="0" collapsed="false">
      <c r="A34" s="37" t="s">
        <v>139</v>
      </c>
      <c r="B34" s="75" t="s">
        <v>119</v>
      </c>
      <c r="C34" s="75" t="s">
        <v>164</v>
      </c>
      <c r="D34" s="76" t="n">
        <v>36464</v>
      </c>
      <c r="E34" s="76" t="n">
        <v>36860</v>
      </c>
      <c r="F34" s="37" t="s">
        <v>166</v>
      </c>
      <c r="G34" s="37" t="s">
        <v>176</v>
      </c>
      <c r="H34" s="75"/>
      <c r="I34" s="77" t="n">
        <f aca="false">6.5/I$1</f>
        <v>0.209677419354839</v>
      </c>
      <c r="J34" s="78" t="n">
        <v>0.0132</v>
      </c>
      <c r="K34" s="78" t="n">
        <v>0.0022</v>
      </c>
      <c r="L34" s="78" t="n">
        <v>0.0075</v>
      </c>
      <c r="M34" s="78" t="n">
        <v>0</v>
      </c>
      <c r="N34" s="79" t="n">
        <v>0.02116</v>
      </c>
      <c r="O34" s="78" t="n">
        <f aca="false">SUM(I34:M34)</f>
        <v>0.232577419354839</v>
      </c>
      <c r="P34" s="80" t="n">
        <v>65071</v>
      </c>
      <c r="Q34" s="80" t="n">
        <v>65071</v>
      </c>
      <c r="R34" s="75" t="n">
        <v>1000</v>
      </c>
      <c r="S34" s="37" t="s">
        <v>174</v>
      </c>
      <c r="T34" s="81" t="n">
        <f aca="false">I34*I$1*R34</f>
        <v>6500</v>
      </c>
      <c r="U34" s="81"/>
      <c r="V34" s="82" t="n">
        <v>156558</v>
      </c>
      <c r="W34" s="82" t="n">
        <v>144867</v>
      </c>
      <c r="X34" s="83"/>
      <c r="Y34" s="83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  <c r="IU34" s="84"/>
      <c r="IV34" s="84"/>
      <c r="IW34" s="84"/>
    </row>
    <row r="35" customFormat="false" ht="13.5" hidden="false" customHeight="false" outlineLevel="0" collapsed="false">
      <c r="A35" s="37" t="s">
        <v>139</v>
      </c>
      <c r="B35" s="75" t="s">
        <v>119</v>
      </c>
      <c r="C35" s="75" t="s">
        <v>177</v>
      </c>
      <c r="D35" s="76" t="n">
        <v>36526</v>
      </c>
      <c r="E35" s="76" t="n">
        <v>36556</v>
      </c>
      <c r="F35" s="37" t="s">
        <v>166</v>
      </c>
      <c r="G35" s="37" t="s">
        <v>176</v>
      </c>
      <c r="H35" s="75"/>
      <c r="I35" s="77" t="n">
        <f aca="false">6.5/I$1</f>
        <v>0.209677419354839</v>
      </c>
      <c r="J35" s="78" t="n">
        <v>0.0132</v>
      </c>
      <c r="K35" s="78" t="n">
        <v>0.0022</v>
      </c>
      <c r="L35" s="78" t="n">
        <v>0.0075</v>
      </c>
      <c r="M35" s="78" t="n">
        <v>0</v>
      </c>
      <c r="N35" s="79" t="n">
        <v>0.02116</v>
      </c>
      <c r="O35" s="78" t="n">
        <f aca="false">SUM(I35:M35)</f>
        <v>0.232577419354839</v>
      </c>
      <c r="P35" s="80" t="n">
        <v>65071</v>
      </c>
      <c r="Q35" s="80" t="n">
        <v>65071</v>
      </c>
      <c r="R35" s="101" t="n">
        <v>-100</v>
      </c>
      <c r="S35" s="37" t="s">
        <v>168</v>
      </c>
      <c r="T35" s="81" t="n">
        <f aca="false">I35*I$1*R35</f>
        <v>-650</v>
      </c>
      <c r="U35" s="81"/>
      <c r="V35" s="82"/>
      <c r="W35" s="82" t="n">
        <v>145052</v>
      </c>
      <c r="X35" s="24"/>
      <c r="Y35" s="24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false" outlineLevel="0" collapsed="false">
      <c r="A36" s="37" t="s">
        <v>139</v>
      </c>
      <c r="B36" s="75" t="s">
        <v>119</v>
      </c>
      <c r="C36" s="37" t="s">
        <v>178</v>
      </c>
      <c r="D36" s="76" t="n">
        <v>36526</v>
      </c>
      <c r="E36" s="76" t="n">
        <v>36556</v>
      </c>
      <c r="F36" s="37" t="s">
        <v>166</v>
      </c>
      <c r="G36" s="37" t="s">
        <v>173</v>
      </c>
      <c r="H36" s="75"/>
      <c r="I36" s="77" t="n">
        <f aca="false">6.5/I$1</f>
        <v>0.209677419354839</v>
      </c>
      <c r="J36" s="78" t="n">
        <v>0.0132</v>
      </c>
      <c r="K36" s="78" t="n">
        <v>0.0022</v>
      </c>
      <c r="L36" s="78" t="n">
        <v>0.0075</v>
      </c>
      <c r="M36" s="78" t="n">
        <v>0</v>
      </c>
      <c r="N36" s="79" t="n">
        <v>0.02116</v>
      </c>
      <c r="O36" s="78" t="n">
        <f aca="false">SUM(I36:M36)</f>
        <v>0.232577419354839</v>
      </c>
      <c r="P36" s="80" t="n">
        <v>65071</v>
      </c>
      <c r="Q36" s="80" t="n">
        <v>65071</v>
      </c>
      <c r="R36" s="102" t="n">
        <v>-100</v>
      </c>
      <c r="S36" s="37" t="s">
        <v>169</v>
      </c>
      <c r="T36" s="81" t="n">
        <f aca="false">I36*I$1*R36</f>
        <v>-650</v>
      </c>
      <c r="U36" s="81"/>
      <c r="V36" s="82"/>
      <c r="W36" s="82" t="n">
        <v>145052</v>
      </c>
      <c r="X36" s="24"/>
      <c r="Y36" s="24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3.5" hidden="false" customHeight="false" outlineLevel="0" collapsed="false">
      <c r="A37" s="37" t="s">
        <v>139</v>
      </c>
      <c r="B37" s="75" t="s">
        <v>119</v>
      </c>
      <c r="C37" s="37" t="s">
        <v>179</v>
      </c>
      <c r="D37" s="76" t="n">
        <v>36526</v>
      </c>
      <c r="E37" s="76" t="n">
        <v>36556</v>
      </c>
      <c r="F37" s="37" t="s">
        <v>166</v>
      </c>
      <c r="G37" s="37" t="s">
        <v>175</v>
      </c>
      <c r="H37" s="75"/>
      <c r="I37" s="77" t="n">
        <f aca="false">6.5/I$1</f>
        <v>0.209677419354839</v>
      </c>
      <c r="J37" s="78" t="n">
        <v>0.0132</v>
      </c>
      <c r="K37" s="78" t="n">
        <v>0.0022</v>
      </c>
      <c r="L37" s="78" t="n">
        <v>0.0075</v>
      </c>
      <c r="M37" s="78" t="n">
        <v>0</v>
      </c>
      <c r="N37" s="79" t="n">
        <v>0.02116</v>
      </c>
      <c r="O37" s="78" t="n">
        <f aca="false">SUM(I37:M37)</f>
        <v>0.232577419354839</v>
      </c>
      <c r="P37" s="80" t="n">
        <v>65071</v>
      </c>
      <c r="Q37" s="80" t="n">
        <v>65071</v>
      </c>
      <c r="R37" s="103" t="n">
        <v>-223</v>
      </c>
      <c r="S37" s="37" t="s">
        <v>170</v>
      </c>
      <c r="T37" s="81" t="n">
        <f aca="false">I37*I$1*R37</f>
        <v>-1449.5</v>
      </c>
      <c r="U37" s="81"/>
      <c r="V37" s="82"/>
      <c r="W37" s="82" t="n">
        <v>145052</v>
      </c>
      <c r="X37" s="24"/>
      <c r="Y37" s="24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3.5" hidden="false" customHeight="false" outlineLevel="0" collapsed="false">
      <c r="A38" s="37" t="s">
        <v>139</v>
      </c>
      <c r="B38" s="75" t="s">
        <v>119</v>
      </c>
      <c r="C38" s="75" t="s">
        <v>180</v>
      </c>
      <c r="D38" s="76" t="n">
        <v>36434</v>
      </c>
      <c r="E38" s="76" t="n">
        <v>36714</v>
      </c>
      <c r="F38" s="37" t="s">
        <v>181</v>
      </c>
      <c r="G38" s="37" t="s">
        <v>182</v>
      </c>
      <c r="H38" s="75"/>
      <c r="I38" s="77" t="n">
        <v>0.085</v>
      </c>
      <c r="J38" s="78" t="n">
        <v>0.0132</v>
      </c>
      <c r="K38" s="78" t="n">
        <v>0.0022</v>
      </c>
      <c r="L38" s="78" t="n">
        <v>0.0075</v>
      </c>
      <c r="M38" s="78" t="n">
        <v>0</v>
      </c>
      <c r="N38" s="79" t="n">
        <v>0.02116</v>
      </c>
      <c r="O38" s="78" t="n">
        <f aca="false">SUM(I38:M38)</f>
        <v>0.1079</v>
      </c>
      <c r="P38" s="80"/>
      <c r="Q38" s="80"/>
      <c r="R38" s="75" t="n">
        <v>40000</v>
      </c>
      <c r="S38" s="37" t="s">
        <v>183</v>
      </c>
      <c r="T38" s="81" t="n">
        <f aca="false">I38*I$1*R38</f>
        <v>105400</v>
      </c>
      <c r="U38" s="81"/>
      <c r="V38" s="82"/>
      <c r="W38" s="82"/>
      <c r="X38" s="83"/>
      <c r="Y38" s="83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  <c r="EL38" s="84"/>
      <c r="EM38" s="84"/>
      <c r="EN38" s="84"/>
      <c r="EO38" s="84"/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  <c r="FF38" s="84"/>
      <c r="FG38" s="84"/>
      <c r="FH38" s="84"/>
      <c r="FI38" s="84"/>
      <c r="FJ38" s="84"/>
      <c r="FK38" s="84"/>
      <c r="FL38" s="84"/>
      <c r="FM38" s="84"/>
      <c r="FN38" s="84"/>
      <c r="FO38" s="84"/>
      <c r="FP38" s="84"/>
      <c r="FQ38" s="84"/>
      <c r="FR38" s="84"/>
      <c r="FS38" s="84"/>
      <c r="FT38" s="84"/>
      <c r="FU38" s="84"/>
      <c r="FV38" s="84"/>
      <c r="FW38" s="84"/>
      <c r="FX38" s="84"/>
      <c r="FY38" s="84"/>
      <c r="FZ38" s="84"/>
      <c r="GA38" s="84"/>
      <c r="GB38" s="84"/>
      <c r="GC38" s="84"/>
      <c r="GD38" s="84"/>
      <c r="GE38" s="84"/>
      <c r="GF38" s="84"/>
      <c r="GG38" s="84"/>
      <c r="GH38" s="84"/>
      <c r="GI38" s="84"/>
      <c r="GJ38" s="84"/>
      <c r="GK38" s="84"/>
      <c r="GL38" s="84"/>
      <c r="GM38" s="84"/>
      <c r="GN38" s="84"/>
      <c r="GO38" s="84"/>
      <c r="GP38" s="84"/>
      <c r="GQ38" s="84"/>
      <c r="GR38" s="84"/>
      <c r="GS38" s="84"/>
      <c r="GT38" s="84"/>
      <c r="GU38" s="84"/>
      <c r="GV38" s="84"/>
      <c r="GW38" s="84"/>
      <c r="GX38" s="84"/>
      <c r="GY38" s="84"/>
      <c r="GZ38" s="84"/>
      <c r="HA38" s="84"/>
      <c r="HB38" s="84"/>
      <c r="HC38" s="84"/>
      <c r="HD38" s="84"/>
      <c r="HE38" s="84"/>
      <c r="HF38" s="84"/>
      <c r="HG38" s="84"/>
      <c r="HH38" s="84"/>
      <c r="HI38" s="84"/>
      <c r="HJ38" s="84"/>
      <c r="HK38" s="84"/>
      <c r="HL38" s="84"/>
      <c r="HM38" s="84"/>
      <c r="HN38" s="84"/>
      <c r="HO38" s="84"/>
      <c r="HP38" s="84"/>
      <c r="HQ38" s="84"/>
      <c r="HR38" s="84"/>
      <c r="HS38" s="84"/>
      <c r="HT38" s="84"/>
      <c r="HU38" s="84"/>
      <c r="HV38" s="84"/>
      <c r="HW38" s="84"/>
      <c r="HX38" s="84"/>
      <c r="HY38" s="84"/>
      <c r="HZ38" s="84"/>
      <c r="IA38" s="84"/>
      <c r="IB38" s="84"/>
      <c r="IC38" s="84"/>
      <c r="ID38" s="84"/>
      <c r="IE38" s="84"/>
      <c r="IF38" s="84"/>
      <c r="IG38" s="84"/>
      <c r="IH38" s="84"/>
      <c r="II38" s="84"/>
      <c r="IJ38" s="84"/>
      <c r="IK38" s="84"/>
      <c r="IL38" s="84"/>
      <c r="IM38" s="84"/>
      <c r="IN38" s="84"/>
      <c r="IO38" s="84"/>
      <c r="IP38" s="84"/>
      <c r="IQ38" s="84"/>
      <c r="IR38" s="84"/>
      <c r="IS38" s="84"/>
      <c r="IT38" s="84"/>
      <c r="IU38" s="84"/>
      <c r="IV38" s="84"/>
      <c r="IW38" s="84"/>
    </row>
    <row r="39" customFormat="false" ht="12.75" hidden="false" customHeight="false" outlineLevel="0" collapsed="false">
      <c r="A39" s="56" t="s">
        <v>1</v>
      </c>
      <c r="B39" s="57" t="s">
        <v>1</v>
      </c>
      <c r="C39" s="57" t="s">
        <v>1</v>
      </c>
      <c r="D39" s="59" t="s">
        <v>1</v>
      </c>
      <c r="E39" s="59" t="s">
        <v>1</v>
      </c>
      <c r="F39" s="56" t="s">
        <v>1</v>
      </c>
      <c r="G39" s="60" t="s">
        <v>1</v>
      </c>
      <c r="H39" s="57" t="s">
        <v>1</v>
      </c>
      <c r="I39" s="61"/>
      <c r="J39" s="62"/>
      <c r="K39" s="62"/>
      <c r="L39" s="62"/>
      <c r="M39" s="62"/>
      <c r="N39" s="63"/>
      <c r="O39" s="62"/>
      <c r="P39" s="100" t="s">
        <v>1</v>
      </c>
      <c r="Q39" s="100" t="s">
        <v>1</v>
      </c>
      <c r="R39" s="57" t="n">
        <f aca="false">SUM(R32:R38)</f>
        <v>47006</v>
      </c>
      <c r="S39" s="56" t="s">
        <v>1</v>
      </c>
      <c r="T39" s="65" t="n">
        <f aca="false">SUM(T32:T38)</f>
        <v>150939</v>
      </c>
      <c r="U39" s="65" t="n">
        <f aca="false">SUM(U32:U38)</f>
        <v>0</v>
      </c>
      <c r="V39" s="66"/>
      <c r="W39" s="66"/>
      <c r="X39" s="24"/>
      <c r="Y39" s="24"/>
    </row>
    <row r="40" customFormat="false" ht="12.75" hidden="false" customHeight="false" outlineLevel="0" collapsed="false">
      <c r="A40" s="47" t="s">
        <v>92</v>
      </c>
      <c r="B40" s="48" t="s">
        <v>93</v>
      </c>
      <c r="C40" s="48" t="s">
        <v>94</v>
      </c>
      <c r="D40" s="49" t="s">
        <v>95</v>
      </c>
      <c r="E40" s="49"/>
      <c r="F40" s="47" t="s">
        <v>96</v>
      </c>
      <c r="G40" s="47" t="s">
        <v>97</v>
      </c>
      <c r="H40" s="48" t="s">
        <v>184</v>
      </c>
      <c r="I40" s="50" t="s">
        <v>99</v>
      </c>
      <c r="J40" s="48" t="s">
        <v>100</v>
      </c>
      <c r="K40" s="48" t="s">
        <v>101</v>
      </c>
      <c r="L40" s="48" t="s">
        <v>102</v>
      </c>
      <c r="M40" s="48" t="s">
        <v>103</v>
      </c>
      <c r="N40" s="51" t="s">
        <v>104</v>
      </c>
      <c r="O40" s="48" t="s">
        <v>105</v>
      </c>
      <c r="P40" s="74" t="s">
        <v>135</v>
      </c>
      <c r="Q40" s="74" t="s">
        <v>136</v>
      </c>
      <c r="R40" s="48" t="s">
        <v>107</v>
      </c>
      <c r="S40" s="47" t="s">
        <v>108</v>
      </c>
      <c r="T40" s="53" t="s">
        <v>109</v>
      </c>
      <c r="U40" s="53" t="s">
        <v>110</v>
      </c>
      <c r="V40" s="54" t="s">
        <v>137</v>
      </c>
      <c r="W40" s="54" t="s">
        <v>138</v>
      </c>
      <c r="X40" s="24"/>
      <c r="Y40" s="24"/>
    </row>
    <row r="41" customFormat="false" ht="12.75" hidden="false" customHeight="false" outlineLevel="0" collapsed="false">
      <c r="A41" s="15" t="s">
        <v>112</v>
      </c>
      <c r="B41" s="16" t="s">
        <v>126</v>
      </c>
      <c r="C41" s="16" t="s">
        <v>114</v>
      </c>
      <c r="D41" s="17" t="n">
        <v>35612</v>
      </c>
      <c r="E41" s="17" t="n">
        <v>37437</v>
      </c>
      <c r="F41" s="15" t="s">
        <v>13</v>
      </c>
      <c r="G41" s="15" t="s">
        <v>13</v>
      </c>
      <c r="H41" s="16" t="s">
        <v>185</v>
      </c>
      <c r="I41" s="19" t="n">
        <f aca="false">7.007/$I$1</f>
        <v>0.226032258064516</v>
      </c>
      <c r="J41" s="20" t="n">
        <v>0</v>
      </c>
      <c r="K41" s="20" t="n">
        <v>0.0022</v>
      </c>
      <c r="L41" s="20" t="n">
        <v>0.0072</v>
      </c>
      <c r="M41" s="20" t="n">
        <v>0.0131</v>
      </c>
      <c r="N41" s="32" t="n">
        <v>0</v>
      </c>
      <c r="O41" s="20" t="n">
        <f aca="false">SUM(I41:M41)</f>
        <v>0.248532258064516</v>
      </c>
      <c r="P41" s="22" t="n">
        <v>270</v>
      </c>
      <c r="Q41" s="22" t="n">
        <v>270</v>
      </c>
      <c r="R41" s="16" t="n">
        <v>1000</v>
      </c>
      <c r="S41" s="15" t="s">
        <v>186</v>
      </c>
      <c r="T41" s="23" t="n">
        <f aca="false">I41*I$1*R41</f>
        <v>7007</v>
      </c>
      <c r="U41" s="23"/>
      <c r="V41" s="55"/>
      <c r="W41" s="55" t="n">
        <v>149901</v>
      </c>
      <c r="X41" s="24"/>
      <c r="Y41" s="24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false" outlineLevel="0" collapsed="false">
      <c r="A42" s="15"/>
      <c r="B42" s="16"/>
      <c r="C42" s="16"/>
      <c r="D42" s="17"/>
      <c r="E42" s="17"/>
      <c r="F42" s="15"/>
      <c r="G42" s="15"/>
      <c r="H42" s="16"/>
      <c r="I42" s="19"/>
      <c r="J42" s="20"/>
      <c r="K42" s="20"/>
      <c r="L42" s="20"/>
      <c r="M42" s="20"/>
      <c r="N42" s="32"/>
      <c r="O42" s="20"/>
      <c r="P42" s="22"/>
      <c r="Q42" s="22"/>
      <c r="R42" s="16"/>
      <c r="S42" s="15"/>
      <c r="T42" s="23" t="n">
        <f aca="false">SUM(T41)</f>
        <v>7007</v>
      </c>
      <c r="U42" s="23"/>
      <c r="V42" s="55"/>
      <c r="W42" s="55"/>
      <c r="X42" s="24"/>
      <c r="Y42" s="24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false" outlineLevel="0" collapsed="false">
      <c r="A43" s="47" t="s">
        <v>92</v>
      </c>
      <c r="B43" s="48" t="s">
        <v>93</v>
      </c>
      <c r="C43" s="48" t="s">
        <v>94</v>
      </c>
      <c r="D43" s="49" t="s">
        <v>95</v>
      </c>
      <c r="E43" s="49"/>
      <c r="F43" s="47" t="s">
        <v>96</v>
      </c>
      <c r="G43" s="47" t="s">
        <v>97</v>
      </c>
      <c r="H43" s="48" t="s">
        <v>184</v>
      </c>
      <c r="I43" s="50" t="s">
        <v>99</v>
      </c>
      <c r="J43" s="48" t="s">
        <v>100</v>
      </c>
      <c r="K43" s="48" t="s">
        <v>101</v>
      </c>
      <c r="L43" s="48" t="s">
        <v>102</v>
      </c>
      <c r="M43" s="48" t="s">
        <v>103</v>
      </c>
      <c r="N43" s="51" t="s">
        <v>104</v>
      </c>
      <c r="O43" s="48" t="s">
        <v>105</v>
      </c>
      <c r="P43" s="74" t="s">
        <v>135</v>
      </c>
      <c r="Q43" s="74" t="s">
        <v>136</v>
      </c>
      <c r="R43" s="48" t="s">
        <v>107</v>
      </c>
      <c r="S43" s="47" t="s">
        <v>108</v>
      </c>
      <c r="T43" s="53" t="s">
        <v>109</v>
      </c>
      <c r="U43" s="53" t="s">
        <v>110</v>
      </c>
      <c r="V43" s="54" t="s">
        <v>137</v>
      </c>
      <c r="W43" s="54" t="s">
        <v>138</v>
      </c>
      <c r="X43" s="24"/>
      <c r="Y43" s="24"/>
    </row>
    <row r="44" customFormat="false" ht="11.25" hidden="false" customHeight="false" outlineLevel="0" collapsed="false">
      <c r="A44" s="37" t="s">
        <v>139</v>
      </c>
      <c r="B44" s="37" t="s">
        <v>187</v>
      </c>
      <c r="C44" s="37" t="s">
        <v>164</v>
      </c>
      <c r="D44" s="76" t="n">
        <v>36557</v>
      </c>
      <c r="E44" s="76" t="n">
        <v>36830</v>
      </c>
      <c r="F44" s="37" t="s">
        <v>188</v>
      </c>
      <c r="G44" s="37" t="s">
        <v>189</v>
      </c>
      <c r="H44" s="37" t="s">
        <v>190</v>
      </c>
      <c r="I44" s="37" t="n">
        <f aca="false">23/$I$1</f>
        <v>0.741935483870968</v>
      </c>
      <c r="J44" s="37" t="n">
        <v>0</v>
      </c>
      <c r="K44" s="37" t="n">
        <v>0.0022</v>
      </c>
      <c r="L44" s="37" t="n">
        <v>0.0072</v>
      </c>
      <c r="M44" s="37" t="n">
        <v>0.0131</v>
      </c>
      <c r="N44" s="37" t="n">
        <v>0</v>
      </c>
      <c r="O44" s="37" t="n">
        <f aca="false">SUM(I44:M44)</f>
        <v>0.764435483870968</v>
      </c>
      <c r="P44" s="80" t="n">
        <v>892510</v>
      </c>
      <c r="Q44" s="80" t="n">
        <v>891865</v>
      </c>
      <c r="R44" s="37" t="n">
        <v>16136</v>
      </c>
      <c r="S44" s="37" t="s">
        <v>191</v>
      </c>
      <c r="T44" s="37" t="n">
        <f aca="false">I44*I$1*R44</f>
        <v>371128</v>
      </c>
      <c r="U44" s="37"/>
      <c r="V44" s="82" t="n">
        <v>158412</v>
      </c>
      <c r="W44" s="82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  <c r="IQ44" s="37"/>
      <c r="IR44" s="37"/>
      <c r="IS44" s="37"/>
      <c r="IT44" s="37"/>
      <c r="IU44" s="37"/>
      <c r="IV44" s="37"/>
      <c r="IW44" s="37"/>
    </row>
    <row r="45" customFormat="false" ht="11.25" hidden="false" customHeight="false" outlineLevel="0" collapsed="false">
      <c r="A45" s="37" t="s">
        <v>139</v>
      </c>
      <c r="B45" s="37" t="s">
        <v>187</v>
      </c>
      <c r="C45" s="37" t="s">
        <v>164</v>
      </c>
      <c r="D45" s="76" t="n">
        <v>36557</v>
      </c>
      <c r="E45" s="76" t="n">
        <v>36830</v>
      </c>
      <c r="F45" s="37" t="s">
        <v>188</v>
      </c>
      <c r="G45" s="37" t="s">
        <v>189</v>
      </c>
      <c r="H45" s="37" t="s">
        <v>190</v>
      </c>
      <c r="I45" s="37" t="n">
        <f aca="false">23/$I$1</f>
        <v>0.741935483870968</v>
      </c>
      <c r="J45" s="37" t="n">
        <v>0</v>
      </c>
      <c r="K45" s="37" t="n">
        <v>0.0022</v>
      </c>
      <c r="L45" s="37" t="n">
        <v>0.0072</v>
      </c>
      <c r="M45" s="37" t="n">
        <v>0.0131</v>
      </c>
      <c r="N45" s="37" t="n">
        <v>0</v>
      </c>
      <c r="O45" s="37" t="n">
        <f aca="false">SUM(I45:M45)</f>
        <v>0.764435483870968</v>
      </c>
      <c r="P45" s="80" t="n">
        <v>892511</v>
      </c>
      <c r="Q45" s="80" t="n">
        <v>891865</v>
      </c>
      <c r="R45" s="37" t="n">
        <f aca="false">-212-100-100-195</f>
        <v>-607</v>
      </c>
      <c r="S45" s="37" t="s">
        <v>192</v>
      </c>
      <c r="T45" s="37" t="n">
        <f aca="false">I45*I$1*R45</f>
        <v>-13961</v>
      </c>
      <c r="U45" s="37"/>
      <c r="V45" s="82"/>
      <c r="W45" s="82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  <c r="IQ45" s="37"/>
      <c r="IR45" s="37"/>
      <c r="IS45" s="37"/>
      <c r="IT45" s="37"/>
      <c r="IU45" s="37"/>
      <c r="IV45" s="37"/>
      <c r="IW45" s="37"/>
    </row>
    <row r="46" customFormat="false" ht="12.75" hidden="false" customHeight="false" outlineLevel="0" collapsed="false">
      <c r="A46" s="37" t="s">
        <v>139</v>
      </c>
      <c r="B46" s="75" t="s">
        <v>187</v>
      </c>
      <c r="C46" s="75" t="s">
        <v>164</v>
      </c>
      <c r="D46" s="76" t="n">
        <v>36465</v>
      </c>
      <c r="E46" s="76" t="n">
        <v>36830</v>
      </c>
      <c r="F46" s="37" t="s">
        <v>188</v>
      </c>
      <c r="G46" s="37" t="s">
        <v>189</v>
      </c>
      <c r="H46" s="75" t="s">
        <v>190</v>
      </c>
      <c r="I46" s="77" t="n">
        <f aca="false">23/$I$1</f>
        <v>0.741935483870968</v>
      </c>
      <c r="J46" s="78" t="n">
        <v>0</v>
      </c>
      <c r="K46" s="78" t="n">
        <v>0.0022</v>
      </c>
      <c r="L46" s="78" t="n">
        <v>0.0072</v>
      </c>
      <c r="M46" s="78" t="n">
        <v>0.0131</v>
      </c>
      <c r="N46" s="79" t="n">
        <v>0</v>
      </c>
      <c r="O46" s="78" t="n">
        <f aca="false">SUM(I46:M46)</f>
        <v>0.764435483870968</v>
      </c>
      <c r="P46" s="80" t="n">
        <v>892511</v>
      </c>
      <c r="Q46" s="80" t="n">
        <v>891830</v>
      </c>
      <c r="R46" s="75" t="n">
        <v>8068</v>
      </c>
      <c r="S46" s="37"/>
      <c r="T46" s="81" t="n">
        <f aca="false">I46*I$1*R46</f>
        <v>185564</v>
      </c>
      <c r="U46" s="81"/>
      <c r="V46" s="82" t="n">
        <v>155385</v>
      </c>
      <c r="W46" s="82"/>
      <c r="X46" s="83"/>
      <c r="Y46" s="83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84"/>
      <c r="GW46" s="84"/>
      <c r="GX46" s="84"/>
      <c r="GY46" s="84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84"/>
      <c r="HY46" s="84"/>
      <c r="HZ46" s="84"/>
      <c r="IA46" s="84"/>
      <c r="IB46" s="84"/>
      <c r="IC46" s="84"/>
      <c r="ID46" s="84"/>
      <c r="IE46" s="84"/>
      <c r="IF46" s="84"/>
      <c r="IG46" s="84"/>
      <c r="IH46" s="84"/>
      <c r="II46" s="84"/>
      <c r="IJ46" s="84"/>
      <c r="IK46" s="84"/>
      <c r="IL46" s="84"/>
      <c r="IM46" s="84"/>
      <c r="IN46" s="84"/>
      <c r="IO46" s="84"/>
      <c r="IP46" s="84"/>
      <c r="IQ46" s="84"/>
      <c r="IR46" s="84"/>
      <c r="IS46" s="84"/>
      <c r="IT46" s="84"/>
      <c r="IU46" s="84"/>
      <c r="IV46" s="84"/>
      <c r="IW46" s="84"/>
    </row>
    <row r="47" customFormat="false" ht="12.75" hidden="false" customHeight="false" outlineLevel="0" collapsed="false">
      <c r="A47" s="15"/>
      <c r="B47" s="16"/>
      <c r="C47" s="16"/>
      <c r="D47" s="17"/>
      <c r="E47" s="17"/>
      <c r="F47" s="15"/>
      <c r="G47" s="15"/>
      <c r="H47" s="16"/>
      <c r="I47" s="19"/>
      <c r="J47" s="20"/>
      <c r="K47" s="68"/>
      <c r="L47" s="20"/>
      <c r="M47" s="20"/>
      <c r="N47" s="32"/>
      <c r="O47" s="20"/>
      <c r="P47" s="22"/>
      <c r="Q47" s="22"/>
      <c r="R47" s="33"/>
      <c r="S47" s="16"/>
      <c r="T47" s="23" t="n">
        <f aca="false">SUM(T44:T46)</f>
        <v>542731</v>
      </c>
      <c r="U47" s="23"/>
      <c r="V47" s="55"/>
      <c r="W47" s="55"/>
      <c r="X47" s="24"/>
      <c r="Y47" s="24"/>
    </row>
    <row r="48" customFormat="false" ht="12.75" hidden="false" customHeight="false" outlineLevel="0" collapsed="false">
      <c r="A48" s="47" t="s">
        <v>92</v>
      </c>
      <c r="B48" s="48" t="s">
        <v>93</v>
      </c>
      <c r="C48" s="48" t="s">
        <v>94</v>
      </c>
      <c r="D48" s="49" t="s">
        <v>95</v>
      </c>
      <c r="E48" s="49"/>
      <c r="F48" s="47" t="s">
        <v>96</v>
      </c>
      <c r="G48" s="47" t="s">
        <v>97</v>
      </c>
      <c r="H48" s="48" t="s">
        <v>184</v>
      </c>
      <c r="I48" s="50" t="s">
        <v>99</v>
      </c>
      <c r="J48" s="48" t="s">
        <v>100</v>
      </c>
      <c r="K48" s="48" t="s">
        <v>101</v>
      </c>
      <c r="L48" s="48" t="s">
        <v>102</v>
      </c>
      <c r="M48" s="48" t="s">
        <v>103</v>
      </c>
      <c r="N48" s="51" t="s">
        <v>104</v>
      </c>
      <c r="O48" s="48" t="s">
        <v>105</v>
      </c>
      <c r="P48" s="74" t="s">
        <v>135</v>
      </c>
      <c r="Q48" s="74" t="s">
        <v>136</v>
      </c>
      <c r="R48" s="48" t="s">
        <v>107</v>
      </c>
      <c r="S48" s="47" t="s">
        <v>108</v>
      </c>
      <c r="T48" s="53" t="s">
        <v>109</v>
      </c>
      <c r="U48" s="53" t="s">
        <v>110</v>
      </c>
      <c r="V48" s="54" t="s">
        <v>137</v>
      </c>
      <c r="W48" s="54" t="s">
        <v>138</v>
      </c>
      <c r="X48" s="24"/>
      <c r="Y48" s="24"/>
    </row>
    <row r="49" customFormat="false" ht="12.75" hidden="false" customHeight="false" outlineLevel="0" collapsed="false">
      <c r="A49" s="37" t="s">
        <v>139</v>
      </c>
      <c r="B49" s="75" t="s">
        <v>129</v>
      </c>
      <c r="C49" s="75" t="s">
        <v>193</v>
      </c>
      <c r="D49" s="76" t="n">
        <v>36557</v>
      </c>
      <c r="E49" s="76" t="n">
        <v>36585</v>
      </c>
      <c r="F49" s="37" t="s">
        <v>194</v>
      </c>
      <c r="G49" s="37" t="s">
        <v>195</v>
      </c>
      <c r="H49" s="75" t="s">
        <v>196</v>
      </c>
      <c r="I49" s="77" t="n">
        <f aca="false">8.061/$I$1</f>
        <v>0.260032258064516</v>
      </c>
      <c r="J49" s="78" t="n">
        <v>0</v>
      </c>
      <c r="K49" s="78" t="n">
        <v>0.0022</v>
      </c>
      <c r="L49" s="78" t="n">
        <v>0.0072</v>
      </c>
      <c r="M49" s="78" t="n">
        <v>0.0131</v>
      </c>
      <c r="N49" s="79" t="n">
        <v>0</v>
      </c>
      <c r="O49" s="78" t="n">
        <f aca="false">SUM(I49:M49)</f>
        <v>0.282532258064516</v>
      </c>
      <c r="P49" s="80" t="s">
        <v>197</v>
      </c>
      <c r="Q49" s="80" t="s">
        <v>198</v>
      </c>
      <c r="R49" s="75" t="n">
        <v>10000</v>
      </c>
      <c r="S49" s="37" t="n">
        <v>18200</v>
      </c>
      <c r="T49" s="104" t="n">
        <f aca="false">I49*I$1*R49</f>
        <v>80610</v>
      </c>
      <c r="U49" s="81"/>
      <c r="V49" s="82" t="n">
        <v>157604</v>
      </c>
      <c r="W49" s="82" t="s">
        <v>199</v>
      </c>
      <c r="X49" s="83"/>
      <c r="Y49" s="83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  <c r="GM49" s="84"/>
      <c r="GN49" s="84"/>
      <c r="GO49" s="84"/>
      <c r="GP49" s="84"/>
      <c r="GQ49" s="84"/>
      <c r="GR49" s="84"/>
      <c r="GS49" s="84"/>
      <c r="GT49" s="84"/>
      <c r="GU49" s="84"/>
      <c r="GV49" s="84"/>
      <c r="GW49" s="84"/>
      <c r="GX49" s="84"/>
      <c r="GY49" s="84"/>
      <c r="GZ49" s="84"/>
      <c r="HA49" s="84"/>
      <c r="HB49" s="84"/>
      <c r="HC49" s="84"/>
      <c r="HD49" s="84"/>
      <c r="HE49" s="84"/>
      <c r="HF49" s="84"/>
      <c r="HG49" s="84"/>
      <c r="HH49" s="84"/>
      <c r="HI49" s="84"/>
      <c r="HJ49" s="84"/>
      <c r="HK49" s="84"/>
      <c r="HL49" s="84"/>
      <c r="HM49" s="84"/>
      <c r="HN49" s="84"/>
      <c r="HO49" s="84"/>
      <c r="HP49" s="84"/>
      <c r="HQ49" s="84"/>
      <c r="HR49" s="84"/>
      <c r="HS49" s="84"/>
      <c r="HT49" s="84"/>
      <c r="HU49" s="84"/>
      <c r="HV49" s="84"/>
      <c r="HW49" s="84"/>
      <c r="HX49" s="84"/>
      <c r="HY49" s="84"/>
      <c r="HZ49" s="84"/>
      <c r="IA49" s="84"/>
      <c r="IB49" s="84"/>
      <c r="IC49" s="84"/>
      <c r="ID49" s="84"/>
      <c r="IE49" s="84"/>
      <c r="IF49" s="84"/>
      <c r="IG49" s="84"/>
      <c r="IH49" s="84"/>
      <c r="II49" s="84"/>
      <c r="IJ49" s="84"/>
      <c r="IK49" s="84"/>
      <c r="IL49" s="84"/>
      <c r="IM49" s="84"/>
      <c r="IN49" s="84"/>
      <c r="IO49" s="84"/>
      <c r="IP49" s="84"/>
      <c r="IQ49" s="84"/>
      <c r="IR49" s="84"/>
      <c r="IS49" s="84"/>
      <c r="IT49" s="84"/>
      <c r="IU49" s="84"/>
      <c r="IV49" s="84"/>
      <c r="IW49" s="84"/>
    </row>
    <row r="50" customFormat="false" ht="12.75" hidden="false" customHeight="false" outlineLevel="0" collapsed="false">
      <c r="A50" s="15" t="s">
        <v>112</v>
      </c>
      <c r="B50" s="16" t="s">
        <v>129</v>
      </c>
      <c r="C50" s="16" t="s">
        <v>129</v>
      </c>
      <c r="D50" s="17" t="s">
        <v>120</v>
      </c>
      <c r="E50" s="17" t="s">
        <v>120</v>
      </c>
      <c r="F50" s="15" t="s">
        <v>127</v>
      </c>
      <c r="G50" s="15" t="s">
        <v>127</v>
      </c>
      <c r="H50" s="16" t="s">
        <v>11</v>
      </c>
      <c r="I50" s="19" t="n">
        <v>0</v>
      </c>
      <c r="J50" s="20" t="n">
        <v>0</v>
      </c>
      <c r="K50" s="20" t="n">
        <v>0.0022</v>
      </c>
      <c r="L50" s="20" t="n">
        <v>0.0072</v>
      </c>
      <c r="M50" s="20" t="n">
        <v>0.0131</v>
      </c>
      <c r="N50" s="32" t="n">
        <v>0</v>
      </c>
      <c r="O50" s="20" t="n">
        <f aca="false">SUM(I50:M50)</f>
        <v>0.0225</v>
      </c>
      <c r="P50" s="22" t="s">
        <v>200</v>
      </c>
      <c r="Q50" s="22" t="s">
        <v>200</v>
      </c>
      <c r="R50" s="16" t="n">
        <v>0</v>
      </c>
      <c r="S50" s="15" t="s">
        <v>201</v>
      </c>
      <c r="T50" s="23" t="n">
        <f aca="false">I50*I$1*R50</f>
        <v>0</v>
      </c>
      <c r="U50" s="23"/>
      <c r="V50" s="55"/>
      <c r="W50" s="55" t="n">
        <v>145336</v>
      </c>
      <c r="X50" s="24"/>
      <c r="Y50" s="24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false" outlineLevel="0" collapsed="false">
      <c r="A51" s="15"/>
      <c r="B51" s="16"/>
      <c r="C51" s="16"/>
      <c r="D51" s="17"/>
      <c r="E51" s="17"/>
      <c r="F51" s="15"/>
      <c r="G51" s="15"/>
      <c r="H51" s="16"/>
      <c r="I51" s="19"/>
      <c r="J51" s="20"/>
      <c r="K51" s="68"/>
      <c r="L51" s="20"/>
      <c r="M51" s="20"/>
      <c r="N51" s="32"/>
      <c r="O51" s="20"/>
      <c r="P51" s="22"/>
      <c r="Q51" s="22"/>
      <c r="R51" s="33"/>
      <c r="S51" s="16"/>
      <c r="T51" s="23" t="n">
        <f aca="false">SUM(T49:T50)</f>
        <v>80610</v>
      </c>
      <c r="U51" s="23"/>
      <c r="V51" s="55"/>
      <c r="W51" s="55"/>
      <c r="X51" s="24"/>
      <c r="Y51" s="24"/>
    </row>
    <row r="52" customFormat="false" ht="12.75" hidden="false" customHeight="false" outlineLevel="0" collapsed="false">
      <c r="A52" s="15"/>
      <c r="B52" s="16"/>
      <c r="C52" s="16"/>
      <c r="D52" s="17"/>
      <c r="E52" s="17"/>
      <c r="F52" s="15"/>
      <c r="G52" s="15"/>
      <c r="H52" s="16"/>
      <c r="I52" s="19"/>
      <c r="J52" s="20"/>
      <c r="K52" s="68"/>
      <c r="L52" s="20"/>
      <c r="M52" s="20"/>
      <c r="N52" s="32"/>
      <c r="O52" s="20"/>
      <c r="P52" s="22"/>
      <c r="Q52" s="22"/>
      <c r="R52" s="33"/>
      <c r="S52" s="16"/>
      <c r="T52" s="105"/>
      <c r="U52" s="23"/>
      <c r="V52" s="55"/>
      <c r="W52" s="55"/>
      <c r="X52" s="24"/>
      <c r="Y52" s="24"/>
    </row>
    <row r="53" customFormat="false" ht="12.75" hidden="false" customHeight="false" outlineLevel="0" collapsed="false">
      <c r="A53" s="15"/>
      <c r="B53" s="16"/>
      <c r="C53" s="16"/>
      <c r="D53" s="17"/>
      <c r="E53" s="17"/>
      <c r="F53" s="15"/>
      <c r="G53" s="15"/>
      <c r="H53" s="16"/>
      <c r="I53" s="19"/>
      <c r="J53" s="20"/>
      <c r="K53" s="68"/>
      <c r="L53" s="20"/>
      <c r="M53" s="20"/>
      <c r="N53" s="106"/>
      <c r="O53" s="20"/>
      <c r="P53" s="22"/>
      <c r="Q53" s="22"/>
      <c r="R53" s="16"/>
      <c r="S53" s="16"/>
      <c r="X53" s="107"/>
      <c r="Y53" s="107"/>
    </row>
    <row r="54" customFormat="false" ht="12.75" hidden="false" customHeight="false" outlineLevel="0" collapsed="false">
      <c r="A54" s="15"/>
      <c r="B54" s="16"/>
      <c r="C54" s="16"/>
      <c r="D54" s="17" t="s">
        <v>1</v>
      </c>
      <c r="E54" s="17"/>
      <c r="F54" s="15"/>
      <c r="G54" s="15"/>
      <c r="H54" s="16"/>
      <c r="I54" s="19"/>
      <c r="J54" s="20"/>
      <c r="K54" s="68"/>
      <c r="L54" s="20"/>
      <c r="M54" s="20"/>
      <c r="N54" s="32"/>
      <c r="O54" s="20"/>
      <c r="P54" s="108"/>
      <c r="Q54" s="108"/>
      <c r="R54" s="44"/>
      <c r="S54" s="109" t="s">
        <v>202</v>
      </c>
      <c r="T54" s="110" t="n">
        <f aca="false">SUM(T51,T47,T42,T39,T30,T15)</f>
        <v>1305231.3662</v>
      </c>
      <c r="U54" s="34"/>
      <c r="V54" s="35"/>
      <c r="W54" s="35"/>
      <c r="X54" s="36"/>
      <c r="Y54" s="36"/>
    </row>
    <row r="55" customFormat="false" ht="12.75" hidden="false" customHeight="false" outlineLevel="0" collapsed="false">
      <c r="A55" s="26"/>
      <c r="B55" s="16"/>
      <c r="C55" s="16"/>
      <c r="D55" s="17"/>
      <c r="E55" s="17"/>
      <c r="F55" s="15"/>
      <c r="G55" s="15"/>
      <c r="H55" s="16"/>
      <c r="I55" s="19"/>
      <c r="J55" s="20"/>
      <c r="K55" s="20"/>
      <c r="L55" s="20"/>
      <c r="M55" s="20"/>
      <c r="N55" s="32"/>
      <c r="O55" s="20"/>
      <c r="P55" s="108"/>
      <c r="Q55" s="108"/>
      <c r="R55" s="71"/>
      <c r="S55" s="34" t="s">
        <v>203</v>
      </c>
      <c r="T55" s="111" t="n">
        <f aca="false">SUM(T44:T46,T32:T37,T25:T28)</f>
        <v>610832.23</v>
      </c>
      <c r="U55" s="34"/>
      <c r="V55" s="35"/>
      <c r="W55" s="35"/>
      <c r="X55" s="36"/>
      <c r="Y55" s="36"/>
    </row>
    <row r="56" customFormat="false" ht="13.5" hidden="false" customHeight="false" outlineLevel="0" collapsed="false">
      <c r="A56" s="26"/>
      <c r="B56" s="16"/>
      <c r="C56" s="16"/>
      <c r="D56" s="17"/>
      <c r="E56" s="17"/>
      <c r="F56" s="15"/>
      <c r="G56" s="15"/>
      <c r="H56" s="16"/>
      <c r="I56" s="20"/>
      <c r="J56" s="20"/>
      <c r="K56" s="20"/>
      <c r="L56" s="20"/>
      <c r="M56" s="20"/>
      <c r="N56" s="32"/>
      <c r="O56" s="20"/>
      <c r="P56" s="108"/>
      <c r="Q56" s="108"/>
      <c r="R56" s="71"/>
      <c r="S56" s="34" t="s">
        <v>204</v>
      </c>
      <c r="T56" s="112" t="n">
        <f aca="false">+T54-T55</f>
        <v>694399.1362</v>
      </c>
      <c r="U56" s="34"/>
      <c r="V56" s="35"/>
      <c r="W56" s="35"/>
      <c r="X56" s="36"/>
      <c r="Y56" s="36"/>
    </row>
    <row r="57" customFormat="false" ht="13.5" hidden="false" customHeight="false" outlineLevel="0" collapsed="false">
      <c r="A57" s="26"/>
      <c r="B57" s="16"/>
      <c r="C57" s="16"/>
      <c r="D57" s="17"/>
      <c r="E57" s="17"/>
      <c r="F57" s="15"/>
      <c r="G57" s="15"/>
      <c r="H57" s="16"/>
      <c r="I57" s="19"/>
      <c r="J57" s="20"/>
      <c r="K57" s="20"/>
      <c r="L57" s="20"/>
      <c r="M57" s="20"/>
      <c r="N57" s="32"/>
      <c r="O57" s="20"/>
      <c r="P57" s="108"/>
      <c r="Q57" s="108"/>
      <c r="R57" s="71"/>
      <c r="S57" s="34"/>
      <c r="T57" s="34"/>
      <c r="U57" s="34"/>
      <c r="V57" s="35"/>
      <c r="W57" s="35"/>
      <c r="X57" s="36"/>
      <c r="Y57" s="36"/>
    </row>
    <row r="58" customFormat="false" ht="12.75" hidden="false" customHeight="false" outlineLevel="0" collapsed="false">
      <c r="A58" s="26"/>
      <c r="B58" s="16"/>
      <c r="C58" s="16"/>
      <c r="D58" s="17"/>
      <c r="E58" s="17"/>
      <c r="F58" s="15"/>
      <c r="G58" s="15"/>
      <c r="H58" s="16"/>
      <c r="I58" s="20"/>
      <c r="J58" s="20"/>
      <c r="K58" s="20"/>
      <c r="L58" s="20"/>
      <c r="M58" s="20"/>
      <c r="N58" s="32"/>
      <c r="O58" s="20"/>
      <c r="P58" s="108"/>
      <c r="Q58" s="108"/>
      <c r="R58" s="71"/>
      <c r="S58" s="34"/>
      <c r="T58" s="34"/>
      <c r="U58" s="34"/>
      <c r="V58" s="35"/>
      <c r="W58" s="35"/>
      <c r="X58" s="36"/>
      <c r="Y58" s="36"/>
    </row>
    <row r="59" customFormat="false" ht="12.75" hidden="false" customHeight="false" outlineLevel="0" collapsed="false">
      <c r="A59" s="26"/>
      <c r="B59" s="16"/>
      <c r="C59" s="16"/>
      <c r="D59" s="17"/>
      <c r="E59" s="17"/>
      <c r="F59" s="15"/>
      <c r="G59" s="15"/>
      <c r="H59" s="16"/>
      <c r="I59" s="19"/>
      <c r="J59" s="20"/>
      <c r="K59" s="20"/>
      <c r="L59" s="20"/>
      <c r="M59" s="20"/>
      <c r="N59" s="32"/>
      <c r="O59" s="20"/>
      <c r="P59" s="108"/>
      <c r="Q59" s="108"/>
      <c r="R59" s="71"/>
      <c r="S59" s="34"/>
      <c r="T59" s="34"/>
      <c r="U59" s="34"/>
      <c r="V59" s="35"/>
      <c r="W59" s="35"/>
      <c r="X59" s="36"/>
      <c r="Y59" s="36"/>
    </row>
    <row r="60" customFormat="false" ht="12.75" hidden="false" customHeight="false" outlineLevel="0" collapsed="false">
      <c r="A60" s="26"/>
      <c r="B60" s="16"/>
      <c r="C60" s="16"/>
      <c r="D60" s="17"/>
      <c r="E60" s="17"/>
      <c r="F60" s="15"/>
      <c r="G60" s="15"/>
      <c r="H60" s="16"/>
      <c r="I60" s="20"/>
      <c r="J60" s="20"/>
      <c r="K60" s="20"/>
      <c r="L60" s="20"/>
      <c r="M60" s="20"/>
      <c r="N60" s="32"/>
      <c r="O60" s="20"/>
      <c r="P60" s="108"/>
      <c r="Q60" s="108"/>
      <c r="R60" s="71"/>
      <c r="S60" s="34"/>
      <c r="T60" s="34"/>
      <c r="U60" s="34"/>
      <c r="V60" s="35"/>
      <c r="W60" s="35"/>
      <c r="X60" s="36"/>
      <c r="Y60" s="36"/>
    </row>
    <row r="61" customFormat="false" ht="12.75" hidden="false" customHeight="false" outlineLevel="0" collapsed="false">
      <c r="A61" s="26"/>
      <c r="B61" s="16"/>
      <c r="C61" s="16"/>
      <c r="D61" s="17"/>
      <c r="E61" s="17"/>
      <c r="F61" s="15"/>
      <c r="G61" s="15"/>
      <c r="H61" s="16"/>
      <c r="I61" s="20"/>
      <c r="J61" s="20"/>
      <c r="K61" s="20"/>
      <c r="L61" s="20"/>
      <c r="M61" s="20"/>
      <c r="N61" s="32"/>
      <c r="O61" s="20"/>
      <c r="P61" s="108"/>
      <c r="Q61" s="108"/>
      <c r="R61" s="71"/>
      <c r="S61" s="34"/>
      <c r="T61" s="34"/>
      <c r="U61" s="34"/>
      <c r="V61" s="35"/>
      <c r="W61" s="35"/>
      <c r="X61" s="69"/>
      <c r="Y61" s="36"/>
    </row>
    <row r="62" customFormat="false" ht="12.75" hidden="false" customHeight="false" outlineLevel="0" collapsed="false">
      <c r="A62" s="26"/>
      <c r="B62" s="16"/>
      <c r="C62" s="16"/>
      <c r="D62" s="17"/>
      <c r="E62" s="17"/>
      <c r="F62" s="15"/>
      <c r="G62" s="15"/>
      <c r="H62" s="16"/>
      <c r="I62" s="20"/>
      <c r="J62" s="20"/>
      <c r="K62" s="20"/>
      <c r="L62" s="20"/>
      <c r="M62" s="20"/>
      <c r="N62" s="32"/>
      <c r="O62" s="20"/>
      <c r="P62" s="108"/>
      <c r="Q62" s="108"/>
      <c r="R62" s="71"/>
      <c r="S62" s="34"/>
      <c r="T62" s="34"/>
      <c r="U62" s="34"/>
      <c r="V62" s="35"/>
      <c r="W62" s="35"/>
      <c r="X62" s="36"/>
      <c r="Y62" s="36"/>
    </row>
    <row r="63" customFormat="false" ht="12.75" hidden="false" customHeight="false" outlineLevel="0" collapsed="false">
      <c r="A63" s="26"/>
      <c r="B63" s="16"/>
      <c r="C63" s="16"/>
      <c r="D63" s="17"/>
      <c r="E63" s="17"/>
      <c r="F63" s="15"/>
      <c r="G63" s="15"/>
      <c r="H63" s="16"/>
      <c r="I63" s="20"/>
      <c r="J63" s="20"/>
      <c r="K63" s="20"/>
      <c r="L63" s="20"/>
      <c r="M63" s="20"/>
      <c r="N63" s="32"/>
      <c r="O63" s="20"/>
      <c r="P63" s="108"/>
      <c r="Q63" s="108"/>
      <c r="R63" s="71"/>
      <c r="S63" s="34"/>
      <c r="T63" s="34"/>
      <c r="U63" s="34"/>
      <c r="V63" s="35"/>
      <c r="W63" s="35"/>
      <c r="X63" s="36"/>
      <c r="Y63" s="36"/>
    </row>
    <row r="64" customFormat="false" ht="12.75" hidden="false" customHeight="false" outlineLevel="0" collapsed="false">
      <c r="A64" s="26"/>
      <c r="B64" s="16"/>
      <c r="C64" s="16"/>
      <c r="D64" s="17"/>
      <c r="E64" s="17"/>
      <c r="F64" s="15"/>
      <c r="G64" s="15"/>
      <c r="H64" s="16"/>
      <c r="I64" s="19"/>
      <c r="J64" s="20"/>
      <c r="K64" s="20"/>
      <c r="L64" s="20"/>
      <c r="M64" s="20"/>
      <c r="N64" s="32"/>
      <c r="O64" s="20"/>
      <c r="P64" s="108"/>
      <c r="Q64" s="108"/>
      <c r="R64" s="71"/>
      <c r="S64" s="69"/>
      <c r="T64" s="34"/>
      <c r="U64" s="34"/>
      <c r="V64" s="35"/>
      <c r="W64" s="35"/>
      <c r="X64" s="36"/>
      <c r="Y64" s="36"/>
    </row>
    <row r="65" customFormat="false" ht="12.75" hidden="false" customHeight="false" outlineLevel="0" collapsed="false">
      <c r="A65" s="26"/>
      <c r="B65" s="16"/>
      <c r="C65" s="16"/>
      <c r="D65" s="17"/>
      <c r="E65" s="17"/>
      <c r="F65" s="15"/>
      <c r="G65" s="15"/>
      <c r="H65" s="16"/>
      <c r="I65" s="19"/>
      <c r="J65" s="20"/>
      <c r="K65" s="20"/>
      <c r="L65" s="20"/>
      <c r="M65" s="20"/>
      <c r="N65" s="32"/>
      <c r="O65" s="20"/>
      <c r="P65" s="108"/>
      <c r="Q65" s="108"/>
      <c r="R65" s="71"/>
      <c r="S65" s="69"/>
      <c r="T65" s="34"/>
      <c r="U65" s="34"/>
      <c r="V65" s="35"/>
      <c r="W65" s="35"/>
      <c r="X65" s="36"/>
      <c r="Y65" s="36"/>
    </row>
    <row r="66" customFormat="false" ht="12.75" hidden="false" customHeight="false" outlineLevel="0" collapsed="false">
      <c r="P66" s="73"/>
      <c r="Q66" s="73"/>
      <c r="R66" s="73"/>
      <c r="S66" s="73"/>
      <c r="T66" s="73"/>
      <c r="U66" s="73"/>
      <c r="V66" s="72"/>
      <c r="W66" s="72"/>
      <c r="X66" s="72"/>
    </row>
    <row r="67" customFormat="false" ht="12.75" hidden="false" customHeight="false" outlineLevel="0" collapsed="false">
      <c r="P67" s="73"/>
      <c r="Q67" s="73"/>
      <c r="R67" s="73"/>
      <c r="S67" s="73"/>
      <c r="T67" s="73"/>
      <c r="U67" s="73"/>
      <c r="V67" s="72"/>
      <c r="W67" s="72"/>
      <c r="X67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1"/>
  <sheetViews>
    <sheetView showFormulas="false" showGridLines="true" showRowColHeaders="true" showZeros="true" rightToLeft="false" tabSelected="true" showOutlineSymbols="true" defaultGridColor="true" view="normal" topLeftCell="A1" colorId="64" zoomScale="125" zoomScaleNormal="125" zoomScalePageLayoutView="100" workbookViewId="0">
      <pane xSplit="4" ySplit="4" topLeftCell="O65" activePane="bottomRight" state="frozen"/>
      <selection pane="topLeft" activeCell="A1" activeCellId="0" sqref="A1"/>
      <selection pane="topRight" activeCell="O1" activeCellId="0" sqref="O1"/>
      <selection pane="bottomLeft" activeCell="A65" activeCellId="0" sqref="A65"/>
      <selection pane="bottomRight" activeCell="T66" activeCellId="0" sqref="T6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" width="6.28"/>
    <col collapsed="false" customWidth="false" hidden="false" outlineLevel="0" max="2" min="2" style="25" width="9.14"/>
    <col collapsed="false" customWidth="true" hidden="false" outlineLevel="0" max="3" min="3" style="25" width="10.56"/>
    <col collapsed="false" customWidth="true" hidden="false" outlineLevel="0" max="4" min="4" style="25" width="11.13"/>
    <col collapsed="false" customWidth="true" hidden="false" outlineLevel="0" max="5" min="5" style="25" width="7.99"/>
    <col collapsed="false" customWidth="true" hidden="false" outlineLevel="0" max="6" min="6" style="26" width="12.42"/>
    <col collapsed="false" customWidth="true" hidden="false" outlineLevel="0" max="7" min="7" style="26" width="7.99"/>
    <col collapsed="false" customWidth="true" hidden="false" outlineLevel="0" max="8" min="8" style="25" width="6.41"/>
    <col collapsed="false" customWidth="true" hidden="false" outlineLevel="0" max="9" min="9" style="25" width="8.85"/>
    <col collapsed="false" customWidth="false" hidden="false" outlineLevel="0" max="16" min="10" style="25" width="9.14"/>
    <col collapsed="false" customWidth="true" hidden="false" outlineLevel="0" max="17" min="17" style="25" width="12.7"/>
    <col collapsed="false" customWidth="false" hidden="false" outlineLevel="0" max="18" min="18" style="25" width="9.14"/>
    <col collapsed="false" customWidth="true" hidden="false" outlineLevel="0" max="19" min="19" style="25" width="14.7"/>
    <col collapsed="false" customWidth="false" hidden="false" outlineLevel="0" max="21" min="20" style="25" width="9.14"/>
    <col collapsed="false" customWidth="false" hidden="false" outlineLevel="0" max="23" min="22" style="28" width="9.14"/>
    <col collapsed="false" customWidth="true" hidden="false" outlineLevel="0" max="24" min="24" style="25" width="12.42"/>
    <col collapsed="false" customWidth="false" hidden="false" outlineLevel="0" max="257" min="25" style="25" width="9.14"/>
  </cols>
  <sheetData>
    <row r="1" customFormat="false" ht="12.75" hidden="false" customHeight="false" outlineLevel="0" collapsed="false">
      <c r="A1" s="29" t="s">
        <v>205</v>
      </c>
      <c r="B1" s="16"/>
      <c r="C1" s="16"/>
      <c r="D1" s="17"/>
      <c r="E1" s="17"/>
      <c r="F1" s="15"/>
      <c r="G1" s="15"/>
      <c r="H1" s="16" t="s">
        <v>82</v>
      </c>
      <c r="I1" s="30" t="n">
        <v>29</v>
      </c>
      <c r="J1" s="20"/>
      <c r="K1" s="20"/>
      <c r="L1" s="20"/>
      <c r="M1" s="20"/>
      <c r="N1" s="20"/>
      <c r="O1" s="21"/>
      <c r="P1" s="20"/>
      <c r="Q1" s="22"/>
      <c r="R1" s="33"/>
      <c r="S1" s="34"/>
      <c r="T1" s="34"/>
      <c r="U1" s="34"/>
      <c r="V1" s="36"/>
      <c r="W1" s="36"/>
    </row>
    <row r="2" customFormat="false" ht="12.75" hidden="false" customHeight="false" outlineLevel="0" collapsed="false">
      <c r="A2" s="37" t="s">
        <v>84</v>
      </c>
      <c r="B2" s="37"/>
      <c r="C2" s="37"/>
      <c r="D2" s="17"/>
      <c r="E2" s="17"/>
      <c r="F2" s="15"/>
      <c r="G2" s="15"/>
      <c r="H2" s="16"/>
      <c r="I2" s="30"/>
      <c r="J2" s="20"/>
      <c r="K2" s="20"/>
      <c r="L2" s="20"/>
      <c r="M2" s="20"/>
      <c r="N2" s="20"/>
      <c r="O2" s="21"/>
      <c r="P2" s="20"/>
      <c r="Q2" s="22"/>
      <c r="R2" s="33"/>
      <c r="S2" s="34"/>
      <c r="T2" s="34"/>
      <c r="U2" s="34"/>
      <c r="V2" s="36"/>
      <c r="W2" s="36"/>
    </row>
    <row r="3" customFormat="false" ht="12.75" hidden="false" customHeight="false" outlineLevel="0" collapsed="false">
      <c r="A3" s="38" t="s">
        <v>86</v>
      </c>
      <c r="B3" s="38"/>
      <c r="C3" s="38"/>
      <c r="D3" s="17"/>
      <c r="E3" s="17"/>
      <c r="F3" s="39" t="s">
        <v>1</v>
      </c>
      <c r="G3" s="15" t="s">
        <v>1</v>
      </c>
      <c r="H3" s="33" t="s">
        <v>1</v>
      </c>
      <c r="I3" s="19"/>
      <c r="J3" s="40" t="s">
        <v>1</v>
      </c>
      <c r="K3" s="20"/>
      <c r="L3" s="40" t="s">
        <v>1</v>
      </c>
      <c r="M3" s="20"/>
      <c r="N3" s="40" t="s">
        <v>1</v>
      </c>
      <c r="O3" s="21"/>
      <c r="P3" s="40" t="s">
        <v>1</v>
      </c>
      <c r="Q3" s="22"/>
      <c r="R3" s="33"/>
      <c r="S3" s="34"/>
      <c r="T3" s="34"/>
      <c r="U3" s="34"/>
      <c r="V3" s="36"/>
      <c r="W3" s="36"/>
      <c r="Z3" s="25" t="n">
        <v>2.8</v>
      </c>
      <c r="AC3" s="25" t="n">
        <v>3.03</v>
      </c>
    </row>
    <row r="4" customFormat="false" ht="12.75" hidden="false" customHeight="false" outlineLevel="0" collapsed="false">
      <c r="A4" s="41" t="s">
        <v>206</v>
      </c>
      <c r="B4" s="42"/>
      <c r="C4" s="42"/>
      <c r="D4" s="17"/>
      <c r="E4" s="17"/>
      <c r="F4" s="43"/>
      <c r="G4" s="15"/>
      <c r="H4" s="43"/>
      <c r="I4" s="19"/>
      <c r="J4" s="43"/>
      <c r="K4" s="20"/>
      <c r="L4" s="43"/>
      <c r="M4" s="33"/>
      <c r="N4" s="43"/>
      <c r="O4" s="21"/>
      <c r="P4" s="33"/>
      <c r="Q4" s="22"/>
      <c r="R4" s="33"/>
      <c r="S4" s="34"/>
      <c r="T4" s="44"/>
      <c r="U4" s="44"/>
      <c r="V4" s="36" t="s">
        <v>207</v>
      </c>
      <c r="W4" s="36"/>
    </row>
    <row r="5" customFormat="false" ht="12.75" hidden="false" customHeight="false" outlineLevel="0" collapsed="false">
      <c r="A5" s="113" t="s">
        <v>92</v>
      </c>
      <c r="B5" s="114" t="s">
        <v>93</v>
      </c>
      <c r="C5" s="114" t="s">
        <v>94</v>
      </c>
      <c r="D5" s="115" t="s">
        <v>95</v>
      </c>
      <c r="E5" s="115"/>
      <c r="F5" s="113" t="s">
        <v>96</v>
      </c>
      <c r="G5" s="113" t="s">
        <v>97</v>
      </c>
      <c r="H5" s="114" t="s">
        <v>98</v>
      </c>
      <c r="I5" s="116" t="s">
        <v>99</v>
      </c>
      <c r="J5" s="114" t="s">
        <v>100</v>
      </c>
      <c r="K5" s="114" t="s">
        <v>101</v>
      </c>
      <c r="L5" s="114" t="s">
        <v>102</v>
      </c>
      <c r="M5" s="114" t="s">
        <v>103</v>
      </c>
      <c r="N5" s="114" t="s">
        <v>208</v>
      </c>
      <c r="O5" s="117" t="s">
        <v>104</v>
      </c>
      <c r="P5" s="114" t="s">
        <v>105</v>
      </c>
      <c r="Q5" s="118" t="s">
        <v>106</v>
      </c>
      <c r="R5" s="114" t="s">
        <v>107</v>
      </c>
      <c r="S5" s="113" t="s">
        <v>108</v>
      </c>
      <c r="T5" s="119" t="s">
        <v>209</v>
      </c>
      <c r="U5" s="119" t="s">
        <v>210</v>
      </c>
      <c r="V5" s="24"/>
      <c r="W5" s="24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2.75" hidden="false" customHeight="false" outlineLevel="0" collapsed="false">
      <c r="A6" s="15" t="s">
        <v>45</v>
      </c>
      <c r="B6" s="16" t="s">
        <v>211</v>
      </c>
      <c r="C6" s="16" t="s">
        <v>212</v>
      </c>
      <c r="D6" s="17" t="n">
        <v>36526</v>
      </c>
      <c r="E6" s="17" t="n">
        <v>36556</v>
      </c>
      <c r="F6" s="15" t="s">
        <v>213</v>
      </c>
      <c r="G6" s="15" t="s">
        <v>214</v>
      </c>
      <c r="H6" s="16" t="s">
        <v>215</v>
      </c>
      <c r="I6" s="19" t="n">
        <f aca="false">6.5854*0.0328767</f>
        <v>0.21650622018</v>
      </c>
      <c r="J6" s="20" t="n">
        <v>0</v>
      </c>
      <c r="K6" s="20" t="n">
        <v>0</v>
      </c>
      <c r="L6" s="20" t="n">
        <v>0</v>
      </c>
      <c r="M6" s="20" t="n">
        <v>0</v>
      </c>
      <c r="N6" s="20" t="n">
        <v>0</v>
      </c>
      <c r="O6" s="21" t="n">
        <v>0.0369</v>
      </c>
      <c r="P6" s="20" t="n">
        <v>0</v>
      </c>
      <c r="Q6" s="22" t="n">
        <v>771058</v>
      </c>
      <c r="R6" s="16" t="n">
        <v>4000</v>
      </c>
      <c r="S6" s="23" t="s">
        <v>216</v>
      </c>
      <c r="T6" s="23" t="n">
        <f aca="false">I6*$I$1*R6</f>
        <v>25114.72154088</v>
      </c>
      <c r="U6" s="23"/>
      <c r="V6" s="24" t="n">
        <v>145308</v>
      </c>
      <c r="W6" s="2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5"/>
      <c r="B7" s="16"/>
      <c r="C7" s="16"/>
      <c r="D7" s="17"/>
      <c r="E7" s="17"/>
      <c r="F7" s="15"/>
      <c r="G7" s="15"/>
      <c r="H7" s="16"/>
      <c r="I7" s="19"/>
      <c r="J7" s="20"/>
      <c r="K7" s="20"/>
      <c r="L7" s="20"/>
      <c r="M7" s="20"/>
      <c r="N7" s="20"/>
      <c r="O7" s="21"/>
      <c r="P7" s="20"/>
      <c r="Q7" s="22"/>
      <c r="R7" s="16"/>
      <c r="S7" s="23"/>
      <c r="T7" s="23"/>
      <c r="U7" s="23"/>
      <c r="V7" s="24"/>
      <c r="W7" s="2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2.75" hidden="false" customHeight="false" outlineLevel="0" collapsed="false">
      <c r="A8" s="15"/>
      <c r="B8" s="16"/>
      <c r="C8" s="16"/>
      <c r="D8" s="17"/>
      <c r="E8" s="17"/>
      <c r="F8" s="15"/>
      <c r="G8" s="15"/>
      <c r="H8" s="16"/>
      <c r="I8" s="19"/>
      <c r="J8" s="20"/>
      <c r="K8" s="20"/>
      <c r="L8" s="20"/>
      <c r="M8" s="20"/>
      <c r="N8" s="20"/>
      <c r="O8" s="21"/>
      <c r="P8" s="20"/>
      <c r="Q8" s="22"/>
      <c r="R8" s="16"/>
      <c r="S8" s="23"/>
      <c r="T8" s="23"/>
      <c r="U8" s="23"/>
      <c r="V8" s="24"/>
      <c r="W8" s="2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5"/>
      <c r="B9" s="16"/>
      <c r="C9" s="16"/>
      <c r="D9" s="17"/>
      <c r="E9" s="17"/>
      <c r="F9" s="15"/>
      <c r="G9" s="15"/>
      <c r="H9" s="16"/>
      <c r="I9" s="19"/>
      <c r="J9" s="20"/>
      <c r="K9" s="20"/>
      <c r="L9" s="20"/>
      <c r="M9" s="20"/>
      <c r="N9" s="20"/>
      <c r="O9" s="21"/>
      <c r="P9" s="20"/>
      <c r="Q9" s="22"/>
      <c r="R9" s="16"/>
      <c r="S9" s="23"/>
      <c r="T9" s="23"/>
      <c r="U9" s="23"/>
      <c r="V9" s="24"/>
      <c r="W9" s="2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.75" hidden="false" customHeight="false" outlineLevel="0" collapsed="false">
      <c r="A10" s="113" t="s">
        <v>92</v>
      </c>
      <c r="B10" s="114" t="s">
        <v>93</v>
      </c>
      <c r="C10" s="114" t="s">
        <v>94</v>
      </c>
      <c r="D10" s="115" t="s">
        <v>95</v>
      </c>
      <c r="E10" s="115"/>
      <c r="F10" s="113" t="s">
        <v>96</v>
      </c>
      <c r="G10" s="113" t="s">
        <v>97</v>
      </c>
      <c r="H10" s="114" t="s">
        <v>98</v>
      </c>
      <c r="I10" s="116" t="s">
        <v>99</v>
      </c>
      <c r="J10" s="114" t="s">
        <v>100</v>
      </c>
      <c r="K10" s="114" t="s">
        <v>101</v>
      </c>
      <c r="L10" s="114" t="s">
        <v>102</v>
      </c>
      <c r="M10" s="114" t="s">
        <v>103</v>
      </c>
      <c r="N10" s="114" t="s">
        <v>208</v>
      </c>
      <c r="O10" s="117" t="s">
        <v>104</v>
      </c>
      <c r="P10" s="114" t="s">
        <v>105</v>
      </c>
      <c r="Q10" s="118" t="s">
        <v>106</v>
      </c>
      <c r="R10" s="114" t="s">
        <v>107</v>
      </c>
      <c r="S10" s="113" t="s">
        <v>108</v>
      </c>
      <c r="T10" s="119" t="s">
        <v>209</v>
      </c>
      <c r="U10" s="119" t="s">
        <v>210</v>
      </c>
      <c r="V10" s="24"/>
      <c r="W10" s="2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false" outlineLevel="0" collapsed="false">
      <c r="A11" s="15" t="s">
        <v>45</v>
      </c>
      <c r="B11" s="16" t="s">
        <v>129</v>
      </c>
      <c r="C11" s="16" t="s">
        <v>114</v>
      </c>
      <c r="D11" s="17" t="n">
        <v>36526</v>
      </c>
      <c r="E11" s="17" t="n">
        <v>36556</v>
      </c>
      <c r="F11" s="15" t="s">
        <v>217</v>
      </c>
      <c r="G11" s="15" t="s">
        <v>218</v>
      </c>
      <c r="H11" s="16" t="s">
        <v>215</v>
      </c>
      <c r="I11" s="19" t="n">
        <v>0.26</v>
      </c>
      <c r="J11" s="20" t="n">
        <v>0.0224</v>
      </c>
      <c r="K11" s="20" t="n">
        <v>0.0022</v>
      </c>
      <c r="L11" s="20" t="n">
        <v>0.0075</v>
      </c>
      <c r="M11" s="20" t="n">
        <v>0.0131</v>
      </c>
      <c r="N11" s="20" t="n">
        <f aca="false">+O11*2.3</f>
        <v>0.10902</v>
      </c>
      <c r="O11" s="21" t="n">
        <v>0.0474</v>
      </c>
      <c r="P11" s="20" t="n">
        <f aca="false">SUM(I11:N11)</f>
        <v>0.41422</v>
      </c>
      <c r="Q11" s="22" t="s">
        <v>219</v>
      </c>
      <c r="R11" s="16" t="n">
        <v>8276</v>
      </c>
      <c r="S11" s="23" t="s">
        <v>220</v>
      </c>
      <c r="T11" s="23" t="n">
        <f aca="false">I11*$I$1*R11</f>
        <v>62401.04</v>
      </c>
      <c r="U11" s="23"/>
      <c r="V11" s="24" t="s">
        <v>1</v>
      </c>
      <c r="W11" s="24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2.75" hidden="false" customHeight="false" outlineLevel="0" collapsed="false">
      <c r="A12" s="15" t="s">
        <v>45</v>
      </c>
      <c r="B12" s="33" t="s">
        <v>221</v>
      </c>
      <c r="C12" s="16" t="s">
        <v>221</v>
      </c>
      <c r="D12" s="17" t="n">
        <v>36465</v>
      </c>
      <c r="E12" s="17" t="n">
        <v>36616</v>
      </c>
      <c r="F12" s="15" t="s">
        <v>222</v>
      </c>
      <c r="G12" s="39" t="s">
        <v>223</v>
      </c>
      <c r="H12" s="33" t="s">
        <v>215</v>
      </c>
      <c r="I12" s="19" t="n">
        <f aca="false">0.608/$I$1</f>
        <v>0.0209655172413793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1" t="n">
        <v>0.0369</v>
      </c>
      <c r="P12" s="20" t="n">
        <v>0</v>
      </c>
      <c r="Q12" s="120" t="s">
        <v>224</v>
      </c>
      <c r="R12" s="33" t="n">
        <v>8500</v>
      </c>
      <c r="S12" s="23" t="s">
        <v>225</v>
      </c>
      <c r="T12" s="121" t="n">
        <f aca="false">I12*$I$1*R12</f>
        <v>5168</v>
      </c>
      <c r="U12" s="23" t="n">
        <v>0</v>
      </c>
      <c r="V12" s="24" t="n">
        <v>123611</v>
      </c>
      <c r="W12" s="24"/>
    </row>
    <row r="13" customFormat="false" ht="12.75" hidden="false" customHeight="false" outlineLevel="0" collapsed="false">
      <c r="A13" s="15"/>
      <c r="B13" s="16"/>
      <c r="C13" s="16"/>
      <c r="D13" s="17"/>
      <c r="E13" s="17"/>
      <c r="F13" s="15"/>
      <c r="G13" s="15"/>
      <c r="H13" s="16"/>
      <c r="I13" s="19"/>
      <c r="J13" s="20"/>
      <c r="K13" s="20"/>
      <c r="L13" s="20"/>
      <c r="M13" s="20"/>
      <c r="N13" s="20"/>
      <c r="O13" s="21"/>
      <c r="P13" s="20"/>
      <c r="Q13" s="22"/>
      <c r="R13" s="16"/>
      <c r="S13" s="23"/>
      <c r="T13" s="23" t="n">
        <f aca="false">SUM(T11:T12)</f>
        <v>67569.04</v>
      </c>
      <c r="U13" s="23"/>
      <c r="V13" s="24"/>
      <c r="W13" s="24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15"/>
      <c r="B14" s="16"/>
      <c r="C14" s="16"/>
      <c r="D14" s="17"/>
      <c r="E14" s="17"/>
      <c r="F14" s="15"/>
      <c r="G14" s="15"/>
      <c r="H14" s="16"/>
      <c r="I14" s="19"/>
      <c r="J14" s="20"/>
      <c r="K14" s="20"/>
      <c r="L14" s="20"/>
      <c r="M14" s="20"/>
      <c r="N14" s="20"/>
      <c r="O14" s="21"/>
      <c r="P14" s="20"/>
      <c r="Q14" s="22"/>
      <c r="R14" s="16"/>
      <c r="S14" s="23"/>
      <c r="T14" s="23"/>
      <c r="U14" s="23"/>
      <c r="V14" s="24"/>
      <c r="W14" s="24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15"/>
      <c r="B15" s="16"/>
      <c r="C15" s="16"/>
      <c r="D15" s="17"/>
      <c r="E15" s="17"/>
      <c r="F15" s="15"/>
      <c r="G15" s="15"/>
      <c r="H15" s="16"/>
      <c r="I15" s="19"/>
      <c r="J15" s="20"/>
      <c r="K15" s="20"/>
      <c r="L15" s="20"/>
      <c r="M15" s="20"/>
      <c r="N15" s="20"/>
      <c r="O15" s="21"/>
      <c r="P15" s="20"/>
      <c r="Q15" s="22"/>
      <c r="R15" s="16"/>
      <c r="S15" s="23"/>
      <c r="T15" s="23"/>
      <c r="U15" s="23"/>
      <c r="V15" s="24"/>
      <c r="W15" s="24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113" t="s">
        <v>92</v>
      </c>
      <c r="B16" s="114" t="s">
        <v>93</v>
      </c>
      <c r="C16" s="114" t="s">
        <v>94</v>
      </c>
      <c r="D16" s="115" t="s">
        <v>95</v>
      </c>
      <c r="E16" s="115"/>
      <c r="F16" s="113" t="s">
        <v>96</v>
      </c>
      <c r="G16" s="113" t="s">
        <v>97</v>
      </c>
      <c r="H16" s="114" t="s">
        <v>98</v>
      </c>
      <c r="I16" s="116" t="s">
        <v>99</v>
      </c>
      <c r="J16" s="114" t="s">
        <v>100</v>
      </c>
      <c r="K16" s="114" t="s">
        <v>101</v>
      </c>
      <c r="L16" s="114" t="s">
        <v>102</v>
      </c>
      <c r="M16" s="114" t="s">
        <v>103</v>
      </c>
      <c r="N16" s="114" t="s">
        <v>208</v>
      </c>
      <c r="O16" s="117" t="s">
        <v>104</v>
      </c>
      <c r="P16" s="114" t="s">
        <v>105</v>
      </c>
      <c r="Q16" s="118" t="s">
        <v>106</v>
      </c>
      <c r="R16" s="114" t="s">
        <v>107</v>
      </c>
      <c r="S16" s="113" t="s">
        <v>108</v>
      </c>
      <c r="T16" s="119" t="s">
        <v>209</v>
      </c>
      <c r="U16" s="119" t="s">
        <v>210</v>
      </c>
      <c r="V16" s="24"/>
      <c r="W16" s="24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15" t="s">
        <v>226</v>
      </c>
      <c r="B17" s="16" t="s">
        <v>227</v>
      </c>
      <c r="C17" s="16" t="s">
        <v>228</v>
      </c>
      <c r="D17" s="17" t="n">
        <v>36526</v>
      </c>
      <c r="E17" s="17" t="n">
        <v>36556</v>
      </c>
      <c r="F17" s="15" t="s">
        <v>229</v>
      </c>
      <c r="G17" s="15" t="s">
        <v>229</v>
      </c>
      <c r="H17" s="16" t="s">
        <v>215</v>
      </c>
      <c r="I17" s="19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0" t="n">
        <v>0</v>
      </c>
      <c r="O17" s="21" t="n">
        <v>0.0369</v>
      </c>
      <c r="P17" s="20" t="n">
        <v>0</v>
      </c>
      <c r="Q17" s="22" t="s">
        <v>230</v>
      </c>
      <c r="R17" s="16" t="n">
        <v>0</v>
      </c>
      <c r="S17" s="23" t="s">
        <v>1</v>
      </c>
      <c r="T17" s="23" t="n">
        <v>115083.34</v>
      </c>
      <c r="U17" s="23"/>
      <c r="V17" s="24"/>
      <c r="W17" s="24"/>
      <c r="X17" s="1" t="s">
        <v>231</v>
      </c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5" t="s">
        <v>226</v>
      </c>
      <c r="B18" s="16" t="s">
        <v>227</v>
      </c>
      <c r="C18" s="16" t="s">
        <v>228</v>
      </c>
      <c r="D18" s="17" t="n">
        <v>36039</v>
      </c>
      <c r="E18" s="17" t="n">
        <v>36831</v>
      </c>
      <c r="F18" s="15" t="s">
        <v>232</v>
      </c>
      <c r="G18" s="15"/>
      <c r="H18" s="16" t="s">
        <v>215</v>
      </c>
      <c r="I18" s="19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0" t="n">
        <v>0</v>
      </c>
      <c r="O18" s="21" t="n">
        <v>0.0369</v>
      </c>
      <c r="P18" s="20" t="n">
        <v>0</v>
      </c>
      <c r="Q18" s="22" t="n">
        <v>4310</v>
      </c>
      <c r="R18" s="16" t="n">
        <v>0</v>
      </c>
      <c r="S18" s="23" t="s">
        <v>233</v>
      </c>
      <c r="T18" s="23" t="n">
        <v>30106.57</v>
      </c>
      <c r="U18" s="23"/>
      <c r="V18" s="24" t="n">
        <v>105938</v>
      </c>
      <c r="W18" s="24" t="n">
        <v>96005270</v>
      </c>
      <c r="X18" s="1" t="s">
        <v>231</v>
      </c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5" t="s">
        <v>226</v>
      </c>
      <c r="B19" s="16" t="s">
        <v>227</v>
      </c>
      <c r="C19" s="16" t="s">
        <v>234</v>
      </c>
      <c r="D19" s="17" t="n">
        <v>36039</v>
      </c>
      <c r="E19" s="17" t="n">
        <v>36831</v>
      </c>
      <c r="F19" s="15" t="s">
        <v>232</v>
      </c>
      <c r="G19" s="15"/>
      <c r="H19" s="16" t="s">
        <v>215</v>
      </c>
      <c r="I19" s="19" t="n">
        <v>0</v>
      </c>
      <c r="J19" s="20" t="n">
        <v>0</v>
      </c>
      <c r="K19" s="20" t="n">
        <v>0</v>
      </c>
      <c r="L19" s="20" t="n">
        <v>0</v>
      </c>
      <c r="M19" s="20" t="n">
        <v>0</v>
      </c>
      <c r="N19" s="20" t="n">
        <v>0</v>
      </c>
      <c r="O19" s="21" t="n">
        <v>0.0369</v>
      </c>
      <c r="P19" s="20" t="n">
        <v>0</v>
      </c>
      <c r="Q19" s="22" t="n">
        <v>4345</v>
      </c>
      <c r="R19" s="16" t="n">
        <v>0</v>
      </c>
      <c r="S19" s="23" t="s">
        <v>235</v>
      </c>
      <c r="T19" s="23" t="n">
        <v>445.69</v>
      </c>
      <c r="U19" s="23"/>
      <c r="V19" s="24" t="n">
        <v>105939</v>
      </c>
      <c r="W19" s="24" t="n">
        <v>96006727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2.75" hidden="false" customHeight="false" outlineLevel="0" collapsed="false">
      <c r="A20" s="15" t="s">
        <v>226</v>
      </c>
      <c r="B20" s="16" t="s">
        <v>227</v>
      </c>
      <c r="C20" s="16" t="s">
        <v>234</v>
      </c>
      <c r="D20" s="17" t="n">
        <v>36039</v>
      </c>
      <c r="E20" s="17" t="n">
        <v>36831</v>
      </c>
      <c r="F20" s="15" t="s">
        <v>229</v>
      </c>
      <c r="G20" s="15" t="s">
        <v>229</v>
      </c>
      <c r="H20" s="16" t="s">
        <v>215</v>
      </c>
      <c r="I20" s="19" t="n">
        <v>0</v>
      </c>
      <c r="J20" s="20" t="n">
        <v>0</v>
      </c>
      <c r="K20" s="20" t="n">
        <v>0</v>
      </c>
      <c r="L20" s="20" t="n">
        <v>0</v>
      </c>
      <c r="M20" s="20" t="n">
        <v>0</v>
      </c>
      <c r="N20" s="20" t="n">
        <v>0</v>
      </c>
      <c r="O20" s="21" t="n">
        <v>0.0369</v>
      </c>
      <c r="P20" s="20" t="n">
        <v>0</v>
      </c>
      <c r="Q20" s="22" t="n">
        <v>4371</v>
      </c>
      <c r="R20" s="16" t="n">
        <v>0</v>
      </c>
      <c r="S20" s="23" t="s">
        <v>236</v>
      </c>
      <c r="T20" s="23" t="n">
        <v>2044.04</v>
      </c>
      <c r="U20" s="23"/>
      <c r="V20" s="24"/>
      <c r="W20" s="24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2.75" hidden="false" customHeight="false" outlineLevel="0" collapsed="false">
      <c r="A21" s="15" t="s">
        <v>45</v>
      </c>
      <c r="B21" s="16" t="s">
        <v>227</v>
      </c>
      <c r="C21" s="16" t="s">
        <v>237</v>
      </c>
      <c r="D21" s="17" t="n">
        <v>36281</v>
      </c>
      <c r="E21" s="17" t="n">
        <v>36465</v>
      </c>
      <c r="F21" s="15" t="s">
        <v>238</v>
      </c>
      <c r="G21" s="15" t="s">
        <v>239</v>
      </c>
      <c r="H21" s="16" t="s">
        <v>240</v>
      </c>
      <c r="I21" s="19" t="n">
        <v>0.025</v>
      </c>
      <c r="J21" s="20" t="n">
        <v>0.0873</v>
      </c>
      <c r="K21" s="20" t="n">
        <v>0.0022</v>
      </c>
      <c r="L21" s="20" t="n">
        <v>0.0075</v>
      </c>
      <c r="M21" s="20" t="n">
        <v>0</v>
      </c>
      <c r="N21" s="20" t="n">
        <v>0.09867</v>
      </c>
      <c r="O21" s="122" t="n">
        <v>0.0429</v>
      </c>
      <c r="P21" s="20" t="n">
        <v>0.22067</v>
      </c>
      <c r="Q21" s="22" t="n">
        <v>29149</v>
      </c>
      <c r="R21" s="16"/>
      <c r="S21" s="123" t="s">
        <v>1</v>
      </c>
      <c r="T21" s="23" t="n">
        <v>2190</v>
      </c>
      <c r="U21" s="23"/>
      <c r="V21" s="24"/>
      <c r="W21" s="24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15" t="s">
        <v>45</v>
      </c>
      <c r="B22" s="16" t="s">
        <v>227</v>
      </c>
      <c r="C22" s="16" t="s">
        <v>241</v>
      </c>
      <c r="D22" s="17" t="n">
        <v>36434</v>
      </c>
      <c r="E22" s="17" t="n">
        <v>36465</v>
      </c>
      <c r="F22" s="15" t="s">
        <v>242</v>
      </c>
      <c r="G22" s="15" t="s">
        <v>239</v>
      </c>
      <c r="H22" s="16" t="s">
        <v>240</v>
      </c>
      <c r="I22" s="19" t="n">
        <v>0.02</v>
      </c>
      <c r="J22" s="20" t="n">
        <v>0.0873</v>
      </c>
      <c r="K22" s="20" t="n">
        <v>0.0022</v>
      </c>
      <c r="L22" s="20" t="n">
        <v>0.0075</v>
      </c>
      <c r="M22" s="20" t="n">
        <v>0</v>
      </c>
      <c r="N22" s="20" t="n">
        <f aca="false">+O22*2.3</f>
        <v>0.11592</v>
      </c>
      <c r="O22" s="122" t="n">
        <v>0.0504</v>
      </c>
      <c r="P22" s="20" t="n">
        <f aca="false">SUM(I22:N22)</f>
        <v>0.23292</v>
      </c>
      <c r="Q22" s="22" t="n">
        <v>30880</v>
      </c>
      <c r="R22" s="16"/>
      <c r="S22" s="123" t="s">
        <v>1</v>
      </c>
      <c r="T22" s="23" t="n">
        <f aca="false">I22*$I$1*R22</f>
        <v>0</v>
      </c>
      <c r="U22" s="23"/>
      <c r="V22" s="24"/>
      <c r="W22" s="24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false" outlineLevel="0" collapsed="false">
      <c r="A23" s="15" t="s">
        <v>45</v>
      </c>
      <c r="B23" s="16" t="s">
        <v>227</v>
      </c>
      <c r="C23" s="16" t="s">
        <v>237</v>
      </c>
      <c r="D23" s="17" t="n">
        <v>35827</v>
      </c>
      <c r="E23" s="17" t="n">
        <v>36342</v>
      </c>
      <c r="F23" s="15" t="s">
        <v>243</v>
      </c>
      <c r="G23" s="15" t="s">
        <v>244</v>
      </c>
      <c r="H23" s="16" t="s">
        <v>240</v>
      </c>
      <c r="I23" s="19" t="n">
        <f aca="false">(5.9+5.42)/I$1</f>
        <v>0.390344827586207</v>
      </c>
      <c r="J23" s="20" t="n">
        <v>0</v>
      </c>
      <c r="K23" s="20" t="n">
        <v>0.0022</v>
      </c>
      <c r="L23" s="20" t="n">
        <v>0.0075</v>
      </c>
      <c r="M23" s="20" t="n">
        <v>0</v>
      </c>
      <c r="N23" s="20" t="n">
        <f aca="false">+O23*2.3</f>
        <v>0.03013</v>
      </c>
      <c r="O23" s="122" t="n">
        <v>0.0131</v>
      </c>
      <c r="P23" s="20" t="n">
        <f aca="false">SUM(I23:N23)</f>
        <v>0.430174827586207</v>
      </c>
      <c r="Q23" s="22" t="n">
        <v>23231</v>
      </c>
      <c r="R23" s="16" t="n">
        <v>0</v>
      </c>
      <c r="S23" s="123" t="n">
        <v>13.36</v>
      </c>
      <c r="T23" s="23" t="n">
        <f aca="false">I23*$I$1*R23</f>
        <v>0</v>
      </c>
      <c r="U23" s="23"/>
      <c r="V23" s="24" t="n">
        <v>77257</v>
      </c>
      <c r="W23" s="24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false" outlineLevel="0" collapsed="false">
      <c r="A24" s="15" t="s">
        <v>45</v>
      </c>
      <c r="B24" s="16" t="s">
        <v>227</v>
      </c>
      <c r="C24" s="16" t="s">
        <v>237</v>
      </c>
      <c r="D24" s="17" t="n">
        <v>36342</v>
      </c>
      <c r="E24" s="17" t="n">
        <v>39539</v>
      </c>
      <c r="F24" s="15" t="s">
        <v>243</v>
      </c>
      <c r="G24" s="15" t="s">
        <v>244</v>
      </c>
      <c r="H24" s="16" t="s">
        <v>240</v>
      </c>
      <c r="I24" s="19" t="n">
        <f aca="false">(5.9+5.42)/I$1</f>
        <v>0.390344827586207</v>
      </c>
      <c r="J24" s="20" t="n">
        <v>0</v>
      </c>
      <c r="K24" s="20" t="n">
        <v>0.0022</v>
      </c>
      <c r="L24" s="20" t="n">
        <v>0.0075</v>
      </c>
      <c r="M24" s="20" t="n">
        <v>0</v>
      </c>
      <c r="N24" s="20" t="n">
        <f aca="false">+O24*2.3</f>
        <v>0.03013</v>
      </c>
      <c r="O24" s="122" t="n">
        <v>0.0131</v>
      </c>
      <c r="P24" s="20" t="n">
        <f aca="false">SUM(I24:N24)</f>
        <v>0.430174827586207</v>
      </c>
      <c r="Q24" s="22" t="n">
        <v>29667</v>
      </c>
      <c r="R24" s="16" t="n">
        <v>35000</v>
      </c>
      <c r="S24" s="123" t="n">
        <v>13.36</v>
      </c>
      <c r="T24" s="23" t="n">
        <f aca="false">I24*$I$1*R24</f>
        <v>396200</v>
      </c>
      <c r="U24" s="23"/>
      <c r="V24" s="24" t="n">
        <v>93036</v>
      </c>
      <c r="W24" s="24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" hidden="false" customHeight="true" outlineLevel="0" collapsed="false">
      <c r="A25" s="15" t="s">
        <v>132</v>
      </c>
      <c r="B25" s="16" t="s">
        <v>227</v>
      </c>
      <c r="C25" s="16"/>
      <c r="D25" s="17" t="n">
        <v>36373</v>
      </c>
      <c r="E25" s="17" t="n">
        <v>36404</v>
      </c>
      <c r="F25" s="15" t="s">
        <v>245</v>
      </c>
      <c r="G25" s="15"/>
      <c r="H25" s="16" t="s">
        <v>240</v>
      </c>
      <c r="I25" s="19" t="n">
        <v>0</v>
      </c>
      <c r="J25" s="20" t="n">
        <v>0.0835</v>
      </c>
      <c r="K25" s="20" t="n">
        <v>0.0022</v>
      </c>
      <c r="L25" s="20" t="n">
        <v>0.0075</v>
      </c>
      <c r="M25" s="20" t="n">
        <v>0</v>
      </c>
      <c r="N25" s="20" t="n">
        <f aca="false">+O25*(1.75)</f>
        <v>0.0336</v>
      </c>
      <c r="O25" s="21" t="n">
        <v>0.0192</v>
      </c>
      <c r="P25" s="20" t="n">
        <f aca="false">SUM(I25:N25)</f>
        <v>0.1268</v>
      </c>
      <c r="Q25" s="22"/>
      <c r="R25" s="16"/>
      <c r="S25" s="124" t="s">
        <v>1</v>
      </c>
      <c r="T25" s="23" t="n">
        <f aca="false">I25*$I$1*R25</f>
        <v>0</v>
      </c>
      <c r="U25" s="23"/>
      <c r="V25" s="24"/>
      <c r="W25" s="24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" hidden="false" customHeight="true" outlineLevel="0" collapsed="false">
      <c r="A26" s="15" t="s">
        <v>132</v>
      </c>
      <c r="B26" s="16" t="s">
        <v>227</v>
      </c>
      <c r="C26" s="16" t="s">
        <v>246</v>
      </c>
      <c r="D26" s="17" t="n">
        <v>36557</v>
      </c>
      <c r="E26" s="17" t="n">
        <v>36585</v>
      </c>
      <c r="F26" s="15" t="s">
        <v>247</v>
      </c>
      <c r="G26" s="15" t="s">
        <v>248</v>
      </c>
      <c r="H26" s="16" t="s">
        <v>215</v>
      </c>
      <c r="I26" s="19" t="n">
        <v>0.02</v>
      </c>
      <c r="J26" s="20" t="n">
        <v>0.0669</v>
      </c>
      <c r="K26" s="20" t="n">
        <v>0.0022</v>
      </c>
      <c r="L26" s="20" t="n">
        <v>0.0075</v>
      </c>
      <c r="M26" s="20" t="n">
        <v>0</v>
      </c>
      <c r="N26" s="20" t="n">
        <f aca="false">+O26*(1.75)</f>
        <v>0.048825</v>
      </c>
      <c r="O26" s="21" t="n">
        <v>0.0279</v>
      </c>
      <c r="P26" s="20" t="n">
        <f aca="false">SUM(I26:N26)</f>
        <v>0.145425</v>
      </c>
      <c r="Q26" s="22" t="n">
        <v>32397</v>
      </c>
      <c r="R26" s="16" t="n">
        <v>5102</v>
      </c>
      <c r="S26" s="124" t="s">
        <v>1</v>
      </c>
      <c r="T26" s="23" t="n">
        <f aca="false">I26*$I$1*R26</f>
        <v>2959.16</v>
      </c>
      <c r="U26" s="23"/>
      <c r="V26" s="24" t="n">
        <v>158600</v>
      </c>
      <c r="W26" s="24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" hidden="false" customHeight="true" outlineLevel="0" collapsed="false">
      <c r="A27" s="15" t="s">
        <v>132</v>
      </c>
      <c r="B27" s="16" t="s">
        <v>227</v>
      </c>
      <c r="C27" s="16" t="s">
        <v>246</v>
      </c>
      <c r="D27" s="17" t="n">
        <v>36557</v>
      </c>
      <c r="E27" s="17" t="n">
        <v>36585</v>
      </c>
      <c r="F27" s="15" t="s">
        <v>249</v>
      </c>
      <c r="G27" s="15" t="s">
        <v>248</v>
      </c>
      <c r="H27" s="16" t="s">
        <v>215</v>
      </c>
      <c r="I27" s="19" t="n">
        <v>0.02</v>
      </c>
      <c r="J27" s="20" t="n">
        <v>0.0669</v>
      </c>
      <c r="K27" s="20" t="n">
        <v>0.0022</v>
      </c>
      <c r="L27" s="20" t="n">
        <v>0.0075</v>
      </c>
      <c r="M27" s="20" t="n">
        <v>0</v>
      </c>
      <c r="N27" s="20" t="n">
        <f aca="false">+O27*(1.75)</f>
        <v>0.048825</v>
      </c>
      <c r="O27" s="21" t="n">
        <v>0.0279</v>
      </c>
      <c r="P27" s="20" t="n">
        <f aca="false">SUM(I27:N27)</f>
        <v>0.145425</v>
      </c>
      <c r="Q27" s="22" t="n">
        <v>32396</v>
      </c>
      <c r="R27" s="16" t="n">
        <v>4898</v>
      </c>
      <c r="S27" s="124" t="s">
        <v>1</v>
      </c>
      <c r="T27" s="23" t="n">
        <f aca="false">I27*$I$1*R27</f>
        <v>2840.84</v>
      </c>
      <c r="U27" s="23"/>
      <c r="V27" s="24" t="n">
        <v>158596</v>
      </c>
      <c r="W27" s="24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" hidden="false" customHeight="true" outlineLevel="0" collapsed="false">
      <c r="A28" s="15" t="s">
        <v>132</v>
      </c>
      <c r="B28" s="16" t="s">
        <v>227</v>
      </c>
      <c r="C28" s="16" t="s">
        <v>250</v>
      </c>
      <c r="D28" s="17" t="n">
        <v>36342</v>
      </c>
      <c r="E28" s="17" t="n">
        <v>36465</v>
      </c>
      <c r="F28" s="15" t="n">
        <v>800</v>
      </c>
      <c r="G28" s="15" t="n">
        <v>800</v>
      </c>
      <c r="H28" s="16" t="s">
        <v>215</v>
      </c>
      <c r="I28" s="19" t="n">
        <v>0.025</v>
      </c>
      <c r="J28" s="20" t="n">
        <v>0.02</v>
      </c>
      <c r="K28" s="20" t="n">
        <v>0</v>
      </c>
      <c r="L28" s="20" t="n">
        <v>0</v>
      </c>
      <c r="M28" s="20" t="n">
        <v>0</v>
      </c>
      <c r="N28" s="20" t="n">
        <f aca="false">+O28*(1.75)</f>
        <v>0.017675</v>
      </c>
      <c r="O28" s="21" t="n">
        <v>0.0101</v>
      </c>
      <c r="P28" s="20" t="n">
        <f aca="false">SUM(I28:N28)</f>
        <v>0.062675</v>
      </c>
      <c r="Q28" s="22" t="n">
        <v>32394</v>
      </c>
      <c r="R28" s="16" t="n">
        <v>30000</v>
      </c>
      <c r="S28" s="124" t="s">
        <v>1</v>
      </c>
      <c r="T28" s="23" t="n">
        <f aca="false">I28*$I$1*R28</f>
        <v>21750</v>
      </c>
      <c r="U28" s="23"/>
      <c r="V28" s="24" t="n">
        <v>158594</v>
      </c>
      <c r="W28" s="24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" hidden="false" customHeight="true" outlineLevel="0" collapsed="false">
      <c r="A29" s="15" t="s">
        <v>132</v>
      </c>
      <c r="B29" s="16" t="s">
        <v>227</v>
      </c>
      <c r="C29" s="16" t="s">
        <v>246</v>
      </c>
      <c r="D29" s="17" t="n">
        <v>36557</v>
      </c>
      <c r="E29" s="17" t="n">
        <v>36585</v>
      </c>
      <c r="F29" s="15" t="s">
        <v>251</v>
      </c>
      <c r="G29" s="15" t="s">
        <v>252</v>
      </c>
      <c r="H29" s="16" t="s">
        <v>215</v>
      </c>
      <c r="I29" s="19" t="n">
        <f aca="false">3.58/29</f>
        <v>0.123448275862069</v>
      </c>
      <c r="J29" s="20" t="n">
        <v>0.0459</v>
      </c>
      <c r="K29" s="20" t="n">
        <v>0.0022</v>
      </c>
      <c r="L29" s="20" t="n">
        <v>0.0075</v>
      </c>
      <c r="M29" s="20" t="n">
        <v>0</v>
      </c>
      <c r="N29" s="20" t="n">
        <f aca="false">+O29*(1.75)</f>
        <v>0.0203</v>
      </c>
      <c r="O29" s="21" t="n">
        <v>0.0116</v>
      </c>
      <c r="P29" s="20" t="n">
        <f aca="false">SUM(I29:N29)</f>
        <v>0.199348275862069</v>
      </c>
      <c r="Q29" s="22" t="n">
        <v>32374</v>
      </c>
      <c r="R29" s="16" t="n">
        <v>10000</v>
      </c>
      <c r="S29" s="124" t="s">
        <v>1</v>
      </c>
      <c r="T29" s="23" t="n">
        <f aca="false">I29*$I$1*R29</f>
        <v>35800</v>
      </c>
      <c r="U29" s="23"/>
      <c r="V29" s="24" t="n">
        <v>158599</v>
      </c>
      <c r="W29" s="24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" hidden="false" customHeight="true" outlineLevel="0" collapsed="false">
      <c r="A30" s="15" t="s">
        <v>253</v>
      </c>
      <c r="B30" s="16" t="s">
        <v>227</v>
      </c>
      <c r="C30" s="16" t="s">
        <v>254</v>
      </c>
      <c r="D30" s="17" t="n">
        <v>36526</v>
      </c>
      <c r="E30" s="17" t="n">
        <v>36556</v>
      </c>
      <c r="F30" s="15" t="s">
        <v>255</v>
      </c>
      <c r="G30" s="15" t="s">
        <v>255</v>
      </c>
      <c r="H30" s="16" t="s">
        <v>215</v>
      </c>
      <c r="I30" s="19" t="n">
        <v>0</v>
      </c>
      <c r="J30" s="20" t="n">
        <v>0.0572</v>
      </c>
      <c r="K30" s="20" t="n">
        <v>0.0022</v>
      </c>
      <c r="L30" s="20" t="n">
        <v>0.0075</v>
      </c>
      <c r="M30" s="20" t="n">
        <v>0</v>
      </c>
      <c r="N30" s="20" t="n">
        <f aca="false">+O30*(1.75)</f>
        <v>0.017675</v>
      </c>
      <c r="O30" s="21" t="n">
        <v>0.0101</v>
      </c>
      <c r="P30" s="20" t="n">
        <f aca="false">SUM(I30:N30)</f>
        <v>0.084575</v>
      </c>
      <c r="Q30" s="22" t="n">
        <v>32130</v>
      </c>
      <c r="R30" s="16" t="n">
        <v>4200</v>
      </c>
      <c r="S30" s="124" t="s">
        <v>1</v>
      </c>
      <c r="T30" s="23" t="n">
        <f aca="false">I30*$I$1*R30</f>
        <v>0</v>
      </c>
      <c r="U30" s="23"/>
      <c r="V30" s="24" t="n">
        <v>145633</v>
      </c>
      <c r="W30" s="2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" hidden="false" customHeight="true" outlineLevel="0" collapsed="false">
      <c r="A31" s="15" t="s">
        <v>132</v>
      </c>
      <c r="B31" s="16" t="s">
        <v>227</v>
      </c>
      <c r="C31" s="16" t="s">
        <v>250</v>
      </c>
      <c r="D31" s="17" t="n">
        <v>36526</v>
      </c>
      <c r="E31" s="17" t="n">
        <v>36556</v>
      </c>
      <c r="F31" s="15" t="s">
        <v>256</v>
      </c>
      <c r="G31" s="15" t="s">
        <v>257</v>
      </c>
      <c r="H31" s="16" t="s">
        <v>215</v>
      </c>
      <c r="I31" s="19" t="n">
        <v>0.1671</v>
      </c>
      <c r="J31" s="20" t="n">
        <v>0.0765</v>
      </c>
      <c r="K31" s="20" t="n">
        <v>0.0022</v>
      </c>
      <c r="L31" s="20" t="n">
        <v>0.0075</v>
      </c>
      <c r="M31" s="20" t="n">
        <v>0</v>
      </c>
      <c r="N31" s="20" t="n">
        <f aca="false">+O31*(2.15)</f>
        <v>0.027305</v>
      </c>
      <c r="O31" s="21" t="n">
        <v>0.0127</v>
      </c>
      <c r="P31" s="20" t="n">
        <f aca="false">SUM(I31:N31)</f>
        <v>0.280605</v>
      </c>
      <c r="Q31" s="22" t="n">
        <v>32140</v>
      </c>
      <c r="R31" s="16" t="n">
        <v>3000</v>
      </c>
      <c r="S31" s="124" t="s">
        <v>1</v>
      </c>
      <c r="T31" s="23" t="n">
        <f aca="false">I31*$I$1*R31</f>
        <v>14537.7</v>
      </c>
      <c r="U31" s="23"/>
      <c r="V31" s="24" t="n">
        <v>145625</v>
      </c>
      <c r="W31" s="24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false" outlineLevel="0" collapsed="false">
      <c r="A32" s="15" t="s">
        <v>132</v>
      </c>
      <c r="B32" s="16" t="s">
        <v>227</v>
      </c>
      <c r="C32" s="16" t="s">
        <v>250</v>
      </c>
      <c r="D32" s="17" t="n">
        <v>36477</v>
      </c>
      <c r="E32" s="17" t="n">
        <v>36494</v>
      </c>
      <c r="F32" s="15" t="s">
        <v>258</v>
      </c>
      <c r="G32" s="15" t="s">
        <v>129</v>
      </c>
      <c r="H32" s="16" t="s">
        <v>240</v>
      </c>
      <c r="I32" s="19"/>
      <c r="J32" s="20" t="n">
        <v>0.02</v>
      </c>
      <c r="K32" s="20" t="n">
        <v>0</v>
      </c>
      <c r="L32" s="20" t="n">
        <v>0</v>
      </c>
      <c r="M32" s="20" t="n">
        <v>0</v>
      </c>
      <c r="N32" s="20" t="n">
        <f aca="false">+O32*2.3</f>
        <v>0.02323</v>
      </c>
      <c r="O32" s="122" t="n">
        <v>0.0101</v>
      </c>
      <c r="P32" s="20" t="n">
        <f aca="false">SUM(I32:N32)</f>
        <v>0.04323</v>
      </c>
      <c r="Q32" s="22"/>
      <c r="R32" s="16"/>
      <c r="S32" s="123"/>
      <c r="T32" s="23" t="n">
        <f aca="false">I32*$I$1*R32</f>
        <v>0</v>
      </c>
      <c r="U32" s="23"/>
      <c r="V32" s="24" t="n">
        <v>109965</v>
      </c>
      <c r="W32" s="24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" hidden="false" customHeight="true" outlineLevel="0" collapsed="false">
      <c r="A33" s="15" t="s">
        <v>45</v>
      </c>
      <c r="B33" s="16" t="s">
        <v>227</v>
      </c>
      <c r="C33" s="16" t="s">
        <v>259</v>
      </c>
      <c r="D33" s="17" t="n">
        <v>36557</v>
      </c>
      <c r="E33" s="17" t="n">
        <v>36585</v>
      </c>
      <c r="F33" s="15" t="s">
        <v>260</v>
      </c>
      <c r="G33" s="15" t="s">
        <v>261</v>
      </c>
      <c r="H33" s="16" t="s">
        <v>215</v>
      </c>
      <c r="I33" s="19" t="n">
        <v>0.015</v>
      </c>
      <c r="J33" s="20" t="n">
        <v>0.0776</v>
      </c>
      <c r="K33" s="20" t="n">
        <v>0.0022</v>
      </c>
      <c r="L33" s="20" t="n">
        <v>0.0075</v>
      </c>
      <c r="M33" s="20" t="n">
        <v>0</v>
      </c>
      <c r="N33" s="20" t="n">
        <f aca="false">+O33*(1.75)</f>
        <v>0.0749</v>
      </c>
      <c r="O33" s="21" t="n">
        <v>0.0428</v>
      </c>
      <c r="P33" s="20" t="n">
        <f aca="false">SUM(I33:N33)</f>
        <v>0.1772</v>
      </c>
      <c r="Q33" s="22" t="n">
        <v>32424</v>
      </c>
      <c r="R33" s="16" t="n">
        <v>2000</v>
      </c>
      <c r="S33" s="124" t="s">
        <v>262</v>
      </c>
      <c r="T33" s="23" t="n">
        <f aca="false">I33*$I$1*R33</f>
        <v>870</v>
      </c>
      <c r="U33" s="23"/>
      <c r="V33" s="24" t="n">
        <v>159233</v>
      </c>
      <c r="W33" s="24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" hidden="false" customHeight="true" outlineLevel="0" collapsed="false">
      <c r="A34" s="15" t="s">
        <v>45</v>
      </c>
      <c r="B34" s="16" t="s">
        <v>227</v>
      </c>
      <c r="C34" s="16" t="s">
        <v>259</v>
      </c>
      <c r="D34" s="17" t="n">
        <v>36557</v>
      </c>
      <c r="E34" s="17" t="n">
        <v>36585</v>
      </c>
      <c r="F34" s="15" t="s">
        <v>260</v>
      </c>
      <c r="G34" s="15" t="s">
        <v>261</v>
      </c>
      <c r="H34" s="16" t="s">
        <v>215</v>
      </c>
      <c r="I34" s="19" t="n">
        <v>0.015</v>
      </c>
      <c r="J34" s="20" t="n">
        <v>0.0776</v>
      </c>
      <c r="K34" s="20" t="n">
        <v>0.0022</v>
      </c>
      <c r="L34" s="20" t="n">
        <v>0.0075</v>
      </c>
      <c r="M34" s="20" t="n">
        <v>0</v>
      </c>
      <c r="N34" s="20" t="n">
        <f aca="false">+O34*(1.75)</f>
        <v>0.0749</v>
      </c>
      <c r="O34" s="21" t="n">
        <v>0.0428</v>
      </c>
      <c r="P34" s="20" t="n">
        <f aca="false">SUM(I34:N34)</f>
        <v>0.1772</v>
      </c>
      <c r="Q34" s="22" t="n">
        <v>32423</v>
      </c>
      <c r="R34" s="16" t="n">
        <v>8000</v>
      </c>
      <c r="S34" s="124" t="s">
        <v>262</v>
      </c>
      <c r="T34" s="23"/>
      <c r="U34" s="23"/>
      <c r="V34" s="24" t="n">
        <v>159235</v>
      </c>
      <c r="W34" s="24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" hidden="false" customHeight="true" outlineLevel="0" collapsed="false">
      <c r="A35" s="15" t="s">
        <v>263</v>
      </c>
      <c r="B35" s="16" t="s">
        <v>227</v>
      </c>
      <c r="C35" s="16" t="s">
        <v>139</v>
      </c>
      <c r="D35" s="17" t="n">
        <v>36526</v>
      </c>
      <c r="E35" s="17" t="n">
        <v>36556</v>
      </c>
      <c r="F35" s="15" t="s">
        <v>264</v>
      </c>
      <c r="G35" s="15" t="n">
        <v>3</v>
      </c>
      <c r="H35" s="16" t="s">
        <v>215</v>
      </c>
      <c r="I35" s="19" t="n">
        <v>0</v>
      </c>
      <c r="J35" s="20" t="n">
        <v>0.135</v>
      </c>
      <c r="K35" s="20" t="n">
        <v>0</v>
      </c>
      <c r="L35" s="20" t="n">
        <v>0</v>
      </c>
      <c r="M35" s="20" t="n">
        <v>0</v>
      </c>
      <c r="N35" s="20" t="n">
        <f aca="false">+O35*(1.75)</f>
        <v>0.087325</v>
      </c>
      <c r="O35" s="21" t="n">
        <v>0.0499</v>
      </c>
      <c r="P35" s="20" t="n">
        <f aca="false">SUM(I35:N35)</f>
        <v>0.222325</v>
      </c>
      <c r="Q35" s="22" t="n">
        <v>3905</v>
      </c>
      <c r="R35" s="16"/>
      <c r="S35" s="124"/>
      <c r="T35" s="23" t="n">
        <f aca="false">I35*$I$1*R35</f>
        <v>0</v>
      </c>
      <c r="U35" s="23"/>
      <c r="V35" s="24"/>
      <c r="W35" s="24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3.5" hidden="false" customHeight="true" outlineLevel="0" collapsed="false">
      <c r="A36" s="15" t="s">
        <v>226</v>
      </c>
      <c r="B36" s="16" t="s">
        <v>250</v>
      </c>
      <c r="C36" s="16" t="s">
        <v>265</v>
      </c>
      <c r="D36" s="17" t="n">
        <v>36526</v>
      </c>
      <c r="E36" s="17" t="n">
        <v>36556</v>
      </c>
      <c r="F36" s="15" t="s">
        <v>264</v>
      </c>
      <c r="G36" s="15" t="s">
        <v>266</v>
      </c>
      <c r="H36" s="16"/>
      <c r="I36" s="19" t="n">
        <v>0.2216</v>
      </c>
      <c r="J36" s="20" t="n">
        <v>0.0669</v>
      </c>
      <c r="K36" s="20" t="n">
        <v>0.0022</v>
      </c>
      <c r="L36" s="20" t="n">
        <v>0</v>
      </c>
      <c r="M36" s="20" t="n">
        <v>0</v>
      </c>
      <c r="N36" s="20" t="n">
        <f aca="false">+O36*2.2</f>
        <v>0.05368</v>
      </c>
      <c r="O36" s="21" t="n">
        <v>0.0244</v>
      </c>
      <c r="P36" s="20" t="n">
        <f aca="false">SUM(I36:N36)</f>
        <v>0.34438</v>
      </c>
      <c r="Q36" s="22"/>
      <c r="R36" s="16" t="n">
        <v>4581</v>
      </c>
      <c r="S36" s="15"/>
      <c r="T36" s="125" t="n">
        <f aca="false">I36*I$1*R36</f>
        <v>29439.3384</v>
      </c>
      <c r="U36" s="23"/>
      <c r="V36" s="24"/>
      <c r="W36" s="24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false" outlineLevel="0" collapsed="false">
      <c r="A37" s="15" t="s">
        <v>226</v>
      </c>
      <c r="B37" s="16" t="s">
        <v>250</v>
      </c>
      <c r="C37" s="16" t="s">
        <v>265</v>
      </c>
      <c r="D37" s="17" t="n">
        <v>36526</v>
      </c>
      <c r="E37" s="17" t="n">
        <v>36556</v>
      </c>
      <c r="F37" s="15" t="s">
        <v>250</v>
      </c>
      <c r="G37" s="15" t="s">
        <v>266</v>
      </c>
      <c r="H37" s="16"/>
      <c r="I37" s="19" t="n">
        <v>0.2216</v>
      </c>
      <c r="J37" s="20" t="n">
        <v>0</v>
      </c>
      <c r="K37" s="20" t="n">
        <v>0</v>
      </c>
      <c r="L37" s="20" t="n">
        <v>0</v>
      </c>
      <c r="M37" s="20" t="n">
        <v>0</v>
      </c>
      <c r="N37" s="20" t="n">
        <f aca="false">+O37*2.2</f>
        <v>0.05368</v>
      </c>
      <c r="O37" s="21" t="n">
        <v>0.0244</v>
      </c>
      <c r="P37" s="20" t="n">
        <f aca="false">SUM(I37:N37)</f>
        <v>0.27528</v>
      </c>
      <c r="Q37" s="22"/>
      <c r="R37" s="16" t="n">
        <v>2500</v>
      </c>
      <c r="S37" s="15"/>
      <c r="T37" s="125" t="n">
        <f aca="false">I37*I$1*R37</f>
        <v>16066</v>
      </c>
      <c r="U37" s="23"/>
      <c r="V37" s="24"/>
      <c r="W37" s="24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A38" s="15" t="s">
        <v>226</v>
      </c>
      <c r="B38" s="16" t="s">
        <v>250</v>
      </c>
      <c r="C38" s="16" t="s">
        <v>267</v>
      </c>
      <c r="D38" s="17" t="n">
        <v>36526</v>
      </c>
      <c r="E38" s="17" t="n">
        <v>36556</v>
      </c>
      <c r="F38" s="15" t="s">
        <v>250</v>
      </c>
      <c r="G38" s="15" t="s">
        <v>266</v>
      </c>
      <c r="H38" s="16"/>
      <c r="I38" s="19" t="n">
        <v>0.2216</v>
      </c>
      <c r="J38" s="20" t="n">
        <v>0</v>
      </c>
      <c r="K38" s="20" t="n">
        <v>0</v>
      </c>
      <c r="L38" s="20" t="n">
        <v>0</v>
      </c>
      <c r="M38" s="20" t="n">
        <v>0</v>
      </c>
      <c r="N38" s="20" t="n">
        <f aca="false">+O38*2.2</f>
        <v>0.05368</v>
      </c>
      <c r="O38" s="21" t="n">
        <v>0.0244</v>
      </c>
      <c r="P38" s="20" t="n">
        <f aca="false">SUM(I38:N38)</f>
        <v>0.27528</v>
      </c>
      <c r="Q38" s="22" t="n">
        <v>2156</v>
      </c>
      <c r="R38" s="16" t="n">
        <v>3778</v>
      </c>
      <c r="S38" s="15" t="s">
        <v>268</v>
      </c>
      <c r="T38" s="125" t="n">
        <f aca="false">I38*I$1*R38</f>
        <v>24278.9392</v>
      </c>
      <c r="U38" s="23"/>
      <c r="V38" s="24" t="n">
        <v>142767</v>
      </c>
      <c r="W38" s="24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75" hidden="false" customHeight="false" outlineLevel="0" collapsed="false">
      <c r="A39" s="15" t="s">
        <v>226</v>
      </c>
      <c r="B39" s="16" t="s">
        <v>250</v>
      </c>
      <c r="C39" s="16" t="s">
        <v>269</v>
      </c>
      <c r="D39" s="17" t="n">
        <v>36526</v>
      </c>
      <c r="E39" s="17" t="n">
        <v>36556</v>
      </c>
      <c r="F39" s="15" t="s">
        <v>250</v>
      </c>
      <c r="G39" s="15" t="s">
        <v>266</v>
      </c>
      <c r="H39" s="16"/>
      <c r="I39" s="19" t="n">
        <v>0.2216</v>
      </c>
      <c r="J39" s="20" t="n">
        <v>0</v>
      </c>
      <c r="K39" s="20" t="n">
        <v>0</v>
      </c>
      <c r="L39" s="20" t="n">
        <v>0</v>
      </c>
      <c r="M39" s="20" t="n">
        <v>0</v>
      </c>
      <c r="N39" s="20" t="n">
        <f aca="false">+O39*2.2</f>
        <v>0.05368</v>
      </c>
      <c r="O39" s="21" t="n">
        <v>0.0244</v>
      </c>
      <c r="P39" s="20" t="n">
        <f aca="false">SUM(I39:N39)</f>
        <v>0.27528</v>
      </c>
      <c r="Q39" s="22" t="n">
        <v>1943</v>
      </c>
      <c r="R39" s="16" t="n">
        <v>359</v>
      </c>
      <c r="S39" s="15" t="s">
        <v>270</v>
      </c>
      <c r="T39" s="125" t="n">
        <f aca="false">I39*I$1*R39</f>
        <v>2307.0776</v>
      </c>
      <c r="U39" s="23"/>
      <c r="V39" s="24" t="n">
        <v>142636</v>
      </c>
      <c r="W39" s="24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2.75" hidden="false" customHeight="false" outlineLevel="0" collapsed="false">
      <c r="A40" s="15" t="s">
        <v>226</v>
      </c>
      <c r="B40" s="16" t="s">
        <v>250</v>
      </c>
      <c r="C40" s="16" t="s">
        <v>271</v>
      </c>
      <c r="D40" s="17" t="n">
        <v>36526</v>
      </c>
      <c r="E40" s="17" t="n">
        <v>36556</v>
      </c>
      <c r="F40" s="15" t="s">
        <v>250</v>
      </c>
      <c r="G40" s="15" t="s">
        <v>266</v>
      </c>
      <c r="H40" s="16"/>
      <c r="I40" s="19" t="n">
        <v>0.2216</v>
      </c>
      <c r="J40" s="20" t="n">
        <v>0</v>
      </c>
      <c r="K40" s="20" t="n">
        <v>0</v>
      </c>
      <c r="L40" s="20" t="n">
        <v>0</v>
      </c>
      <c r="M40" s="20" t="n">
        <v>0</v>
      </c>
      <c r="N40" s="20" t="n">
        <f aca="false">+O40*2.2</f>
        <v>0.05368</v>
      </c>
      <c r="O40" s="21" t="n">
        <v>0.0244</v>
      </c>
      <c r="P40" s="20" t="n">
        <f aca="false">SUM(I40:N40)</f>
        <v>0.27528</v>
      </c>
      <c r="Q40" s="22" t="n">
        <v>248</v>
      </c>
      <c r="R40" s="16" t="n">
        <v>6000</v>
      </c>
      <c r="S40" s="15"/>
      <c r="T40" s="125" t="n">
        <f aca="false">I40*I$1*R40</f>
        <v>38558.4</v>
      </c>
      <c r="U40" s="23"/>
      <c r="V40" s="24" t="n">
        <v>142568</v>
      </c>
      <c r="W40" s="24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75" hidden="false" customHeight="false" outlineLevel="0" collapsed="false">
      <c r="A41" s="15" t="s">
        <v>226</v>
      </c>
      <c r="B41" s="16" t="s">
        <v>250</v>
      </c>
      <c r="C41" s="16" t="s">
        <v>271</v>
      </c>
      <c r="D41" s="17" t="n">
        <v>36526</v>
      </c>
      <c r="E41" s="17" t="n">
        <v>36556</v>
      </c>
      <c r="F41" s="15" t="s">
        <v>250</v>
      </c>
      <c r="G41" s="15" t="s">
        <v>266</v>
      </c>
      <c r="H41" s="16"/>
      <c r="I41" s="19" t="n">
        <v>0.2216</v>
      </c>
      <c r="J41" s="20" t="n">
        <v>0</v>
      </c>
      <c r="K41" s="20" t="n">
        <v>0</v>
      </c>
      <c r="L41" s="20" t="n">
        <v>0</v>
      </c>
      <c r="M41" s="20" t="n">
        <v>0</v>
      </c>
      <c r="N41" s="20" t="n">
        <f aca="false">+O41*2.2</f>
        <v>0.05368</v>
      </c>
      <c r="O41" s="21" t="n">
        <v>0.0244</v>
      </c>
      <c r="P41" s="20" t="n">
        <f aca="false">SUM(I41:N41)</f>
        <v>0.27528</v>
      </c>
      <c r="Q41" s="22" t="n">
        <v>250</v>
      </c>
      <c r="R41" s="16" t="n">
        <v>5400</v>
      </c>
      <c r="S41" s="15"/>
      <c r="T41" s="125" t="n">
        <f aca="false">I41*I$1*R41</f>
        <v>34702.56</v>
      </c>
      <c r="U41" s="23"/>
      <c r="V41" s="24" t="n">
        <v>142585</v>
      </c>
      <c r="W41" s="24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false" outlineLevel="0" collapsed="false">
      <c r="A42" s="15" t="s">
        <v>226</v>
      </c>
      <c r="B42" s="16" t="s">
        <v>250</v>
      </c>
      <c r="C42" s="16" t="s">
        <v>271</v>
      </c>
      <c r="D42" s="17" t="n">
        <v>36526</v>
      </c>
      <c r="E42" s="17" t="n">
        <v>36556</v>
      </c>
      <c r="F42" s="15" t="s">
        <v>250</v>
      </c>
      <c r="G42" s="15" t="s">
        <v>266</v>
      </c>
      <c r="H42" s="16"/>
      <c r="I42" s="19" t="n">
        <v>0.2216</v>
      </c>
      <c r="J42" s="20" t="n">
        <v>0</v>
      </c>
      <c r="K42" s="20" t="n">
        <v>0</v>
      </c>
      <c r="L42" s="20" t="n">
        <v>0</v>
      </c>
      <c r="M42" s="20" t="n">
        <v>0</v>
      </c>
      <c r="N42" s="20" t="n">
        <f aca="false">+O42*2.2</f>
        <v>0.05368</v>
      </c>
      <c r="O42" s="21" t="n">
        <v>0.0244</v>
      </c>
      <c r="P42" s="20" t="n">
        <f aca="false">SUM(I42:N42)</f>
        <v>0.27528</v>
      </c>
      <c r="Q42" s="22" t="n">
        <v>495</v>
      </c>
      <c r="R42" s="16" t="n">
        <v>1371</v>
      </c>
      <c r="S42" s="15"/>
      <c r="T42" s="125" t="n">
        <f aca="false">I42*I$1*R42</f>
        <v>8810.5944</v>
      </c>
      <c r="U42" s="23"/>
      <c r="V42" s="24" t="n">
        <v>142595</v>
      </c>
      <c r="W42" s="24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false" outlineLevel="0" collapsed="false">
      <c r="A43" s="15" t="s">
        <v>226</v>
      </c>
      <c r="B43" s="16" t="s">
        <v>250</v>
      </c>
      <c r="C43" s="16" t="s">
        <v>271</v>
      </c>
      <c r="D43" s="17" t="n">
        <v>36526</v>
      </c>
      <c r="E43" s="17" t="n">
        <v>36556</v>
      </c>
      <c r="F43" s="15" t="s">
        <v>250</v>
      </c>
      <c r="G43" s="15" t="s">
        <v>266</v>
      </c>
      <c r="H43" s="16"/>
      <c r="I43" s="19" t="n">
        <v>0.2216</v>
      </c>
      <c r="J43" s="20" t="n">
        <v>0</v>
      </c>
      <c r="K43" s="20" t="n">
        <v>0</v>
      </c>
      <c r="L43" s="20" t="n">
        <v>0</v>
      </c>
      <c r="M43" s="20" t="n">
        <v>0</v>
      </c>
      <c r="N43" s="20" t="n">
        <f aca="false">+O43*2.2</f>
        <v>0.05368</v>
      </c>
      <c r="O43" s="21" t="n">
        <v>0.0244</v>
      </c>
      <c r="P43" s="20" t="n">
        <f aca="false">SUM(I43:N43)</f>
        <v>0.27528</v>
      </c>
      <c r="Q43" s="22" t="n">
        <v>497</v>
      </c>
      <c r="R43" s="16" t="n">
        <v>9273</v>
      </c>
      <c r="S43" s="15"/>
      <c r="T43" s="125" t="n">
        <f aca="false">I43*I$1*R43</f>
        <v>59592.0072</v>
      </c>
      <c r="U43" s="23"/>
      <c r="V43" s="24" t="n">
        <v>142601</v>
      </c>
      <c r="W43" s="24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2.75" hidden="false" customHeight="false" outlineLevel="0" collapsed="false">
      <c r="A44" s="15" t="s">
        <v>226</v>
      </c>
      <c r="B44" s="16" t="s">
        <v>250</v>
      </c>
      <c r="C44" s="16" t="s">
        <v>271</v>
      </c>
      <c r="D44" s="17" t="n">
        <v>36526</v>
      </c>
      <c r="E44" s="17" t="n">
        <v>36556</v>
      </c>
      <c r="F44" s="15" t="s">
        <v>250</v>
      </c>
      <c r="G44" s="15" t="s">
        <v>266</v>
      </c>
      <c r="H44" s="16"/>
      <c r="I44" s="19" t="n">
        <v>0.2216</v>
      </c>
      <c r="J44" s="20" t="n">
        <v>0</v>
      </c>
      <c r="K44" s="20" t="n">
        <v>0</v>
      </c>
      <c r="L44" s="20" t="n">
        <v>0</v>
      </c>
      <c r="M44" s="20" t="n">
        <v>0</v>
      </c>
      <c r="N44" s="20" t="n">
        <f aca="false">+O44*2.2</f>
        <v>0.05368</v>
      </c>
      <c r="O44" s="21" t="n">
        <v>0.0244</v>
      </c>
      <c r="P44" s="20" t="n">
        <f aca="false">SUM(I44:N44)</f>
        <v>0.27528</v>
      </c>
      <c r="Q44" s="22" t="n">
        <v>2042</v>
      </c>
      <c r="R44" s="16" t="n">
        <v>1690</v>
      </c>
      <c r="S44" s="15"/>
      <c r="T44" s="125" t="n">
        <f aca="false">I44*I$1*R44</f>
        <v>10860.616</v>
      </c>
      <c r="U44" s="23"/>
      <c r="V44" s="24" t="n">
        <v>142604</v>
      </c>
      <c r="W44" s="24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.75" hidden="false" customHeight="false" outlineLevel="0" collapsed="false">
      <c r="A45" s="15" t="s">
        <v>226</v>
      </c>
      <c r="B45" s="16" t="s">
        <v>250</v>
      </c>
      <c r="C45" s="16" t="s">
        <v>271</v>
      </c>
      <c r="D45" s="17" t="n">
        <v>36526</v>
      </c>
      <c r="E45" s="17" t="n">
        <v>36556</v>
      </c>
      <c r="F45" s="15" t="s">
        <v>250</v>
      </c>
      <c r="G45" s="15" t="s">
        <v>266</v>
      </c>
      <c r="H45" s="16"/>
      <c r="I45" s="19" t="n">
        <v>0.2216</v>
      </c>
      <c r="J45" s="20" t="n">
        <v>0</v>
      </c>
      <c r="K45" s="20" t="n">
        <v>0</v>
      </c>
      <c r="L45" s="20" t="n">
        <v>0</v>
      </c>
      <c r="M45" s="20" t="n">
        <v>0</v>
      </c>
      <c r="N45" s="20" t="n">
        <f aca="false">+O45*2.2</f>
        <v>0.05368</v>
      </c>
      <c r="O45" s="21" t="n">
        <v>0.0244</v>
      </c>
      <c r="P45" s="20" t="n">
        <f aca="false">SUM(I45:N45)</f>
        <v>0.27528</v>
      </c>
      <c r="Q45" s="22" t="n">
        <v>23091</v>
      </c>
      <c r="R45" s="16" t="n">
        <v>2500</v>
      </c>
      <c r="S45" s="15"/>
      <c r="T45" s="125" t="n">
        <f aca="false">I45*I$1*R45</f>
        <v>16066</v>
      </c>
      <c r="U45" s="23"/>
      <c r="V45" s="24" t="n">
        <v>142606</v>
      </c>
      <c r="W45" s="24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75" hidden="false" customHeight="false" outlineLevel="0" collapsed="false">
      <c r="A46" s="15" t="s">
        <v>226</v>
      </c>
      <c r="B46" s="16" t="s">
        <v>250</v>
      </c>
      <c r="C46" s="16" t="s">
        <v>271</v>
      </c>
      <c r="D46" s="17" t="n">
        <v>36526</v>
      </c>
      <c r="E46" s="17" t="n">
        <v>36556</v>
      </c>
      <c r="F46" s="15" t="s">
        <v>250</v>
      </c>
      <c r="G46" s="15" t="s">
        <v>266</v>
      </c>
      <c r="H46" s="16"/>
      <c r="I46" s="19" t="n">
        <v>0.2216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f aca="false">+O46*2.2</f>
        <v>0.05368</v>
      </c>
      <c r="O46" s="21" t="n">
        <v>0.0244</v>
      </c>
      <c r="P46" s="20" t="n">
        <f aca="false">SUM(I46:N46)</f>
        <v>0.27528</v>
      </c>
      <c r="Q46" s="22"/>
      <c r="R46" s="16" t="n">
        <v>0</v>
      </c>
      <c r="S46" s="15"/>
      <c r="T46" s="125" t="n">
        <f aca="false">I46*I$1*R46</f>
        <v>0</v>
      </c>
      <c r="U46" s="23"/>
      <c r="V46" s="24"/>
      <c r="W46" s="24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false" outlineLevel="0" collapsed="false">
      <c r="A47" s="15" t="s">
        <v>226</v>
      </c>
      <c r="B47" s="16" t="s">
        <v>250</v>
      </c>
      <c r="C47" s="16" t="s">
        <v>271</v>
      </c>
      <c r="D47" s="17" t="n">
        <v>36526</v>
      </c>
      <c r="E47" s="17" t="n">
        <v>36556</v>
      </c>
      <c r="F47" s="15" t="s">
        <v>250</v>
      </c>
      <c r="G47" s="15" t="s">
        <v>266</v>
      </c>
      <c r="H47" s="16"/>
      <c r="I47" s="19" t="n">
        <v>0.2216</v>
      </c>
      <c r="J47" s="20" t="n">
        <v>0</v>
      </c>
      <c r="K47" s="20" t="n">
        <v>0</v>
      </c>
      <c r="L47" s="20" t="n">
        <v>0</v>
      </c>
      <c r="M47" s="20" t="n">
        <v>0</v>
      </c>
      <c r="N47" s="20" t="n">
        <f aca="false">+O47*2.2</f>
        <v>0.05368</v>
      </c>
      <c r="O47" s="21" t="n">
        <v>0.0244</v>
      </c>
      <c r="P47" s="20" t="n">
        <f aca="false">SUM(I47:N47)</f>
        <v>0.27528</v>
      </c>
      <c r="Q47" s="22"/>
      <c r="R47" s="16" t="n">
        <v>0</v>
      </c>
      <c r="S47" s="15"/>
      <c r="T47" s="125" t="n">
        <f aca="false">I47*I$1*R47</f>
        <v>0</v>
      </c>
      <c r="U47" s="23"/>
      <c r="V47" s="24"/>
      <c r="W47" s="24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75" hidden="false" customHeight="false" outlineLevel="0" collapsed="false">
      <c r="A48" s="15" t="s">
        <v>226</v>
      </c>
      <c r="B48" s="16" t="s">
        <v>250</v>
      </c>
      <c r="C48" s="16" t="s">
        <v>272</v>
      </c>
      <c r="D48" s="17" t="n">
        <v>36526</v>
      </c>
      <c r="E48" s="17" t="n">
        <v>36556</v>
      </c>
      <c r="F48" s="15" t="s">
        <v>250</v>
      </c>
      <c r="G48" s="15" t="s">
        <v>266</v>
      </c>
      <c r="H48" s="16"/>
      <c r="I48" s="19" t="n">
        <v>0.2216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f aca="false">+O48*2.2</f>
        <v>0.05368</v>
      </c>
      <c r="O48" s="21" t="n">
        <v>0.0244</v>
      </c>
      <c r="P48" s="20" t="n">
        <f aca="false">SUM(I48:N48)</f>
        <v>0.27528</v>
      </c>
      <c r="Q48" s="22" t="n">
        <v>504</v>
      </c>
      <c r="R48" s="16" t="n">
        <v>28970</v>
      </c>
      <c r="S48" s="15"/>
      <c r="T48" s="125" t="n">
        <f aca="false">I48*I$1*R48</f>
        <v>186172.808</v>
      </c>
      <c r="U48" s="23"/>
      <c r="V48" s="24" t="n">
        <v>142770</v>
      </c>
      <c r="W48" s="24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.75" hidden="false" customHeight="false" outlineLevel="0" collapsed="false">
      <c r="A49" s="15" t="s">
        <v>226</v>
      </c>
      <c r="B49" s="16" t="s">
        <v>250</v>
      </c>
      <c r="C49" s="16" t="s">
        <v>272</v>
      </c>
      <c r="D49" s="17" t="n">
        <v>36526</v>
      </c>
      <c r="E49" s="17" t="n">
        <v>36556</v>
      </c>
      <c r="F49" s="15" t="s">
        <v>250</v>
      </c>
      <c r="G49" s="15" t="s">
        <v>266</v>
      </c>
      <c r="H49" s="16"/>
      <c r="I49" s="19" t="n">
        <v>0.2216</v>
      </c>
      <c r="J49" s="20" t="n">
        <v>0</v>
      </c>
      <c r="K49" s="20" t="n">
        <v>0</v>
      </c>
      <c r="L49" s="20" t="n">
        <v>0</v>
      </c>
      <c r="M49" s="20" t="n">
        <v>0</v>
      </c>
      <c r="N49" s="20" t="n">
        <f aca="false">+O49*2.2</f>
        <v>0.05368</v>
      </c>
      <c r="O49" s="21" t="n">
        <v>0.0244</v>
      </c>
      <c r="P49" s="20" t="n">
        <f aca="false">SUM(I49:N49)</f>
        <v>0.27528</v>
      </c>
      <c r="Q49" s="22" t="n">
        <v>507</v>
      </c>
      <c r="R49" s="16" t="n">
        <v>4284</v>
      </c>
      <c r="S49" s="15"/>
      <c r="T49" s="125" t="n">
        <f aca="false">I49*I$1*R49</f>
        <v>27530.6976</v>
      </c>
      <c r="U49" s="23"/>
      <c r="V49" s="24" t="n">
        <v>142775</v>
      </c>
      <c r="W49" s="24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2.75" hidden="false" customHeight="false" outlineLevel="0" collapsed="false">
      <c r="A50" s="15" t="s">
        <v>226</v>
      </c>
      <c r="B50" s="16" t="s">
        <v>250</v>
      </c>
      <c r="C50" s="16" t="s">
        <v>272</v>
      </c>
      <c r="D50" s="17" t="n">
        <v>36526</v>
      </c>
      <c r="E50" s="17" t="n">
        <v>36556</v>
      </c>
      <c r="F50" s="15" t="s">
        <v>250</v>
      </c>
      <c r="G50" s="15" t="s">
        <v>266</v>
      </c>
      <c r="H50" s="16"/>
      <c r="I50" s="19" t="n">
        <v>0.2216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f aca="false">+O50*2.2</f>
        <v>0.05368</v>
      </c>
      <c r="O50" s="21" t="n">
        <v>0.0244</v>
      </c>
      <c r="P50" s="20" t="n">
        <f aca="false">SUM(I50:N50)</f>
        <v>0.27528</v>
      </c>
      <c r="Q50" s="22" t="n">
        <v>305</v>
      </c>
      <c r="R50" s="16" t="n">
        <v>5281</v>
      </c>
      <c r="S50" s="15"/>
      <c r="T50" s="125" t="n">
        <f aca="false">I50*I$1*R50</f>
        <v>33937.8184</v>
      </c>
      <c r="U50" s="23"/>
      <c r="V50" s="24" t="n">
        <v>142778</v>
      </c>
      <c r="W50" s="24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false" outlineLevel="0" collapsed="false">
      <c r="A51" s="15" t="s">
        <v>226</v>
      </c>
      <c r="B51" s="16" t="s">
        <v>250</v>
      </c>
      <c r="C51" s="16" t="s">
        <v>272</v>
      </c>
      <c r="D51" s="17" t="n">
        <v>36526</v>
      </c>
      <c r="E51" s="17" t="n">
        <v>36556</v>
      </c>
      <c r="F51" s="15" t="s">
        <v>250</v>
      </c>
      <c r="G51" s="15" t="s">
        <v>266</v>
      </c>
      <c r="H51" s="16"/>
      <c r="I51" s="19" t="n">
        <v>0.2216</v>
      </c>
      <c r="J51" s="20" t="n">
        <v>0</v>
      </c>
      <c r="K51" s="20" t="n">
        <v>0</v>
      </c>
      <c r="L51" s="20" t="n">
        <v>0</v>
      </c>
      <c r="M51" s="20" t="n">
        <v>0</v>
      </c>
      <c r="N51" s="20" t="n">
        <f aca="false">+O51*2.2</f>
        <v>0.05368</v>
      </c>
      <c r="O51" s="21" t="n">
        <v>0.0244</v>
      </c>
      <c r="P51" s="20" t="n">
        <f aca="false">SUM(I51:N51)</f>
        <v>0.27528</v>
      </c>
      <c r="Q51" s="22"/>
      <c r="R51" s="16"/>
      <c r="S51" s="15"/>
      <c r="T51" s="125" t="n">
        <f aca="false">I51*I$1*R51</f>
        <v>0</v>
      </c>
      <c r="U51" s="23"/>
      <c r="V51" s="24"/>
      <c r="W51" s="24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.75" hidden="false" customHeight="false" outlineLevel="0" collapsed="false">
      <c r="A52" s="15" t="s">
        <v>226</v>
      </c>
      <c r="B52" s="16" t="s">
        <v>250</v>
      </c>
      <c r="C52" s="16" t="s">
        <v>273</v>
      </c>
      <c r="D52" s="17" t="n">
        <v>36526</v>
      </c>
      <c r="E52" s="17" t="n">
        <v>36556</v>
      </c>
      <c r="F52" s="15" t="s">
        <v>250</v>
      </c>
      <c r="G52" s="15" t="s">
        <v>266</v>
      </c>
      <c r="H52" s="16"/>
      <c r="I52" s="19" t="n">
        <v>0.2216</v>
      </c>
      <c r="J52" s="20" t="n">
        <v>0</v>
      </c>
      <c r="K52" s="20" t="n">
        <v>0</v>
      </c>
      <c r="L52" s="20" t="n">
        <v>0</v>
      </c>
      <c r="M52" s="20" t="n">
        <v>0</v>
      </c>
      <c r="N52" s="20" t="n">
        <f aca="false">+O52*2.2</f>
        <v>0.05368</v>
      </c>
      <c r="O52" s="21" t="n">
        <v>0.0244</v>
      </c>
      <c r="P52" s="20" t="n">
        <f aca="false">SUM(I52:N52)</f>
        <v>0.27528</v>
      </c>
      <c r="Q52" s="22"/>
      <c r="R52" s="16"/>
      <c r="S52" s="15"/>
      <c r="T52" s="23"/>
      <c r="U52" s="23"/>
      <c r="V52" s="24"/>
      <c r="W52" s="24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" hidden="false" customHeight="true" outlineLevel="0" collapsed="false">
      <c r="A53" s="15"/>
      <c r="B53" s="16"/>
      <c r="C53" s="16"/>
      <c r="D53" s="17"/>
      <c r="E53" s="17"/>
      <c r="F53" s="15"/>
      <c r="G53" s="15"/>
      <c r="H53" s="16"/>
      <c r="I53" s="19"/>
      <c r="J53" s="20"/>
      <c r="K53" s="20"/>
      <c r="L53" s="20"/>
      <c r="M53" s="20"/>
      <c r="N53" s="20"/>
      <c r="O53" s="21"/>
      <c r="P53" s="20"/>
      <c r="Q53" s="22"/>
      <c r="R53" s="16"/>
      <c r="S53" s="124"/>
      <c r="T53" s="23"/>
      <c r="U53" s="23"/>
      <c r="V53" s="24"/>
      <c r="W53" s="24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" hidden="false" customHeight="true" outlineLevel="0" collapsed="false">
      <c r="A54" s="15" t="s">
        <v>45</v>
      </c>
      <c r="B54" s="16" t="s">
        <v>274</v>
      </c>
      <c r="C54" s="16" t="s">
        <v>274</v>
      </c>
      <c r="D54" s="17" t="n">
        <v>36465</v>
      </c>
      <c r="E54" s="17" t="n">
        <v>36251</v>
      </c>
      <c r="F54" s="15" t="s">
        <v>275</v>
      </c>
      <c r="G54" s="15" t="s">
        <v>276</v>
      </c>
      <c r="H54" s="16" t="s">
        <v>215</v>
      </c>
      <c r="I54" s="19" t="n">
        <v>0.0753</v>
      </c>
      <c r="J54" s="20" t="n">
        <v>0.0009</v>
      </c>
      <c r="K54" s="20" t="n">
        <v>0.0022</v>
      </c>
      <c r="L54" s="20" t="n">
        <v>0.0075</v>
      </c>
      <c r="M54" s="20" t="n">
        <v>0</v>
      </c>
      <c r="N54" s="20" t="n">
        <f aca="false">+O54*(1.75)</f>
        <v>0.00875</v>
      </c>
      <c r="O54" s="21" t="n">
        <v>0.005</v>
      </c>
      <c r="P54" s="20" t="n">
        <f aca="false">SUM(I54:N54)</f>
        <v>0.09465</v>
      </c>
      <c r="Q54" s="22" t="n">
        <v>31468</v>
      </c>
      <c r="R54" s="16" t="n">
        <v>1600</v>
      </c>
      <c r="S54" s="124" t="s">
        <v>1</v>
      </c>
      <c r="T54" s="23" t="n">
        <f aca="false">I54*$I$1*R54</f>
        <v>3493.92</v>
      </c>
      <c r="U54" s="23"/>
      <c r="V54" s="24" t="n">
        <v>125103</v>
      </c>
      <c r="W54" s="24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" hidden="false" customHeight="true" outlineLevel="0" collapsed="false">
      <c r="A55" s="15"/>
      <c r="B55" s="16" t="s">
        <v>274</v>
      </c>
      <c r="C55" s="16" t="s">
        <v>274</v>
      </c>
      <c r="D55" s="17" t="n">
        <v>36526</v>
      </c>
      <c r="E55" s="17" t="n">
        <v>36556</v>
      </c>
      <c r="F55" s="15" t="s">
        <v>275</v>
      </c>
      <c r="G55" s="15" t="s">
        <v>276</v>
      </c>
      <c r="H55" s="16" t="s">
        <v>215</v>
      </c>
      <c r="I55" s="19" t="n">
        <v>0.0753</v>
      </c>
      <c r="J55" s="20" t="n">
        <v>0.0009</v>
      </c>
      <c r="K55" s="20" t="n">
        <v>0.0022</v>
      </c>
      <c r="L55" s="20" t="n">
        <v>0.0075</v>
      </c>
      <c r="M55" s="20" t="n">
        <v>0</v>
      </c>
      <c r="N55" s="20" t="n">
        <f aca="false">+O55*(1.75)</f>
        <v>0.00875</v>
      </c>
      <c r="O55" s="21" t="n">
        <v>0.005</v>
      </c>
      <c r="P55" s="20" t="n">
        <f aca="false">SUM(I55:N55)</f>
        <v>0.09465</v>
      </c>
      <c r="Q55" s="22"/>
      <c r="R55" s="16"/>
      <c r="S55" s="124" t="s">
        <v>1</v>
      </c>
      <c r="T55" s="23" t="n">
        <f aca="false">I55*$I$1*R55</f>
        <v>0</v>
      </c>
      <c r="U55" s="23"/>
      <c r="V55" s="24"/>
      <c r="W55" s="24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" hidden="false" customHeight="true" outlineLevel="0" collapsed="false">
      <c r="A56" s="15"/>
      <c r="B56" s="16" t="s">
        <v>274</v>
      </c>
      <c r="C56" s="16" t="s">
        <v>274</v>
      </c>
      <c r="D56" s="17" t="n">
        <v>36526</v>
      </c>
      <c r="E56" s="17" t="n">
        <v>36556</v>
      </c>
      <c r="F56" s="15" t="s">
        <v>277</v>
      </c>
      <c r="G56" s="15" t="s">
        <v>275</v>
      </c>
      <c r="H56" s="16" t="s">
        <v>215</v>
      </c>
      <c r="I56" s="19" t="n">
        <v>0.0753</v>
      </c>
      <c r="J56" s="20" t="n">
        <v>0.0009</v>
      </c>
      <c r="K56" s="20" t="n">
        <v>0.0022</v>
      </c>
      <c r="L56" s="20" t="n">
        <v>0.0075</v>
      </c>
      <c r="M56" s="20" t="n">
        <v>0</v>
      </c>
      <c r="N56" s="20" t="n">
        <f aca="false">+O56*(1.75)</f>
        <v>0.0175</v>
      </c>
      <c r="O56" s="21" t="n">
        <v>0.01</v>
      </c>
      <c r="P56" s="20" t="n">
        <f aca="false">SUM(I56:N56)</f>
        <v>0.1034</v>
      </c>
      <c r="Q56" s="22"/>
      <c r="R56" s="16"/>
      <c r="S56" s="124" t="s">
        <v>1</v>
      </c>
      <c r="T56" s="23" t="n">
        <f aca="false">I56*$I$1*R56</f>
        <v>0</v>
      </c>
      <c r="U56" s="23"/>
      <c r="V56" s="24" t="n">
        <v>145900</v>
      </c>
      <c r="W56" s="24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" hidden="false" customHeight="true" outlineLevel="0" collapsed="false">
      <c r="A57" s="15"/>
      <c r="B57" s="16"/>
      <c r="C57" s="16"/>
      <c r="D57" s="17"/>
      <c r="E57" s="17"/>
      <c r="F57" s="15"/>
      <c r="G57" s="15"/>
      <c r="H57" s="16"/>
      <c r="I57" s="19"/>
      <c r="J57" s="20"/>
      <c r="K57" s="20"/>
      <c r="L57" s="20"/>
      <c r="M57" s="20"/>
      <c r="N57" s="20"/>
      <c r="O57" s="21"/>
      <c r="P57" s="20"/>
      <c r="Q57" s="22"/>
      <c r="R57" s="16"/>
      <c r="S57" s="124"/>
      <c r="T57" s="23"/>
      <c r="U57" s="23"/>
      <c r="V57" s="24"/>
      <c r="W57" s="24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2" hidden="false" customHeight="true" outlineLevel="0" collapsed="false">
      <c r="A58" s="15"/>
      <c r="B58" s="16"/>
      <c r="C58" s="16"/>
      <c r="D58" s="17"/>
      <c r="E58" s="17"/>
      <c r="F58" s="15"/>
      <c r="G58" s="15"/>
      <c r="H58" s="16"/>
      <c r="I58" s="19"/>
      <c r="J58" s="20"/>
      <c r="K58" s="20"/>
      <c r="L58" s="20"/>
      <c r="M58" s="20"/>
      <c r="N58" s="20"/>
      <c r="O58" s="21"/>
      <c r="P58" s="20"/>
      <c r="Q58" s="22"/>
      <c r="R58" s="16"/>
      <c r="S58" s="124"/>
      <c r="T58" s="23"/>
      <c r="U58" s="23"/>
      <c r="V58" s="24"/>
      <c r="W58" s="24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2" hidden="false" customHeight="true" outlineLevel="0" collapsed="false">
      <c r="A59" s="15" t="s">
        <v>263</v>
      </c>
      <c r="B59" s="16" t="s">
        <v>227</v>
      </c>
      <c r="C59" s="16" t="s">
        <v>139</v>
      </c>
      <c r="D59" s="17" t="n">
        <v>36476</v>
      </c>
      <c r="E59" s="17" t="n">
        <v>36477</v>
      </c>
      <c r="F59" s="15" t="n">
        <v>1</v>
      </c>
      <c r="G59" s="15" t="n">
        <v>3</v>
      </c>
      <c r="H59" s="16" t="s">
        <v>215</v>
      </c>
      <c r="I59" s="19" t="n">
        <v>0</v>
      </c>
      <c r="J59" s="20" t="n">
        <v>0.105</v>
      </c>
      <c r="K59" s="20" t="n">
        <v>0</v>
      </c>
      <c r="L59" s="20" t="n">
        <v>0</v>
      </c>
      <c r="M59" s="20" t="n">
        <v>0</v>
      </c>
      <c r="N59" s="20" t="n">
        <f aca="false">+O59*(1.75)</f>
        <v>0.087325</v>
      </c>
      <c r="O59" s="21" t="n">
        <v>0.0499</v>
      </c>
      <c r="P59" s="20" t="n">
        <f aca="false">SUM(I59:N59)</f>
        <v>0.192325</v>
      </c>
      <c r="Q59" s="22"/>
      <c r="R59" s="16"/>
      <c r="S59" s="124" t="s">
        <v>278</v>
      </c>
      <c r="T59" s="23" t="n">
        <f aca="false">I59*$I$1*R59</f>
        <v>0</v>
      </c>
      <c r="U59" s="23"/>
      <c r="V59" s="24"/>
      <c r="W59" s="24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2" hidden="false" customHeight="true" outlineLevel="0" collapsed="false">
      <c r="A60" s="15" t="s">
        <v>45</v>
      </c>
      <c r="B60" s="16"/>
      <c r="C60" s="16"/>
      <c r="D60" s="17"/>
      <c r="E60" s="17"/>
      <c r="F60" s="15" t="s">
        <v>275</v>
      </c>
      <c r="G60" s="15"/>
      <c r="H60" s="16" t="s">
        <v>215</v>
      </c>
      <c r="I60" s="19" t="n">
        <v>0</v>
      </c>
      <c r="J60" s="20" t="n">
        <v>0.0009</v>
      </c>
      <c r="K60" s="20" t="n">
        <v>0.0022</v>
      </c>
      <c r="L60" s="20" t="n">
        <v>0.0075</v>
      </c>
      <c r="M60" s="20" t="n">
        <v>0</v>
      </c>
      <c r="N60" s="20" t="n">
        <f aca="false">+O60*(1.75)</f>
        <v>0.00875</v>
      </c>
      <c r="O60" s="21" t="n">
        <v>0.005</v>
      </c>
      <c r="P60" s="20" t="n">
        <f aca="false">SUM(I60:N60)</f>
        <v>0.01935</v>
      </c>
      <c r="Q60" s="22" t="n">
        <v>31468</v>
      </c>
      <c r="R60" s="16" t="n">
        <v>1600</v>
      </c>
      <c r="S60" s="124" t="s">
        <v>1</v>
      </c>
      <c r="T60" s="23" t="n">
        <v>0</v>
      </c>
      <c r="U60" s="23"/>
      <c r="V60" s="24"/>
      <c r="W60" s="24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2.75" hidden="false" customHeight="false" outlineLevel="0" collapsed="false">
      <c r="A61" s="56" t="s">
        <v>1</v>
      </c>
      <c r="B61" s="58" t="s">
        <v>1</v>
      </c>
      <c r="C61" s="58" t="s">
        <v>1</v>
      </c>
      <c r="D61" s="59" t="s">
        <v>1</v>
      </c>
      <c r="E61" s="59" t="s">
        <v>1</v>
      </c>
      <c r="F61" s="56" t="s">
        <v>1</v>
      </c>
      <c r="G61" s="56" t="s">
        <v>1</v>
      </c>
      <c r="H61" s="58" t="s">
        <v>1</v>
      </c>
      <c r="I61" s="61" t="s">
        <v>1</v>
      </c>
      <c r="J61" s="62" t="s">
        <v>1</v>
      </c>
      <c r="K61" s="62" t="s">
        <v>1</v>
      </c>
      <c r="L61" s="62" t="s">
        <v>1</v>
      </c>
      <c r="M61" s="62" t="s">
        <v>279</v>
      </c>
      <c r="N61" s="62" t="s">
        <v>1</v>
      </c>
      <c r="O61" s="126" t="s">
        <v>1</v>
      </c>
      <c r="P61" s="62" t="s">
        <v>1</v>
      </c>
      <c r="Q61" s="127" t="s">
        <v>1</v>
      </c>
      <c r="R61" s="58" t="s">
        <v>1</v>
      </c>
      <c r="S61" s="56" t="s">
        <v>1</v>
      </c>
      <c r="T61" s="67" t="n">
        <f aca="false">SUM(T16:T60)</f>
        <v>1116644.1168</v>
      </c>
      <c r="U61" s="67" t="n">
        <f aca="false">SUM(U16:U60)</f>
        <v>0</v>
      </c>
      <c r="V61" s="24"/>
      <c r="W61" s="24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2.75" hidden="false" customHeight="false" outlineLevel="0" collapsed="false">
      <c r="A62" s="113" t="s">
        <v>92</v>
      </c>
      <c r="B62" s="114" t="s">
        <v>93</v>
      </c>
      <c r="C62" s="114" t="s">
        <v>94</v>
      </c>
      <c r="D62" s="115" t="s">
        <v>95</v>
      </c>
      <c r="E62" s="115"/>
      <c r="F62" s="113" t="s">
        <v>96</v>
      </c>
      <c r="G62" s="113" t="s">
        <v>97</v>
      </c>
      <c r="H62" s="114" t="s">
        <v>98</v>
      </c>
      <c r="I62" s="116" t="s">
        <v>99</v>
      </c>
      <c r="J62" s="114" t="s">
        <v>100</v>
      </c>
      <c r="K62" s="114" t="s">
        <v>101</v>
      </c>
      <c r="L62" s="114" t="s">
        <v>102</v>
      </c>
      <c r="M62" s="114" t="s">
        <v>103</v>
      </c>
      <c r="N62" s="114" t="s">
        <v>208</v>
      </c>
      <c r="O62" s="117" t="s">
        <v>104</v>
      </c>
      <c r="P62" s="114" t="s">
        <v>105</v>
      </c>
      <c r="Q62" s="118" t="s">
        <v>106</v>
      </c>
      <c r="R62" s="114" t="s">
        <v>107</v>
      </c>
      <c r="S62" s="113" t="s">
        <v>108</v>
      </c>
      <c r="T62" s="119" t="s">
        <v>209</v>
      </c>
      <c r="U62" s="119" t="s">
        <v>210</v>
      </c>
      <c r="V62" s="24"/>
      <c r="W62" s="24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2.75" hidden="false" customHeight="false" outlineLevel="0" collapsed="false">
      <c r="A63" s="56" t="s">
        <v>280</v>
      </c>
      <c r="B63" s="58" t="s">
        <v>281</v>
      </c>
      <c r="C63" s="58" t="s">
        <v>282</v>
      </c>
      <c r="D63" s="59" t="n">
        <v>36312</v>
      </c>
      <c r="E63" s="59" t="n">
        <v>36319</v>
      </c>
      <c r="F63" s="56" t="s">
        <v>283</v>
      </c>
      <c r="G63" s="56" t="s">
        <v>284</v>
      </c>
      <c r="H63" s="58" t="s">
        <v>240</v>
      </c>
      <c r="I63" s="61" t="n">
        <v>0</v>
      </c>
      <c r="J63" s="62" t="n">
        <v>0.05</v>
      </c>
      <c r="K63" s="62" t="n">
        <v>0.0022</v>
      </c>
      <c r="L63" s="62" t="n">
        <v>0</v>
      </c>
      <c r="M63" s="62" t="n">
        <v>0</v>
      </c>
      <c r="N63" s="62" t="n">
        <f aca="false">+O63*2.28</f>
        <v>0</v>
      </c>
      <c r="O63" s="126" t="n">
        <v>0</v>
      </c>
      <c r="P63" s="62" t="n">
        <f aca="false">SUM(I63:N63)</f>
        <v>0.0522</v>
      </c>
      <c r="Q63" s="127" t="s">
        <v>285</v>
      </c>
      <c r="R63" s="58" t="n">
        <v>10000</v>
      </c>
      <c r="S63" s="56" t="s">
        <v>286</v>
      </c>
      <c r="T63" s="67" t="n">
        <f aca="false">+I63*I$1*R63</f>
        <v>0</v>
      </c>
      <c r="U63" s="67"/>
      <c r="V63" s="128"/>
      <c r="W63" s="128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29"/>
      <c r="BN63" s="129"/>
      <c r="BO63" s="129"/>
      <c r="BP63" s="129"/>
      <c r="BQ63" s="129"/>
      <c r="BR63" s="129"/>
      <c r="BS63" s="129"/>
      <c r="BT63" s="129"/>
      <c r="BU63" s="129"/>
      <c r="BV63" s="129"/>
      <c r="BW63" s="129"/>
      <c r="BX63" s="129"/>
      <c r="BY63" s="129"/>
      <c r="BZ63" s="129"/>
      <c r="CA63" s="129"/>
      <c r="CB63" s="129"/>
      <c r="CC63" s="129"/>
      <c r="CD63" s="129"/>
      <c r="CE63" s="129"/>
      <c r="CF63" s="129"/>
      <c r="CG63" s="129"/>
      <c r="CH63" s="129"/>
      <c r="CI63" s="129"/>
      <c r="CJ63" s="129"/>
      <c r="CK63" s="129"/>
      <c r="CL63" s="129"/>
      <c r="CM63" s="129"/>
      <c r="CN63" s="129"/>
      <c r="CO63" s="129"/>
      <c r="CP63" s="129"/>
      <c r="CQ63" s="129"/>
      <c r="CR63" s="129"/>
      <c r="CS63" s="129"/>
      <c r="CT63" s="129"/>
      <c r="CU63" s="129"/>
      <c r="CV63" s="129"/>
      <c r="CW63" s="129"/>
      <c r="CX63" s="129"/>
      <c r="CY63" s="129"/>
      <c r="CZ63" s="129"/>
      <c r="DA63" s="129"/>
      <c r="DB63" s="129"/>
      <c r="DC63" s="129"/>
      <c r="DD63" s="129"/>
      <c r="DE63" s="129"/>
      <c r="DF63" s="129"/>
      <c r="DG63" s="129"/>
      <c r="DH63" s="129"/>
      <c r="DI63" s="129"/>
      <c r="DJ63" s="129"/>
      <c r="DK63" s="129"/>
      <c r="DL63" s="129"/>
      <c r="DM63" s="129"/>
      <c r="DN63" s="129"/>
      <c r="DO63" s="129"/>
      <c r="DP63" s="129"/>
      <c r="DQ63" s="129"/>
      <c r="DR63" s="129"/>
      <c r="DS63" s="129"/>
      <c r="DT63" s="129"/>
      <c r="DU63" s="129"/>
      <c r="DV63" s="129"/>
      <c r="DW63" s="129"/>
      <c r="DX63" s="129"/>
      <c r="DY63" s="129"/>
      <c r="DZ63" s="129"/>
      <c r="EA63" s="129"/>
      <c r="EB63" s="129"/>
      <c r="EC63" s="129"/>
      <c r="ED63" s="129"/>
      <c r="EE63" s="129"/>
      <c r="EF63" s="129"/>
      <c r="EG63" s="129"/>
      <c r="EH63" s="129"/>
      <c r="EI63" s="129"/>
      <c r="EJ63" s="129"/>
      <c r="EK63" s="129"/>
      <c r="EL63" s="129"/>
      <c r="EM63" s="129"/>
      <c r="EN63" s="129"/>
      <c r="EO63" s="129"/>
      <c r="EP63" s="129"/>
      <c r="EQ63" s="129"/>
      <c r="ER63" s="129"/>
      <c r="ES63" s="129"/>
      <c r="ET63" s="129"/>
      <c r="EU63" s="129"/>
      <c r="EV63" s="129"/>
      <c r="EW63" s="129"/>
      <c r="EX63" s="129"/>
      <c r="EY63" s="129"/>
      <c r="EZ63" s="129"/>
      <c r="FA63" s="129"/>
      <c r="FB63" s="129"/>
      <c r="FC63" s="129"/>
      <c r="FD63" s="129"/>
      <c r="FE63" s="129"/>
      <c r="FF63" s="129"/>
      <c r="FG63" s="129"/>
      <c r="FH63" s="129"/>
      <c r="FI63" s="129"/>
      <c r="FJ63" s="129"/>
      <c r="FK63" s="129"/>
      <c r="FL63" s="129"/>
      <c r="FM63" s="129"/>
      <c r="FN63" s="129"/>
      <c r="FO63" s="129"/>
      <c r="FP63" s="129"/>
      <c r="FQ63" s="129"/>
      <c r="FR63" s="129"/>
      <c r="FS63" s="129"/>
      <c r="FT63" s="129"/>
      <c r="FU63" s="129"/>
      <c r="FV63" s="129"/>
      <c r="FW63" s="129"/>
      <c r="FX63" s="129"/>
      <c r="FY63" s="129"/>
      <c r="FZ63" s="129"/>
      <c r="GA63" s="129"/>
      <c r="GB63" s="129"/>
      <c r="GC63" s="129"/>
      <c r="GD63" s="129"/>
      <c r="GE63" s="129"/>
      <c r="GF63" s="129"/>
      <c r="GG63" s="129"/>
      <c r="GH63" s="129"/>
      <c r="GI63" s="129"/>
      <c r="GJ63" s="129"/>
      <c r="GK63" s="129"/>
      <c r="GL63" s="129"/>
      <c r="GM63" s="129"/>
      <c r="GN63" s="129"/>
      <c r="GO63" s="129"/>
      <c r="GP63" s="129"/>
      <c r="GQ63" s="129"/>
      <c r="GR63" s="129"/>
      <c r="GS63" s="129"/>
      <c r="GT63" s="129"/>
      <c r="GU63" s="129"/>
      <c r="GV63" s="129"/>
      <c r="GW63" s="129"/>
      <c r="GX63" s="129"/>
      <c r="GY63" s="129"/>
      <c r="GZ63" s="129"/>
      <c r="HA63" s="129"/>
      <c r="HB63" s="129"/>
      <c r="HC63" s="129"/>
      <c r="HD63" s="129"/>
      <c r="HE63" s="129"/>
      <c r="HF63" s="129"/>
      <c r="HG63" s="129"/>
      <c r="HH63" s="129"/>
      <c r="HI63" s="129"/>
      <c r="HJ63" s="129"/>
      <c r="HK63" s="129"/>
      <c r="HL63" s="129"/>
      <c r="HM63" s="129"/>
      <c r="HN63" s="129"/>
      <c r="HO63" s="129"/>
      <c r="HP63" s="129"/>
      <c r="HQ63" s="129"/>
      <c r="HR63" s="129"/>
      <c r="HS63" s="129"/>
      <c r="HT63" s="129"/>
      <c r="HU63" s="129"/>
      <c r="HV63" s="129"/>
      <c r="HW63" s="129"/>
      <c r="HX63" s="129"/>
      <c r="HY63" s="129"/>
      <c r="HZ63" s="129"/>
      <c r="IA63" s="129"/>
      <c r="IB63" s="129"/>
      <c r="IC63" s="129"/>
      <c r="ID63" s="129"/>
      <c r="IE63" s="129"/>
      <c r="IF63" s="129"/>
      <c r="IG63" s="129"/>
      <c r="IH63" s="129"/>
      <c r="II63" s="129"/>
      <c r="IJ63" s="129"/>
      <c r="IK63" s="129"/>
      <c r="IL63" s="129"/>
      <c r="IM63" s="129"/>
      <c r="IN63" s="129"/>
      <c r="IO63" s="129"/>
      <c r="IP63" s="129"/>
      <c r="IQ63" s="129"/>
      <c r="IR63" s="129"/>
      <c r="IS63" s="129"/>
      <c r="IT63" s="129"/>
      <c r="IU63" s="129"/>
      <c r="IV63" s="129"/>
      <c r="IW63" s="129"/>
    </row>
    <row r="64" customFormat="false" ht="12.75" hidden="false" customHeight="false" outlineLevel="0" collapsed="false">
      <c r="A64" s="56"/>
      <c r="B64" s="58"/>
      <c r="C64" s="58"/>
      <c r="D64" s="59"/>
      <c r="E64" s="59"/>
      <c r="F64" s="56"/>
      <c r="G64" s="56"/>
      <c r="H64" s="58"/>
      <c r="I64" s="61"/>
      <c r="J64" s="62"/>
      <c r="K64" s="62"/>
      <c r="L64" s="62"/>
      <c r="M64" s="62"/>
      <c r="N64" s="62"/>
      <c r="O64" s="126" t="s">
        <v>1</v>
      </c>
      <c r="P64" s="62"/>
      <c r="Q64" s="127"/>
      <c r="R64" s="58"/>
      <c r="S64" s="56" t="s">
        <v>1</v>
      </c>
      <c r="T64" s="67" t="n">
        <f aca="false">SUM(T63)</f>
        <v>0</v>
      </c>
      <c r="U64" s="67" t="n">
        <f aca="false">SUM(U63)</f>
        <v>0</v>
      </c>
      <c r="V64" s="24"/>
      <c r="W64" s="2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2.75" hidden="false" customHeight="false" outlineLevel="0" collapsed="false">
      <c r="A65" s="113" t="s">
        <v>92</v>
      </c>
      <c r="B65" s="114" t="s">
        <v>93</v>
      </c>
      <c r="C65" s="114" t="s">
        <v>94</v>
      </c>
      <c r="D65" s="115" t="s">
        <v>95</v>
      </c>
      <c r="E65" s="115"/>
      <c r="F65" s="113" t="s">
        <v>96</v>
      </c>
      <c r="G65" s="113" t="s">
        <v>97</v>
      </c>
      <c r="H65" s="114" t="s">
        <v>98</v>
      </c>
      <c r="I65" s="116" t="s">
        <v>99</v>
      </c>
      <c r="J65" s="114" t="s">
        <v>100</v>
      </c>
      <c r="K65" s="114" t="s">
        <v>101</v>
      </c>
      <c r="L65" s="114" t="s">
        <v>102</v>
      </c>
      <c r="M65" s="114" t="s">
        <v>103</v>
      </c>
      <c r="N65" s="114" t="s">
        <v>208</v>
      </c>
      <c r="O65" s="117" t="s">
        <v>104</v>
      </c>
      <c r="P65" s="114" t="s">
        <v>105</v>
      </c>
      <c r="Q65" s="118" t="s">
        <v>106</v>
      </c>
      <c r="R65" s="114" t="s">
        <v>107</v>
      </c>
      <c r="S65" s="113" t="s">
        <v>108</v>
      </c>
      <c r="T65" s="119" t="s">
        <v>209</v>
      </c>
      <c r="U65" s="119" t="s">
        <v>210</v>
      </c>
      <c r="V65" s="24"/>
      <c r="W65" s="24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2.75" hidden="false" customHeight="false" outlineLevel="0" collapsed="false">
      <c r="A66" s="15" t="s">
        <v>45</v>
      </c>
      <c r="B66" s="16" t="s">
        <v>287</v>
      </c>
      <c r="C66" s="16" t="s">
        <v>288</v>
      </c>
      <c r="D66" s="17" t="n">
        <v>34274</v>
      </c>
      <c r="E66" s="17" t="n">
        <v>36678</v>
      </c>
      <c r="F66" s="15" t="s">
        <v>289</v>
      </c>
      <c r="G66" s="15" t="s">
        <v>290</v>
      </c>
      <c r="H66" s="16" t="s">
        <v>215</v>
      </c>
      <c r="I66" s="19" t="n">
        <f aca="false">1.0603/I$1</f>
        <v>0.0365620689655172</v>
      </c>
      <c r="J66" s="20" t="n">
        <v>0.0017</v>
      </c>
      <c r="K66" s="20" t="n">
        <v>0.0022</v>
      </c>
      <c r="L66" s="20" t="n">
        <v>0</v>
      </c>
      <c r="M66" s="20" t="n">
        <v>0</v>
      </c>
      <c r="N66" s="20" t="n">
        <f aca="false">+O66*2.02</f>
        <v>0.0123018</v>
      </c>
      <c r="O66" s="21" t="n">
        <v>0.00609</v>
      </c>
      <c r="P66" s="20" t="n">
        <f aca="false">SUM(I66:N66)</f>
        <v>0.0527638689655172</v>
      </c>
      <c r="Q66" s="22" t="n">
        <v>37393</v>
      </c>
      <c r="R66" s="16" t="n">
        <v>20000</v>
      </c>
      <c r="S66" s="15" t="s">
        <v>291</v>
      </c>
      <c r="T66" s="23" t="n">
        <f aca="false">I66*I$1*R66</f>
        <v>21206</v>
      </c>
      <c r="U66" s="23"/>
      <c r="V66" s="24" t="n">
        <v>92346</v>
      </c>
      <c r="W66" s="24" t="n">
        <v>96006364</v>
      </c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2.75" hidden="false" customHeight="false" outlineLevel="0" collapsed="false">
      <c r="A67" s="15" t="s">
        <v>45</v>
      </c>
      <c r="B67" s="16" t="s">
        <v>287</v>
      </c>
      <c r="C67" s="16" t="s">
        <v>292</v>
      </c>
      <c r="D67" s="17" t="n">
        <v>36526</v>
      </c>
      <c r="E67" s="17" t="n">
        <v>36616</v>
      </c>
      <c r="F67" s="15" t="s">
        <v>290</v>
      </c>
      <c r="G67" s="15" t="s">
        <v>293</v>
      </c>
      <c r="H67" s="16" t="s">
        <v>240</v>
      </c>
      <c r="I67" s="19" t="n">
        <f aca="false">2.89/I$1</f>
        <v>0.0996551724137931</v>
      </c>
      <c r="J67" s="20" t="n">
        <v>0.0017</v>
      </c>
      <c r="K67" s="20" t="n">
        <v>0.0022</v>
      </c>
      <c r="L67" s="20" t="n">
        <v>0</v>
      </c>
      <c r="M67" s="20" t="n">
        <v>0</v>
      </c>
      <c r="N67" s="20" t="n">
        <f aca="false">+O67*2.02</f>
        <v>0.0123018</v>
      </c>
      <c r="O67" s="21" t="n">
        <v>0.00609</v>
      </c>
      <c r="P67" s="20" t="n">
        <f aca="false">SUM(I67:N67)</f>
        <v>0.115856972413793</v>
      </c>
      <c r="Q67" s="22" t="n">
        <v>65321</v>
      </c>
      <c r="R67" s="16" t="n">
        <v>20000</v>
      </c>
      <c r="S67" s="15" t="s">
        <v>294</v>
      </c>
      <c r="T67" s="23" t="n">
        <f aca="false">I67*31*R67</f>
        <v>61786.2068965517</v>
      </c>
      <c r="U67" s="23"/>
      <c r="V67" s="24" t="n">
        <v>125632</v>
      </c>
      <c r="W67" s="24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false" customHeight="false" outlineLevel="0" collapsed="false">
      <c r="A68" s="15" t="s">
        <v>45</v>
      </c>
      <c r="B68" s="16" t="s">
        <v>287</v>
      </c>
      <c r="C68" s="16" t="s">
        <v>288</v>
      </c>
      <c r="D68" s="17" t="n">
        <v>36434</v>
      </c>
      <c r="E68" s="17" t="n">
        <v>36800</v>
      </c>
      <c r="F68" s="15" t="s">
        <v>295</v>
      </c>
      <c r="G68" s="15" t="s">
        <v>276</v>
      </c>
      <c r="H68" s="16" t="s">
        <v>215</v>
      </c>
      <c r="I68" s="19" t="n">
        <v>0.015</v>
      </c>
      <c r="J68" s="20" t="n">
        <v>0.0017</v>
      </c>
      <c r="K68" s="20" t="n">
        <v>0.0022</v>
      </c>
      <c r="L68" s="20" t="n">
        <v>0</v>
      </c>
      <c r="M68" s="20" t="n">
        <v>0</v>
      </c>
      <c r="N68" s="20" t="n">
        <f aca="false">+O68*2.02</f>
        <v>0.0123018</v>
      </c>
      <c r="O68" s="21" t="n">
        <v>0.00609</v>
      </c>
      <c r="P68" s="20" t="n">
        <f aca="false">SUM(I68:N68)</f>
        <v>0.0312018</v>
      </c>
      <c r="Q68" s="22" t="n">
        <v>64937</v>
      </c>
      <c r="R68" s="16" t="n">
        <v>10000</v>
      </c>
      <c r="S68" s="15"/>
      <c r="T68" s="23" t="n">
        <f aca="false">I68*I$1*R68</f>
        <v>4350</v>
      </c>
      <c r="U68" s="23"/>
      <c r="V68" s="24"/>
      <c r="W68" s="2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false" customHeight="false" outlineLevel="0" collapsed="false">
      <c r="A69" s="15" t="s">
        <v>45</v>
      </c>
      <c r="B69" s="16" t="s">
        <v>287</v>
      </c>
      <c r="C69" s="16" t="s">
        <v>288</v>
      </c>
      <c r="D69" s="17" t="n">
        <v>36495</v>
      </c>
      <c r="E69" s="17" t="n">
        <v>36616</v>
      </c>
      <c r="F69" s="15" t="s">
        <v>296</v>
      </c>
      <c r="G69" s="15" t="s">
        <v>297</v>
      </c>
      <c r="H69" s="16" t="s">
        <v>215</v>
      </c>
      <c r="I69" s="19" t="n">
        <f aca="false">1.2958/I$1</f>
        <v>0.0446827586206897</v>
      </c>
      <c r="J69" s="20" t="n">
        <v>0.002</v>
      </c>
      <c r="K69" s="20" t="n">
        <v>0.0022</v>
      </c>
      <c r="L69" s="20" t="n">
        <v>0</v>
      </c>
      <c r="M69" s="20" t="n">
        <v>0</v>
      </c>
      <c r="N69" s="20" t="n">
        <f aca="false">+O69*2.02</f>
        <v>0</v>
      </c>
      <c r="O69" s="21" t="n">
        <v>0</v>
      </c>
      <c r="P69" s="20" t="n">
        <f aca="false">SUM(I69:N69)</f>
        <v>0.0488827586206897</v>
      </c>
      <c r="Q69" s="22" t="n">
        <v>65572</v>
      </c>
      <c r="R69" s="16" t="n">
        <v>10000</v>
      </c>
      <c r="S69" s="15"/>
      <c r="T69" s="23" t="n">
        <f aca="false">I69*I$1*R69</f>
        <v>12958</v>
      </c>
      <c r="U69" s="23"/>
      <c r="V69" s="24" t="n">
        <v>133172</v>
      </c>
      <c r="W69" s="24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2.75" hidden="false" customHeight="false" outlineLevel="0" collapsed="false">
      <c r="A70" s="15" t="s">
        <v>45</v>
      </c>
      <c r="B70" s="16" t="s">
        <v>287</v>
      </c>
      <c r="C70" s="16" t="s">
        <v>288</v>
      </c>
      <c r="D70" s="17" t="n">
        <v>34274</v>
      </c>
      <c r="E70" s="17" t="n">
        <v>40118</v>
      </c>
      <c r="F70" s="15" t="s">
        <v>290</v>
      </c>
      <c r="G70" s="15" t="s">
        <v>293</v>
      </c>
      <c r="H70" s="16" t="s">
        <v>215</v>
      </c>
      <c r="I70" s="19" t="n">
        <f aca="false">3.145/I$1</f>
        <v>0.108448275862069</v>
      </c>
      <c r="J70" s="20" t="n">
        <v>0.0171</v>
      </c>
      <c r="K70" s="20" t="n">
        <v>0.0022</v>
      </c>
      <c r="L70" s="20" t="n">
        <v>0</v>
      </c>
      <c r="M70" s="20" t="n">
        <v>0</v>
      </c>
      <c r="N70" s="20" t="n">
        <f aca="false">+O70*2.07</f>
        <v>0.0618516</v>
      </c>
      <c r="O70" s="21" t="n">
        <v>0.02988</v>
      </c>
      <c r="P70" s="20" t="n">
        <f aca="false">SUM(I70:N70)</f>
        <v>0.189599875862069</v>
      </c>
      <c r="Q70" s="22" t="n">
        <v>37861</v>
      </c>
      <c r="R70" s="16" t="n">
        <v>15000</v>
      </c>
      <c r="S70" s="15"/>
      <c r="T70" s="23" t="n">
        <f aca="false">I70*I$1*R70</f>
        <v>47175</v>
      </c>
      <c r="U70" s="23"/>
      <c r="V70" s="24" t="n">
        <v>93034</v>
      </c>
      <c r="W70" s="24" t="n">
        <v>96005325</v>
      </c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2.75" hidden="false" customHeight="false" outlineLevel="0" collapsed="false">
      <c r="A71" s="15" t="s">
        <v>45</v>
      </c>
      <c r="B71" s="16" t="s">
        <v>287</v>
      </c>
      <c r="C71" s="16" t="s">
        <v>298</v>
      </c>
      <c r="D71" s="17" t="n">
        <v>36557</v>
      </c>
      <c r="E71" s="17" t="n">
        <v>36557</v>
      </c>
      <c r="F71" s="15" t="s">
        <v>290</v>
      </c>
      <c r="G71" s="15" t="s">
        <v>293</v>
      </c>
      <c r="H71" s="16" t="s">
        <v>240</v>
      </c>
      <c r="I71" s="19" t="n">
        <f aca="false">1.216/I$1</f>
        <v>0.0419310344827586</v>
      </c>
      <c r="J71" s="20" t="n">
        <v>0.0171</v>
      </c>
      <c r="K71" s="20" t="n">
        <v>0.0022</v>
      </c>
      <c r="L71" s="20" t="n">
        <v>0</v>
      </c>
      <c r="M71" s="20" t="n">
        <v>0</v>
      </c>
      <c r="N71" s="20" t="n">
        <f aca="false">+O71*2.07</f>
        <v>0.0618516</v>
      </c>
      <c r="O71" s="21" t="n">
        <v>0.02988</v>
      </c>
      <c r="P71" s="20" t="n">
        <f aca="false">SUM(I71:N71)</f>
        <v>0.123082634482759</v>
      </c>
      <c r="Q71" s="22" t="n">
        <v>65373</v>
      </c>
      <c r="R71" s="16" t="n">
        <v>6034</v>
      </c>
      <c r="S71" s="15" t="s">
        <v>299</v>
      </c>
      <c r="T71" s="23" t="n">
        <f aca="false">I71*1*R71</f>
        <v>253.011862068965</v>
      </c>
      <c r="U71" s="23"/>
      <c r="V71" s="24" t="n">
        <v>125065</v>
      </c>
      <c r="W71" s="24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2.75" hidden="false" customHeight="false" outlineLevel="0" collapsed="false">
      <c r="A72" s="15" t="s">
        <v>45</v>
      </c>
      <c r="B72" s="16" t="s">
        <v>287</v>
      </c>
      <c r="C72" s="16" t="s">
        <v>298</v>
      </c>
      <c r="D72" s="17" t="n">
        <v>36586</v>
      </c>
      <c r="E72" s="17" t="n">
        <v>36616</v>
      </c>
      <c r="F72" s="15" t="s">
        <v>290</v>
      </c>
      <c r="G72" s="15" t="s">
        <v>293</v>
      </c>
      <c r="H72" s="16" t="s">
        <v>240</v>
      </c>
      <c r="I72" s="19" t="n">
        <f aca="false">1.216/I$1</f>
        <v>0.0419310344827586</v>
      </c>
      <c r="J72" s="20" t="n">
        <v>0.0171</v>
      </c>
      <c r="K72" s="20" t="n">
        <v>0.0022</v>
      </c>
      <c r="L72" s="20" t="n">
        <v>0</v>
      </c>
      <c r="M72" s="20" t="n">
        <v>0</v>
      </c>
      <c r="N72" s="20" t="n">
        <f aca="false">+O72*2.07</f>
        <v>0.0618516</v>
      </c>
      <c r="O72" s="21" t="n">
        <v>0.02988</v>
      </c>
      <c r="P72" s="20" t="n">
        <f aca="false">SUM(I72:N72)</f>
        <v>0.123082634482759</v>
      </c>
      <c r="Q72" s="22" t="n">
        <v>65373</v>
      </c>
      <c r="R72" s="16" t="n">
        <v>10000</v>
      </c>
      <c r="S72" s="15" t="s">
        <v>300</v>
      </c>
      <c r="T72" s="23" t="n">
        <f aca="false">I72*0*R72</f>
        <v>0</v>
      </c>
      <c r="U72" s="23"/>
      <c r="V72" s="24" t="n">
        <v>125065</v>
      </c>
      <c r="W72" s="24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false" customHeight="false" outlineLevel="0" collapsed="false">
      <c r="A73" s="56" t="s">
        <v>1</v>
      </c>
      <c r="B73" s="58" t="s">
        <v>1</v>
      </c>
      <c r="C73" s="58" t="s">
        <v>1</v>
      </c>
      <c r="D73" s="59" t="s">
        <v>1</v>
      </c>
      <c r="E73" s="59"/>
      <c r="F73" s="56" t="s">
        <v>1</v>
      </c>
      <c r="G73" s="56" t="s">
        <v>1</v>
      </c>
      <c r="H73" s="58" t="s">
        <v>1</v>
      </c>
      <c r="I73" s="61"/>
      <c r="J73" s="62"/>
      <c r="K73" s="62"/>
      <c r="L73" s="62"/>
      <c r="M73" s="62"/>
      <c r="N73" s="62"/>
      <c r="O73" s="126"/>
      <c r="P73" s="62"/>
      <c r="Q73" s="127" t="s">
        <v>1</v>
      </c>
      <c r="R73" s="58" t="s">
        <v>1</v>
      </c>
      <c r="S73" s="56" t="s">
        <v>1</v>
      </c>
      <c r="T73" s="67" t="n">
        <f aca="false">SUM(T66:T72)</f>
        <v>147728.218758621</v>
      </c>
      <c r="U73" s="67" t="n">
        <f aca="false">SUM(U66:U72)</f>
        <v>0</v>
      </c>
      <c r="V73" s="24"/>
      <c r="W73" s="24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2.75" hidden="false" customHeight="false" outlineLevel="0" collapsed="false">
      <c r="A74" s="113" t="s">
        <v>92</v>
      </c>
      <c r="B74" s="114" t="s">
        <v>93</v>
      </c>
      <c r="C74" s="114" t="s">
        <v>94</v>
      </c>
      <c r="D74" s="115" t="s">
        <v>95</v>
      </c>
      <c r="E74" s="115"/>
      <c r="F74" s="113" t="s">
        <v>96</v>
      </c>
      <c r="G74" s="113" t="s">
        <v>97</v>
      </c>
      <c r="H74" s="114" t="s">
        <v>98</v>
      </c>
      <c r="I74" s="116" t="s">
        <v>99</v>
      </c>
      <c r="J74" s="114" t="s">
        <v>100</v>
      </c>
      <c r="K74" s="114" t="s">
        <v>101</v>
      </c>
      <c r="L74" s="114" t="s">
        <v>102</v>
      </c>
      <c r="M74" s="114" t="s">
        <v>103</v>
      </c>
      <c r="N74" s="114" t="s">
        <v>208</v>
      </c>
      <c r="O74" s="117" t="s">
        <v>104</v>
      </c>
      <c r="P74" s="114" t="s">
        <v>105</v>
      </c>
      <c r="Q74" s="118" t="s">
        <v>106</v>
      </c>
      <c r="R74" s="114" t="s">
        <v>107</v>
      </c>
      <c r="S74" s="113" t="s">
        <v>108</v>
      </c>
      <c r="T74" s="119" t="s">
        <v>209</v>
      </c>
      <c r="U74" s="119" t="s">
        <v>210</v>
      </c>
      <c r="V74" s="24"/>
      <c r="W74" s="24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3.5" hidden="false" customHeight="true" outlineLevel="0" collapsed="false">
      <c r="A75" s="15" t="s">
        <v>45</v>
      </c>
      <c r="B75" s="16" t="s">
        <v>273</v>
      </c>
      <c r="C75" s="16" t="s">
        <v>273</v>
      </c>
      <c r="D75" s="17" t="n">
        <v>36251</v>
      </c>
      <c r="E75" s="17" t="n">
        <v>36281</v>
      </c>
      <c r="F75" s="15" t="s">
        <v>301</v>
      </c>
      <c r="G75" s="15"/>
      <c r="H75" s="16"/>
      <c r="I75" s="19" t="n">
        <f aca="false">0/I$1</f>
        <v>0</v>
      </c>
      <c r="J75" s="20" t="n">
        <v>0</v>
      </c>
      <c r="K75" s="20" t="n">
        <v>0</v>
      </c>
      <c r="L75" s="20" t="n">
        <v>0</v>
      </c>
      <c r="M75" s="20" t="n">
        <v>0</v>
      </c>
      <c r="N75" s="20" t="n">
        <f aca="false">+O75*2.2</f>
        <v>0</v>
      </c>
      <c r="O75" s="21" t="n">
        <v>0</v>
      </c>
      <c r="P75" s="20" t="n">
        <f aca="false">SUM(I75:N75)</f>
        <v>0</v>
      </c>
      <c r="Q75" s="22" t="s">
        <v>302</v>
      </c>
      <c r="R75" s="16"/>
      <c r="S75" s="15" t="s">
        <v>303</v>
      </c>
      <c r="T75" s="23" t="n">
        <v>4083</v>
      </c>
      <c r="U75" s="23"/>
      <c r="V75" s="24"/>
      <c r="W75" s="24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3.5" hidden="false" customHeight="true" outlineLevel="0" collapsed="false">
      <c r="A76" s="15" t="s">
        <v>45</v>
      </c>
      <c r="B76" s="16" t="s">
        <v>273</v>
      </c>
      <c r="C76" s="16" t="s">
        <v>273</v>
      </c>
      <c r="D76" s="17" t="n">
        <v>36251</v>
      </c>
      <c r="E76" s="17" t="n">
        <v>36281</v>
      </c>
      <c r="F76" s="15" t="s">
        <v>301</v>
      </c>
      <c r="G76" s="15"/>
      <c r="H76" s="16"/>
      <c r="I76" s="19" t="n">
        <f aca="false">0/I$1</f>
        <v>0</v>
      </c>
      <c r="J76" s="20" t="n">
        <v>0</v>
      </c>
      <c r="K76" s="20" t="n">
        <v>0</v>
      </c>
      <c r="L76" s="20" t="n">
        <v>0</v>
      </c>
      <c r="M76" s="20" t="n">
        <v>0</v>
      </c>
      <c r="N76" s="20" t="n">
        <f aca="false">+O76*2.2</f>
        <v>0</v>
      </c>
      <c r="O76" s="21" t="n">
        <v>0</v>
      </c>
      <c r="P76" s="20" t="n">
        <f aca="false">SUM(I76:N76)</f>
        <v>0</v>
      </c>
      <c r="Q76" s="130" t="s">
        <v>304</v>
      </c>
      <c r="R76" s="16"/>
      <c r="S76" s="15" t="s">
        <v>303</v>
      </c>
      <c r="T76" s="23" t="n">
        <v>6188</v>
      </c>
      <c r="U76" s="23"/>
      <c r="V76" s="24"/>
      <c r="W76" s="24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3.5" hidden="false" customHeight="true" outlineLevel="0" collapsed="false">
      <c r="A77" s="15" t="s">
        <v>45</v>
      </c>
      <c r="B77" s="16" t="s">
        <v>273</v>
      </c>
      <c r="C77" s="16" t="s">
        <v>273</v>
      </c>
      <c r="D77" s="17" t="n">
        <v>36251</v>
      </c>
      <c r="E77" s="17" t="n">
        <v>36281</v>
      </c>
      <c r="F77" s="15" t="s">
        <v>301</v>
      </c>
      <c r="G77" s="15"/>
      <c r="H77" s="16"/>
      <c r="I77" s="19" t="n">
        <f aca="false">0/I$1</f>
        <v>0</v>
      </c>
      <c r="J77" s="20" t="n">
        <v>0</v>
      </c>
      <c r="K77" s="20" t="n">
        <v>0</v>
      </c>
      <c r="L77" s="20" t="n">
        <v>0</v>
      </c>
      <c r="M77" s="20" t="n">
        <v>0</v>
      </c>
      <c r="N77" s="20" t="n">
        <f aca="false">+O77*2.2</f>
        <v>0</v>
      </c>
      <c r="O77" s="21" t="n">
        <v>0</v>
      </c>
      <c r="P77" s="20" t="n">
        <f aca="false">SUM(I77:N77)</f>
        <v>0</v>
      </c>
      <c r="Q77" s="130" t="s">
        <v>305</v>
      </c>
      <c r="R77" s="16"/>
      <c r="S77" s="15" t="s">
        <v>303</v>
      </c>
      <c r="T77" s="23" t="n">
        <v>20.46</v>
      </c>
      <c r="U77" s="23"/>
      <c r="V77" s="24"/>
      <c r="W77" s="24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2.75" hidden="false" customHeight="false" outlineLevel="0" collapsed="false">
      <c r="A78" s="56" t="s">
        <v>1</v>
      </c>
      <c r="B78" s="58" t="s">
        <v>1</v>
      </c>
      <c r="C78" s="58" t="s">
        <v>1</v>
      </c>
      <c r="D78" s="59" t="s">
        <v>1</v>
      </c>
      <c r="E78" s="59" t="s">
        <v>1</v>
      </c>
      <c r="F78" s="56" t="s">
        <v>1</v>
      </c>
      <c r="G78" s="56" t="s">
        <v>1</v>
      </c>
      <c r="H78" s="58" t="s">
        <v>1</v>
      </c>
      <c r="I78" s="61"/>
      <c r="J78" s="62"/>
      <c r="K78" s="62"/>
      <c r="L78" s="62"/>
      <c r="M78" s="62"/>
      <c r="N78" s="62"/>
      <c r="O78" s="126"/>
      <c r="P78" s="62"/>
      <c r="Q78" s="127" t="s">
        <v>1</v>
      </c>
      <c r="R78" s="58" t="s">
        <v>1</v>
      </c>
      <c r="S78" s="56" t="s">
        <v>1</v>
      </c>
      <c r="T78" s="67" t="n">
        <f aca="false">SUM(T75:T77)</f>
        <v>10291.46</v>
      </c>
      <c r="U78" s="67" t="n">
        <f aca="false">SUM(U75:U77)</f>
        <v>0</v>
      </c>
      <c r="V78" s="24"/>
      <c r="W78" s="24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2.75" hidden="false" customHeight="false" outlineLevel="0" collapsed="false">
      <c r="A79" s="113" t="s">
        <v>92</v>
      </c>
      <c r="B79" s="114" t="s">
        <v>93</v>
      </c>
      <c r="C79" s="114" t="s">
        <v>94</v>
      </c>
      <c r="D79" s="115" t="s">
        <v>95</v>
      </c>
      <c r="E79" s="115"/>
      <c r="F79" s="113" t="s">
        <v>96</v>
      </c>
      <c r="G79" s="113" t="s">
        <v>97</v>
      </c>
      <c r="H79" s="114" t="s">
        <v>98</v>
      </c>
      <c r="I79" s="116" t="s">
        <v>99</v>
      </c>
      <c r="J79" s="114" t="s">
        <v>100</v>
      </c>
      <c r="K79" s="114" t="s">
        <v>101</v>
      </c>
      <c r="L79" s="114" t="s">
        <v>102</v>
      </c>
      <c r="M79" s="114" t="s">
        <v>103</v>
      </c>
      <c r="N79" s="114" t="s">
        <v>208</v>
      </c>
      <c r="O79" s="117" t="s">
        <v>104</v>
      </c>
      <c r="P79" s="114" t="s">
        <v>105</v>
      </c>
      <c r="Q79" s="118" t="s">
        <v>106</v>
      </c>
      <c r="R79" s="114" t="s">
        <v>107</v>
      </c>
      <c r="S79" s="113" t="s">
        <v>108</v>
      </c>
      <c r="T79" s="119" t="s">
        <v>209</v>
      </c>
      <c r="U79" s="119" t="s">
        <v>210</v>
      </c>
      <c r="V79" s="24"/>
      <c r="W79" s="24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2.75" hidden="false" customHeight="false" outlineLevel="0" collapsed="false">
      <c r="A80" s="37" t="s">
        <v>45</v>
      </c>
      <c r="B80" s="75" t="s">
        <v>306</v>
      </c>
      <c r="C80" s="75" t="s">
        <v>306</v>
      </c>
      <c r="D80" s="76" t="n">
        <v>36100</v>
      </c>
      <c r="E80" s="76" t="n">
        <v>39022</v>
      </c>
      <c r="F80" s="37" t="n">
        <v>1</v>
      </c>
      <c r="G80" s="37" t="n">
        <v>2</v>
      </c>
      <c r="H80" s="75" t="s">
        <v>215</v>
      </c>
      <c r="I80" s="77" t="n">
        <f aca="false">(14.1123+0.2)/I$1</f>
        <v>0.493527586206897</v>
      </c>
      <c r="J80" s="78" t="n">
        <v>0.0054</v>
      </c>
      <c r="K80" s="78" t="n">
        <v>0.0022</v>
      </c>
      <c r="L80" s="78" t="n">
        <v>0.0075</v>
      </c>
      <c r="M80" s="78" t="n">
        <v>0.0012</v>
      </c>
      <c r="N80" s="78" t="n">
        <f aca="false">+O80*2.3</f>
        <v>0.0161</v>
      </c>
      <c r="O80" s="131" t="n">
        <v>0.007</v>
      </c>
      <c r="P80" s="78" t="n">
        <f aca="false">SUM(I80:N80)</f>
        <v>0.525927586206897</v>
      </c>
      <c r="Q80" s="80" t="s">
        <v>307</v>
      </c>
      <c r="R80" s="75" t="n">
        <v>2017</v>
      </c>
      <c r="S80" s="37" t="s">
        <v>308</v>
      </c>
      <c r="T80" s="81" t="n">
        <f aca="false">I80*I$1*R80</f>
        <v>28867.9091</v>
      </c>
      <c r="U80" s="81"/>
      <c r="V80" s="83" t="n">
        <v>77758</v>
      </c>
      <c r="W80" s="83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84"/>
      <c r="CS80" s="84"/>
      <c r="CT80" s="84"/>
      <c r="CU80" s="84"/>
      <c r="CV80" s="84"/>
      <c r="CW80" s="84"/>
      <c r="CX80" s="84"/>
      <c r="CY80" s="84"/>
      <c r="CZ80" s="84"/>
      <c r="DA80" s="84"/>
      <c r="DB80" s="84"/>
      <c r="DC80" s="84"/>
      <c r="DD80" s="84"/>
      <c r="DE80" s="84"/>
      <c r="DF80" s="84"/>
      <c r="DG80" s="84"/>
      <c r="DH80" s="84"/>
      <c r="DI80" s="84"/>
      <c r="DJ80" s="84"/>
      <c r="DK80" s="84"/>
      <c r="DL80" s="84"/>
      <c r="DM80" s="84"/>
      <c r="DN80" s="84"/>
      <c r="DO80" s="84"/>
      <c r="DP80" s="84"/>
      <c r="DQ80" s="84"/>
      <c r="DR80" s="84"/>
      <c r="DS80" s="84"/>
      <c r="DT80" s="84"/>
      <c r="DU80" s="84"/>
      <c r="DV80" s="84"/>
      <c r="DW80" s="84"/>
      <c r="DX80" s="84"/>
      <c r="DY80" s="84"/>
      <c r="DZ80" s="84"/>
      <c r="EA80" s="84"/>
      <c r="EB80" s="84"/>
      <c r="EC80" s="84"/>
      <c r="ED80" s="84"/>
      <c r="EE80" s="84"/>
      <c r="EF80" s="84"/>
      <c r="EG80" s="84"/>
      <c r="EH80" s="84"/>
      <c r="EI80" s="84"/>
      <c r="EJ80" s="84"/>
      <c r="EK80" s="84"/>
      <c r="EL80" s="84"/>
      <c r="EM80" s="84"/>
      <c r="EN80" s="84"/>
      <c r="EO80" s="84"/>
      <c r="EP80" s="84"/>
      <c r="EQ80" s="84"/>
      <c r="ER80" s="84"/>
      <c r="ES80" s="84"/>
      <c r="ET80" s="84"/>
      <c r="EU80" s="84"/>
      <c r="EV80" s="84"/>
      <c r="EW80" s="84"/>
      <c r="EX80" s="84"/>
      <c r="EY80" s="84"/>
      <c r="EZ80" s="84"/>
      <c r="FA80" s="84"/>
      <c r="FB80" s="84"/>
      <c r="FC80" s="84"/>
      <c r="FD80" s="84"/>
      <c r="FE80" s="84"/>
      <c r="FF80" s="84"/>
      <c r="FG80" s="84"/>
      <c r="FH80" s="84"/>
      <c r="FI80" s="84"/>
      <c r="FJ80" s="84"/>
      <c r="FK80" s="84"/>
      <c r="FL80" s="84"/>
      <c r="FM80" s="84"/>
      <c r="FN80" s="84"/>
      <c r="FO80" s="84"/>
      <c r="FP80" s="84"/>
      <c r="FQ80" s="84"/>
      <c r="FR80" s="84"/>
      <c r="FS80" s="84"/>
      <c r="FT80" s="84"/>
      <c r="FU80" s="84"/>
      <c r="FV80" s="84"/>
      <c r="FW80" s="84"/>
      <c r="FX80" s="84"/>
      <c r="FY80" s="84"/>
      <c r="FZ80" s="84"/>
      <c r="GA80" s="84"/>
      <c r="GB80" s="84"/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</row>
    <row r="81" customFormat="false" ht="12.75" hidden="false" customHeight="false" outlineLevel="0" collapsed="false">
      <c r="A81" s="15" t="s">
        <v>45</v>
      </c>
      <c r="B81" s="16" t="s">
        <v>306</v>
      </c>
      <c r="C81" s="16" t="s">
        <v>237</v>
      </c>
      <c r="D81" s="17" t="n">
        <v>36100</v>
      </c>
      <c r="E81" s="17" t="n">
        <v>39539</v>
      </c>
      <c r="F81" s="15" t="s">
        <v>309</v>
      </c>
      <c r="G81" s="15" t="s">
        <v>310</v>
      </c>
      <c r="H81" s="16" t="s">
        <v>1</v>
      </c>
      <c r="I81" s="19" t="n">
        <f aca="false">(8.5058)/I$1</f>
        <v>0.293303448275862</v>
      </c>
      <c r="J81" s="20" t="n">
        <v>0.003</v>
      </c>
      <c r="K81" s="20" t="n">
        <v>0.0022</v>
      </c>
      <c r="L81" s="20" t="n">
        <v>0</v>
      </c>
      <c r="M81" s="20" t="n">
        <v>0.0007</v>
      </c>
      <c r="N81" s="20" t="n">
        <f aca="false">+O81*2.3</f>
        <v>0</v>
      </c>
      <c r="O81" s="21" t="n">
        <v>0</v>
      </c>
      <c r="P81" s="20" t="n">
        <f aca="false">SUM(I81:N81)</f>
        <v>0.299203448275862</v>
      </c>
      <c r="Q81" s="22" t="s">
        <v>311</v>
      </c>
      <c r="R81" s="16" t="n">
        <v>35465</v>
      </c>
      <c r="S81" s="15" t="s">
        <v>312</v>
      </c>
      <c r="T81" s="23" t="n">
        <f aca="false">I81*I$1*R81</f>
        <v>301658.197</v>
      </c>
      <c r="U81" s="23"/>
      <c r="V81" s="24" t="n">
        <v>77729</v>
      </c>
      <c r="W81" s="24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2.75" hidden="false" customHeight="false" outlineLevel="0" collapsed="false">
      <c r="A82" s="15" t="s">
        <v>263</v>
      </c>
      <c r="B82" s="16" t="s">
        <v>306</v>
      </c>
      <c r="C82" s="16" t="s">
        <v>306</v>
      </c>
      <c r="D82" s="17" t="n">
        <v>36472</v>
      </c>
      <c r="E82" s="17" t="n">
        <v>36473</v>
      </c>
      <c r="F82" s="15" t="s">
        <v>309</v>
      </c>
      <c r="G82" s="15" t="s">
        <v>313</v>
      </c>
      <c r="H82" s="16" t="s">
        <v>1</v>
      </c>
      <c r="I82" s="19" t="n">
        <v>0</v>
      </c>
      <c r="J82" s="20" t="n">
        <v>0.17</v>
      </c>
      <c r="K82" s="20" t="n">
        <v>0.0022</v>
      </c>
      <c r="L82" s="20" t="n">
        <v>0</v>
      </c>
      <c r="M82" s="20" t="n">
        <v>0.0012</v>
      </c>
      <c r="N82" s="20" t="n">
        <f aca="false">+O82*2.43</f>
        <v>0.01701</v>
      </c>
      <c r="O82" s="21" t="n">
        <v>0.007</v>
      </c>
      <c r="P82" s="20" t="n">
        <f aca="false">SUM(I82:N82)</f>
        <v>0.19041</v>
      </c>
      <c r="Q82" s="22" t="s">
        <v>314</v>
      </c>
      <c r="R82" s="16" t="n">
        <v>15000</v>
      </c>
      <c r="S82" s="15" t="s">
        <v>315</v>
      </c>
      <c r="T82" s="23" t="n">
        <f aca="false">I82*I$1*R82</f>
        <v>0</v>
      </c>
      <c r="U82" s="23"/>
      <c r="V82" s="24" t="n">
        <v>77753</v>
      </c>
      <c r="W82" s="24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2.75" hidden="false" customHeight="false" outlineLevel="0" collapsed="false">
      <c r="A83" s="15"/>
      <c r="B83" s="16"/>
      <c r="C83" s="16"/>
      <c r="D83" s="17"/>
      <c r="E83" s="17"/>
      <c r="F83" s="15"/>
      <c r="G83" s="15"/>
      <c r="H83" s="16"/>
      <c r="I83" s="19"/>
      <c r="J83" s="20"/>
      <c r="K83" s="20"/>
      <c r="L83" s="20"/>
      <c r="M83" s="20"/>
      <c r="N83" s="20"/>
      <c r="O83" s="21"/>
      <c r="P83" s="20"/>
      <c r="Q83" s="22"/>
      <c r="R83" s="16"/>
      <c r="S83" s="15"/>
      <c r="T83" s="23" t="n">
        <f aca="false">SUM(T80:T81)</f>
        <v>330526.1061</v>
      </c>
      <c r="U83" s="23" t="n">
        <f aca="false">SUM(U80:U81)</f>
        <v>0</v>
      </c>
      <c r="V83" s="24"/>
      <c r="W83" s="24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2.75" hidden="false" customHeight="false" outlineLevel="0" collapsed="false">
      <c r="A84" s="113" t="s">
        <v>92</v>
      </c>
      <c r="B84" s="114" t="s">
        <v>93</v>
      </c>
      <c r="C84" s="114" t="s">
        <v>94</v>
      </c>
      <c r="D84" s="115" t="s">
        <v>95</v>
      </c>
      <c r="E84" s="115"/>
      <c r="F84" s="113" t="s">
        <v>96</v>
      </c>
      <c r="G84" s="113" t="s">
        <v>97</v>
      </c>
      <c r="H84" s="114" t="s">
        <v>98</v>
      </c>
      <c r="I84" s="116" t="s">
        <v>99</v>
      </c>
      <c r="J84" s="114" t="s">
        <v>100</v>
      </c>
      <c r="K84" s="114" t="s">
        <v>101</v>
      </c>
      <c r="L84" s="114" t="s">
        <v>102</v>
      </c>
      <c r="M84" s="114" t="s">
        <v>103</v>
      </c>
      <c r="N84" s="114" t="s">
        <v>208</v>
      </c>
      <c r="O84" s="117" t="s">
        <v>104</v>
      </c>
      <c r="P84" s="114" t="s">
        <v>105</v>
      </c>
      <c r="Q84" s="118" t="s">
        <v>106</v>
      </c>
      <c r="R84" s="114" t="s">
        <v>107</v>
      </c>
      <c r="S84" s="113" t="s">
        <v>108</v>
      </c>
      <c r="T84" s="119" t="s">
        <v>209</v>
      </c>
      <c r="U84" s="119" t="s">
        <v>210</v>
      </c>
      <c r="V84" s="24"/>
      <c r="W84" s="24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2.75" hidden="false" customHeight="false" outlineLevel="0" collapsed="false">
      <c r="A85" s="15" t="s">
        <v>263</v>
      </c>
      <c r="B85" s="16" t="s">
        <v>41</v>
      </c>
      <c r="C85" s="16" t="s">
        <v>306</v>
      </c>
      <c r="D85" s="17" t="n">
        <v>36466</v>
      </c>
      <c r="E85" s="17" t="n">
        <v>36495</v>
      </c>
      <c r="F85" s="15" t="s">
        <v>316</v>
      </c>
      <c r="G85" s="15" t="s">
        <v>317</v>
      </c>
      <c r="H85" s="16" t="s">
        <v>1</v>
      </c>
      <c r="I85" s="19" t="n">
        <v>0</v>
      </c>
      <c r="J85" s="20" t="n">
        <v>0.15</v>
      </c>
      <c r="K85" s="20" t="n">
        <v>0.0022</v>
      </c>
      <c r="L85" s="20" t="n">
        <v>0</v>
      </c>
      <c r="M85" s="20" t="n">
        <v>0.0012</v>
      </c>
      <c r="N85" s="20" t="n">
        <f aca="false">+O85*2.43</f>
        <v>0.055404</v>
      </c>
      <c r="O85" s="21" t="n">
        <v>0.0228</v>
      </c>
      <c r="P85" s="20" t="n">
        <f aca="false">SUM(I85:N85)</f>
        <v>0.208804</v>
      </c>
      <c r="Q85" s="22" t="s">
        <v>318</v>
      </c>
      <c r="R85" s="16" t="n">
        <v>12000</v>
      </c>
      <c r="S85" s="15" t="s">
        <v>319</v>
      </c>
      <c r="T85" s="23" t="n">
        <f aca="false">I85*I$1*R85</f>
        <v>0</v>
      </c>
      <c r="U85" s="23"/>
      <c r="V85" s="24"/>
      <c r="W85" s="24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.75" hidden="false" customHeight="false" outlineLevel="0" collapsed="false">
      <c r="A86" s="15"/>
      <c r="B86" s="16"/>
      <c r="C86" s="16"/>
      <c r="D86" s="17"/>
      <c r="E86" s="17"/>
      <c r="F86" s="15"/>
      <c r="G86" s="15"/>
      <c r="H86" s="16"/>
      <c r="I86" s="19"/>
      <c r="J86" s="20"/>
      <c r="K86" s="20"/>
      <c r="L86" s="20"/>
      <c r="M86" s="20"/>
      <c r="N86" s="20"/>
      <c r="O86" s="21"/>
      <c r="P86" s="20"/>
      <c r="Q86" s="22"/>
      <c r="R86" s="16"/>
      <c r="S86" s="15"/>
      <c r="T86" s="23" t="n">
        <f aca="false">SUM(T85)</f>
        <v>0</v>
      </c>
      <c r="U86" s="23"/>
      <c r="V86" s="24"/>
      <c r="W86" s="24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customFormat="false" ht="12.75" hidden="false" customHeight="false" outlineLevel="0" collapsed="false">
      <c r="A87" s="113" t="s">
        <v>92</v>
      </c>
      <c r="B87" s="114" t="s">
        <v>93</v>
      </c>
      <c r="C87" s="114" t="s">
        <v>94</v>
      </c>
      <c r="D87" s="115" t="s">
        <v>95</v>
      </c>
      <c r="E87" s="115"/>
      <c r="F87" s="113" t="s">
        <v>96</v>
      </c>
      <c r="G87" s="113" t="s">
        <v>97</v>
      </c>
      <c r="H87" s="114" t="s">
        <v>98</v>
      </c>
      <c r="I87" s="116" t="s">
        <v>99</v>
      </c>
      <c r="J87" s="114" t="s">
        <v>100</v>
      </c>
      <c r="K87" s="114" t="s">
        <v>101</v>
      </c>
      <c r="L87" s="114" t="s">
        <v>102</v>
      </c>
      <c r="M87" s="114" t="s">
        <v>103</v>
      </c>
      <c r="N87" s="114" t="s">
        <v>208</v>
      </c>
      <c r="O87" s="117" t="s">
        <v>104</v>
      </c>
      <c r="P87" s="114" t="s">
        <v>105</v>
      </c>
      <c r="Q87" s="118" t="s">
        <v>106</v>
      </c>
      <c r="R87" s="114" t="s">
        <v>107</v>
      </c>
      <c r="S87" s="113" t="s">
        <v>108</v>
      </c>
      <c r="T87" s="119" t="s">
        <v>209</v>
      </c>
      <c r="U87" s="119" t="s">
        <v>210</v>
      </c>
      <c r="V87" s="24"/>
      <c r="W87" s="24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customFormat="false" ht="12.75" hidden="false" customHeight="false" outlineLevel="0" collapsed="false">
      <c r="A88" s="15" t="s">
        <v>45</v>
      </c>
      <c r="B88" s="16" t="s">
        <v>320</v>
      </c>
      <c r="C88" s="16" t="s">
        <v>282</v>
      </c>
      <c r="D88" s="17" t="n">
        <v>36100</v>
      </c>
      <c r="E88" s="17" t="n">
        <v>39387</v>
      </c>
      <c r="F88" s="15" t="s">
        <v>251</v>
      </c>
      <c r="G88" s="15" t="s">
        <v>317</v>
      </c>
      <c r="H88" s="16" t="s">
        <v>1</v>
      </c>
      <c r="I88" s="20" t="n">
        <f aca="false">6.1038/I$1</f>
        <v>0.210475862068966</v>
      </c>
      <c r="J88" s="20" t="n">
        <v>0.0013</v>
      </c>
      <c r="K88" s="20" t="n">
        <v>0.0022</v>
      </c>
      <c r="L88" s="20" t="n">
        <v>0</v>
      </c>
      <c r="M88" s="20" t="n">
        <v>0</v>
      </c>
      <c r="N88" s="20" t="n">
        <f aca="false">+O88*2.02</f>
        <v>0.0404</v>
      </c>
      <c r="O88" s="21" t="n">
        <v>0.02</v>
      </c>
      <c r="P88" s="20" t="n">
        <f aca="false">SUM(I88:N88)</f>
        <v>0.254375862068966</v>
      </c>
      <c r="Q88" s="22" t="s">
        <v>321</v>
      </c>
      <c r="R88" s="16" t="n">
        <v>117</v>
      </c>
      <c r="S88" s="15" t="s">
        <v>322</v>
      </c>
      <c r="T88" s="125" t="n">
        <f aca="false">I88*I$1*R88</f>
        <v>714.1446</v>
      </c>
      <c r="U88" s="125"/>
      <c r="V88" s="24" t="n">
        <v>79923</v>
      </c>
      <c r="W88" s="24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customFormat="false" ht="12.75" hidden="false" customHeight="false" outlineLevel="0" collapsed="false">
      <c r="A89" s="15" t="s">
        <v>45</v>
      </c>
      <c r="B89" s="16" t="s">
        <v>320</v>
      </c>
      <c r="C89" s="16" t="s">
        <v>282</v>
      </c>
      <c r="D89" s="17" t="n">
        <v>36465</v>
      </c>
      <c r="E89" s="17" t="n">
        <v>36831</v>
      </c>
      <c r="F89" s="15" t="s">
        <v>251</v>
      </c>
      <c r="G89" s="15" t="s">
        <v>317</v>
      </c>
      <c r="H89" s="16" t="s">
        <v>1</v>
      </c>
      <c r="I89" s="20" t="n">
        <f aca="false">6.1038/I$1</f>
        <v>0.210475862068966</v>
      </c>
      <c r="J89" s="20" t="n">
        <v>0.0013</v>
      </c>
      <c r="K89" s="20" t="n">
        <v>0.0022</v>
      </c>
      <c r="L89" s="20" t="n">
        <v>0</v>
      </c>
      <c r="M89" s="20" t="n">
        <v>0</v>
      </c>
      <c r="N89" s="20" t="n">
        <f aca="false">+O89*2.02</f>
        <v>0.0404</v>
      </c>
      <c r="O89" s="21" t="n">
        <v>0.02</v>
      </c>
      <c r="P89" s="20" t="n">
        <f aca="false">SUM(I89:N89)</f>
        <v>0.254375862068966</v>
      </c>
      <c r="Q89" s="22" t="s">
        <v>323</v>
      </c>
      <c r="R89" s="16" t="n">
        <v>9005</v>
      </c>
      <c r="S89" s="15" t="s">
        <v>322</v>
      </c>
      <c r="T89" s="125" t="n">
        <f aca="false">I89*I$1*R89</f>
        <v>54964.719</v>
      </c>
      <c r="U89" s="125"/>
      <c r="V89" s="24"/>
      <c r="W89" s="24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2.75" hidden="false" customHeight="false" outlineLevel="0" collapsed="false">
      <c r="A90" s="15"/>
      <c r="B90" s="16"/>
      <c r="C90" s="16"/>
      <c r="D90" s="17"/>
      <c r="E90" s="17"/>
      <c r="F90" s="15"/>
      <c r="G90" s="15"/>
      <c r="H90" s="16"/>
      <c r="I90" s="19"/>
      <c r="J90" s="20"/>
      <c r="K90" s="20"/>
      <c r="L90" s="20"/>
      <c r="M90" s="20"/>
      <c r="N90" s="20"/>
      <c r="O90" s="21"/>
      <c r="P90" s="20"/>
      <c r="Q90" s="22"/>
      <c r="R90" s="16"/>
      <c r="S90" s="15"/>
      <c r="T90" s="23" t="n">
        <f aca="false">SUM(T88:T89)</f>
        <v>55678.8636</v>
      </c>
      <c r="U90" s="23" t="n">
        <f aca="false">SUM(U88:U89)</f>
        <v>0</v>
      </c>
      <c r="V90" s="24"/>
      <c r="W90" s="24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customFormat="false" ht="12.75" hidden="false" customHeight="false" outlineLevel="0" collapsed="false">
      <c r="A91" s="15"/>
      <c r="B91" s="16"/>
      <c r="C91" s="16"/>
      <c r="D91" s="17"/>
      <c r="E91" s="17"/>
      <c r="F91" s="15"/>
      <c r="G91" s="15"/>
      <c r="H91" s="16"/>
      <c r="I91" s="19"/>
      <c r="J91" s="20"/>
      <c r="K91" s="20"/>
      <c r="L91" s="20"/>
      <c r="M91" s="20"/>
      <c r="N91" s="20"/>
      <c r="O91" s="21"/>
      <c r="P91" s="20"/>
      <c r="Q91" s="22"/>
      <c r="R91" s="16"/>
      <c r="S91" s="15"/>
      <c r="T91" s="23"/>
      <c r="U91" s="23"/>
      <c r="V91" s="24"/>
      <c r="W91" s="24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</row>
    <row r="92" customFormat="false" ht="12.75" hidden="false" customHeight="false" outlineLevel="0" collapsed="false">
      <c r="A92" s="113" t="s">
        <v>92</v>
      </c>
      <c r="B92" s="114" t="s">
        <v>93</v>
      </c>
      <c r="C92" s="114" t="s">
        <v>94</v>
      </c>
      <c r="D92" s="115" t="s">
        <v>95</v>
      </c>
      <c r="E92" s="115"/>
      <c r="F92" s="113" t="s">
        <v>96</v>
      </c>
      <c r="G92" s="113" t="s">
        <v>97</v>
      </c>
      <c r="H92" s="114" t="s">
        <v>98</v>
      </c>
      <c r="I92" s="116" t="s">
        <v>99</v>
      </c>
      <c r="J92" s="114" t="s">
        <v>100</v>
      </c>
      <c r="K92" s="114" t="s">
        <v>101</v>
      </c>
      <c r="L92" s="114" t="s">
        <v>102</v>
      </c>
      <c r="M92" s="114" t="s">
        <v>103</v>
      </c>
      <c r="N92" s="114" t="s">
        <v>208</v>
      </c>
      <c r="O92" s="117" t="s">
        <v>104</v>
      </c>
      <c r="P92" s="114" t="s">
        <v>105</v>
      </c>
      <c r="Q92" s="118" t="s">
        <v>106</v>
      </c>
      <c r="R92" s="114" t="s">
        <v>107</v>
      </c>
      <c r="S92" s="113" t="s">
        <v>108</v>
      </c>
      <c r="T92" s="119" t="s">
        <v>209</v>
      </c>
      <c r="U92" s="119" t="s">
        <v>210</v>
      </c>
      <c r="V92" s="24"/>
      <c r="W92" s="24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</row>
    <row r="93" customFormat="false" ht="12.75" hidden="false" customHeight="false" outlineLevel="0" collapsed="false">
      <c r="A93" s="15" t="s">
        <v>45</v>
      </c>
      <c r="B93" s="16" t="s">
        <v>324</v>
      </c>
      <c r="C93" s="16" t="s">
        <v>282</v>
      </c>
      <c r="D93" s="17" t="n">
        <v>36281</v>
      </c>
      <c r="E93" s="17" t="n">
        <v>36831</v>
      </c>
      <c r="F93" s="15" t="s">
        <v>325</v>
      </c>
      <c r="G93" s="15" t="s">
        <v>223</v>
      </c>
      <c r="H93" s="16" t="s">
        <v>1</v>
      </c>
      <c r="I93" s="20" t="n">
        <v>0.039</v>
      </c>
      <c r="J93" s="20" t="n">
        <v>0.003</v>
      </c>
      <c r="K93" s="20" t="n">
        <v>0.0022</v>
      </c>
      <c r="L93" s="20" t="n">
        <v>0</v>
      </c>
      <c r="M93" s="20" t="n">
        <v>0</v>
      </c>
      <c r="N93" s="20" t="n">
        <f aca="false">+O93*2.02</f>
        <v>0</v>
      </c>
      <c r="O93" s="21" t="n">
        <v>0</v>
      </c>
      <c r="P93" s="20" t="n">
        <f aca="false">SUM(I93:N93)</f>
        <v>0.0442</v>
      </c>
      <c r="Q93" s="22" t="n">
        <v>105431</v>
      </c>
      <c r="R93" s="16" t="n">
        <v>5000</v>
      </c>
      <c r="S93" s="15" t="s">
        <v>326</v>
      </c>
      <c r="T93" s="125" t="n">
        <f aca="false">I93*I$1*R93</f>
        <v>5655</v>
      </c>
      <c r="U93" s="125"/>
      <c r="V93" s="24" t="n">
        <v>93729</v>
      </c>
      <c r="W93" s="24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customFormat="false" ht="12.75" hidden="false" customHeight="false" outlineLevel="0" collapsed="false">
      <c r="A94" s="15"/>
      <c r="B94" s="16"/>
      <c r="C94" s="16"/>
      <c r="D94" s="17"/>
      <c r="E94" s="17"/>
      <c r="F94" s="15"/>
      <c r="G94" s="15"/>
      <c r="H94" s="16"/>
      <c r="I94" s="19"/>
      <c r="J94" s="20"/>
      <c r="K94" s="68"/>
      <c r="L94" s="20"/>
      <c r="M94" s="20"/>
      <c r="N94" s="20"/>
      <c r="O94" s="21"/>
      <c r="P94" s="20"/>
      <c r="Q94" s="22"/>
      <c r="R94" s="16"/>
      <c r="S94" s="16"/>
      <c r="T94" s="132" t="n">
        <f aca="false">SUM(T93)</f>
        <v>5655</v>
      </c>
      <c r="U94" s="132" t="n">
        <f aca="false">SUM(U93)</f>
        <v>0</v>
      </c>
      <c r="V94" s="24"/>
      <c r="W94" s="24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customFormat="false" ht="12.75" hidden="false" customHeight="false" outlineLevel="0" collapsed="false">
      <c r="A95" s="15"/>
      <c r="B95" s="16"/>
      <c r="C95" s="16"/>
      <c r="D95" s="17"/>
      <c r="E95" s="17"/>
      <c r="F95" s="15"/>
      <c r="G95" s="15"/>
      <c r="H95" s="16"/>
      <c r="I95" s="19"/>
      <c r="J95" s="20"/>
      <c r="K95" s="68"/>
      <c r="L95" s="20"/>
      <c r="M95" s="20"/>
      <c r="N95" s="20"/>
      <c r="O95" s="21"/>
      <c r="P95" s="20"/>
      <c r="Q95" s="22"/>
      <c r="R95" s="16"/>
      <c r="S95" s="16"/>
      <c r="T95" s="23"/>
      <c r="U95" s="23"/>
      <c r="V95" s="24"/>
      <c r="W95" s="24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customFormat="false" ht="12.75" hidden="false" customHeight="false" outlineLevel="0" collapsed="false">
      <c r="A96" s="113" t="s">
        <v>92</v>
      </c>
      <c r="B96" s="114" t="s">
        <v>93</v>
      </c>
      <c r="C96" s="114" t="s">
        <v>94</v>
      </c>
      <c r="D96" s="115" t="s">
        <v>95</v>
      </c>
      <c r="E96" s="115"/>
      <c r="F96" s="113" t="s">
        <v>96</v>
      </c>
      <c r="G96" s="113" t="s">
        <v>97</v>
      </c>
      <c r="H96" s="114" t="s">
        <v>98</v>
      </c>
      <c r="I96" s="116" t="s">
        <v>99</v>
      </c>
      <c r="J96" s="114" t="s">
        <v>100</v>
      </c>
      <c r="K96" s="114" t="s">
        <v>101</v>
      </c>
      <c r="L96" s="114" t="s">
        <v>102</v>
      </c>
      <c r="M96" s="114" t="s">
        <v>103</v>
      </c>
      <c r="N96" s="114" t="s">
        <v>208</v>
      </c>
      <c r="O96" s="117" t="s">
        <v>104</v>
      </c>
      <c r="P96" s="114" t="s">
        <v>105</v>
      </c>
      <c r="Q96" s="118" t="s">
        <v>106</v>
      </c>
      <c r="R96" s="114" t="s">
        <v>107</v>
      </c>
      <c r="S96" s="113" t="s">
        <v>108</v>
      </c>
      <c r="T96" s="119" t="s">
        <v>209</v>
      </c>
      <c r="U96" s="119" t="s">
        <v>210</v>
      </c>
      <c r="V96" s="24"/>
      <c r="W96" s="24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customFormat="false" ht="13.5" hidden="false" customHeight="true" outlineLevel="0" collapsed="false">
      <c r="A97" s="15" t="s">
        <v>226</v>
      </c>
      <c r="B97" s="16" t="s">
        <v>327</v>
      </c>
      <c r="C97" s="16" t="s">
        <v>265</v>
      </c>
      <c r="D97" s="17" t="n">
        <v>36526</v>
      </c>
      <c r="E97" s="17" t="n">
        <v>36556</v>
      </c>
      <c r="F97" s="15" t="s">
        <v>250</v>
      </c>
      <c r="G97" s="15" t="s">
        <v>265</v>
      </c>
      <c r="H97" s="16"/>
      <c r="I97" s="19" t="n">
        <v>0.1275</v>
      </c>
      <c r="J97" s="20" t="n">
        <v>0</v>
      </c>
      <c r="K97" s="20" t="n">
        <v>0</v>
      </c>
      <c r="L97" s="20" t="n">
        <v>0</v>
      </c>
      <c r="M97" s="20" t="n">
        <v>0</v>
      </c>
      <c r="N97" s="20" t="n">
        <f aca="false">+O97*2.2</f>
        <v>0.0176</v>
      </c>
      <c r="O97" s="21" t="n">
        <v>0.008</v>
      </c>
      <c r="P97" s="20" t="n">
        <f aca="false">SUM(I97:N97)</f>
        <v>0.1451</v>
      </c>
      <c r="Q97" s="22" t="n">
        <v>6025</v>
      </c>
      <c r="R97" s="16" t="n">
        <v>4581</v>
      </c>
      <c r="S97" s="15"/>
      <c r="T97" s="125" t="n">
        <f aca="false">I97*I$1*R97</f>
        <v>16938.2475</v>
      </c>
      <c r="U97" s="23"/>
      <c r="V97" s="24" t="n">
        <v>145032</v>
      </c>
      <c r="W97" s="24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customFormat="false" ht="12.75" hidden="false" customHeight="false" outlineLevel="0" collapsed="false">
      <c r="A98" s="15" t="s">
        <v>226</v>
      </c>
      <c r="B98" s="16" t="s">
        <v>327</v>
      </c>
      <c r="C98" s="16" t="s">
        <v>265</v>
      </c>
      <c r="D98" s="17" t="n">
        <v>36526</v>
      </c>
      <c r="E98" s="17" t="n">
        <v>36556</v>
      </c>
      <c r="F98" s="15" t="s">
        <v>250</v>
      </c>
      <c r="G98" s="15" t="s">
        <v>265</v>
      </c>
      <c r="H98" s="16"/>
      <c r="I98" s="19" t="n">
        <v>0.1275</v>
      </c>
      <c r="J98" s="20" t="n">
        <v>0</v>
      </c>
      <c r="K98" s="20" t="n">
        <v>0</v>
      </c>
      <c r="L98" s="20" t="n">
        <v>0</v>
      </c>
      <c r="M98" s="20" t="n">
        <v>0</v>
      </c>
      <c r="N98" s="20" t="n">
        <f aca="false">+O98*2.2</f>
        <v>0.0176</v>
      </c>
      <c r="O98" s="21" t="n">
        <v>0.008</v>
      </c>
      <c r="P98" s="20" t="n">
        <f aca="false">SUM(I98:N98)</f>
        <v>0.1451</v>
      </c>
      <c r="Q98" s="22" t="n">
        <v>6041</v>
      </c>
      <c r="R98" s="16" t="n">
        <v>835</v>
      </c>
      <c r="S98" s="15"/>
      <c r="T98" s="125" t="n">
        <f aca="false">I98*I$1*R98</f>
        <v>3087.4125</v>
      </c>
      <c r="U98" s="23"/>
      <c r="V98" s="24" t="n">
        <v>145036</v>
      </c>
      <c r="W98" s="24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customFormat="false" ht="12.75" hidden="false" customHeight="false" outlineLevel="0" collapsed="false">
      <c r="A99" s="15" t="s">
        <v>226</v>
      </c>
      <c r="B99" s="16" t="s">
        <v>327</v>
      </c>
      <c r="C99" s="16" t="s">
        <v>267</v>
      </c>
      <c r="D99" s="17" t="n">
        <v>36526</v>
      </c>
      <c r="E99" s="17" t="n">
        <v>36556</v>
      </c>
      <c r="F99" s="15" t="s">
        <v>250</v>
      </c>
      <c r="G99" s="15" t="s">
        <v>328</v>
      </c>
      <c r="H99" s="16"/>
      <c r="I99" s="19" t="n">
        <v>0.1275</v>
      </c>
      <c r="J99" s="20" t="n">
        <v>0</v>
      </c>
      <c r="K99" s="20" t="n">
        <v>0</v>
      </c>
      <c r="L99" s="20" t="n">
        <v>0</v>
      </c>
      <c r="M99" s="20" t="n">
        <v>0</v>
      </c>
      <c r="N99" s="20" t="n">
        <f aca="false">+O99*2.2</f>
        <v>0.0176</v>
      </c>
      <c r="O99" s="21" t="n">
        <v>0.008</v>
      </c>
      <c r="P99" s="20" t="n">
        <f aca="false">SUM(I99:N99)</f>
        <v>0.1451</v>
      </c>
      <c r="Q99" s="22" t="n">
        <v>6011</v>
      </c>
      <c r="R99" s="16" t="n">
        <v>500</v>
      </c>
      <c r="S99" s="15"/>
      <c r="T99" s="125" t="n">
        <f aca="false">I99*I$1*R99</f>
        <v>1848.75</v>
      </c>
      <c r="U99" s="23"/>
      <c r="V99" s="24" t="n">
        <v>145040</v>
      </c>
      <c r="W99" s="24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customFormat="false" ht="12.75" hidden="false" customHeight="false" outlineLevel="0" collapsed="false">
      <c r="A100" s="15" t="s">
        <v>226</v>
      </c>
      <c r="B100" s="16" t="s">
        <v>327</v>
      </c>
      <c r="C100" s="16" t="s">
        <v>269</v>
      </c>
      <c r="D100" s="17" t="n">
        <v>36526</v>
      </c>
      <c r="E100" s="17" t="n">
        <v>36556</v>
      </c>
      <c r="F100" s="15" t="s">
        <v>250</v>
      </c>
      <c r="G100" s="15" t="s">
        <v>269</v>
      </c>
      <c r="H100" s="16"/>
      <c r="I100" s="19" t="n">
        <v>0.1275</v>
      </c>
      <c r="J100" s="20" t="n">
        <v>0</v>
      </c>
      <c r="K100" s="20" t="n">
        <v>0</v>
      </c>
      <c r="L100" s="20" t="n">
        <v>0</v>
      </c>
      <c r="M100" s="20" t="n">
        <v>0</v>
      </c>
      <c r="N100" s="20" t="n">
        <f aca="false">+O100*2.2</f>
        <v>0.0176</v>
      </c>
      <c r="O100" s="21" t="n">
        <v>0.008</v>
      </c>
      <c r="P100" s="20" t="n">
        <f aca="false">SUM(I100:N100)</f>
        <v>0.1451</v>
      </c>
      <c r="Q100" s="22" t="n">
        <v>6500</v>
      </c>
      <c r="R100" s="16" t="n">
        <v>359</v>
      </c>
      <c r="S100" s="15"/>
      <c r="T100" s="125" t="n">
        <f aca="false">I100*I$1*R100</f>
        <v>1327.4025</v>
      </c>
      <c r="U100" s="23"/>
      <c r="V100" s="24" t="n">
        <v>145042</v>
      </c>
      <c r="W100" s="24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customFormat="false" ht="12.75" hidden="false" customHeight="false" outlineLevel="0" collapsed="false">
      <c r="A101" s="15" t="s">
        <v>226</v>
      </c>
      <c r="B101" s="16" t="s">
        <v>327</v>
      </c>
      <c r="C101" s="16" t="s">
        <v>271</v>
      </c>
      <c r="D101" s="17" t="n">
        <v>36526</v>
      </c>
      <c r="E101" s="17" t="n">
        <v>36556</v>
      </c>
      <c r="F101" s="15" t="s">
        <v>250</v>
      </c>
      <c r="G101" s="15" t="s">
        <v>269</v>
      </c>
      <c r="H101" s="16"/>
      <c r="I101" s="19" t="n">
        <v>0.1275</v>
      </c>
      <c r="J101" s="20" t="n">
        <v>0</v>
      </c>
      <c r="K101" s="20" t="n">
        <v>0</v>
      </c>
      <c r="L101" s="20" t="n">
        <v>0</v>
      </c>
      <c r="M101" s="20" t="n">
        <v>0</v>
      </c>
      <c r="N101" s="20" t="n">
        <f aca="false">+O101*2.2</f>
        <v>0.0176</v>
      </c>
      <c r="O101" s="21" t="n">
        <v>0.008</v>
      </c>
      <c r="P101" s="20" t="n">
        <f aca="false">SUM(I101:N101)</f>
        <v>0.1451</v>
      </c>
      <c r="Q101" s="22" t="n">
        <v>6005</v>
      </c>
      <c r="R101" s="16" t="n">
        <v>1690</v>
      </c>
      <c r="S101" s="15"/>
      <c r="T101" s="125" t="n">
        <f aca="false">I101*I$1*R101</f>
        <v>6248.775</v>
      </c>
      <c r="U101" s="23"/>
      <c r="V101" s="24" t="n">
        <v>144644</v>
      </c>
      <c r="W101" s="24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customFormat="false" ht="12.75" hidden="false" customHeight="false" outlineLevel="0" collapsed="false">
      <c r="A102" s="15" t="s">
        <v>226</v>
      </c>
      <c r="B102" s="16" t="s">
        <v>327</v>
      </c>
      <c r="C102" s="16" t="s">
        <v>271</v>
      </c>
      <c r="D102" s="17" t="n">
        <v>36526</v>
      </c>
      <c r="E102" s="17" t="n">
        <v>36556</v>
      </c>
      <c r="F102" s="15" t="s">
        <v>250</v>
      </c>
      <c r="G102" s="15" t="s">
        <v>269</v>
      </c>
      <c r="H102" s="16"/>
      <c r="I102" s="19" t="n">
        <v>0.1275</v>
      </c>
      <c r="J102" s="20" t="n">
        <v>0</v>
      </c>
      <c r="K102" s="20" t="n">
        <v>0</v>
      </c>
      <c r="L102" s="20" t="n">
        <v>0</v>
      </c>
      <c r="M102" s="20" t="n">
        <v>0</v>
      </c>
      <c r="N102" s="20" t="n">
        <f aca="false">+O102*2.2</f>
        <v>0.0176</v>
      </c>
      <c r="O102" s="21" t="n">
        <v>0.008</v>
      </c>
      <c r="P102" s="20" t="n">
        <f aca="false">SUM(I102:N102)</f>
        <v>0.1451</v>
      </c>
      <c r="Q102" s="22" t="n">
        <v>6047</v>
      </c>
      <c r="R102" s="16" t="n">
        <v>1758</v>
      </c>
      <c r="S102" s="15"/>
      <c r="T102" s="125" t="n">
        <f aca="false">I102*I$1*R102</f>
        <v>6500.205</v>
      </c>
      <c r="U102" s="23"/>
      <c r="V102" s="24" t="n">
        <v>145016</v>
      </c>
      <c r="W102" s="24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2.75" hidden="false" customHeight="false" outlineLevel="0" collapsed="false">
      <c r="A103" s="15" t="s">
        <v>226</v>
      </c>
      <c r="B103" s="16" t="s">
        <v>327</v>
      </c>
      <c r="C103" s="16" t="s">
        <v>271</v>
      </c>
      <c r="D103" s="17" t="n">
        <v>36526</v>
      </c>
      <c r="E103" s="17" t="n">
        <v>36556</v>
      </c>
      <c r="F103" s="15" t="s">
        <v>250</v>
      </c>
      <c r="G103" s="15" t="s">
        <v>269</v>
      </c>
      <c r="H103" s="16"/>
      <c r="I103" s="19" t="n">
        <v>0.1275</v>
      </c>
      <c r="J103" s="20" t="n">
        <v>0</v>
      </c>
      <c r="K103" s="20" t="n">
        <v>0</v>
      </c>
      <c r="L103" s="20" t="n">
        <v>0</v>
      </c>
      <c r="M103" s="20" t="n">
        <v>0</v>
      </c>
      <c r="N103" s="20" t="n">
        <f aca="false">+O103*2.2</f>
        <v>0.0176</v>
      </c>
      <c r="O103" s="21" t="n">
        <v>0.008</v>
      </c>
      <c r="P103" s="20" t="n">
        <f aca="false">SUM(I103:N103)</f>
        <v>0.1451</v>
      </c>
      <c r="Q103" s="22" t="n">
        <v>6048</v>
      </c>
      <c r="R103" s="16" t="n">
        <v>2500</v>
      </c>
      <c r="S103" s="15"/>
      <c r="T103" s="125" t="n">
        <f aca="false">I103*I$1*R103</f>
        <v>9243.75</v>
      </c>
      <c r="U103" s="23"/>
      <c r="V103" s="24" t="n">
        <v>145019</v>
      </c>
      <c r="W103" s="24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customFormat="false" ht="12.75" hidden="false" customHeight="false" outlineLevel="0" collapsed="false">
      <c r="A104" s="15" t="s">
        <v>226</v>
      </c>
      <c r="B104" s="16" t="s">
        <v>327</v>
      </c>
      <c r="C104" s="16" t="s">
        <v>271</v>
      </c>
      <c r="D104" s="17" t="n">
        <v>36526</v>
      </c>
      <c r="E104" s="17" t="n">
        <v>36556</v>
      </c>
      <c r="F104" s="15" t="s">
        <v>250</v>
      </c>
      <c r="G104" s="15" t="s">
        <v>269</v>
      </c>
      <c r="H104" s="16"/>
      <c r="I104" s="19" t="n">
        <v>0.1275</v>
      </c>
      <c r="J104" s="20" t="n">
        <v>0</v>
      </c>
      <c r="K104" s="20" t="n">
        <v>0</v>
      </c>
      <c r="L104" s="20" t="n">
        <v>0</v>
      </c>
      <c r="M104" s="20" t="n">
        <v>0</v>
      </c>
      <c r="N104" s="20" t="n">
        <f aca="false">+O104*2.2</f>
        <v>0.0176</v>
      </c>
      <c r="O104" s="21" t="n">
        <v>0.008</v>
      </c>
      <c r="P104" s="20" t="n">
        <f aca="false">SUM(I104:N104)</f>
        <v>0.1451</v>
      </c>
      <c r="Q104" s="22" t="n">
        <v>6049</v>
      </c>
      <c r="R104" s="16" t="n">
        <v>12000</v>
      </c>
      <c r="S104" s="15"/>
      <c r="T104" s="125" t="n">
        <f aca="false">I104*I$1*R104</f>
        <v>44370</v>
      </c>
      <c r="U104" s="23"/>
      <c r="V104" s="24" t="n">
        <v>145020</v>
      </c>
      <c r="W104" s="24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customFormat="false" ht="12.75" hidden="false" customHeight="false" outlineLevel="0" collapsed="false">
      <c r="A105" s="15" t="s">
        <v>226</v>
      </c>
      <c r="B105" s="16" t="s">
        <v>327</v>
      </c>
      <c r="C105" s="16" t="s">
        <v>271</v>
      </c>
      <c r="D105" s="17" t="n">
        <v>36526</v>
      </c>
      <c r="E105" s="17" t="n">
        <v>36556</v>
      </c>
      <c r="F105" s="15" t="s">
        <v>250</v>
      </c>
      <c r="G105" s="15" t="s">
        <v>269</v>
      </c>
      <c r="H105" s="16"/>
      <c r="I105" s="19" t="n">
        <v>0.1275</v>
      </c>
      <c r="J105" s="20" t="n">
        <v>0</v>
      </c>
      <c r="K105" s="20" t="n">
        <v>0</v>
      </c>
      <c r="L105" s="20" t="n">
        <v>0</v>
      </c>
      <c r="M105" s="20" t="n">
        <v>0</v>
      </c>
      <c r="N105" s="20" t="n">
        <f aca="false">+O105*2.2</f>
        <v>0.0176</v>
      </c>
      <c r="O105" s="21" t="n">
        <v>0.008</v>
      </c>
      <c r="P105" s="20" t="n">
        <f aca="false">SUM(I105:N105)</f>
        <v>0.1451</v>
      </c>
      <c r="Q105" s="22" t="n">
        <v>6050</v>
      </c>
      <c r="R105" s="16" t="n">
        <v>1745</v>
      </c>
      <c r="S105" s="15"/>
      <c r="T105" s="125" t="n">
        <f aca="false">I105*I$1*R105</f>
        <v>6452.1375</v>
      </c>
      <c r="U105" s="23"/>
      <c r="V105" s="24" t="n">
        <v>145025</v>
      </c>
      <c r="W105" s="24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12.75" hidden="false" customHeight="false" outlineLevel="0" collapsed="false">
      <c r="A106" s="15" t="s">
        <v>226</v>
      </c>
      <c r="B106" s="16" t="s">
        <v>327</v>
      </c>
      <c r="C106" s="16" t="s">
        <v>271</v>
      </c>
      <c r="D106" s="17" t="n">
        <v>36526</v>
      </c>
      <c r="E106" s="17" t="n">
        <v>36556</v>
      </c>
      <c r="F106" s="15" t="s">
        <v>250</v>
      </c>
      <c r="G106" s="15" t="s">
        <v>269</v>
      </c>
      <c r="H106" s="16"/>
      <c r="I106" s="19" t="n">
        <v>0.1275</v>
      </c>
      <c r="J106" s="20" t="n">
        <v>0</v>
      </c>
      <c r="K106" s="20" t="n">
        <v>0</v>
      </c>
      <c r="L106" s="20" t="n">
        <v>0</v>
      </c>
      <c r="M106" s="20" t="n">
        <v>0</v>
      </c>
      <c r="N106" s="20" t="n">
        <f aca="false">+O106*2.2</f>
        <v>0.0176</v>
      </c>
      <c r="O106" s="21" t="n">
        <v>0.008</v>
      </c>
      <c r="P106" s="20" t="n">
        <f aca="false">SUM(I106:N106)</f>
        <v>0.1451</v>
      </c>
      <c r="Q106" s="22" t="n">
        <v>6051</v>
      </c>
      <c r="R106" s="16" t="n">
        <v>2800</v>
      </c>
      <c r="S106" s="15"/>
      <c r="T106" s="125" t="n">
        <f aca="false">I106*I$1*R106</f>
        <v>10353</v>
      </c>
      <c r="U106" s="23"/>
      <c r="V106" s="24" t="n">
        <v>145028</v>
      </c>
      <c r="W106" s="24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customFormat="false" ht="12.75" hidden="false" customHeight="false" outlineLevel="0" collapsed="false">
      <c r="A107" s="15" t="s">
        <v>226</v>
      </c>
      <c r="B107" s="16" t="s">
        <v>327</v>
      </c>
      <c r="C107" s="16" t="s">
        <v>271</v>
      </c>
      <c r="D107" s="17" t="n">
        <v>36526</v>
      </c>
      <c r="E107" s="17" t="n">
        <v>36556</v>
      </c>
      <c r="F107" s="15" t="s">
        <v>250</v>
      </c>
      <c r="G107" s="15" t="s">
        <v>269</v>
      </c>
      <c r="H107" s="16"/>
      <c r="I107" s="19" t="n">
        <v>0.1275</v>
      </c>
      <c r="J107" s="20" t="n">
        <v>0</v>
      </c>
      <c r="K107" s="20" t="n">
        <v>0</v>
      </c>
      <c r="L107" s="20" t="n">
        <v>0</v>
      </c>
      <c r="M107" s="20" t="n">
        <v>0</v>
      </c>
      <c r="N107" s="20" t="n">
        <f aca="false">+O107*2.2</f>
        <v>0.0176</v>
      </c>
      <c r="O107" s="21" t="n">
        <v>0.008</v>
      </c>
      <c r="P107" s="20" t="n">
        <f aca="false">SUM(I107:N107)</f>
        <v>0.1451</v>
      </c>
      <c r="Q107" s="22" t="n">
        <v>6052</v>
      </c>
      <c r="R107" s="16" t="n">
        <v>1241</v>
      </c>
      <c r="S107" s="15"/>
      <c r="T107" s="125" t="n">
        <f aca="false">I107*I$1*R107</f>
        <v>4588.5975</v>
      </c>
      <c r="U107" s="23"/>
      <c r="V107" s="24" t="n">
        <v>145029</v>
      </c>
      <c r="W107" s="24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customFormat="false" ht="12.75" hidden="false" customHeight="false" outlineLevel="0" collapsed="false">
      <c r="A108" s="15" t="s">
        <v>226</v>
      </c>
      <c r="B108" s="16" t="s">
        <v>327</v>
      </c>
      <c r="C108" s="16" t="s">
        <v>271</v>
      </c>
      <c r="D108" s="17" t="n">
        <v>36526</v>
      </c>
      <c r="E108" s="17" t="n">
        <v>36556</v>
      </c>
      <c r="F108" s="15" t="s">
        <v>250</v>
      </c>
      <c r="G108" s="15" t="s">
        <v>269</v>
      </c>
      <c r="H108" s="16"/>
      <c r="I108" s="19" t="n">
        <v>0.1275</v>
      </c>
      <c r="J108" s="20" t="n">
        <v>0</v>
      </c>
      <c r="K108" s="20" t="n">
        <v>0</v>
      </c>
      <c r="L108" s="20" t="n">
        <v>0</v>
      </c>
      <c r="M108" s="20" t="n">
        <v>0</v>
      </c>
      <c r="N108" s="20" t="n">
        <f aca="false">+O108*2.2</f>
        <v>0.0176</v>
      </c>
      <c r="O108" s="21" t="n">
        <v>0.008</v>
      </c>
      <c r="P108" s="20" t="n">
        <f aca="false">SUM(I108:N108)</f>
        <v>0.1451</v>
      </c>
      <c r="Q108" s="22" t="n">
        <v>6053</v>
      </c>
      <c r="R108" s="16" t="n">
        <v>2500</v>
      </c>
      <c r="S108" s="15"/>
      <c r="T108" s="125" t="n">
        <f aca="false">I108*I$1*R108</f>
        <v>9243.75</v>
      </c>
      <c r="U108" s="23"/>
      <c r="V108" s="24" t="n">
        <v>145030</v>
      </c>
      <c r="W108" s="24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customFormat="false" ht="12.75" hidden="false" customHeight="false" outlineLevel="0" collapsed="false">
      <c r="A109" s="15" t="s">
        <v>226</v>
      </c>
      <c r="B109" s="16" t="s">
        <v>327</v>
      </c>
      <c r="C109" s="16" t="s">
        <v>272</v>
      </c>
      <c r="D109" s="17" t="n">
        <v>36526</v>
      </c>
      <c r="E109" s="17" t="n">
        <v>36556</v>
      </c>
      <c r="F109" s="15" t="s">
        <v>250</v>
      </c>
      <c r="G109" s="15" t="s">
        <v>272</v>
      </c>
      <c r="H109" s="16"/>
      <c r="I109" s="19" t="n">
        <v>0.1275</v>
      </c>
      <c r="J109" s="20" t="n">
        <v>0</v>
      </c>
      <c r="K109" s="20" t="n">
        <v>0</v>
      </c>
      <c r="L109" s="20" t="n">
        <v>0</v>
      </c>
      <c r="M109" s="20" t="n">
        <v>0</v>
      </c>
      <c r="N109" s="20" t="n">
        <f aca="false">+O109*2.2</f>
        <v>0.0176</v>
      </c>
      <c r="O109" s="21" t="n">
        <v>0.008</v>
      </c>
      <c r="P109" s="20" t="n">
        <f aca="false">SUM(I109:N109)</f>
        <v>0.1451</v>
      </c>
      <c r="Q109" s="22" t="n">
        <v>6009</v>
      </c>
      <c r="R109" s="16" t="n">
        <v>5281</v>
      </c>
      <c r="S109" s="15"/>
      <c r="T109" s="125" t="n">
        <f aca="false">I109*I$1*R109</f>
        <v>19526.4975</v>
      </c>
      <c r="U109" s="23"/>
      <c r="V109" s="24" t="n">
        <v>145645</v>
      </c>
      <c r="W109" s="24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customFormat="false" ht="12.75" hidden="false" customHeight="false" outlineLevel="0" collapsed="false">
      <c r="A110" s="15" t="s">
        <v>226</v>
      </c>
      <c r="B110" s="16" t="s">
        <v>327</v>
      </c>
      <c r="C110" s="16" t="s">
        <v>272</v>
      </c>
      <c r="D110" s="17" t="n">
        <v>36526</v>
      </c>
      <c r="E110" s="17" t="n">
        <v>36556</v>
      </c>
      <c r="F110" s="15" t="s">
        <v>250</v>
      </c>
      <c r="G110" s="15" t="s">
        <v>272</v>
      </c>
      <c r="H110" s="16"/>
      <c r="I110" s="19" t="n">
        <v>0.1275</v>
      </c>
      <c r="J110" s="20" t="n">
        <v>0</v>
      </c>
      <c r="K110" s="20" t="n">
        <v>0</v>
      </c>
      <c r="L110" s="20" t="n">
        <v>0</v>
      </c>
      <c r="M110" s="20" t="n">
        <v>0</v>
      </c>
      <c r="N110" s="20" t="n">
        <f aca="false">+O110*2.2</f>
        <v>0.0176</v>
      </c>
      <c r="O110" s="21" t="n">
        <v>0.008</v>
      </c>
      <c r="P110" s="20" t="n">
        <f aca="false">SUM(I110:N110)</f>
        <v>0.1451</v>
      </c>
      <c r="Q110" s="22" t="n">
        <v>6055</v>
      </c>
      <c r="R110" s="16" t="n">
        <v>23254</v>
      </c>
      <c r="S110" s="15"/>
      <c r="T110" s="125" t="n">
        <f aca="false">I110*I$1*R110</f>
        <v>85981.665</v>
      </c>
      <c r="U110" s="23"/>
      <c r="V110" s="24" t="n">
        <v>145048</v>
      </c>
      <c r="W110" s="24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customFormat="false" ht="12.75" hidden="false" customHeight="false" outlineLevel="0" collapsed="false">
      <c r="A111" s="15" t="s">
        <v>226</v>
      </c>
      <c r="B111" s="16" t="s">
        <v>327</v>
      </c>
      <c r="C111" s="16" t="s">
        <v>272</v>
      </c>
      <c r="D111" s="17" t="n">
        <v>36526</v>
      </c>
      <c r="E111" s="17" t="n">
        <v>36556</v>
      </c>
      <c r="F111" s="15" t="s">
        <v>250</v>
      </c>
      <c r="G111" s="15" t="s">
        <v>272</v>
      </c>
      <c r="H111" s="16"/>
      <c r="I111" s="19" t="n">
        <v>0.1275</v>
      </c>
      <c r="J111" s="20" t="n">
        <v>0</v>
      </c>
      <c r="K111" s="20" t="n">
        <v>0</v>
      </c>
      <c r="L111" s="20" t="n">
        <v>0</v>
      </c>
      <c r="M111" s="20" t="n">
        <v>0</v>
      </c>
      <c r="N111" s="20" t="n">
        <f aca="false">+O111*2.2</f>
        <v>0.0176</v>
      </c>
      <c r="O111" s="21" t="n">
        <v>0.008</v>
      </c>
      <c r="P111" s="20" t="n">
        <f aca="false">SUM(I111:N111)</f>
        <v>0.1451</v>
      </c>
      <c r="Q111" s="22" t="n">
        <v>6056</v>
      </c>
      <c r="R111" s="16" t="n">
        <v>10000</v>
      </c>
      <c r="S111" s="15"/>
      <c r="T111" s="125" t="n">
        <f aca="false">I111*I$1*R111</f>
        <v>36975</v>
      </c>
      <c r="U111" s="23"/>
      <c r="V111" s="24" t="n">
        <v>145049</v>
      </c>
      <c r="W111" s="24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customFormat="false" ht="12.75" hidden="false" customHeight="false" outlineLevel="0" collapsed="false">
      <c r="A112" s="15" t="s">
        <v>226</v>
      </c>
      <c r="B112" s="16" t="s">
        <v>327</v>
      </c>
      <c r="C112" s="16" t="s">
        <v>272</v>
      </c>
      <c r="D112" s="17" t="n">
        <v>36526</v>
      </c>
      <c r="E112" s="17" t="n">
        <v>36556</v>
      </c>
      <c r="F112" s="15" t="s">
        <v>250</v>
      </c>
      <c r="G112" s="15" t="s">
        <v>272</v>
      </c>
      <c r="H112" s="16"/>
      <c r="I112" s="19" t="n">
        <v>0.1275</v>
      </c>
      <c r="J112" s="20" t="n">
        <v>0</v>
      </c>
      <c r="K112" s="20" t="n">
        <v>0</v>
      </c>
      <c r="L112" s="20" t="n">
        <v>0</v>
      </c>
      <c r="M112" s="20" t="n">
        <v>0</v>
      </c>
      <c r="N112" s="20" t="n">
        <f aca="false">+O112*2.2</f>
        <v>0.0176</v>
      </c>
      <c r="O112" s="21" t="n">
        <v>0.008</v>
      </c>
      <c r="P112" s="20" t="n">
        <f aca="false">SUM(I112:N112)</f>
        <v>0.1451</v>
      </c>
      <c r="Q112" s="22" t="n">
        <v>6063</v>
      </c>
      <c r="R112" s="16" t="n">
        <v>5000</v>
      </c>
      <c r="S112" s="15"/>
      <c r="T112" s="125" t="n">
        <f aca="false">I112*I$1*R112</f>
        <v>18487.5</v>
      </c>
      <c r="U112" s="23"/>
      <c r="V112" s="24" t="n">
        <v>145050</v>
      </c>
      <c r="W112" s="24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customFormat="false" ht="12.75" hidden="false" customHeight="false" outlineLevel="0" collapsed="false">
      <c r="A113" s="15" t="s">
        <v>226</v>
      </c>
      <c r="B113" s="16" t="s">
        <v>327</v>
      </c>
      <c r="C113" s="16" t="s">
        <v>273</v>
      </c>
      <c r="D113" s="17" t="n">
        <v>36526</v>
      </c>
      <c r="E113" s="17" t="n">
        <v>36556</v>
      </c>
      <c r="F113" s="15" t="s">
        <v>250</v>
      </c>
      <c r="G113" s="15" t="s">
        <v>265</v>
      </c>
      <c r="H113" s="16"/>
      <c r="I113" s="19" t="n">
        <v>0.1275</v>
      </c>
      <c r="J113" s="20" t="n">
        <v>0</v>
      </c>
      <c r="K113" s="20" t="n">
        <v>0</v>
      </c>
      <c r="L113" s="20" t="n">
        <v>0</v>
      </c>
      <c r="M113" s="20" t="n">
        <v>0</v>
      </c>
      <c r="N113" s="20" t="n">
        <f aca="false">+O113*2.2</f>
        <v>0.0176</v>
      </c>
      <c r="O113" s="21" t="n">
        <v>0.008</v>
      </c>
      <c r="P113" s="20" t="n">
        <f aca="false">SUM(I113:N113)</f>
        <v>0.1451</v>
      </c>
      <c r="Q113" s="22" t="n">
        <v>6056</v>
      </c>
      <c r="R113" s="16"/>
      <c r="S113" s="15"/>
      <c r="T113" s="23"/>
      <c r="U113" s="23"/>
      <c r="V113" s="24"/>
      <c r="W113" s="24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customFormat="false" ht="12.75" hidden="false" customHeight="false" outlineLevel="0" collapsed="false">
      <c r="A114" s="15"/>
      <c r="B114" s="16"/>
      <c r="C114" s="16"/>
      <c r="D114" s="17"/>
      <c r="E114" s="17"/>
      <c r="F114" s="15"/>
      <c r="G114" s="15"/>
      <c r="H114" s="16"/>
      <c r="I114" s="19"/>
      <c r="J114" s="20"/>
      <c r="K114" s="68"/>
      <c r="L114" s="20"/>
      <c r="M114" s="20"/>
      <c r="N114" s="20"/>
      <c r="O114" s="21"/>
      <c r="P114" s="20"/>
      <c r="Q114" s="22"/>
      <c r="R114" s="16"/>
      <c r="S114" s="16"/>
      <c r="T114" s="23"/>
      <c r="U114" s="23"/>
      <c r="V114" s="24"/>
      <c r="W114" s="24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customFormat="false" ht="12.75" hidden="false" customHeight="false" outlineLevel="0" collapsed="false">
      <c r="A115" s="15"/>
      <c r="B115" s="16"/>
      <c r="C115" s="16"/>
      <c r="D115" s="17"/>
      <c r="E115" s="17"/>
      <c r="F115" s="15"/>
      <c r="G115" s="15"/>
      <c r="H115" s="16"/>
      <c r="I115" s="19"/>
      <c r="J115" s="20"/>
      <c r="K115" s="68"/>
      <c r="L115" s="20"/>
      <c r="M115" s="20"/>
      <c r="N115" s="20"/>
      <c r="O115" s="21"/>
      <c r="P115" s="20"/>
      <c r="Q115" s="22"/>
      <c r="R115" s="16"/>
      <c r="S115" s="16"/>
      <c r="T115" s="23" t="n">
        <f aca="false">SUM(T97:T114)</f>
        <v>281172.69</v>
      </c>
      <c r="U115" s="23"/>
      <c r="V115" s="24"/>
      <c r="W115" s="24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customFormat="false" ht="12.75" hidden="false" customHeight="false" outlineLevel="0" collapsed="false">
      <c r="A116" s="15"/>
      <c r="B116" s="16"/>
      <c r="C116" s="16"/>
      <c r="D116" s="17"/>
      <c r="E116" s="17"/>
      <c r="F116" s="15"/>
      <c r="G116" s="15"/>
      <c r="H116" s="16"/>
      <c r="I116" s="19"/>
      <c r="J116" s="20"/>
      <c r="K116" s="68"/>
      <c r="L116" s="20"/>
      <c r="M116" s="20"/>
      <c r="N116" s="20"/>
      <c r="O116" s="21"/>
      <c r="P116" s="20"/>
      <c r="Q116" s="22"/>
      <c r="R116" s="16"/>
      <c r="S116" s="16"/>
      <c r="T116" s="23"/>
      <c r="U116" s="23"/>
      <c r="V116" s="24"/>
      <c r="W116" s="24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</row>
    <row r="117" customFormat="false" ht="12.75" hidden="false" customHeight="false" outlineLevel="0" collapsed="false">
      <c r="A117" s="15"/>
      <c r="B117" s="16"/>
      <c r="C117" s="16"/>
      <c r="D117" s="17"/>
      <c r="E117" s="17"/>
      <c r="F117" s="15"/>
      <c r="G117" s="15"/>
      <c r="H117" s="16"/>
      <c r="I117" s="19"/>
      <c r="J117" s="20"/>
      <c r="K117" s="68"/>
      <c r="L117" s="20"/>
      <c r="M117" s="20"/>
      <c r="N117" s="20"/>
      <c r="O117" s="21"/>
      <c r="P117" s="20"/>
      <c r="Q117" s="22"/>
      <c r="R117" s="16"/>
      <c r="S117" s="16"/>
      <c r="T117" s="23"/>
      <c r="U117" s="23"/>
      <c r="V117" s="24"/>
      <c r="W117" s="24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customFormat="false" ht="12.75" hidden="false" customHeight="false" outlineLevel="0" collapsed="false">
      <c r="A118" s="15"/>
      <c r="B118" s="16"/>
      <c r="C118" s="16"/>
      <c r="D118" s="17"/>
      <c r="E118" s="17"/>
      <c r="F118" s="15"/>
      <c r="G118" s="15"/>
      <c r="H118" s="16"/>
      <c r="I118" s="19"/>
      <c r="J118" s="20"/>
      <c r="K118" s="68"/>
      <c r="L118" s="20"/>
      <c r="M118" s="20"/>
      <c r="N118" s="20"/>
      <c r="O118" s="15"/>
      <c r="P118" s="20"/>
      <c r="Q118" s="22"/>
      <c r="R118" s="16"/>
      <c r="S118" s="16"/>
      <c r="T118" s="1"/>
      <c r="U118" s="1"/>
      <c r="V118" s="36"/>
      <c r="W118" s="36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customFormat="false" ht="12.75" hidden="false" customHeight="false" outlineLevel="0" collapsed="false">
      <c r="A119" s="15"/>
      <c r="B119" s="16"/>
      <c r="C119" s="16"/>
      <c r="D119" s="17" t="s">
        <v>1</v>
      </c>
      <c r="E119" s="17"/>
      <c r="F119" s="15"/>
      <c r="G119" s="15"/>
      <c r="H119" s="16"/>
      <c r="I119" s="19"/>
      <c r="J119" s="20"/>
      <c r="K119" s="68"/>
      <c r="L119" s="20"/>
      <c r="M119" s="20"/>
      <c r="N119" s="20"/>
      <c r="O119" s="21"/>
      <c r="P119" s="20"/>
      <c r="Q119" s="22"/>
      <c r="R119" s="15" t="s">
        <v>188</v>
      </c>
      <c r="S119" s="1"/>
      <c r="T119" s="23" t="n">
        <v>0</v>
      </c>
      <c r="U119" s="23" t="n">
        <v>0</v>
      </c>
      <c r="V119" s="36"/>
      <c r="W119" s="36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</row>
    <row r="120" customFormat="false" ht="12.75" hidden="false" customHeight="false" outlineLevel="0" collapsed="false">
      <c r="A120" s="4"/>
      <c r="B120" s="16"/>
      <c r="C120" s="16"/>
      <c r="D120" s="17"/>
      <c r="E120" s="17"/>
      <c r="F120" s="15"/>
      <c r="G120" s="15"/>
      <c r="H120" s="16"/>
      <c r="I120" s="19"/>
      <c r="J120" s="20"/>
      <c r="K120" s="20"/>
      <c r="L120" s="20"/>
      <c r="M120" s="20"/>
      <c r="N120" s="20"/>
      <c r="O120" s="21"/>
      <c r="P120" s="20"/>
      <c r="Q120" s="22"/>
      <c r="R120" s="15" t="s">
        <v>329</v>
      </c>
      <c r="S120" s="1"/>
      <c r="T120" s="23" t="n">
        <f aca="false">+SUM(T97:T112)+SUM(T36:T52)</f>
        <v>769495.5468</v>
      </c>
      <c r="U120" s="23" t="n">
        <v>0</v>
      </c>
      <c r="V120" s="36"/>
      <c r="W120" s="36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customFormat="false" ht="12.75" hidden="false" customHeight="false" outlineLevel="0" collapsed="false">
      <c r="A121" s="4"/>
      <c r="B121" s="16"/>
      <c r="C121" s="16"/>
      <c r="D121" s="17"/>
      <c r="E121" s="17"/>
      <c r="F121" s="15"/>
      <c r="G121" s="15"/>
      <c r="H121" s="16"/>
      <c r="I121" s="20"/>
      <c r="J121" s="20"/>
      <c r="K121" s="20"/>
      <c r="L121" s="20"/>
      <c r="M121" s="20"/>
      <c r="N121" s="20"/>
      <c r="O121" s="21"/>
      <c r="P121" s="20"/>
      <c r="Q121" s="22"/>
      <c r="R121" s="15" t="s">
        <v>330</v>
      </c>
      <c r="S121" s="1"/>
      <c r="T121" s="23" t="n">
        <f aca="false">SUM('IT &amp; Pooling'!U35)</f>
        <v>0</v>
      </c>
      <c r="U121" s="23" t="n">
        <f aca="false">SUM('IT &amp; Pooling'!U35)</f>
        <v>0</v>
      </c>
      <c r="V121" s="36"/>
      <c r="W121" s="36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customFormat="false" ht="12.75" hidden="false" customHeight="false" outlineLevel="0" collapsed="false">
      <c r="A122" s="4"/>
      <c r="B122" s="16"/>
      <c r="C122" s="16"/>
      <c r="D122" s="17"/>
      <c r="E122" s="17"/>
      <c r="F122" s="15"/>
      <c r="G122" s="15"/>
      <c r="H122" s="16"/>
      <c r="I122" s="19"/>
      <c r="J122" s="20"/>
      <c r="K122" s="20"/>
      <c r="L122" s="20"/>
      <c r="M122" s="20"/>
      <c r="N122" s="20"/>
      <c r="O122" s="21"/>
      <c r="P122" s="20"/>
      <c r="Q122" s="22"/>
      <c r="R122" s="15" t="s">
        <v>331</v>
      </c>
      <c r="S122" s="1"/>
      <c r="T122" s="23" t="n">
        <f aca="false">SUM('IT &amp; Pooling'!T35)</f>
        <v>0</v>
      </c>
      <c r="U122" s="23" t="n">
        <f aca="false">SUM('IT &amp; Pooling'!U35)</f>
        <v>0</v>
      </c>
      <c r="V122" s="36"/>
      <c r="W122" s="36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customFormat="false" ht="12.75" hidden="false" customHeight="false" outlineLevel="0" collapsed="false">
      <c r="A123" s="4"/>
      <c r="B123" s="16"/>
      <c r="C123" s="16"/>
      <c r="D123" s="17"/>
      <c r="E123" s="17"/>
      <c r="F123" s="15"/>
      <c r="G123" s="15"/>
      <c r="H123" s="16"/>
      <c r="I123" s="19"/>
      <c r="J123" s="20"/>
      <c r="K123" s="20"/>
      <c r="L123" s="20"/>
      <c r="M123" s="20"/>
      <c r="N123" s="20"/>
      <c r="O123" s="21"/>
      <c r="P123" s="20"/>
      <c r="Q123" s="22"/>
      <c r="R123" s="15" t="s">
        <v>332</v>
      </c>
      <c r="S123" s="1"/>
      <c r="T123" s="23" t="n">
        <f aca="false">SUM(T17:T18)</f>
        <v>145189.91</v>
      </c>
      <c r="U123" s="23" t="n">
        <f aca="false">SUM(U16)</f>
        <v>0</v>
      </c>
      <c r="V123" s="36"/>
      <c r="W123" s="36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</row>
    <row r="124" customFormat="false" ht="12.75" hidden="false" customHeight="false" outlineLevel="0" collapsed="false">
      <c r="A124" s="4"/>
      <c r="B124" s="16"/>
      <c r="C124" s="16"/>
      <c r="D124" s="17"/>
      <c r="E124" s="17"/>
      <c r="F124" s="15"/>
      <c r="G124" s="15"/>
      <c r="H124" s="16"/>
      <c r="I124" s="19"/>
      <c r="J124" s="20"/>
      <c r="K124" s="20"/>
      <c r="L124" s="20"/>
      <c r="M124" s="20"/>
      <c r="N124" s="20"/>
      <c r="O124" s="21"/>
      <c r="P124" s="20"/>
      <c r="Q124" s="22"/>
      <c r="R124" s="15" t="s">
        <v>333</v>
      </c>
      <c r="S124" s="1"/>
      <c r="T124" s="23" t="n">
        <f aca="false">SUM(T19:T20)</f>
        <v>2489.73</v>
      </c>
      <c r="U124" s="23"/>
      <c r="V124" s="36"/>
      <c r="W124" s="36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</row>
    <row r="125" customFormat="false" ht="12.75" hidden="false" customHeight="false" outlineLevel="0" collapsed="false">
      <c r="A125" s="4"/>
      <c r="B125" s="16"/>
      <c r="C125" s="16"/>
      <c r="D125" s="17"/>
      <c r="E125" s="17"/>
      <c r="F125" s="15"/>
      <c r="G125" s="15"/>
      <c r="H125" s="16"/>
      <c r="I125" s="20"/>
      <c r="J125" s="20"/>
      <c r="K125" s="20"/>
      <c r="L125" s="20"/>
      <c r="M125" s="20"/>
      <c r="N125" s="20"/>
      <c r="O125" s="21"/>
      <c r="P125" s="20"/>
      <c r="Q125" s="22"/>
      <c r="R125" s="15" t="s">
        <v>334</v>
      </c>
      <c r="S125" s="1"/>
      <c r="T125" s="23" t="n">
        <f aca="false">(T81)*0.103</f>
        <v>31070.794291</v>
      </c>
      <c r="U125" s="23" t="n">
        <f aca="false">(U81)*0.103</f>
        <v>0</v>
      </c>
      <c r="V125" s="36"/>
      <c r="W125" s="36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customFormat="false" ht="12.75" hidden="false" customHeight="false" outlineLevel="0" collapsed="false">
      <c r="A126" s="4"/>
      <c r="B126" s="16"/>
      <c r="C126" s="16"/>
      <c r="D126" s="17"/>
      <c r="E126" s="17"/>
      <c r="F126" s="15"/>
      <c r="G126" s="15"/>
      <c r="H126" s="16"/>
      <c r="I126" s="20"/>
      <c r="J126" s="20"/>
      <c r="K126" s="20"/>
      <c r="L126" s="20"/>
      <c r="M126" s="20"/>
      <c r="N126" s="20"/>
      <c r="O126" s="21"/>
      <c r="P126" s="20"/>
      <c r="Q126" s="22"/>
      <c r="R126" s="15" t="s">
        <v>335</v>
      </c>
      <c r="S126" s="1"/>
      <c r="T126" s="23" t="n">
        <f aca="false">(T81)*0.897</f>
        <v>270587.402709</v>
      </c>
      <c r="U126" s="23" t="n">
        <f aca="false">(U81)*0.897</f>
        <v>0</v>
      </c>
      <c r="V126" s="69"/>
      <c r="W126" s="36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customFormat="false" ht="12.75" hidden="false" customHeight="false" outlineLevel="0" collapsed="false">
      <c r="A127" s="4"/>
      <c r="B127" s="16"/>
      <c r="C127" s="16"/>
      <c r="D127" s="17"/>
      <c r="E127" s="17"/>
      <c r="F127" s="15"/>
      <c r="G127" s="15"/>
      <c r="H127" s="16"/>
      <c r="I127" s="20"/>
      <c r="J127" s="20"/>
      <c r="K127" s="20"/>
      <c r="L127" s="20"/>
      <c r="M127" s="20"/>
      <c r="N127" s="20"/>
      <c r="O127" s="21"/>
      <c r="P127" s="20"/>
      <c r="Q127" s="22"/>
      <c r="R127" s="15" t="s">
        <v>336</v>
      </c>
      <c r="S127" s="1"/>
      <c r="T127" s="23" t="n">
        <f aca="false">(+T24)*0.103</f>
        <v>40808.6</v>
      </c>
      <c r="U127" s="23" t="n">
        <f aca="false">(+U24)*0.103</f>
        <v>0</v>
      </c>
      <c r="V127" s="36"/>
      <c r="W127" s="36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</row>
    <row r="128" customFormat="false" ht="12.75" hidden="false" customHeight="false" outlineLevel="0" collapsed="false">
      <c r="A128" s="4"/>
      <c r="B128" s="16"/>
      <c r="C128" s="16"/>
      <c r="D128" s="17"/>
      <c r="E128" s="17"/>
      <c r="F128" s="15"/>
      <c r="G128" s="15"/>
      <c r="H128" s="16"/>
      <c r="I128" s="20"/>
      <c r="J128" s="20"/>
      <c r="K128" s="20"/>
      <c r="L128" s="20"/>
      <c r="M128" s="20"/>
      <c r="N128" s="20"/>
      <c r="O128" s="21"/>
      <c r="P128" s="20"/>
      <c r="Q128" s="22"/>
      <c r="R128" s="15" t="s">
        <v>337</v>
      </c>
      <c r="S128" s="1"/>
      <c r="T128" s="23" t="n">
        <f aca="false">(+T24)*0.897</f>
        <v>355391.4</v>
      </c>
      <c r="U128" s="23" t="n">
        <f aca="false">(+U24)*0.897</f>
        <v>0</v>
      </c>
      <c r="V128" s="36"/>
      <c r="W128" s="36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customFormat="false" ht="12.75" hidden="false" customHeight="false" outlineLevel="0" collapsed="false">
      <c r="A129" s="4"/>
      <c r="B129" s="16"/>
      <c r="C129" s="16"/>
      <c r="D129" s="17"/>
      <c r="E129" s="17"/>
      <c r="F129" s="15"/>
      <c r="G129" s="15"/>
      <c r="H129" s="16"/>
      <c r="I129" s="19"/>
      <c r="J129" s="20"/>
      <c r="K129" s="20"/>
      <c r="L129" s="20"/>
      <c r="M129" s="20"/>
      <c r="N129" s="20"/>
      <c r="O129" s="21"/>
      <c r="P129" s="20"/>
      <c r="Q129" s="22"/>
      <c r="R129" s="15" t="s">
        <v>282</v>
      </c>
      <c r="S129" s="1"/>
      <c r="T129" s="23" t="n">
        <f aca="false">SUM(T3:T118)/2-SUM(T119:T128)</f>
        <v>412789.472229061</v>
      </c>
      <c r="U129" s="23" t="n">
        <f aca="false">SUM(U3:U118)/2-SUM(U119:U128)</f>
        <v>0</v>
      </c>
      <c r="V129" s="36"/>
      <c r="W129" s="36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customFormat="false" ht="13.5" hidden="false" customHeight="false" outlineLevel="0" collapsed="false">
      <c r="A130" s="4"/>
      <c r="B130" s="16"/>
      <c r="C130" s="16"/>
      <c r="D130" s="17"/>
      <c r="E130" s="17"/>
      <c r="F130" s="15"/>
      <c r="G130" s="15"/>
      <c r="H130" s="16"/>
      <c r="I130" s="19"/>
      <c r="J130" s="20"/>
      <c r="K130" s="20"/>
      <c r="L130" s="20"/>
      <c r="M130" s="20"/>
      <c r="N130" s="20"/>
      <c r="O130" s="21"/>
      <c r="P130" s="20"/>
      <c r="Q130" s="22"/>
      <c r="R130" s="16"/>
      <c r="S130" s="16" t="s">
        <v>338</v>
      </c>
      <c r="T130" s="133" t="n">
        <f aca="false">SUM(T119:T129)</f>
        <v>2027822.85602906</v>
      </c>
      <c r="U130" s="133" t="n">
        <f aca="false">SUM(U119:U129)</f>
        <v>0</v>
      </c>
      <c r="V130" s="36"/>
      <c r="W130" s="36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customFormat="false" ht="13.5" hidden="false" customHeight="false" outlineLevel="0" collapsed="false">
      <c r="A131" s="1"/>
      <c r="B131" s="1"/>
      <c r="C131" s="1"/>
      <c r="D131" s="1"/>
      <c r="E131" s="1"/>
      <c r="F131" s="4"/>
      <c r="G131" s="4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3"/>
      <c r="W131" s="3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</sheetData>
  <printOptions headings="false" gridLines="false" gridLinesSet="true" horizontalCentered="false" verticalCentered="false"/>
  <pageMargins left="0.279861111111111" right="0.240277777777778" top="0.984027777777778" bottom="0.984027777777778" header="0.5" footer="0.5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&amp;L&amp;D&amp;C&amp;A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3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pane xSplit="0" ySplit="7" topLeftCell="BM8" activePane="bottomLeft" state="frozen"/>
      <selection pane="topLeft" activeCell="I1" activeCellId="0" sqref="I1"/>
      <selection pane="bottomLeft" activeCell="W4" activeCellId="0" sqref="W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" width="11.85"/>
    <col collapsed="false" customWidth="true" hidden="false" outlineLevel="0" max="2" min="2" style="25" width="10.85"/>
    <col collapsed="false" customWidth="true" hidden="false" outlineLevel="0" max="3" min="3" style="25" width="3.99"/>
    <col collapsed="false" customWidth="true" hidden="false" outlineLevel="0" max="4" min="4" style="25" width="11.85"/>
    <col collapsed="false" customWidth="true" hidden="false" outlineLevel="0" max="5" min="5" style="25" width="11.99"/>
    <col collapsed="false" customWidth="true" hidden="false" outlineLevel="0" max="6" min="6" style="25" width="2.84"/>
    <col collapsed="false" customWidth="true" hidden="false" outlineLevel="0" max="8" min="7" style="134" width="10.85"/>
    <col collapsed="false" customWidth="true" hidden="false" outlineLevel="0" max="9" min="9" style="25" width="2.84"/>
    <col collapsed="false" customWidth="true" hidden="false" outlineLevel="0" max="11" min="10" style="134" width="10.85"/>
    <col collapsed="false" customWidth="true" hidden="false" outlineLevel="0" max="12" min="12" style="25" width="2.84"/>
    <col collapsed="false" customWidth="true" hidden="false" outlineLevel="0" max="14" min="13" style="134" width="10.85"/>
    <col collapsed="false" customWidth="true" hidden="false" outlineLevel="0" max="15" min="15" style="25" width="2.84"/>
    <col collapsed="false" customWidth="true" hidden="false" outlineLevel="0" max="17" min="16" style="135" width="10.85"/>
    <col collapsed="false" customWidth="true" hidden="false" outlineLevel="0" max="18" min="18" style="135" width="2.84"/>
    <col collapsed="false" customWidth="true" hidden="false" outlineLevel="0" max="20" min="19" style="25" width="10.85"/>
    <col collapsed="false" customWidth="true" hidden="false" outlineLevel="0" max="21" min="21" style="25" width="2.84"/>
    <col collapsed="false" customWidth="true" hidden="false" outlineLevel="0" max="23" min="22" style="25" width="10.85"/>
    <col collapsed="false" customWidth="true" hidden="false" outlineLevel="0" max="24" min="24" style="25" width="2.84"/>
    <col collapsed="false" customWidth="true" hidden="false" outlineLevel="0" max="26" min="25" style="25" width="10.85"/>
    <col collapsed="false" customWidth="true" hidden="false" outlineLevel="0" max="27" min="27" style="25" width="3.42"/>
    <col collapsed="false" customWidth="false" hidden="false" outlineLevel="0" max="29" min="28" style="136" width="9.14"/>
    <col collapsed="false" customWidth="true" hidden="false" outlineLevel="0" max="30" min="30" style="25" width="3.42"/>
    <col collapsed="false" customWidth="false" hidden="false" outlineLevel="0" max="32" min="31" style="134" width="9.14"/>
    <col collapsed="false" customWidth="true" hidden="false" outlineLevel="0" max="33" min="33" style="25" width="3.42"/>
    <col collapsed="false" customWidth="false" hidden="false" outlineLevel="0" max="35" min="34" style="134" width="9.14"/>
    <col collapsed="false" customWidth="true" hidden="false" outlineLevel="0" max="36" min="36" style="25" width="3.42"/>
    <col collapsed="false" customWidth="false" hidden="false" outlineLevel="0" max="38" min="37" style="25" width="9.14"/>
    <col collapsed="false" customWidth="true" hidden="false" outlineLevel="0" max="39" min="39" style="25" width="3.42"/>
    <col collapsed="false" customWidth="false" hidden="false" outlineLevel="0" max="41" min="40" style="25" width="9.14"/>
    <col collapsed="false" customWidth="true" hidden="false" outlineLevel="0" max="42" min="42" style="25" width="3.42"/>
    <col collapsed="false" customWidth="false" hidden="false" outlineLevel="0" max="257" min="43" style="25" width="9.14"/>
  </cols>
  <sheetData>
    <row r="1" customFormat="false" ht="13.5" hidden="false" customHeight="false" outlineLevel="0" collapsed="false">
      <c r="AN1" s="25" t="s">
        <v>339</v>
      </c>
    </row>
    <row r="2" customFormat="false" ht="13.5" hidden="false" customHeight="false" outlineLevel="0" collapsed="false">
      <c r="A2" s="137" t="s">
        <v>340</v>
      </c>
      <c r="B2" s="138"/>
      <c r="C2" s="137"/>
      <c r="D2" s="139"/>
      <c r="E2" s="140" t="s">
        <v>341</v>
      </c>
      <c r="F2" s="137"/>
      <c r="G2" s="141" t="s">
        <v>1</v>
      </c>
      <c r="H2" s="141"/>
      <c r="I2" s="141"/>
      <c r="J2" s="141"/>
      <c r="K2" s="142"/>
      <c r="L2" s="137"/>
      <c r="M2" s="141"/>
      <c r="N2" s="140" t="s">
        <v>341</v>
      </c>
      <c r="O2" s="137"/>
      <c r="P2" s="143"/>
      <c r="Q2" s="144"/>
      <c r="R2" s="143"/>
      <c r="S2" s="137"/>
      <c r="T2" s="145"/>
      <c r="U2" s="137"/>
      <c r="V2" s="137"/>
      <c r="W2" s="145"/>
      <c r="X2" s="137" t="s">
        <v>1</v>
      </c>
      <c r="Y2" s="137" t="s">
        <v>1</v>
      </c>
      <c r="Z2" s="137" t="s">
        <v>1</v>
      </c>
      <c r="AO2" s="146" t="s">
        <v>342</v>
      </c>
      <c r="AR2" s="146" t="s">
        <v>342</v>
      </c>
    </row>
    <row r="3" customFormat="false" ht="12.75" hidden="false" customHeight="false" outlineLevel="0" collapsed="false">
      <c r="A3" s="147" t="s">
        <v>343</v>
      </c>
      <c r="B3" s="148" t="n">
        <v>2.58</v>
      </c>
      <c r="C3" s="137"/>
      <c r="D3" s="147" t="s">
        <v>343</v>
      </c>
      <c r="E3" s="149" t="n">
        <f aca="false">+B3</f>
        <v>2.58</v>
      </c>
      <c r="F3" s="137"/>
      <c r="G3" s="150" t="s">
        <v>344</v>
      </c>
      <c r="H3" s="151" t="n">
        <v>2.48</v>
      </c>
      <c r="I3" s="137"/>
      <c r="J3" s="152" t="s">
        <v>345</v>
      </c>
      <c r="K3" s="153" t="n">
        <v>3</v>
      </c>
      <c r="L3" s="137"/>
      <c r="M3" s="152" t="s">
        <v>345</v>
      </c>
      <c r="N3" s="149" t="n">
        <f aca="false">+K3</f>
        <v>3</v>
      </c>
      <c r="O3" s="137"/>
      <c r="P3" s="154" t="s">
        <v>346</v>
      </c>
      <c r="Q3" s="155" t="n">
        <v>2.575</v>
      </c>
      <c r="R3" s="143" t="s">
        <v>1</v>
      </c>
      <c r="S3" s="147" t="s">
        <v>347</v>
      </c>
      <c r="T3" s="156" t="n">
        <v>2.78</v>
      </c>
      <c r="U3" s="137" t="s">
        <v>1</v>
      </c>
      <c r="V3" s="147" t="s">
        <v>40</v>
      </c>
      <c r="W3" s="156" t="n">
        <v>4.25</v>
      </c>
      <c r="X3" s="137"/>
      <c r="Y3" s="147" t="s">
        <v>348</v>
      </c>
      <c r="Z3" s="156" t="n">
        <v>3.1</v>
      </c>
      <c r="AB3" s="157" t="s">
        <v>189</v>
      </c>
      <c r="AC3" s="158" t="n">
        <v>5.25</v>
      </c>
      <c r="AE3" s="152" t="s">
        <v>189</v>
      </c>
      <c r="AF3" s="153" t="n">
        <v>5.25</v>
      </c>
      <c r="AH3" s="159" t="s">
        <v>349</v>
      </c>
      <c r="AI3" s="153" t="n">
        <v>2.555</v>
      </c>
      <c r="AK3" s="147" t="s">
        <v>350</v>
      </c>
      <c r="AL3" s="156" t="n">
        <v>4.105</v>
      </c>
      <c r="AN3" s="147" t="s">
        <v>41</v>
      </c>
      <c r="AO3" s="160" t="n">
        <f aca="false">+Z3</f>
        <v>3.1</v>
      </c>
      <c r="AQ3" s="147" t="s">
        <v>351</v>
      </c>
      <c r="AR3" s="160" t="n">
        <f aca="false">+H3</f>
        <v>2.48</v>
      </c>
    </row>
    <row r="4" customFormat="false" ht="12.75" hidden="false" customHeight="false" outlineLevel="0" collapsed="false">
      <c r="A4" s="147" t="s">
        <v>352</v>
      </c>
      <c r="B4" s="161" t="n">
        <v>2.62</v>
      </c>
      <c r="C4" s="162"/>
      <c r="D4" s="147" t="s">
        <v>352</v>
      </c>
      <c r="E4" s="149" t="n">
        <f aca="false">+B4</f>
        <v>2.62</v>
      </c>
      <c r="F4" s="162"/>
      <c r="G4" s="150" t="s">
        <v>353</v>
      </c>
      <c r="H4" s="163" t="n">
        <v>2.65</v>
      </c>
      <c r="I4" s="137"/>
      <c r="J4" s="152" t="s">
        <v>354</v>
      </c>
      <c r="K4" s="153" t="n">
        <v>2.76</v>
      </c>
      <c r="L4" s="137"/>
      <c r="M4" s="152" t="s">
        <v>354</v>
      </c>
      <c r="N4" s="149" t="n">
        <f aca="false">+K4</f>
        <v>2.76</v>
      </c>
      <c r="O4" s="137"/>
      <c r="P4" s="154"/>
      <c r="Q4" s="155"/>
      <c r="R4" s="143"/>
      <c r="S4" s="147" t="s">
        <v>355</v>
      </c>
      <c r="T4" s="156" t="n">
        <v>2.85</v>
      </c>
      <c r="U4" s="137"/>
      <c r="V4" s="147"/>
      <c r="W4" s="156" t="n">
        <f aca="false">+W17+W3</f>
        <v>4.36447405500388</v>
      </c>
      <c r="X4" s="137"/>
      <c r="Y4" s="137"/>
      <c r="Z4" s="137"/>
      <c r="AB4" s="164" t="s">
        <v>356</v>
      </c>
      <c r="AE4" s="159" t="s">
        <v>357</v>
      </c>
      <c r="AH4" s="159" t="s">
        <v>357</v>
      </c>
    </row>
    <row r="5" customFormat="false" ht="12.75" hidden="false" customHeight="false" outlineLevel="0" collapsed="false">
      <c r="A5" s="147" t="s">
        <v>358</v>
      </c>
      <c r="B5" s="165" t="n">
        <v>2.6</v>
      </c>
      <c r="C5" s="166"/>
      <c r="D5" s="147" t="s">
        <v>358</v>
      </c>
      <c r="E5" s="149" t="n">
        <f aca="false">+B5</f>
        <v>2.6</v>
      </c>
      <c r="F5" s="166"/>
      <c r="G5" s="150" t="s">
        <v>251</v>
      </c>
      <c r="H5" s="167" t="n">
        <v>2.95</v>
      </c>
      <c r="I5" s="137"/>
      <c r="J5" s="152" t="s">
        <v>359</v>
      </c>
      <c r="K5" s="153" t="n">
        <v>2.85</v>
      </c>
      <c r="L5" s="137"/>
      <c r="M5" s="152" t="s">
        <v>359</v>
      </c>
      <c r="N5" s="149" t="n">
        <f aca="false">+K5</f>
        <v>2.85</v>
      </c>
      <c r="O5" s="137"/>
      <c r="P5" s="154"/>
      <c r="Q5" s="144"/>
      <c r="R5" s="143"/>
      <c r="S5" s="147"/>
      <c r="T5" s="145"/>
      <c r="U5" s="137"/>
      <c r="V5" s="147"/>
      <c r="W5" s="145"/>
      <c r="X5" s="137"/>
      <c r="Y5" s="137"/>
      <c r="Z5" s="168"/>
    </row>
    <row r="6" customFormat="false" ht="12.75" hidden="false" customHeight="false" outlineLevel="0" collapsed="false">
      <c r="A6" s="169" t="s">
        <v>360</v>
      </c>
      <c r="B6" s="165" t="n">
        <v>2.61</v>
      </c>
      <c r="C6" s="166"/>
      <c r="D6" s="169" t="s">
        <v>360</v>
      </c>
      <c r="E6" s="149" t="n">
        <f aca="false">+B6</f>
        <v>2.61</v>
      </c>
      <c r="F6" s="166"/>
      <c r="G6" s="170"/>
      <c r="H6" s="170"/>
      <c r="I6" s="171"/>
      <c r="J6" s="150" t="s">
        <v>361</v>
      </c>
      <c r="K6" s="172" t="n">
        <v>2.9</v>
      </c>
      <c r="L6" s="171"/>
      <c r="M6" s="150" t="s">
        <v>361</v>
      </c>
      <c r="N6" s="149" t="n">
        <f aca="false">+K6</f>
        <v>2.9</v>
      </c>
      <c r="O6" s="171"/>
      <c r="P6" s="173"/>
      <c r="Q6" s="174"/>
      <c r="R6" s="175"/>
      <c r="S6" s="169"/>
      <c r="T6" s="176" t="n">
        <f aca="false">+T4-T3</f>
        <v>0.0700000000000003</v>
      </c>
      <c r="U6" s="171"/>
      <c r="V6" s="169"/>
      <c r="W6" s="176"/>
      <c r="X6" s="171"/>
      <c r="Y6" s="171"/>
      <c r="Z6" s="176"/>
      <c r="AA6" s="177"/>
      <c r="AB6" s="178"/>
      <c r="AC6" s="178"/>
      <c r="AD6" s="177"/>
      <c r="AE6" s="170"/>
      <c r="AF6" s="170"/>
      <c r="AG6" s="177"/>
      <c r="AH6" s="170"/>
      <c r="AI6" s="170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  <c r="IW6" s="177"/>
    </row>
    <row r="7" customFormat="false" ht="12.75" hidden="false" customHeight="false" outlineLevel="0" collapsed="false">
      <c r="A7" s="179" t="s">
        <v>362</v>
      </c>
      <c r="B7" s="165" t="n">
        <v>7.4</v>
      </c>
      <c r="C7" s="166"/>
      <c r="D7" s="179" t="s">
        <v>362</v>
      </c>
      <c r="E7" s="149" t="n">
        <f aca="false">+B7</f>
        <v>7.4</v>
      </c>
      <c r="F7" s="166"/>
      <c r="G7" s="180"/>
      <c r="H7" s="180"/>
      <c r="I7" s="181"/>
      <c r="J7" s="182" t="s">
        <v>189</v>
      </c>
      <c r="K7" s="183" t="n">
        <v>5.25</v>
      </c>
      <c r="L7" s="181"/>
      <c r="M7" s="182" t="s">
        <v>189</v>
      </c>
      <c r="N7" s="149" t="n">
        <f aca="false">+K7</f>
        <v>5.25</v>
      </c>
      <c r="O7" s="181"/>
      <c r="P7" s="184"/>
      <c r="Q7" s="185"/>
      <c r="R7" s="186"/>
      <c r="S7" s="179"/>
      <c r="T7" s="187"/>
      <c r="U7" s="181"/>
      <c r="V7" s="179"/>
      <c r="W7" s="187"/>
      <c r="X7" s="181"/>
      <c r="Y7" s="181"/>
      <c r="Z7" s="187"/>
      <c r="AA7" s="129"/>
      <c r="AB7" s="188"/>
      <c r="AC7" s="188"/>
      <c r="AD7" s="129"/>
      <c r="AE7" s="189"/>
      <c r="AF7" s="189"/>
      <c r="AG7" s="129"/>
      <c r="AH7" s="189"/>
      <c r="AI7" s="18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  <c r="IU7" s="129"/>
      <c r="IV7" s="129"/>
      <c r="IW7" s="129"/>
    </row>
    <row r="8" customFormat="false" ht="12.75" hidden="false" customHeight="false" outlineLevel="0" collapsed="false">
      <c r="A8" s="147" t="s">
        <v>363</v>
      </c>
      <c r="B8" s="166"/>
      <c r="C8" s="166"/>
      <c r="D8" s="166"/>
      <c r="E8" s="166"/>
      <c r="F8" s="166"/>
      <c r="G8" s="190" t="s">
        <v>364</v>
      </c>
      <c r="H8" s="180"/>
      <c r="I8" s="191"/>
      <c r="J8" s="150" t="s">
        <v>365</v>
      </c>
      <c r="K8" s="172"/>
      <c r="L8" s="137"/>
      <c r="M8" s="150" t="s">
        <v>365</v>
      </c>
      <c r="N8" s="172"/>
      <c r="O8" s="137"/>
      <c r="P8" s="154"/>
      <c r="Q8" s="144"/>
      <c r="R8" s="143"/>
      <c r="S8" s="147"/>
      <c r="T8" s="145"/>
      <c r="U8" s="137"/>
      <c r="V8" s="147" t="s">
        <v>366</v>
      </c>
      <c r="W8" s="145"/>
      <c r="X8" s="137"/>
      <c r="Y8" s="147" t="s">
        <v>367</v>
      </c>
      <c r="Z8" s="137"/>
      <c r="AB8" s="136" t="s">
        <v>368</v>
      </c>
      <c r="AE8" s="134" t="s">
        <v>369</v>
      </c>
      <c r="AH8" s="134" t="s">
        <v>369</v>
      </c>
      <c r="AK8" s="25" t="s">
        <v>370</v>
      </c>
      <c r="AN8" s="25" t="s">
        <v>371</v>
      </c>
    </row>
    <row r="9" customFormat="false" ht="12.75" hidden="false" customHeight="false" outlineLevel="0" collapsed="false">
      <c r="A9" s="169" t="s">
        <v>372</v>
      </c>
      <c r="B9" s="166"/>
      <c r="C9" s="166"/>
      <c r="D9" s="166"/>
      <c r="E9" s="166"/>
      <c r="F9" s="166"/>
      <c r="G9" s="180" t="s">
        <v>373</v>
      </c>
      <c r="H9" s="180"/>
      <c r="I9" s="192"/>
      <c r="J9" s="84" t="s">
        <v>374</v>
      </c>
      <c r="K9" s="172"/>
      <c r="L9" s="137"/>
      <c r="M9" s="84" t="s">
        <v>375</v>
      </c>
      <c r="N9" s="172"/>
      <c r="O9" s="137"/>
      <c r="P9" s="173"/>
      <c r="Q9" s="174"/>
      <c r="R9" s="175"/>
      <c r="S9" s="169" t="s">
        <v>376</v>
      </c>
      <c r="T9" s="176"/>
      <c r="U9" s="171"/>
      <c r="V9" s="169" t="s">
        <v>377</v>
      </c>
      <c r="W9" s="176"/>
      <c r="X9" s="137"/>
      <c r="Y9" s="147" t="s">
        <v>377</v>
      </c>
      <c r="Z9" s="137"/>
      <c r="AB9" s="136" t="s">
        <v>378</v>
      </c>
      <c r="AE9" s="134" t="s">
        <v>379</v>
      </c>
      <c r="AH9" s="134" t="s">
        <v>380</v>
      </c>
      <c r="AK9" s="25" t="s">
        <v>381</v>
      </c>
      <c r="AN9" s="25" t="s">
        <v>382</v>
      </c>
    </row>
    <row r="10" customFormat="false" ht="12.75" hidden="false" customHeight="false" outlineLevel="0" collapsed="false">
      <c r="A10" s="169"/>
      <c r="B10" s="166"/>
      <c r="C10" s="166"/>
      <c r="D10" s="166"/>
      <c r="E10" s="166"/>
      <c r="F10" s="166"/>
      <c r="G10" s="180" t="s">
        <v>383</v>
      </c>
      <c r="H10" s="180"/>
      <c r="I10" s="192"/>
      <c r="J10" s="193" t="s">
        <v>384</v>
      </c>
      <c r="K10" s="172"/>
      <c r="L10" s="137"/>
      <c r="M10" s="193" t="s">
        <v>384</v>
      </c>
      <c r="N10" s="172"/>
      <c r="O10" s="137"/>
      <c r="P10" s="173"/>
      <c r="Q10" s="174"/>
      <c r="R10" s="175"/>
      <c r="S10" s="169" t="s">
        <v>385</v>
      </c>
      <c r="T10" s="176"/>
      <c r="U10" s="171"/>
      <c r="V10" s="169" t="s">
        <v>386</v>
      </c>
      <c r="W10" s="176"/>
      <c r="X10" s="137"/>
      <c r="Y10" s="147" t="s">
        <v>387</v>
      </c>
      <c r="Z10" s="147"/>
      <c r="AB10" s="136" t="s">
        <v>388</v>
      </c>
      <c r="AE10" s="134" t="s">
        <v>388</v>
      </c>
      <c r="AH10" s="134" t="s">
        <v>389</v>
      </c>
      <c r="AK10" s="25" t="s">
        <v>390</v>
      </c>
      <c r="AN10" s="194" t="n">
        <v>36039</v>
      </c>
      <c r="AQ10" s="194"/>
    </row>
    <row r="11" customFormat="false" ht="12.75" hidden="false" customHeight="false" outlineLevel="0" collapsed="false">
      <c r="A11" s="169"/>
      <c r="B11" s="1"/>
      <c r="C11" s="1"/>
      <c r="D11" s="1"/>
      <c r="E11" s="1"/>
      <c r="F11" s="1"/>
      <c r="G11" s="84" t="s">
        <v>391</v>
      </c>
      <c r="H11" s="180"/>
      <c r="I11" s="192"/>
      <c r="J11" s="193" t="s">
        <v>392</v>
      </c>
      <c r="K11" s="172"/>
      <c r="L11" s="137"/>
      <c r="M11" s="193" t="s">
        <v>392</v>
      </c>
      <c r="N11" s="172"/>
      <c r="O11" s="137"/>
      <c r="P11" s="173" t="s">
        <v>393</v>
      </c>
      <c r="Q11" s="174"/>
      <c r="R11" s="175"/>
      <c r="S11" s="169"/>
      <c r="T11" s="176"/>
      <c r="U11" s="171"/>
      <c r="V11" s="169" t="s">
        <v>394</v>
      </c>
      <c r="W11" s="176"/>
      <c r="X11" s="137"/>
      <c r="Y11" s="147"/>
      <c r="Z11" s="147"/>
      <c r="AB11" s="136" t="s">
        <v>395</v>
      </c>
      <c r="AE11" s="134" t="s">
        <v>395</v>
      </c>
      <c r="AH11" s="134" t="s">
        <v>396</v>
      </c>
      <c r="AN11" s="194"/>
      <c r="AQ11" s="194"/>
    </row>
    <row r="12" customFormat="false" ht="12.75" hidden="false" customHeight="false" outlineLevel="0" collapsed="false">
      <c r="A12" s="169" t="s">
        <v>397</v>
      </c>
      <c r="B12" s="195"/>
      <c r="C12" s="137"/>
      <c r="D12" s="147" t="s">
        <v>397</v>
      </c>
      <c r="E12" s="196"/>
      <c r="F12" s="197"/>
      <c r="G12" s="152"/>
      <c r="H12" s="198"/>
      <c r="I12" s="137"/>
      <c r="J12" s="152" t="s">
        <v>398</v>
      </c>
      <c r="K12" s="153"/>
      <c r="L12" s="137"/>
      <c r="M12" s="152" t="s">
        <v>11</v>
      </c>
      <c r="N12" s="153"/>
      <c r="O12" s="137"/>
      <c r="P12" s="154"/>
      <c r="Q12" s="144"/>
      <c r="R12" s="143"/>
      <c r="S12" s="147"/>
      <c r="T12" s="145"/>
      <c r="U12" s="137"/>
      <c r="V12" s="147"/>
      <c r="W12" s="145"/>
      <c r="X12" s="137"/>
      <c r="Y12" s="147"/>
      <c r="Z12" s="147"/>
      <c r="AH12" s="134" t="s">
        <v>399</v>
      </c>
      <c r="AN12" s="194" t="s">
        <v>400</v>
      </c>
      <c r="AQ12" s="194"/>
      <c r="AU12" s="25" t="s">
        <v>401</v>
      </c>
      <c r="AV12" s="199" t="n">
        <v>2.025</v>
      </c>
    </row>
    <row r="13" customFormat="false" ht="12.75" hidden="false" customHeight="false" outlineLevel="0" collapsed="false">
      <c r="A13" s="200" t="s">
        <v>129</v>
      </c>
      <c r="B13" s="201" t="s">
        <v>402</v>
      </c>
      <c r="C13" s="202"/>
      <c r="D13" s="25" t="s">
        <v>129</v>
      </c>
      <c r="E13" s="25" t="s">
        <v>403</v>
      </c>
      <c r="F13" s="203"/>
      <c r="G13" s="204" t="s">
        <v>404</v>
      </c>
      <c r="H13" s="205" t="s">
        <v>405</v>
      </c>
      <c r="I13" s="197"/>
      <c r="J13" s="206" t="s">
        <v>406</v>
      </c>
      <c r="K13" s="207" t="s">
        <v>407</v>
      </c>
      <c r="L13" s="197"/>
      <c r="M13" s="206" t="s">
        <v>406</v>
      </c>
      <c r="N13" s="207" t="s">
        <v>408</v>
      </c>
      <c r="O13" s="197"/>
      <c r="P13" s="208" t="s">
        <v>409</v>
      </c>
      <c r="Q13" s="209" t="s">
        <v>410</v>
      </c>
      <c r="R13" s="210"/>
      <c r="S13" s="200" t="s">
        <v>411</v>
      </c>
      <c r="T13" s="211" t="s">
        <v>412</v>
      </c>
      <c r="U13" s="202"/>
      <c r="V13" s="200" t="s">
        <v>413</v>
      </c>
      <c r="W13" s="211" t="s">
        <v>414</v>
      </c>
      <c r="X13" s="202"/>
      <c r="Y13" s="200" t="s">
        <v>41</v>
      </c>
      <c r="Z13" s="211" t="s">
        <v>415</v>
      </c>
      <c r="AB13" s="212" t="s">
        <v>416</v>
      </c>
      <c r="AC13" s="213" t="s">
        <v>417</v>
      </c>
      <c r="AE13" s="204" t="s">
        <v>416</v>
      </c>
      <c r="AF13" s="205" t="s">
        <v>417</v>
      </c>
      <c r="AH13" s="134" t="s">
        <v>418</v>
      </c>
      <c r="AK13" s="200" t="s">
        <v>419</v>
      </c>
      <c r="AL13" s="211" t="s">
        <v>420</v>
      </c>
      <c r="AN13" s="200" t="s">
        <v>421</v>
      </c>
      <c r="AO13" s="211" t="s">
        <v>422</v>
      </c>
      <c r="AQ13" s="200" t="s">
        <v>423</v>
      </c>
      <c r="AR13" s="211" t="s">
        <v>11</v>
      </c>
      <c r="AU13" s="214" t="s">
        <v>424</v>
      </c>
      <c r="AV13" s="199"/>
    </row>
    <row r="14" customFormat="false" ht="12.75" hidden="false" customHeight="false" outlineLevel="0" collapsed="false">
      <c r="A14" s="215" t="s">
        <v>425</v>
      </c>
      <c r="B14" s="216" t="n">
        <v>0.002</v>
      </c>
      <c r="C14" s="203"/>
      <c r="D14" s="215" t="s">
        <v>426</v>
      </c>
      <c r="E14" s="217" t="n">
        <v>0.0654</v>
      </c>
      <c r="F14" s="203"/>
      <c r="G14" s="218" t="s">
        <v>425</v>
      </c>
      <c r="H14" s="219" t="n">
        <v>0.0439</v>
      </c>
      <c r="I14" s="203"/>
      <c r="J14" s="220" t="s">
        <v>425</v>
      </c>
      <c r="K14" s="219" t="n">
        <v>0.0178</v>
      </c>
      <c r="L14" s="203"/>
      <c r="M14" s="220" t="s">
        <v>425</v>
      </c>
      <c r="N14" s="219" t="n">
        <v>0.5524</v>
      </c>
      <c r="O14" s="203"/>
      <c r="P14" s="221" t="s">
        <v>425</v>
      </c>
      <c r="Q14" s="222" t="n">
        <v>0.006</v>
      </c>
      <c r="R14" s="223"/>
      <c r="S14" s="215" t="s">
        <v>425</v>
      </c>
      <c r="T14" s="216" t="n">
        <v>0.0002</v>
      </c>
      <c r="U14" s="203"/>
      <c r="V14" s="215" t="s">
        <v>425</v>
      </c>
      <c r="W14" s="216" t="n">
        <v>0.0132</v>
      </c>
      <c r="X14" s="203"/>
      <c r="Y14" s="215" t="s">
        <v>425</v>
      </c>
      <c r="Z14" s="216" t="n">
        <v>0.0434</v>
      </c>
      <c r="AB14" s="224" t="s">
        <v>425</v>
      </c>
      <c r="AC14" s="225" t="n">
        <v>0.0112</v>
      </c>
      <c r="AE14" s="218" t="s">
        <v>425</v>
      </c>
      <c r="AF14" s="219" t="n">
        <v>0.0112</v>
      </c>
      <c r="AH14" s="218" t="s">
        <v>425</v>
      </c>
      <c r="AI14" s="219" t="n">
        <v>0.0059</v>
      </c>
      <c r="AK14" s="215" t="s">
        <v>425</v>
      </c>
      <c r="AL14" s="216" t="n">
        <v>0.003</v>
      </c>
      <c r="AN14" s="215" t="s">
        <v>425</v>
      </c>
      <c r="AO14" s="216" t="n">
        <v>0.2068</v>
      </c>
      <c r="AQ14" s="215" t="s">
        <v>425</v>
      </c>
      <c r="AR14" s="216" t="n">
        <v>0.017</v>
      </c>
      <c r="AU14" s="25" t="s">
        <v>426</v>
      </c>
      <c r="AV14" s="199" t="n">
        <v>0.01</v>
      </c>
    </row>
    <row r="15" customFormat="false" ht="12.75" hidden="false" customHeight="false" outlineLevel="0" collapsed="false">
      <c r="A15" s="215" t="s">
        <v>103</v>
      </c>
      <c r="B15" s="216" t="n">
        <f aca="false">0.0022+0.0075+0.0131</f>
        <v>0.0228</v>
      </c>
      <c r="C15" s="203"/>
      <c r="D15" s="215" t="s">
        <v>103</v>
      </c>
      <c r="E15" s="217" t="n">
        <f aca="false">0.0075+0.0022+0.0131</f>
        <v>0.0228</v>
      </c>
      <c r="F15" s="226"/>
      <c r="G15" s="218" t="s">
        <v>103</v>
      </c>
      <c r="H15" s="219" t="n">
        <f aca="false">0.0022+0.0075+0.0225</f>
        <v>0.0322</v>
      </c>
      <c r="I15" s="203"/>
      <c r="J15" s="220" t="s">
        <v>103</v>
      </c>
      <c r="K15" s="219" t="n">
        <f aca="false">0.0022+0.0075</f>
        <v>0.0097</v>
      </c>
      <c r="L15" s="203"/>
      <c r="M15" s="220" t="s">
        <v>103</v>
      </c>
      <c r="N15" s="219" t="n">
        <f aca="false">0.0022+0.0075</f>
        <v>0.0097</v>
      </c>
      <c r="O15" s="203"/>
      <c r="P15" s="221" t="s">
        <v>103</v>
      </c>
      <c r="Q15" s="222" t="n">
        <f aca="false">0.0022+0.0072</f>
        <v>0.0094</v>
      </c>
      <c r="R15" s="223"/>
      <c r="S15" s="215" t="s">
        <v>103</v>
      </c>
      <c r="T15" s="216" t="n">
        <v>0.0022</v>
      </c>
      <c r="U15" s="203"/>
      <c r="V15" s="215" t="s">
        <v>103</v>
      </c>
      <c r="W15" s="216" t="n">
        <f aca="false">0.0022+0.0072</f>
        <v>0.0094</v>
      </c>
      <c r="X15" s="203"/>
      <c r="Y15" s="215" t="s">
        <v>103</v>
      </c>
      <c r="Z15" s="216" t="n">
        <v>0.0022</v>
      </c>
      <c r="AB15" s="224" t="s">
        <v>103</v>
      </c>
      <c r="AC15" s="225" t="n">
        <f aca="false">0.0022+0.0075</f>
        <v>0.0097</v>
      </c>
      <c r="AE15" s="218" t="s">
        <v>103</v>
      </c>
      <c r="AF15" s="219" t="n">
        <f aca="false">0.0022+0.0075</f>
        <v>0.0097</v>
      </c>
      <c r="AH15" s="218" t="s">
        <v>103</v>
      </c>
      <c r="AI15" s="219" t="n">
        <f aca="false">0.002+0.0022</f>
        <v>0.0042</v>
      </c>
      <c r="AK15" s="215" t="s">
        <v>103</v>
      </c>
      <c r="AL15" s="216" t="n">
        <f aca="false">0.0022+0.0007+0.0075</f>
        <v>0.0104</v>
      </c>
      <c r="AN15" s="215" t="s">
        <v>103</v>
      </c>
      <c r="AO15" s="216" t="n">
        <f aca="false">0.0022+0.0008+0.008+0.0236</f>
        <v>0.0346</v>
      </c>
      <c r="AQ15" s="215" t="s">
        <v>103</v>
      </c>
      <c r="AR15" s="216" t="n">
        <v>0</v>
      </c>
      <c r="AU15" s="25" t="s">
        <v>427</v>
      </c>
      <c r="AV15" s="199" t="n">
        <v>0.0022</v>
      </c>
    </row>
    <row r="16" customFormat="false" ht="12.75" hidden="false" customHeight="false" outlineLevel="0" collapsed="false">
      <c r="A16" s="215" t="s">
        <v>428</v>
      </c>
      <c r="B16" s="227" t="n">
        <f aca="false">B6/(1-0.0035)-B6</f>
        <v>0.00916708479678841</v>
      </c>
      <c r="C16" s="226"/>
      <c r="D16" s="215" t="s">
        <v>428</v>
      </c>
      <c r="E16" s="227" t="n">
        <f aca="false">(E6)/(1-0.0035)-E6</f>
        <v>0.00916708479678841</v>
      </c>
      <c r="F16" s="228"/>
      <c r="G16" s="218" t="s">
        <v>429</v>
      </c>
      <c r="H16" s="229" t="n">
        <f aca="false">(H3)/(1-0.0089)-H3</f>
        <v>0.0222702048229242</v>
      </c>
      <c r="I16" s="226"/>
      <c r="J16" s="220" t="s">
        <v>430</v>
      </c>
      <c r="K16" s="230" t="n">
        <f aca="false">(K5)/(1-0.0268)-K5</f>
        <v>0.0784833538840939</v>
      </c>
      <c r="L16" s="226"/>
      <c r="M16" s="220" t="s">
        <v>431</v>
      </c>
      <c r="N16" s="230" t="n">
        <f aca="false">(N5)/(1-0.0926)-N5</f>
        <v>0.290841966056866</v>
      </c>
      <c r="O16" s="226"/>
      <c r="P16" s="221" t="s">
        <v>432</v>
      </c>
      <c r="Q16" s="231" t="n">
        <f aca="false">+Q$3/(1-0.015)-Q$3</f>
        <v>0.0392131979695431</v>
      </c>
      <c r="R16" s="232"/>
      <c r="S16" s="215" t="s">
        <v>433</v>
      </c>
      <c r="T16" s="227" t="n">
        <f aca="false">(+T3-0.108)/(1-0.00507)-(T3-0.108)</f>
        <v>0.0136160734926074</v>
      </c>
      <c r="U16" s="226"/>
      <c r="V16" s="215" t="s">
        <v>434</v>
      </c>
      <c r="W16" s="227" t="n">
        <f aca="false">+W3/(1-0.02116)-W3</f>
        <v>0.0918740550038821</v>
      </c>
      <c r="X16" s="226"/>
      <c r="Y16" s="215" t="s">
        <v>435</v>
      </c>
      <c r="Z16" s="227" t="n">
        <f aca="false">Z3/(1-0.0228)-Z3</f>
        <v>0.0723291035611955</v>
      </c>
      <c r="AB16" s="224" t="s">
        <v>436</v>
      </c>
      <c r="AC16" s="233" t="n">
        <f aca="false">+AC3/(1-0.0041)-AC3</f>
        <v>0.0216136158248821</v>
      </c>
      <c r="AE16" s="218" t="s">
        <v>437</v>
      </c>
      <c r="AF16" s="230" t="n">
        <f aca="false">+AF3/(1-0.0111)-AF3</f>
        <v>0.0589291131560321</v>
      </c>
      <c r="AH16" s="218" t="s">
        <v>438</v>
      </c>
      <c r="AI16" s="230" t="n">
        <f aca="false">+AI3/(1-0.004)-AI3</f>
        <v>0.010261044176707</v>
      </c>
      <c r="AK16" s="215" t="s">
        <v>439</v>
      </c>
      <c r="AL16" s="227" t="n">
        <f aca="false">+AL3/(1-0)-AL3</f>
        <v>0</v>
      </c>
      <c r="AN16" s="215" t="s">
        <v>440</v>
      </c>
      <c r="AO16" s="227" t="n">
        <f aca="false">+AO3/(1-0.03)-AO3</f>
        <v>0.0958762886597939</v>
      </c>
      <c r="AQ16" s="215" t="s">
        <v>441</v>
      </c>
      <c r="AR16" s="227" t="n">
        <f aca="false">+AR3/(1-0)-AR3</f>
        <v>0</v>
      </c>
      <c r="AU16" s="25" t="s">
        <v>442</v>
      </c>
      <c r="AV16" s="199" t="n">
        <v>0</v>
      </c>
    </row>
    <row r="17" customFormat="false" ht="12.75" hidden="false" customHeight="false" outlineLevel="0" collapsed="false">
      <c r="A17" s="234"/>
      <c r="B17" s="235" t="n">
        <f aca="false">SUM(B14:B16)</f>
        <v>0.0339670847967884</v>
      </c>
      <c r="C17" s="228"/>
      <c r="D17" s="215"/>
      <c r="E17" s="235" t="n">
        <f aca="false">SUM(E14:E16)</f>
        <v>0.0973670847967884</v>
      </c>
      <c r="F17" s="197"/>
      <c r="G17" s="236"/>
      <c r="H17" s="237" t="n">
        <f aca="false">SUM(H14:H16)</f>
        <v>0.0983702048229242</v>
      </c>
      <c r="I17" s="228"/>
      <c r="J17" s="220"/>
      <c r="K17" s="237" t="n">
        <f aca="false">SUM(K14:K16)</f>
        <v>0.105983353884094</v>
      </c>
      <c r="L17" s="228"/>
      <c r="M17" s="220"/>
      <c r="N17" s="237" t="n">
        <f aca="false">SUM(N14:N16)</f>
        <v>0.852941966056866</v>
      </c>
      <c r="O17" s="228"/>
      <c r="P17" s="238"/>
      <c r="Q17" s="239" t="n">
        <f aca="false">SUM(Q14:Q16)</f>
        <v>0.0546131979695431</v>
      </c>
      <c r="R17" s="240"/>
      <c r="S17" s="234"/>
      <c r="T17" s="235" t="n">
        <f aca="false">SUM(T14:T16)</f>
        <v>0.0160160734926074</v>
      </c>
      <c r="U17" s="228"/>
      <c r="V17" s="234"/>
      <c r="W17" s="235" t="n">
        <f aca="false">SUM(W14:W16)</f>
        <v>0.114474055003882</v>
      </c>
      <c r="X17" s="228" t="n">
        <v>0</v>
      </c>
      <c r="Y17" s="234"/>
      <c r="Z17" s="235" t="n">
        <f aca="false">SUM(Z14:Z16)</f>
        <v>0.117929103561195</v>
      </c>
      <c r="AB17" s="241"/>
      <c r="AC17" s="242" t="n">
        <f aca="false">SUM(AC14:AC16)</f>
        <v>0.0425136158248821</v>
      </c>
      <c r="AE17" s="236"/>
      <c r="AF17" s="237" t="n">
        <f aca="false">SUM(AF14:AF16)</f>
        <v>0.0798291131560321</v>
      </c>
      <c r="AH17" s="236"/>
      <c r="AI17" s="237" t="n">
        <f aca="false">SUM(AI14:AI16)</f>
        <v>0.020361044176707</v>
      </c>
      <c r="AK17" s="234"/>
      <c r="AL17" s="235" t="n">
        <f aca="false">SUM(AL14:AL16)</f>
        <v>0.0134</v>
      </c>
      <c r="AN17" s="234"/>
      <c r="AO17" s="235" t="n">
        <f aca="false">SUM(AO14:AO16)</f>
        <v>0.337276288659794</v>
      </c>
      <c r="AQ17" s="234"/>
      <c r="AR17" s="235" t="n">
        <f aca="false">SUM(AR14:AR16)</f>
        <v>0.017</v>
      </c>
      <c r="AU17" s="25" t="s">
        <v>443</v>
      </c>
      <c r="AV17" s="25" t="n">
        <v>0.016</v>
      </c>
    </row>
    <row r="18" customFormat="false" ht="12.75" hidden="false" customHeight="false" outlineLevel="0" collapsed="false">
      <c r="A18" s="243" t="s">
        <v>129</v>
      </c>
      <c r="B18" s="201" t="s">
        <v>444</v>
      </c>
      <c r="C18" s="202"/>
      <c r="D18" s="25" t="s">
        <v>129</v>
      </c>
      <c r="E18" s="25" t="s">
        <v>445</v>
      </c>
      <c r="F18" s="203"/>
      <c r="G18" s="244" t="s">
        <v>404</v>
      </c>
      <c r="H18" s="245" t="s">
        <v>446</v>
      </c>
      <c r="I18" s="197"/>
      <c r="J18" s="206" t="s">
        <v>406</v>
      </c>
      <c r="K18" s="207" t="s">
        <v>447</v>
      </c>
      <c r="L18" s="197"/>
      <c r="M18" s="206" t="s">
        <v>406</v>
      </c>
      <c r="N18" s="207" t="s">
        <v>448</v>
      </c>
      <c r="O18" s="197"/>
      <c r="P18" s="246" t="s">
        <v>409</v>
      </c>
      <c r="Q18" s="247" t="s">
        <v>449</v>
      </c>
      <c r="R18" s="210"/>
      <c r="S18" s="243" t="s">
        <v>411</v>
      </c>
      <c r="T18" s="248" t="s">
        <v>450</v>
      </c>
      <c r="U18" s="202"/>
      <c r="V18" s="243" t="s">
        <v>413</v>
      </c>
      <c r="W18" s="248" t="s">
        <v>451</v>
      </c>
      <c r="X18" s="202"/>
      <c r="Y18" s="200" t="s">
        <v>41</v>
      </c>
      <c r="Z18" s="211" t="s">
        <v>452</v>
      </c>
      <c r="AQ18" s="73"/>
      <c r="AR18" s="73"/>
      <c r="AU18" s="25" t="s">
        <v>453</v>
      </c>
      <c r="AV18" s="199" t="n">
        <f aca="false">+AV12/(1-AV17)-AV12</f>
        <v>0.0329268292682925</v>
      </c>
    </row>
    <row r="19" customFormat="false" ht="12.75" hidden="false" customHeight="false" outlineLevel="0" collapsed="false">
      <c r="A19" s="215" t="s">
        <v>425</v>
      </c>
      <c r="B19" s="216" t="n">
        <v>0.0041</v>
      </c>
      <c r="C19" s="203"/>
      <c r="D19" s="215" t="s">
        <v>425</v>
      </c>
      <c r="E19" s="217" t="n">
        <v>0.0895</v>
      </c>
      <c r="F19" s="203"/>
      <c r="G19" s="218" t="s">
        <v>425</v>
      </c>
      <c r="H19" s="219" t="n">
        <v>0.0669</v>
      </c>
      <c r="I19" s="203"/>
      <c r="J19" s="220" t="s">
        <v>425</v>
      </c>
      <c r="K19" s="219" t="n">
        <v>0.0187</v>
      </c>
      <c r="L19" s="203"/>
      <c r="M19" s="220" t="s">
        <v>425</v>
      </c>
      <c r="N19" s="219" t="n">
        <v>0.6532</v>
      </c>
      <c r="O19" s="203"/>
      <c r="P19" s="221" t="s">
        <v>425</v>
      </c>
      <c r="Q19" s="222" t="n">
        <v>0.008</v>
      </c>
      <c r="R19" s="223"/>
      <c r="S19" s="215" t="s">
        <v>425</v>
      </c>
      <c r="T19" s="216" t="n">
        <v>0.0017</v>
      </c>
      <c r="U19" s="203"/>
      <c r="V19" s="215" t="s">
        <v>425</v>
      </c>
      <c r="W19" s="216" t="n">
        <v>0.1583</v>
      </c>
      <c r="X19" s="203"/>
      <c r="Y19" s="215" t="s">
        <v>425</v>
      </c>
      <c r="Z19" s="216" t="n">
        <f aca="false">0.1802+0.0189+0.0031</f>
        <v>0.2022</v>
      </c>
      <c r="AB19" s="212" t="s">
        <v>416</v>
      </c>
      <c r="AC19" s="213" t="s">
        <v>454</v>
      </c>
      <c r="AE19" s="204" t="s">
        <v>416</v>
      </c>
      <c r="AF19" s="205" t="s">
        <v>454</v>
      </c>
      <c r="AH19" s="134" t="s">
        <v>455</v>
      </c>
      <c r="AK19" s="200" t="s">
        <v>419</v>
      </c>
      <c r="AL19" s="211" t="s">
        <v>456</v>
      </c>
      <c r="AN19" s="200" t="s">
        <v>421</v>
      </c>
      <c r="AO19" s="211" t="s">
        <v>457</v>
      </c>
      <c r="AQ19" s="249"/>
      <c r="AR19" s="202"/>
      <c r="AU19" s="25" t="s">
        <v>458</v>
      </c>
      <c r="AV19" s="250" t="n">
        <f aca="false">+AV18+AV16+AV15+AV14</f>
        <v>0.0451268292682925</v>
      </c>
    </row>
    <row r="20" customFormat="false" ht="13.5" hidden="false" customHeight="false" outlineLevel="0" collapsed="false">
      <c r="A20" s="215" t="s">
        <v>103</v>
      </c>
      <c r="B20" s="216" t="n">
        <f aca="false">0.0022+0.0075+0.0131</f>
        <v>0.0228</v>
      </c>
      <c r="C20" s="203"/>
      <c r="D20" s="215" t="s">
        <v>103</v>
      </c>
      <c r="E20" s="217" t="n">
        <f aca="false">0.0075+0.0022+0.0131</f>
        <v>0.0228</v>
      </c>
      <c r="F20" s="226"/>
      <c r="G20" s="218" t="s">
        <v>103</v>
      </c>
      <c r="H20" s="219" t="n">
        <f aca="false">0.0022+0.0075+0.0225</f>
        <v>0.0322</v>
      </c>
      <c r="I20" s="203"/>
      <c r="J20" s="220" t="s">
        <v>103</v>
      </c>
      <c r="K20" s="219" t="n">
        <f aca="false">0.0022</f>
        <v>0.0022</v>
      </c>
      <c r="L20" s="203"/>
      <c r="M20" s="220" t="s">
        <v>103</v>
      </c>
      <c r="N20" s="219" t="n">
        <f aca="false">0.0022+0.0075</f>
        <v>0.0097</v>
      </c>
      <c r="O20" s="203"/>
      <c r="P20" s="221" t="s">
        <v>103</v>
      </c>
      <c r="Q20" s="222" t="n">
        <f aca="false">0.0022+0.0072</f>
        <v>0.0094</v>
      </c>
      <c r="R20" s="223"/>
      <c r="S20" s="215" t="s">
        <v>103</v>
      </c>
      <c r="T20" s="216" t="n">
        <v>0.0022</v>
      </c>
      <c r="U20" s="203"/>
      <c r="V20" s="215" t="s">
        <v>103</v>
      </c>
      <c r="W20" s="216" t="n">
        <f aca="false">0.0022+0.0075</f>
        <v>0.0097</v>
      </c>
      <c r="X20" s="203"/>
      <c r="Y20" s="215" t="s">
        <v>103</v>
      </c>
      <c r="Z20" s="216" t="n">
        <v>0.0022</v>
      </c>
      <c r="AB20" s="224" t="s">
        <v>425</v>
      </c>
      <c r="AC20" s="225" t="n">
        <v>0</v>
      </c>
      <c r="AE20" s="218" t="s">
        <v>425</v>
      </c>
      <c r="AF20" s="219" t="n">
        <v>0</v>
      </c>
      <c r="AH20" s="218" t="s">
        <v>425</v>
      </c>
      <c r="AI20" s="219" t="n">
        <v>0.0312</v>
      </c>
      <c r="AK20" s="215" t="s">
        <v>425</v>
      </c>
      <c r="AL20" s="216" t="n">
        <v>0.0054</v>
      </c>
      <c r="AN20" s="215" t="s">
        <v>425</v>
      </c>
      <c r="AO20" s="216" t="n">
        <v>0.0073</v>
      </c>
      <c r="AQ20" s="251"/>
      <c r="AR20" s="203"/>
      <c r="AU20" s="25" t="s">
        <v>459</v>
      </c>
      <c r="AV20" s="252"/>
      <c r="AX20" s="25" t="s">
        <v>460</v>
      </c>
    </row>
    <row r="21" customFormat="false" ht="13.5" hidden="false" customHeight="false" outlineLevel="0" collapsed="false">
      <c r="A21" s="215" t="s">
        <v>461</v>
      </c>
      <c r="B21" s="227" t="n">
        <f aca="false">B6/(1-0.0082)-B6</f>
        <v>0.0215789473684209</v>
      </c>
      <c r="C21" s="226"/>
      <c r="D21" s="215" t="s">
        <v>461</v>
      </c>
      <c r="E21" s="227" t="n">
        <f aca="false">(E6)/(1-0.0082)-E6</f>
        <v>0.0215789473684209</v>
      </c>
      <c r="F21" s="228"/>
      <c r="G21" s="218" t="s">
        <v>462</v>
      </c>
      <c r="H21" s="229" t="n">
        <f aca="false">(H3)/(1-0.0279)-H3</f>
        <v>0.0711778623598396</v>
      </c>
      <c r="I21" s="226"/>
      <c r="J21" s="220" t="s">
        <v>463</v>
      </c>
      <c r="K21" s="230" t="n">
        <f aca="false">(K5)/(1-0.0293)-K5</f>
        <v>0.0860255485731947</v>
      </c>
      <c r="L21" s="226"/>
      <c r="M21" s="220" t="s">
        <v>464</v>
      </c>
      <c r="N21" s="230" t="n">
        <f aca="false">(N5)/(1-0.1089)-N5</f>
        <v>0.348294243070363</v>
      </c>
      <c r="O21" s="226"/>
      <c r="P21" s="221" t="s">
        <v>432</v>
      </c>
      <c r="Q21" s="231" t="n">
        <f aca="false">+Q$3/(1-0.015)-Q$3</f>
        <v>0.0392131979695431</v>
      </c>
      <c r="R21" s="232"/>
      <c r="S21" s="215" t="s">
        <v>465</v>
      </c>
      <c r="T21" s="227" t="n">
        <f aca="false">+T3/(1-0.00593)-T3</f>
        <v>0.0165837415876147</v>
      </c>
      <c r="U21" s="226"/>
      <c r="V21" s="215" t="s">
        <v>434</v>
      </c>
      <c r="W21" s="227" t="n">
        <f aca="false">+W3/(1-0.02116)-W3</f>
        <v>0.0918740550038821</v>
      </c>
      <c r="X21" s="226"/>
      <c r="Y21" s="215" t="s">
        <v>435</v>
      </c>
      <c r="Z21" s="227" t="n">
        <f aca="false">(Z3)/(1-0.0228)-Z3</f>
        <v>0.0723291035611955</v>
      </c>
      <c r="AB21" s="224" t="s">
        <v>103</v>
      </c>
      <c r="AC21" s="225" t="n">
        <f aca="false">0.0022+0.0075</f>
        <v>0.0097</v>
      </c>
      <c r="AE21" s="218" t="s">
        <v>103</v>
      </c>
      <c r="AF21" s="219" t="n">
        <f aca="false">0.0022+0.0075</f>
        <v>0.0097</v>
      </c>
      <c r="AH21" s="218" t="s">
        <v>103</v>
      </c>
      <c r="AI21" s="219" t="n">
        <f aca="false">0.002+0.0075+0.0022</f>
        <v>0.0117</v>
      </c>
      <c r="AK21" s="215" t="s">
        <v>103</v>
      </c>
      <c r="AL21" s="216" t="n">
        <f aca="false">0.0022+0.0012+0.0075</f>
        <v>0.0109</v>
      </c>
      <c r="AN21" s="215" t="s">
        <v>103</v>
      </c>
      <c r="AO21" s="216" t="n">
        <f aca="false">0.0022+0.0075</f>
        <v>0.0097</v>
      </c>
      <c r="AQ21" s="251"/>
      <c r="AR21" s="203"/>
    </row>
    <row r="22" customFormat="false" ht="12.75" hidden="false" customHeight="false" outlineLevel="0" collapsed="false">
      <c r="A22" s="234" t="s">
        <v>1</v>
      </c>
      <c r="B22" s="235" t="n">
        <f aca="false">SUM(B19:B21)</f>
        <v>0.0484789473684209</v>
      </c>
      <c r="C22" s="228"/>
      <c r="D22" s="215"/>
      <c r="E22" s="235" t="n">
        <f aca="false">SUM(E19:E21)</f>
        <v>0.133878947368421</v>
      </c>
      <c r="F22" s="228"/>
      <c r="G22" s="236"/>
      <c r="H22" s="237" t="n">
        <f aca="false">SUM(H19:H21)</f>
        <v>0.17027786235984</v>
      </c>
      <c r="I22" s="228"/>
      <c r="J22" s="220"/>
      <c r="K22" s="237" t="n">
        <f aca="false">SUM(K19:K21)</f>
        <v>0.106925548573195</v>
      </c>
      <c r="L22" s="228"/>
      <c r="M22" s="220"/>
      <c r="N22" s="237" t="n">
        <f aca="false">SUM(N19:N21)</f>
        <v>1.01119424307036</v>
      </c>
      <c r="O22" s="228"/>
      <c r="P22" s="238"/>
      <c r="Q22" s="239" t="n">
        <f aca="false">SUM(Q19:Q21)</f>
        <v>0.0566131979695431</v>
      </c>
      <c r="R22" s="240"/>
      <c r="S22" s="234"/>
      <c r="T22" s="235" t="n">
        <f aca="false">SUM(T19:T21)</f>
        <v>0.0204837415876147</v>
      </c>
      <c r="U22" s="228"/>
      <c r="V22" s="234"/>
      <c r="W22" s="235" t="n">
        <f aca="false">SUM(W19:W21)</f>
        <v>0.259874055003882</v>
      </c>
      <c r="X22" s="228"/>
      <c r="Y22" s="234"/>
      <c r="Z22" s="235" t="n">
        <f aca="false">SUM(Z19:Z21)</f>
        <v>0.276729103561196</v>
      </c>
      <c r="AB22" s="224" t="s">
        <v>436</v>
      </c>
      <c r="AC22" s="233" t="n">
        <f aca="false">+AC3/(1-0.0041)-AC3</f>
        <v>0.0216136158248821</v>
      </c>
      <c r="AE22" s="218" t="s">
        <v>437</v>
      </c>
      <c r="AF22" s="230" t="n">
        <f aca="false">+AF3/(1-0.0111)-AF3</f>
        <v>0.0589291131560321</v>
      </c>
      <c r="AH22" s="218" t="s">
        <v>466</v>
      </c>
      <c r="AI22" s="230" t="n">
        <f aca="false">+AI3/(1-0.0337)-AI3</f>
        <v>0.0891063851805858</v>
      </c>
      <c r="AK22" s="215" t="s">
        <v>467</v>
      </c>
      <c r="AL22" s="227" t="n">
        <f aca="false">+AL3/(1-0.007)-AL3</f>
        <v>0.0289375629405839</v>
      </c>
      <c r="AN22" s="215" t="s">
        <v>440</v>
      </c>
      <c r="AO22" s="227" t="n">
        <f aca="false">+AO3/(1-0.03)-AO3</f>
        <v>0.0958762886597939</v>
      </c>
      <c r="AQ22" s="251"/>
      <c r="AR22" s="226"/>
    </row>
    <row r="23" customFormat="false" ht="12.75" hidden="false" customHeight="false" outlineLevel="0" collapsed="false">
      <c r="A23" s="243" t="s">
        <v>129</v>
      </c>
      <c r="B23" s="201" t="s">
        <v>468</v>
      </c>
      <c r="C23" s="202"/>
      <c r="D23" s="253" t="s">
        <v>129</v>
      </c>
      <c r="E23" s="235" t="s">
        <v>469</v>
      </c>
      <c r="F23" s="254"/>
      <c r="G23" s="244" t="s">
        <v>404</v>
      </c>
      <c r="H23" s="245" t="s">
        <v>470</v>
      </c>
      <c r="I23" s="228"/>
      <c r="J23" s="255" t="s">
        <v>406</v>
      </c>
      <c r="K23" s="256" t="s">
        <v>471</v>
      </c>
      <c r="L23" s="228"/>
      <c r="M23" s="206" t="s">
        <v>406</v>
      </c>
      <c r="N23" s="207" t="s">
        <v>472</v>
      </c>
      <c r="O23" s="228"/>
      <c r="P23" s="246" t="s">
        <v>409</v>
      </c>
      <c r="Q23" s="247" t="s">
        <v>473</v>
      </c>
      <c r="R23" s="210"/>
      <c r="S23" s="243" t="s">
        <v>411</v>
      </c>
      <c r="T23" s="248" t="s">
        <v>474</v>
      </c>
      <c r="U23" s="202"/>
      <c r="V23" s="243" t="s">
        <v>413</v>
      </c>
      <c r="W23" s="248" t="s">
        <v>475</v>
      </c>
      <c r="X23" s="202"/>
      <c r="Y23" s="202"/>
      <c r="Z23" s="202"/>
      <c r="AB23" s="241"/>
      <c r="AC23" s="242" t="n">
        <f aca="false">SUM(AC20:AC22)</f>
        <v>0.0313136158248821</v>
      </c>
      <c r="AE23" s="236"/>
      <c r="AF23" s="237" t="n">
        <f aca="false">SUM(AF20:AF22)</f>
        <v>0.0686291131560321</v>
      </c>
      <c r="AH23" s="236"/>
      <c r="AI23" s="237" t="n">
        <f aca="false">SUM(AI20:AI22)</f>
        <v>0.132006385180586</v>
      </c>
      <c r="AK23" s="234"/>
      <c r="AL23" s="235" t="n">
        <f aca="false">SUM(AL20:AL22)</f>
        <v>0.0452375629405839</v>
      </c>
      <c r="AN23" s="234"/>
      <c r="AO23" s="235" t="n">
        <f aca="false">SUM(AO20:AO22)</f>
        <v>0.112876288659794</v>
      </c>
      <c r="AQ23" s="73"/>
      <c r="AR23" s="228"/>
    </row>
    <row r="24" customFormat="false" ht="12.75" hidden="false" customHeight="false" outlineLevel="0" collapsed="false">
      <c r="A24" s="215" t="s">
        <v>425</v>
      </c>
      <c r="B24" s="216" t="n">
        <v>0.0061</v>
      </c>
      <c r="C24" s="203"/>
      <c r="D24" s="215" t="s">
        <v>425</v>
      </c>
      <c r="E24" s="217" t="n">
        <v>0.1234</v>
      </c>
      <c r="F24" s="254"/>
      <c r="G24" s="218" t="s">
        <v>425</v>
      </c>
      <c r="H24" s="219" t="n">
        <v>0.088</v>
      </c>
      <c r="I24" s="254"/>
      <c r="J24" s="220" t="s">
        <v>425</v>
      </c>
      <c r="K24" s="219" t="n">
        <v>0.0236</v>
      </c>
      <c r="L24" s="254"/>
      <c r="M24" s="220" t="s">
        <v>425</v>
      </c>
      <c r="N24" s="219" t="n">
        <v>0.4085</v>
      </c>
      <c r="O24" s="254"/>
      <c r="P24" s="221" t="s">
        <v>425</v>
      </c>
      <c r="Q24" s="222" t="n">
        <v>0.013</v>
      </c>
      <c r="R24" s="223"/>
      <c r="S24" s="215" t="s">
        <v>425</v>
      </c>
      <c r="T24" s="216" t="n">
        <v>0.017</v>
      </c>
      <c r="U24" s="203"/>
      <c r="V24" s="215" t="s">
        <v>425</v>
      </c>
      <c r="W24" s="216" t="n">
        <v>0.2228</v>
      </c>
      <c r="X24" s="203"/>
      <c r="Y24" s="200" t="s">
        <v>41</v>
      </c>
      <c r="Z24" s="211" t="s">
        <v>476</v>
      </c>
      <c r="AQ24" s="73"/>
      <c r="AR24" s="73"/>
    </row>
    <row r="25" customFormat="false" ht="12.75" hidden="false" customHeight="false" outlineLevel="0" collapsed="false">
      <c r="A25" s="215" t="s">
        <v>103</v>
      </c>
      <c r="B25" s="216" t="n">
        <f aca="false">0.0022+0.0075+0.0131</f>
        <v>0.0228</v>
      </c>
      <c r="C25" s="203"/>
      <c r="D25" s="215" t="s">
        <v>103</v>
      </c>
      <c r="E25" s="217" t="n">
        <f aca="false">0.0075+0.0022+0.0131</f>
        <v>0.0228</v>
      </c>
      <c r="F25" s="226"/>
      <c r="G25" s="218" t="s">
        <v>103</v>
      </c>
      <c r="H25" s="219" t="n">
        <f aca="false">0.0022+0.0075</f>
        <v>0.0097</v>
      </c>
      <c r="I25" s="254"/>
      <c r="J25" s="220" t="s">
        <v>103</v>
      </c>
      <c r="K25" s="219" t="n">
        <f aca="false">0.0022+0.0075</f>
        <v>0.0097</v>
      </c>
      <c r="L25" s="254"/>
      <c r="M25" s="220" t="s">
        <v>103</v>
      </c>
      <c r="N25" s="219" t="n">
        <f aca="false">0.0022+0.0075</f>
        <v>0.0097</v>
      </c>
      <c r="O25" s="254"/>
      <c r="P25" s="221" t="s">
        <v>103</v>
      </c>
      <c r="Q25" s="222" t="n">
        <f aca="false">0.0022+0.0072</f>
        <v>0.0094</v>
      </c>
      <c r="R25" s="223"/>
      <c r="S25" s="215" t="s">
        <v>103</v>
      </c>
      <c r="T25" s="216" t="n">
        <v>0.0022</v>
      </c>
      <c r="U25" s="203"/>
      <c r="V25" s="215" t="s">
        <v>103</v>
      </c>
      <c r="W25" s="216" t="n">
        <f aca="false">0.0022+0.0075</f>
        <v>0.0097</v>
      </c>
      <c r="X25" s="203"/>
      <c r="Y25" s="215" t="s">
        <v>425</v>
      </c>
      <c r="Z25" s="216" t="n">
        <v>0.15</v>
      </c>
      <c r="AH25" s="134" t="s">
        <v>477</v>
      </c>
      <c r="AK25" s="200" t="s">
        <v>419</v>
      </c>
      <c r="AL25" s="211" t="s">
        <v>478</v>
      </c>
      <c r="AN25" s="200" t="s">
        <v>421</v>
      </c>
      <c r="AO25" s="211" t="s">
        <v>479</v>
      </c>
      <c r="AQ25" s="249"/>
      <c r="AR25" s="202"/>
    </row>
    <row r="26" customFormat="false" ht="12.75" hidden="false" customHeight="false" outlineLevel="0" collapsed="false">
      <c r="A26" s="215" t="s">
        <v>480</v>
      </c>
      <c r="B26" s="227" t="n">
        <f aca="false">B6/(1-0.0127)-B6</f>
        <v>0.0335733819507751</v>
      </c>
      <c r="C26" s="226"/>
      <c r="D26" s="215" t="s">
        <v>480</v>
      </c>
      <c r="E26" s="227" t="n">
        <f aca="false">E6/(1-0.0127)-E6</f>
        <v>0.0335733819507751</v>
      </c>
      <c r="F26" s="228"/>
      <c r="G26" s="218" t="s">
        <v>481</v>
      </c>
      <c r="H26" s="229" t="n">
        <f aca="false">(H3)/(1-0.0516)-H3</f>
        <v>0.13493040911008</v>
      </c>
      <c r="I26" s="226"/>
      <c r="J26" s="220" t="s">
        <v>482</v>
      </c>
      <c r="K26" s="230" t="n">
        <f aca="false">(K5)/(1-0.0428)-K5</f>
        <v>0.127434183033849</v>
      </c>
      <c r="L26" s="226"/>
      <c r="M26" s="220" t="s">
        <v>483</v>
      </c>
      <c r="N26" s="230" t="n">
        <f aca="false">(N4)/(1-0.0812)-N4</f>
        <v>0.243918154114062</v>
      </c>
      <c r="O26" s="226"/>
      <c r="P26" s="221" t="s">
        <v>484</v>
      </c>
      <c r="Q26" s="231" t="n">
        <f aca="false">+Q$3/(1-0.023)-Q$3</f>
        <v>0.0606192425793246</v>
      </c>
      <c r="R26" s="232"/>
      <c r="S26" s="215" t="s">
        <v>485</v>
      </c>
      <c r="T26" s="227" t="n">
        <f aca="false">+T4/(1-0.02988)-T4</f>
        <v>0.0877808930853914</v>
      </c>
      <c r="U26" s="226"/>
      <c r="V26" s="215" t="s">
        <v>434</v>
      </c>
      <c r="W26" s="227" t="n">
        <f aca="false">+W3/(1-0.02116)-W3</f>
        <v>0.0918740550038821</v>
      </c>
      <c r="X26" s="226"/>
      <c r="Y26" s="215" t="s">
        <v>103</v>
      </c>
      <c r="Z26" s="216" t="n">
        <v>0.0022</v>
      </c>
      <c r="AH26" s="218" t="s">
        <v>425</v>
      </c>
      <c r="AI26" s="219" t="n">
        <v>0.0284</v>
      </c>
      <c r="AK26" s="215" t="s">
        <v>425</v>
      </c>
      <c r="AL26" s="216" t="n">
        <v>0.4693</v>
      </c>
      <c r="AN26" s="215" t="s">
        <v>425</v>
      </c>
      <c r="AO26" s="216" t="n">
        <v>0.1228</v>
      </c>
      <c r="AQ26" s="251"/>
      <c r="AR26" s="203"/>
    </row>
    <row r="27" customFormat="false" ht="12.75" hidden="false" customHeight="false" outlineLevel="0" collapsed="false">
      <c r="A27" s="234"/>
      <c r="B27" s="235" t="n">
        <f aca="false">SUM(B24:B26)</f>
        <v>0.0624733819507751</v>
      </c>
      <c r="C27" s="228"/>
      <c r="D27" s="215"/>
      <c r="E27" s="235" t="n">
        <f aca="false">SUM(E24:E26)</f>
        <v>0.179773381950775</v>
      </c>
      <c r="F27" s="202"/>
      <c r="G27" s="236"/>
      <c r="H27" s="237" t="n">
        <f aca="false">SUM(H24:H26)</f>
        <v>0.23263040911008</v>
      </c>
      <c r="I27" s="228"/>
      <c r="J27" s="220"/>
      <c r="K27" s="237" t="n">
        <f aca="false">SUM(K24:K26)</f>
        <v>0.160734183033849</v>
      </c>
      <c r="L27" s="228"/>
      <c r="M27" s="220"/>
      <c r="N27" s="237" t="n">
        <f aca="false">SUM(N24:N26)</f>
        <v>0.662118154114062</v>
      </c>
      <c r="O27" s="228"/>
      <c r="P27" s="238"/>
      <c r="Q27" s="239" t="n">
        <f aca="false">SUM(Q24:Q26)</f>
        <v>0.0830192425793246</v>
      </c>
      <c r="R27" s="240"/>
      <c r="S27" s="234"/>
      <c r="T27" s="235" t="n">
        <f aca="false">SUM(T24:T26)</f>
        <v>0.106980893085391</v>
      </c>
      <c r="U27" s="228"/>
      <c r="V27" s="234"/>
      <c r="W27" s="235" t="n">
        <f aca="false">SUM(W24:W26)</f>
        <v>0.324374055003882</v>
      </c>
      <c r="X27" s="228"/>
      <c r="Y27" s="215" t="s">
        <v>435</v>
      </c>
      <c r="Z27" s="227" t="n">
        <f aca="false">(Z3)/(1-0.0228)-Z3</f>
        <v>0.0723291035611955</v>
      </c>
      <c r="AH27" s="218" t="s">
        <v>103</v>
      </c>
      <c r="AI27" s="219" t="n">
        <f aca="false">0.002+0.0075+0.0022</f>
        <v>0.0117</v>
      </c>
      <c r="AK27" s="215" t="s">
        <v>103</v>
      </c>
      <c r="AL27" s="216" t="n">
        <f aca="false">0.0022+0.0012+0.0075</f>
        <v>0.0109</v>
      </c>
      <c r="AN27" s="215" t="s">
        <v>103</v>
      </c>
      <c r="AO27" s="216" t="n">
        <v>0</v>
      </c>
      <c r="AQ27" s="251"/>
      <c r="AR27" s="203"/>
    </row>
    <row r="28" customFormat="false" ht="12.75" hidden="false" customHeight="false" outlineLevel="0" collapsed="false">
      <c r="A28" s="200" t="s">
        <v>129</v>
      </c>
      <c r="B28" s="201" t="s">
        <v>486</v>
      </c>
      <c r="D28" s="25" t="s">
        <v>129</v>
      </c>
      <c r="E28" s="25" t="s">
        <v>487</v>
      </c>
      <c r="F28" s="203"/>
      <c r="G28" s="244" t="s">
        <v>404</v>
      </c>
      <c r="H28" s="257" t="s">
        <v>488</v>
      </c>
      <c r="I28" s="202"/>
      <c r="J28" s="206" t="s">
        <v>406</v>
      </c>
      <c r="K28" s="207" t="s">
        <v>489</v>
      </c>
      <c r="L28" s="202"/>
      <c r="M28" s="206" t="s">
        <v>406</v>
      </c>
      <c r="N28" s="207" t="s">
        <v>490</v>
      </c>
      <c r="O28" s="202"/>
      <c r="P28" s="246" t="s">
        <v>409</v>
      </c>
      <c r="Q28" s="247" t="s">
        <v>491</v>
      </c>
      <c r="S28" s="200" t="s">
        <v>411</v>
      </c>
      <c r="T28" s="211" t="s">
        <v>492</v>
      </c>
      <c r="V28" s="200" t="s">
        <v>413</v>
      </c>
      <c r="W28" s="211" t="s">
        <v>493</v>
      </c>
      <c r="Y28" s="234"/>
      <c r="Z28" s="235" t="n">
        <f aca="false">SUM(Z25:Z27)</f>
        <v>0.224529103561196</v>
      </c>
      <c r="AH28" s="218" t="s">
        <v>466</v>
      </c>
      <c r="AI28" s="230" t="n">
        <f aca="false">+AI3/(1-0.0337)-AI3</f>
        <v>0.0891063851805858</v>
      </c>
      <c r="AK28" s="215" t="s">
        <v>467</v>
      </c>
      <c r="AL28" s="227" t="n">
        <f aca="false">+AL3/(1-0.007)-AL3</f>
        <v>0.0289375629405839</v>
      </c>
      <c r="AN28" s="215" t="s">
        <v>494</v>
      </c>
      <c r="AO28" s="227" t="n">
        <f aca="false">+AO3/(1-0.05)-AO3</f>
        <v>0.163157894736842</v>
      </c>
      <c r="AQ28" s="251"/>
      <c r="AR28" s="226"/>
    </row>
    <row r="29" customFormat="false" ht="12.75" hidden="false" customHeight="false" outlineLevel="0" collapsed="false">
      <c r="A29" s="215" t="s">
        <v>425</v>
      </c>
      <c r="B29" s="216" t="n">
        <v>0.0142</v>
      </c>
      <c r="D29" s="215" t="s">
        <v>425</v>
      </c>
      <c r="E29" s="217" t="n">
        <v>0.2486</v>
      </c>
      <c r="F29" s="203"/>
      <c r="G29" s="236" t="s">
        <v>425</v>
      </c>
      <c r="H29" s="219" t="n">
        <v>0.0978</v>
      </c>
      <c r="I29" s="203"/>
      <c r="J29" s="220" t="s">
        <v>425</v>
      </c>
      <c r="K29" s="219" t="n">
        <v>0.0692</v>
      </c>
      <c r="L29" s="203"/>
      <c r="M29" s="220" t="s">
        <v>425</v>
      </c>
      <c r="N29" s="219" t="n">
        <v>0.5093</v>
      </c>
      <c r="O29" s="203"/>
      <c r="P29" s="221" t="s">
        <v>425</v>
      </c>
      <c r="Q29" s="222" t="n">
        <v>0.021</v>
      </c>
      <c r="S29" s="215" t="s">
        <v>425</v>
      </c>
      <c r="T29" s="216" t="n">
        <v>0.088</v>
      </c>
      <c r="V29" s="215" t="s">
        <v>425</v>
      </c>
      <c r="W29" s="216" t="s">
        <v>495</v>
      </c>
      <c r="Y29" s="203" t="s">
        <v>1</v>
      </c>
      <c r="Z29" s="203" t="s">
        <v>1</v>
      </c>
      <c r="AH29" s="236"/>
      <c r="AI29" s="237" t="n">
        <f aca="false">SUM(AI26:AI28)</f>
        <v>0.129206385180586</v>
      </c>
      <c r="AK29" s="234"/>
      <c r="AL29" s="235" t="n">
        <f aca="false">SUM(AL26:AL28)</f>
        <v>0.509137562940584</v>
      </c>
      <c r="AN29" s="234"/>
      <c r="AO29" s="235" t="n">
        <f aca="false">SUM(AO26:AO28)</f>
        <v>0.285957894736842</v>
      </c>
      <c r="AQ29" s="73"/>
      <c r="AR29" s="228"/>
    </row>
    <row r="30" customFormat="false" ht="12.75" hidden="false" customHeight="false" outlineLevel="0" collapsed="false">
      <c r="A30" s="215" t="s">
        <v>103</v>
      </c>
      <c r="B30" s="216" t="n">
        <f aca="false">0.0022+0.0075+0.0131</f>
        <v>0.0228</v>
      </c>
      <c r="C30" s="254"/>
      <c r="D30" s="215" t="s">
        <v>103</v>
      </c>
      <c r="E30" s="217" t="n">
        <f aca="false">0.0075+0.0131+0.0022</f>
        <v>0.0228</v>
      </c>
      <c r="F30" s="226"/>
      <c r="G30" s="236" t="s">
        <v>103</v>
      </c>
      <c r="H30" s="219" t="n">
        <f aca="false">0.0022</f>
        <v>0.0022</v>
      </c>
      <c r="I30" s="203"/>
      <c r="J30" s="220" t="s">
        <v>103</v>
      </c>
      <c r="K30" s="219" t="n">
        <f aca="false">0.0022+0.0075</f>
        <v>0.0097</v>
      </c>
      <c r="L30" s="203"/>
      <c r="M30" s="220" t="s">
        <v>103</v>
      </c>
      <c r="N30" s="219" t="n">
        <f aca="false">0.0022+0.0075</f>
        <v>0.0097</v>
      </c>
      <c r="O30" s="203"/>
      <c r="P30" s="221" t="s">
        <v>103</v>
      </c>
      <c r="Q30" s="222" t="n">
        <f aca="false">0.0022+0.0072</f>
        <v>0.0094</v>
      </c>
      <c r="R30" s="258"/>
      <c r="S30" s="215" t="s">
        <v>103</v>
      </c>
      <c r="T30" s="216" t="n">
        <v>0.0022</v>
      </c>
      <c r="U30" s="254"/>
      <c r="V30" s="215" t="s">
        <v>103</v>
      </c>
      <c r="W30" s="216" t="n">
        <v>0</v>
      </c>
      <c r="X30" s="254"/>
      <c r="Y30" s="203" t="s">
        <v>1</v>
      </c>
      <c r="Z30" s="203" t="s">
        <v>1</v>
      </c>
      <c r="AO30" s="259"/>
      <c r="AQ30" s="73"/>
      <c r="AR30" s="259"/>
    </row>
    <row r="31" customFormat="false" ht="12.75" hidden="false" customHeight="false" outlineLevel="0" collapsed="false">
      <c r="A31" s="215" t="s">
        <v>496</v>
      </c>
      <c r="B31" s="227" t="n">
        <f aca="false">B6/(1-0.032)-B6</f>
        <v>0.0862809917355372</v>
      </c>
      <c r="C31" s="226"/>
      <c r="D31" s="215" t="s">
        <v>496</v>
      </c>
      <c r="E31" s="227" t="n">
        <f aca="false">+E6/(1-0.032)-E6</f>
        <v>0.0862809917355372</v>
      </c>
      <c r="F31" s="228"/>
      <c r="G31" s="236" t="s">
        <v>497</v>
      </c>
      <c r="H31" s="229" t="n">
        <f aca="false">(H3)/(1-0.0588)-H3</f>
        <v>0.154934126646834</v>
      </c>
      <c r="I31" s="226"/>
      <c r="J31" s="220" t="s">
        <v>498</v>
      </c>
      <c r="K31" s="230" t="n">
        <f aca="false">(K5)/(1-0.0677)-K5</f>
        <v>0.206955915477851</v>
      </c>
      <c r="L31" s="226"/>
      <c r="M31" s="220" t="s">
        <v>499</v>
      </c>
      <c r="N31" s="230" t="n">
        <f aca="false">(N4)/(1-0.0975)-N4</f>
        <v>0.298171745152354</v>
      </c>
      <c r="O31" s="226"/>
      <c r="P31" s="221" t="s">
        <v>500</v>
      </c>
      <c r="Q31" s="231" t="n">
        <f aca="false">+Q$3/(1-0.026)-Q$3</f>
        <v>0.0687371663244356</v>
      </c>
      <c r="R31" s="232"/>
      <c r="S31" s="215" t="s">
        <v>433</v>
      </c>
      <c r="T31" s="227" t="n">
        <f aca="false">(+T3-0.108)/(1-0.00507)-(T3-0.108)</f>
        <v>0.0136160734926074</v>
      </c>
      <c r="U31" s="226"/>
      <c r="V31" s="215" t="s">
        <v>434</v>
      </c>
      <c r="W31" s="227" t="n">
        <f aca="false">+W3/(1-0.02116)-W3</f>
        <v>0.0918740550038821</v>
      </c>
      <c r="X31" s="226"/>
      <c r="Y31" s="226"/>
      <c r="Z31" s="226"/>
      <c r="AH31" s="134" t="s">
        <v>501</v>
      </c>
      <c r="AK31" s="200" t="s">
        <v>419</v>
      </c>
      <c r="AL31" s="211" t="s">
        <v>502</v>
      </c>
      <c r="AO31" s="259"/>
      <c r="AR31" s="259"/>
    </row>
    <row r="32" customFormat="false" ht="12.75" hidden="false" customHeight="false" outlineLevel="0" collapsed="false">
      <c r="A32" s="234"/>
      <c r="B32" s="235" t="n">
        <f aca="false">SUM(B29:B31)</f>
        <v>0.123280991735537</v>
      </c>
      <c r="C32" s="228"/>
      <c r="D32" s="215"/>
      <c r="E32" s="235" t="n">
        <f aca="false">SUM(E29:E31)</f>
        <v>0.357680991735537</v>
      </c>
      <c r="F32" s="202"/>
      <c r="G32" s="236"/>
      <c r="H32" s="237" t="n">
        <f aca="false">SUM(H29:H31)</f>
        <v>0.254934126646834</v>
      </c>
      <c r="I32" s="228"/>
      <c r="J32" s="220"/>
      <c r="K32" s="237" t="n">
        <f aca="false">SUM(K29:K31)</f>
        <v>0.285855915477851</v>
      </c>
      <c r="L32" s="228"/>
      <c r="M32" s="220"/>
      <c r="N32" s="237" t="n">
        <f aca="false">SUM(N29:N31)</f>
        <v>0.817171745152355</v>
      </c>
      <c r="O32" s="228"/>
      <c r="P32" s="238"/>
      <c r="Q32" s="239" t="n">
        <f aca="false">SUM(Q29:Q31)</f>
        <v>0.0991371663244356</v>
      </c>
      <c r="R32" s="240"/>
      <c r="S32" s="234"/>
      <c r="T32" s="235" t="n">
        <f aca="false">SUM(T29:T31)</f>
        <v>0.103816073492607</v>
      </c>
      <c r="U32" s="228"/>
      <c r="V32" s="234"/>
      <c r="W32" s="235" t="n">
        <f aca="false">SUM(W29:W31)</f>
        <v>0.0918740550038821</v>
      </c>
      <c r="X32" s="228"/>
      <c r="Y32" s="228"/>
      <c r="Z32" s="228"/>
      <c r="AH32" s="218" t="s">
        <v>425</v>
      </c>
      <c r="AI32" s="219" t="n">
        <v>0.0161</v>
      </c>
      <c r="AK32" s="215" t="s">
        <v>425</v>
      </c>
      <c r="AL32" s="216" t="n">
        <v>0.18</v>
      </c>
      <c r="AN32" s="260"/>
      <c r="AQ32" s="260"/>
    </row>
    <row r="33" customFormat="false" ht="12.75" hidden="false" customHeight="false" outlineLevel="0" collapsed="false">
      <c r="A33" s="200" t="s">
        <v>129</v>
      </c>
      <c r="B33" s="201" t="s">
        <v>503</v>
      </c>
      <c r="C33" s="202"/>
      <c r="D33" s="25" t="s">
        <v>129</v>
      </c>
      <c r="E33" s="25" t="s">
        <v>504</v>
      </c>
      <c r="F33" s="203"/>
      <c r="G33" s="244" t="s">
        <v>404</v>
      </c>
      <c r="H33" s="257" t="s">
        <v>505</v>
      </c>
      <c r="I33" s="202"/>
      <c r="J33" s="206" t="s">
        <v>406</v>
      </c>
      <c r="K33" s="207" t="s">
        <v>408</v>
      </c>
      <c r="L33" s="202"/>
      <c r="M33" s="206" t="s">
        <v>406</v>
      </c>
      <c r="N33" s="207" t="s">
        <v>506</v>
      </c>
      <c r="O33" s="202"/>
      <c r="P33" s="261"/>
      <c r="Q33" s="210"/>
      <c r="R33" s="210"/>
      <c r="S33" s="243" t="s">
        <v>411</v>
      </c>
      <c r="T33" s="248" t="s">
        <v>507</v>
      </c>
      <c r="U33" s="202"/>
      <c r="V33" s="243"/>
      <c r="W33" s="248"/>
      <c r="X33" s="202"/>
      <c r="Y33" s="202"/>
      <c r="Z33" s="202"/>
      <c r="AH33" s="218" t="s">
        <v>103</v>
      </c>
      <c r="AI33" s="219" t="n">
        <f aca="false">0.002+0.0075+0.0022</f>
        <v>0.0117</v>
      </c>
      <c r="AK33" s="215" t="s">
        <v>103</v>
      </c>
      <c r="AL33" s="216" t="n">
        <f aca="false">0.0022+0.0012</f>
        <v>0.0034</v>
      </c>
      <c r="AN33" s="262"/>
      <c r="AO33" s="259"/>
      <c r="AQ33" s="262"/>
      <c r="AR33" s="259"/>
    </row>
    <row r="34" customFormat="false" ht="12.75" hidden="false" customHeight="false" outlineLevel="0" collapsed="false">
      <c r="A34" s="215" t="s">
        <v>425</v>
      </c>
      <c r="B34" s="216" t="n">
        <v>0.0224</v>
      </c>
      <c r="C34" s="203"/>
      <c r="D34" s="215" t="s">
        <v>425</v>
      </c>
      <c r="E34" s="217" t="n">
        <v>0.0689</v>
      </c>
      <c r="F34" s="203"/>
      <c r="G34" s="236" t="s">
        <v>425</v>
      </c>
      <c r="H34" s="219" t="n">
        <v>0.1118</v>
      </c>
      <c r="I34" s="203"/>
      <c r="J34" s="220" t="s">
        <v>425</v>
      </c>
      <c r="K34" s="219" t="n">
        <v>0.087</v>
      </c>
      <c r="L34" s="203"/>
      <c r="M34" s="220" t="s">
        <v>425</v>
      </c>
      <c r="N34" s="219" t="n">
        <v>0.3904</v>
      </c>
      <c r="O34" s="203"/>
      <c r="P34" s="263"/>
      <c r="Q34" s="223"/>
      <c r="R34" s="223"/>
      <c r="S34" s="215" t="s">
        <v>425</v>
      </c>
      <c r="T34" s="216" t="n">
        <v>0.0366</v>
      </c>
      <c r="U34" s="203"/>
      <c r="V34" s="215"/>
      <c r="W34" s="216"/>
      <c r="X34" s="203"/>
      <c r="Y34" s="203"/>
      <c r="Z34" s="203"/>
      <c r="AH34" s="218" t="s">
        <v>508</v>
      </c>
      <c r="AI34" s="230" t="n">
        <f aca="false">+AI3/(1-0.0213)-AI3</f>
        <v>0.0556059057933993</v>
      </c>
      <c r="AK34" s="215" t="s">
        <v>467</v>
      </c>
      <c r="AL34" s="227" t="n">
        <f aca="false">+AL3/(1-0.002)-AL3</f>
        <v>0.00822645290581203</v>
      </c>
      <c r="AO34" s="259"/>
      <c r="AR34" s="259"/>
    </row>
    <row r="35" customFormat="false" ht="12.75" hidden="false" customHeight="false" outlineLevel="0" collapsed="false">
      <c r="A35" s="215" t="s">
        <v>103</v>
      </c>
      <c r="B35" s="216" t="n">
        <f aca="false">0.0022+0.0075+0.0131</f>
        <v>0.0228</v>
      </c>
      <c r="C35" s="203"/>
      <c r="D35" s="215" t="s">
        <v>103</v>
      </c>
      <c r="E35" s="217" t="n">
        <v>0</v>
      </c>
      <c r="F35" s="226"/>
      <c r="G35" s="236" t="s">
        <v>103</v>
      </c>
      <c r="H35" s="219" t="n">
        <f aca="false">0.0022+0.0075</f>
        <v>0.0097</v>
      </c>
      <c r="I35" s="203"/>
      <c r="J35" s="220" t="s">
        <v>103</v>
      </c>
      <c r="K35" s="219" t="n">
        <f aca="false">0.0022+0.0075</f>
        <v>0.0097</v>
      </c>
      <c r="L35" s="203"/>
      <c r="M35" s="220" t="s">
        <v>103</v>
      </c>
      <c r="N35" s="219" t="n">
        <f aca="false">0.0022+0.0075</f>
        <v>0.0097</v>
      </c>
      <c r="O35" s="203"/>
      <c r="P35" s="263"/>
      <c r="Q35" s="223"/>
      <c r="R35" s="223"/>
      <c r="S35" s="215" t="s">
        <v>103</v>
      </c>
      <c r="T35" s="216" t="n">
        <v>0.0022</v>
      </c>
      <c r="U35" s="203"/>
      <c r="V35" s="215" t="s">
        <v>509</v>
      </c>
      <c r="W35" s="216"/>
      <c r="X35" s="203"/>
      <c r="Y35" s="203"/>
      <c r="Z35" s="203"/>
      <c r="AH35" s="236"/>
      <c r="AI35" s="237" t="n">
        <f aca="false">SUM(AI32:AI34)</f>
        <v>0.0834059057933993</v>
      </c>
      <c r="AK35" s="234"/>
      <c r="AL35" s="235" t="n">
        <f aca="false">SUM(AL32:AL34)</f>
        <v>0.191626452905812</v>
      </c>
      <c r="AO35" s="259"/>
      <c r="AR35" s="259"/>
    </row>
    <row r="36" customFormat="false" ht="12.75" hidden="false" customHeight="false" outlineLevel="0" collapsed="false">
      <c r="A36" s="215" t="s">
        <v>510</v>
      </c>
      <c r="B36" s="227" t="n">
        <f aca="false">B6/(1-0.0472)-B6</f>
        <v>0.129294710327456</v>
      </c>
      <c r="C36" s="226"/>
      <c r="D36" s="215" t="s">
        <v>511</v>
      </c>
      <c r="E36" s="227" t="n">
        <f aca="false">+E5/(1-0.0047)-E5</f>
        <v>0.0122777052145082</v>
      </c>
      <c r="F36" s="228"/>
      <c r="G36" s="236" t="s">
        <v>512</v>
      </c>
      <c r="H36" s="229" t="n">
        <f aca="false">(H3)/(1-0.0679)-H3</f>
        <v>0.180658727604334</v>
      </c>
      <c r="I36" s="226"/>
      <c r="J36" s="220" t="s">
        <v>431</v>
      </c>
      <c r="K36" s="230" t="n">
        <f aca="false">(K5)/(1-0.0926)-K5</f>
        <v>0.290841966056866</v>
      </c>
      <c r="L36" s="226"/>
      <c r="M36" s="220" t="s">
        <v>513</v>
      </c>
      <c r="N36" s="230" t="n">
        <f aca="false">(N3)/(1-0.0761)-N3</f>
        <v>0.247104665007035</v>
      </c>
      <c r="O36" s="226"/>
      <c r="P36" s="263"/>
      <c r="Q36" s="232"/>
      <c r="R36" s="232"/>
      <c r="S36" s="215" t="s">
        <v>465</v>
      </c>
      <c r="T36" s="227" t="n">
        <f aca="false">T3/(1-0.00593)-T3</f>
        <v>0.0165837415876147</v>
      </c>
      <c r="U36" s="226"/>
      <c r="V36" s="215"/>
      <c r="W36" s="227"/>
      <c r="X36" s="226"/>
      <c r="Y36" s="226"/>
      <c r="Z36" s="226"/>
      <c r="AL36" s="264" t="n">
        <f aca="false">SUM(AL35,AL3)</f>
        <v>4.29662645290581</v>
      </c>
    </row>
    <row r="37" customFormat="false" ht="12.75" hidden="false" customHeight="false" outlineLevel="0" collapsed="false">
      <c r="A37" s="234"/>
      <c r="B37" s="235" t="n">
        <f aca="false">SUM(B34:B36)</f>
        <v>0.174494710327456</v>
      </c>
      <c r="C37" s="228"/>
      <c r="D37" s="215"/>
      <c r="E37" s="235" t="n">
        <f aca="false">SUM(E34:E36)</f>
        <v>0.0811777052145082</v>
      </c>
      <c r="F37" s="202"/>
      <c r="G37" s="236"/>
      <c r="H37" s="237" t="n">
        <f aca="false">SUM(H34:H36)</f>
        <v>0.302158727604334</v>
      </c>
      <c r="I37" s="228"/>
      <c r="J37" s="220"/>
      <c r="K37" s="237" t="n">
        <f aca="false">SUM(K34:K36)</f>
        <v>0.387541966056866</v>
      </c>
      <c r="L37" s="228"/>
      <c r="M37" s="220"/>
      <c r="N37" s="237" t="n">
        <f aca="false">SUM(N34:N36)</f>
        <v>0.647204665007035</v>
      </c>
      <c r="O37" s="228"/>
      <c r="P37" s="265"/>
      <c r="Q37" s="266"/>
      <c r="R37" s="240"/>
      <c r="S37" s="234"/>
      <c r="T37" s="267" t="n">
        <f aca="false">SUM(T34:T36)</f>
        <v>0.0553837415876147</v>
      </c>
      <c r="U37" s="228"/>
      <c r="V37" s="234" t="s">
        <v>514</v>
      </c>
      <c r="W37" s="235"/>
      <c r="X37" s="228"/>
      <c r="Y37" s="228"/>
      <c r="Z37" s="228"/>
      <c r="AH37" s="134" t="s">
        <v>515</v>
      </c>
      <c r="AK37" s="200" t="s">
        <v>419</v>
      </c>
      <c r="AL37" s="211" t="s">
        <v>516</v>
      </c>
      <c r="AN37" s="260"/>
      <c r="AQ37" s="260"/>
    </row>
    <row r="38" customFormat="false" ht="12.75" hidden="false" customHeight="false" outlineLevel="0" collapsed="false">
      <c r="A38" s="243" t="s">
        <v>129</v>
      </c>
      <c r="B38" s="201" t="s">
        <v>517</v>
      </c>
      <c r="C38" s="202"/>
      <c r="D38" s="253" t="s">
        <v>129</v>
      </c>
      <c r="E38" s="235" t="s">
        <v>518</v>
      </c>
      <c r="F38" s="203"/>
      <c r="G38" s="244" t="s">
        <v>404</v>
      </c>
      <c r="H38" s="257" t="s">
        <v>519</v>
      </c>
      <c r="I38" s="202"/>
      <c r="J38" s="206" t="s">
        <v>406</v>
      </c>
      <c r="K38" s="207" t="s">
        <v>448</v>
      </c>
      <c r="L38" s="202"/>
      <c r="M38" s="206" t="s">
        <v>406</v>
      </c>
      <c r="N38" s="207" t="s">
        <v>520</v>
      </c>
      <c r="O38" s="202"/>
      <c r="P38" s="261"/>
      <c r="Q38" s="210"/>
      <c r="R38" s="210"/>
      <c r="S38" s="243" t="s">
        <v>411</v>
      </c>
      <c r="T38" s="248" t="s">
        <v>521</v>
      </c>
      <c r="U38" s="202"/>
      <c r="V38" s="243" t="s">
        <v>522</v>
      </c>
      <c r="W38" s="248"/>
      <c r="X38" s="202"/>
      <c r="Y38" s="202"/>
      <c r="Z38" s="202"/>
      <c r="AH38" s="218" t="s">
        <v>425</v>
      </c>
      <c r="AI38" s="219" t="n">
        <v>0.0059</v>
      </c>
      <c r="AK38" s="215" t="s">
        <v>425</v>
      </c>
      <c r="AL38" s="216" t="n">
        <v>0.07</v>
      </c>
      <c r="AN38" s="262"/>
      <c r="AO38" s="259"/>
      <c r="AQ38" s="262"/>
      <c r="AR38" s="259"/>
    </row>
    <row r="39" customFormat="false" ht="12.75" hidden="false" customHeight="false" outlineLevel="0" collapsed="false">
      <c r="A39" s="215" t="s">
        <v>425</v>
      </c>
      <c r="B39" s="216" t="n">
        <v>0.0261</v>
      </c>
      <c r="C39" s="203"/>
      <c r="D39" s="215" t="s">
        <v>425</v>
      </c>
      <c r="E39" s="217" t="n">
        <v>0.1028</v>
      </c>
      <c r="F39" s="203"/>
      <c r="G39" s="236" t="s">
        <v>425</v>
      </c>
      <c r="H39" s="219" t="n">
        <v>0.1231</v>
      </c>
      <c r="I39" s="203"/>
      <c r="J39" s="220" t="s">
        <v>425</v>
      </c>
      <c r="K39" s="219" t="n">
        <v>0.0994</v>
      </c>
      <c r="L39" s="203"/>
      <c r="M39" s="220" t="s">
        <v>425</v>
      </c>
      <c r="N39" s="219" t="n">
        <v>0.4912</v>
      </c>
      <c r="O39" s="203"/>
      <c r="P39" s="263"/>
      <c r="Q39" s="223"/>
      <c r="R39" s="223"/>
      <c r="S39" s="215" t="s">
        <v>425</v>
      </c>
      <c r="T39" s="216" t="n">
        <v>0.1204</v>
      </c>
      <c r="U39" s="203"/>
      <c r="V39" s="215"/>
      <c r="W39" s="216"/>
      <c r="X39" s="203"/>
      <c r="Y39" s="203"/>
      <c r="Z39" s="203"/>
      <c r="AH39" s="218" t="s">
        <v>103</v>
      </c>
      <c r="AI39" s="219" t="n">
        <f aca="false">0.002+0.0075+0.0022</f>
        <v>0.0117</v>
      </c>
      <c r="AK39" s="215" t="s">
        <v>103</v>
      </c>
      <c r="AL39" s="216" t="n">
        <f aca="false">0.0022+0.0007</f>
        <v>0.0029</v>
      </c>
      <c r="AO39" s="259"/>
      <c r="AR39" s="259"/>
    </row>
    <row r="40" customFormat="false" ht="12.75" hidden="false" customHeight="false" outlineLevel="0" collapsed="false">
      <c r="A40" s="215" t="s">
        <v>103</v>
      </c>
      <c r="B40" s="216" t="n">
        <f aca="false">0.0022+0.0075+0.0131</f>
        <v>0.0228</v>
      </c>
      <c r="C40" s="203"/>
      <c r="D40" s="215" t="s">
        <v>103</v>
      </c>
      <c r="E40" s="217" t="n">
        <f aca="false">0.0075+0.0022+0.0131</f>
        <v>0.0228</v>
      </c>
      <c r="F40" s="226"/>
      <c r="G40" s="236" t="s">
        <v>103</v>
      </c>
      <c r="H40" s="219" t="n">
        <f aca="false">0.0022+0.0075</f>
        <v>0.0097</v>
      </c>
      <c r="I40" s="203"/>
      <c r="J40" s="220" t="s">
        <v>103</v>
      </c>
      <c r="K40" s="219" t="n">
        <f aca="false">0.0022+0.0075</f>
        <v>0.0097</v>
      </c>
      <c r="L40" s="203"/>
      <c r="M40" s="220" t="s">
        <v>103</v>
      </c>
      <c r="N40" s="219" t="n">
        <f aca="false">0.0022+0.0075</f>
        <v>0.0097</v>
      </c>
      <c r="O40" s="203"/>
      <c r="P40" s="263"/>
      <c r="Q40" s="223"/>
      <c r="R40" s="223"/>
      <c r="S40" s="215" t="s">
        <v>103</v>
      </c>
      <c r="T40" s="216" t="n">
        <v>0.0022</v>
      </c>
      <c r="U40" s="203"/>
      <c r="V40" s="215"/>
      <c r="W40" s="216"/>
      <c r="X40" s="203"/>
      <c r="Y40" s="203"/>
      <c r="Z40" s="203"/>
      <c r="AH40" s="218" t="s">
        <v>441</v>
      </c>
      <c r="AI40" s="230" t="n">
        <v>0</v>
      </c>
      <c r="AK40" s="215" t="s">
        <v>439</v>
      </c>
      <c r="AL40" s="227" t="n">
        <f aca="false">+AL3/(1-0)-AL3</f>
        <v>0</v>
      </c>
      <c r="AO40" s="259"/>
      <c r="AR40" s="259"/>
    </row>
    <row r="41" customFormat="false" ht="12.75" hidden="false" customHeight="false" outlineLevel="0" collapsed="false">
      <c r="A41" s="215" t="s">
        <v>523</v>
      </c>
      <c r="B41" s="227" t="n">
        <f aca="false">B6/(1-0.0556)-B6</f>
        <v>0.153659466327827</v>
      </c>
      <c r="C41" s="226"/>
      <c r="D41" s="215" t="s">
        <v>524</v>
      </c>
      <c r="E41" s="227" t="n">
        <f aca="false">E5/(1-0.0092)-E5</f>
        <v>0.0241421073879691</v>
      </c>
      <c r="F41" s="228"/>
      <c r="G41" s="236" t="s">
        <v>525</v>
      </c>
      <c r="H41" s="229" t="n">
        <f aca="false">(H3)/(1-0.0788)-H3</f>
        <v>0.212140686061659</v>
      </c>
      <c r="I41" s="226"/>
      <c r="J41" s="220" t="s">
        <v>464</v>
      </c>
      <c r="K41" s="230" t="n">
        <f aca="false">(K5)/(1-0.1089)-K5</f>
        <v>0.348294243070363</v>
      </c>
      <c r="L41" s="226"/>
      <c r="M41" s="220" t="s">
        <v>526</v>
      </c>
      <c r="N41" s="230" t="n">
        <f aca="false">(N3)/(1-0.0924)-N3</f>
        <v>0.305420890260026</v>
      </c>
      <c r="O41" s="226"/>
      <c r="P41" s="263"/>
      <c r="Q41" s="232"/>
      <c r="R41" s="232"/>
      <c r="S41" s="215" t="s">
        <v>485</v>
      </c>
      <c r="T41" s="227" t="n">
        <f aca="false">T4/(1-0.02988)-T4</f>
        <v>0.0877808930853914</v>
      </c>
      <c r="U41" s="226"/>
      <c r="V41" s="215"/>
      <c r="W41" s="227"/>
      <c r="X41" s="226"/>
      <c r="Y41" s="226"/>
      <c r="Z41" s="226"/>
      <c r="AH41" s="236"/>
      <c r="AI41" s="237" t="n">
        <f aca="false">SUM(AI38:AI40)</f>
        <v>0.0176</v>
      </c>
      <c r="AK41" s="234"/>
      <c r="AL41" s="235" t="n">
        <f aca="false">SUM(AL38:AL40)</f>
        <v>0.0729</v>
      </c>
    </row>
    <row r="42" customFormat="false" ht="12.75" hidden="false" customHeight="false" outlineLevel="0" collapsed="false">
      <c r="A42" s="234"/>
      <c r="B42" s="235" t="n">
        <f aca="false">SUM(B39:B41)</f>
        <v>0.202559466327827</v>
      </c>
      <c r="C42" s="228"/>
      <c r="D42" s="215"/>
      <c r="E42" s="235" t="n">
        <f aca="false">SUM(E39:E41)</f>
        <v>0.149742107387969</v>
      </c>
      <c r="F42" s="202"/>
      <c r="G42" s="236"/>
      <c r="H42" s="237" t="n">
        <f aca="false">SUM(H39:H41)</f>
        <v>0.344940686061659</v>
      </c>
      <c r="I42" s="228"/>
      <c r="J42" s="220"/>
      <c r="K42" s="237" t="n">
        <f aca="false">SUM(K39:K41)</f>
        <v>0.457394243070363</v>
      </c>
      <c r="L42" s="228"/>
      <c r="M42" s="220"/>
      <c r="N42" s="237" t="n">
        <f aca="false">SUM(N39:N41)</f>
        <v>0.806320890260026</v>
      </c>
      <c r="O42" s="228"/>
      <c r="P42" s="265"/>
      <c r="Q42" s="240"/>
      <c r="R42" s="240"/>
      <c r="S42" s="234"/>
      <c r="T42" s="235" t="n">
        <f aca="false">SUM(T39:T41)</f>
        <v>0.210380893085391</v>
      </c>
      <c r="U42" s="228"/>
      <c r="V42" s="234"/>
      <c r="W42" s="235"/>
      <c r="X42" s="228"/>
      <c r="Y42" s="228"/>
      <c r="Z42" s="228"/>
      <c r="AL42" s="268" t="n">
        <f aca="false">+AL41+AL3</f>
        <v>4.1779</v>
      </c>
      <c r="AN42" s="260"/>
      <c r="AQ42" s="260"/>
    </row>
    <row r="43" customFormat="false" ht="12.75" hidden="false" customHeight="false" outlineLevel="0" collapsed="false">
      <c r="A43" s="243" t="s">
        <v>129</v>
      </c>
      <c r="B43" s="201" t="s">
        <v>527</v>
      </c>
      <c r="C43" s="202"/>
      <c r="D43" s="25" t="s">
        <v>129</v>
      </c>
      <c r="E43" s="25" t="s">
        <v>528</v>
      </c>
      <c r="F43" s="203"/>
      <c r="G43" s="244" t="s">
        <v>404</v>
      </c>
      <c r="H43" s="257" t="s">
        <v>529</v>
      </c>
      <c r="I43" s="202"/>
      <c r="J43" s="206" t="s">
        <v>406</v>
      </c>
      <c r="K43" s="207" t="s">
        <v>530</v>
      </c>
      <c r="L43" s="202"/>
      <c r="M43" s="206" t="s">
        <v>406</v>
      </c>
      <c r="N43" s="207" t="s">
        <v>531</v>
      </c>
      <c r="O43" s="202"/>
      <c r="P43" s="210"/>
      <c r="Q43" s="210"/>
      <c r="R43" s="210"/>
      <c r="S43" s="202"/>
      <c r="T43" s="202"/>
      <c r="U43" s="202"/>
      <c r="V43" s="202"/>
      <c r="W43" s="202"/>
      <c r="X43" s="202"/>
      <c r="Y43" s="269"/>
      <c r="Z43" s="269"/>
      <c r="AK43" s="25" t="s">
        <v>532</v>
      </c>
      <c r="AN43" s="262"/>
      <c r="AO43" s="259"/>
      <c r="AQ43" s="262"/>
      <c r="AR43" s="259"/>
    </row>
    <row r="44" customFormat="false" ht="12.75" hidden="false" customHeight="false" outlineLevel="0" collapsed="false">
      <c r="A44" s="215" t="s">
        <v>425</v>
      </c>
      <c r="B44" s="216" t="n">
        <v>0.0025</v>
      </c>
      <c r="C44" s="203"/>
      <c r="D44" s="215" t="s">
        <v>425</v>
      </c>
      <c r="E44" s="217" t="n">
        <v>0.228</v>
      </c>
      <c r="F44" s="203"/>
      <c r="G44" s="236" t="s">
        <v>425</v>
      </c>
      <c r="H44" s="219" t="n">
        <v>0.1608</v>
      </c>
      <c r="I44" s="203"/>
      <c r="J44" s="220" t="s">
        <v>425</v>
      </c>
      <c r="K44" s="219" t="n">
        <v>0.0147</v>
      </c>
      <c r="L44" s="203"/>
      <c r="M44" s="220" t="s">
        <v>425</v>
      </c>
      <c r="N44" s="219" t="n">
        <v>0.3059</v>
      </c>
      <c r="O44" s="203"/>
      <c r="P44" s="261"/>
      <c r="Q44" s="210"/>
      <c r="R44" s="223"/>
      <c r="S44" s="243" t="s">
        <v>411</v>
      </c>
      <c r="T44" s="248" t="s">
        <v>533</v>
      </c>
      <c r="U44" s="203"/>
      <c r="V44" s="243"/>
      <c r="W44" s="248"/>
      <c r="X44" s="203"/>
      <c r="Y44" s="203"/>
      <c r="Z44" s="203"/>
      <c r="AO44" s="259"/>
      <c r="AR44" s="259"/>
    </row>
    <row r="45" customFormat="false" ht="12.75" hidden="false" customHeight="false" outlineLevel="0" collapsed="false">
      <c r="A45" s="215" t="s">
        <v>103</v>
      </c>
      <c r="B45" s="216" t="n">
        <f aca="false">0.0022+0.0075+0.0131</f>
        <v>0.0228</v>
      </c>
      <c r="C45" s="203"/>
      <c r="D45" s="215" t="s">
        <v>103</v>
      </c>
      <c r="E45" s="217" t="n">
        <f aca="false">0.0075+0.0022+0.0131</f>
        <v>0.0228</v>
      </c>
      <c r="F45" s="226"/>
      <c r="G45" s="236" t="s">
        <v>103</v>
      </c>
      <c r="H45" s="219" t="n">
        <f aca="false">0.0022+0.0075</f>
        <v>0.0097</v>
      </c>
      <c r="I45" s="203"/>
      <c r="J45" s="220" t="s">
        <v>103</v>
      </c>
      <c r="K45" s="219" t="n">
        <f aca="false">0.0022</f>
        <v>0.0022</v>
      </c>
      <c r="L45" s="203"/>
      <c r="M45" s="220" t="s">
        <v>103</v>
      </c>
      <c r="N45" s="219" t="n">
        <f aca="false">0.0022+0.0075</f>
        <v>0.0097</v>
      </c>
      <c r="O45" s="203"/>
      <c r="P45" s="263"/>
      <c r="Q45" s="223"/>
      <c r="R45" s="223"/>
      <c r="S45" s="215" t="s">
        <v>425</v>
      </c>
      <c r="T45" s="216" t="n">
        <v>0.03</v>
      </c>
      <c r="U45" s="203"/>
      <c r="V45" s="215"/>
      <c r="W45" s="216"/>
      <c r="X45" s="203"/>
      <c r="Y45" s="203"/>
      <c r="Z45" s="203"/>
      <c r="AK45" s="260" t="n">
        <v>36465</v>
      </c>
      <c r="AO45" s="259"/>
      <c r="AR45" s="259"/>
    </row>
    <row r="46" customFormat="false" ht="12.75" hidden="false" customHeight="false" outlineLevel="0" collapsed="false">
      <c r="A46" s="215" t="s">
        <v>511</v>
      </c>
      <c r="B46" s="227" t="n">
        <f aca="false">B4/(1-0.0047)-B4</f>
        <v>0.0123721491007736</v>
      </c>
      <c r="C46" s="226"/>
      <c r="D46" s="215" t="s">
        <v>534</v>
      </c>
      <c r="E46" s="227" t="n">
        <f aca="false">(E5)/(1-0.0285)-E5</f>
        <v>0.0762738033968091</v>
      </c>
      <c r="F46" s="228"/>
      <c r="G46" s="236" t="s">
        <v>535</v>
      </c>
      <c r="H46" s="229" t="n">
        <f aca="false">(H3)/(1-0.0871)-H3</f>
        <v>0.236617373206266</v>
      </c>
      <c r="I46" s="226"/>
      <c r="J46" s="220" t="s">
        <v>536</v>
      </c>
      <c r="K46" s="230" t="n">
        <f aca="false">(K4)/(1-0.0175)-K4</f>
        <v>0.0491603053435115</v>
      </c>
      <c r="L46" s="226"/>
      <c r="M46" s="220" t="s">
        <v>537</v>
      </c>
      <c r="N46" s="230" t="n">
        <f aca="false">(N6)/(1-0.0498)-(N6)</f>
        <v>0.151989054935803</v>
      </c>
      <c r="O46" s="226"/>
      <c r="P46" s="263"/>
      <c r="Q46" s="223"/>
      <c r="R46" s="232"/>
      <c r="S46" s="215" t="s">
        <v>103</v>
      </c>
      <c r="T46" s="216" t="n">
        <v>0.0022</v>
      </c>
      <c r="U46" s="226"/>
      <c r="V46" s="215"/>
      <c r="W46" s="216"/>
      <c r="X46" s="226"/>
      <c r="Y46" s="226"/>
      <c r="Z46" s="226"/>
      <c r="AK46" s="262" t="s">
        <v>538</v>
      </c>
      <c r="AL46" s="259" t="n">
        <v>0</v>
      </c>
    </row>
    <row r="47" customFormat="false" ht="12.75" hidden="false" customHeight="false" outlineLevel="0" collapsed="false">
      <c r="A47" s="234"/>
      <c r="B47" s="235" t="n">
        <f aca="false">SUM(B44:B46)</f>
        <v>0.0376721491007736</v>
      </c>
      <c r="C47" s="228"/>
      <c r="D47" s="215"/>
      <c r="E47" s="235" t="n">
        <f aca="false">SUM(E44:E46)</f>
        <v>0.327073803396809</v>
      </c>
      <c r="F47" s="269"/>
      <c r="G47" s="236"/>
      <c r="H47" s="237" t="n">
        <f aca="false">SUM(H44:H46)</f>
        <v>0.407117373206266</v>
      </c>
      <c r="I47" s="228"/>
      <c r="J47" s="220"/>
      <c r="K47" s="237" t="n">
        <f aca="false">SUM(K44:K46)</f>
        <v>0.0660603053435115</v>
      </c>
      <c r="L47" s="228"/>
      <c r="M47" s="220"/>
      <c r="N47" s="237" t="n">
        <f aca="false">SUM(N44:N46)</f>
        <v>0.467589054935803</v>
      </c>
      <c r="O47" s="228"/>
      <c r="P47" s="263"/>
      <c r="Q47" s="232"/>
      <c r="R47" s="240"/>
      <c r="S47" s="215" t="s">
        <v>539</v>
      </c>
      <c r="T47" s="227" t="n">
        <f aca="false">T3/(1-0.00593)-T3</f>
        <v>0.0165837415876147</v>
      </c>
      <c r="U47" s="228"/>
      <c r="V47" s="215"/>
      <c r="W47" s="227"/>
      <c r="X47" s="228"/>
      <c r="Y47" s="228"/>
      <c r="Z47" s="228"/>
      <c r="AK47" s="25" t="s">
        <v>540</v>
      </c>
      <c r="AL47" s="259" t="n">
        <v>0.007</v>
      </c>
      <c r="AN47" s="260"/>
      <c r="AQ47" s="260"/>
    </row>
    <row r="48" customFormat="false" ht="12.75" hidden="false" customHeight="false" outlineLevel="0" collapsed="false">
      <c r="A48" s="202" t="s">
        <v>129</v>
      </c>
      <c r="B48" s="201" t="s">
        <v>541</v>
      </c>
      <c r="C48" s="202"/>
      <c r="D48" s="253" t="s">
        <v>129</v>
      </c>
      <c r="E48" s="235" t="s">
        <v>542</v>
      </c>
      <c r="F48" s="203"/>
      <c r="G48" s="244" t="s">
        <v>404</v>
      </c>
      <c r="H48" s="245" t="s">
        <v>543</v>
      </c>
      <c r="I48" s="269"/>
      <c r="J48" s="206" t="s">
        <v>406</v>
      </c>
      <c r="K48" s="207" t="s">
        <v>544</v>
      </c>
      <c r="L48" s="269"/>
      <c r="M48" s="206" t="s">
        <v>406</v>
      </c>
      <c r="N48" s="207" t="s">
        <v>545</v>
      </c>
      <c r="O48" s="269"/>
      <c r="P48" s="265"/>
      <c r="Q48" s="240"/>
      <c r="R48" s="210"/>
      <c r="S48" s="234"/>
      <c r="T48" s="235" t="n">
        <f aca="false">SUM(T45:T47)</f>
        <v>0.0487837415876147</v>
      </c>
      <c r="U48" s="202"/>
      <c r="V48" s="234"/>
      <c r="W48" s="235"/>
      <c r="X48" s="202"/>
      <c r="Y48" s="269"/>
      <c r="Z48" s="269"/>
      <c r="AK48" s="25" t="s">
        <v>546</v>
      </c>
      <c r="AL48" s="259" t="n">
        <v>0</v>
      </c>
      <c r="AN48" s="262"/>
      <c r="AO48" s="259"/>
      <c r="AQ48" s="262"/>
      <c r="AR48" s="259"/>
    </row>
    <row r="49" customFormat="false" ht="12.75" hidden="false" customHeight="false" outlineLevel="0" collapsed="false">
      <c r="A49" s="243" t="s">
        <v>425</v>
      </c>
      <c r="B49" s="216" t="n">
        <v>0.0045</v>
      </c>
      <c r="C49" s="203"/>
      <c r="D49" s="215" t="s">
        <v>425</v>
      </c>
      <c r="E49" s="217" t="n">
        <v>0.0787</v>
      </c>
      <c r="F49" s="203"/>
      <c r="G49" s="218" t="s">
        <v>425</v>
      </c>
      <c r="H49" s="219" t="n">
        <v>0.0286</v>
      </c>
      <c r="I49" s="203"/>
      <c r="J49" s="220" t="s">
        <v>425</v>
      </c>
      <c r="K49" s="219" t="n">
        <v>0.0195</v>
      </c>
      <c r="L49" s="203"/>
      <c r="M49" s="220" t="s">
        <v>425</v>
      </c>
      <c r="N49" s="219" t="n">
        <v>0.4067</v>
      </c>
      <c r="O49" s="203"/>
      <c r="P49" s="265"/>
      <c r="Q49" s="240"/>
      <c r="R49" s="223"/>
      <c r="S49" s="234"/>
      <c r="T49" s="235"/>
      <c r="U49" s="203"/>
      <c r="V49" s="234"/>
      <c r="W49" s="235"/>
      <c r="X49" s="203"/>
      <c r="Y49" s="203"/>
      <c r="Z49" s="203"/>
      <c r="AL49" s="259"/>
      <c r="AO49" s="259"/>
      <c r="AR49" s="259"/>
    </row>
    <row r="50" customFormat="false" ht="12.75" hidden="false" customHeight="false" outlineLevel="0" collapsed="false">
      <c r="A50" s="215" t="s">
        <v>103</v>
      </c>
      <c r="B50" s="216" t="n">
        <v>0.0022</v>
      </c>
      <c r="C50" s="203"/>
      <c r="D50" s="215" t="s">
        <v>103</v>
      </c>
      <c r="E50" s="217" t="n">
        <f aca="false">0.0075+0.0022+0.0131</f>
        <v>0.0228</v>
      </c>
      <c r="F50" s="226"/>
      <c r="G50" s="218" t="s">
        <v>103</v>
      </c>
      <c r="H50" s="219" t="n">
        <f aca="false">0.0022+0.0075+0.0225</f>
        <v>0.0322</v>
      </c>
      <c r="I50" s="203"/>
      <c r="J50" s="220" t="s">
        <v>103</v>
      </c>
      <c r="K50" s="219" t="n">
        <f aca="false">0.0022+0.0075</f>
        <v>0.0097</v>
      </c>
      <c r="L50" s="203"/>
      <c r="M50" s="220" t="s">
        <v>103</v>
      </c>
      <c r="N50" s="219" t="n">
        <f aca="false">0.0022+0.0075</f>
        <v>0.0097</v>
      </c>
      <c r="O50" s="203"/>
      <c r="P50" s="261"/>
      <c r="Q50" s="210"/>
      <c r="R50" s="223"/>
      <c r="S50" s="243" t="s">
        <v>411</v>
      </c>
      <c r="T50" s="248" t="s">
        <v>547</v>
      </c>
      <c r="U50" s="203"/>
      <c r="V50" s="243"/>
      <c r="W50" s="248"/>
      <c r="X50" s="203"/>
      <c r="Y50" s="203"/>
      <c r="Z50" s="203"/>
      <c r="AK50" s="260" t="n">
        <v>36434</v>
      </c>
      <c r="AO50" s="259"/>
      <c r="AR50" s="259"/>
    </row>
    <row r="51" customFormat="false" ht="12.75" hidden="false" customHeight="false" outlineLevel="0" collapsed="false">
      <c r="A51" s="215" t="s">
        <v>548</v>
      </c>
      <c r="B51" s="227" t="n">
        <f aca="false">B5/(1-0.0092)-B5</f>
        <v>0.0241421073879691</v>
      </c>
      <c r="C51" s="226"/>
      <c r="D51" s="215" t="s">
        <v>549</v>
      </c>
      <c r="E51" s="227" t="n">
        <f aca="false">(E4)/(1-0.0045)-E4</f>
        <v>0.0118432948267202</v>
      </c>
      <c r="F51" s="228"/>
      <c r="G51" s="218" t="s">
        <v>550</v>
      </c>
      <c r="H51" s="270" t="n">
        <f aca="false">(H4)/(1-0.0101)-H4</f>
        <v>0.0270380846550156</v>
      </c>
      <c r="I51" s="226"/>
      <c r="J51" s="220" t="s">
        <v>551</v>
      </c>
      <c r="K51" s="230" t="n">
        <f aca="false">(K4)/(1-0.0314)-K4</f>
        <v>0.0894734668593848</v>
      </c>
      <c r="L51" s="226"/>
      <c r="M51" s="220" t="s">
        <v>552</v>
      </c>
      <c r="N51" s="230" t="n">
        <f aca="false">(N6)/(1-0.0661)-(N6)</f>
        <v>0.205257522218653</v>
      </c>
      <c r="O51" s="226"/>
      <c r="P51" s="263"/>
      <c r="Q51" s="223"/>
      <c r="R51" s="232"/>
      <c r="S51" s="215" t="s">
        <v>425</v>
      </c>
      <c r="T51" s="216" t="n">
        <v>0.03</v>
      </c>
      <c r="U51" s="226"/>
      <c r="V51" s="215"/>
      <c r="W51" s="216"/>
      <c r="X51" s="226"/>
      <c r="Y51" s="226"/>
      <c r="Z51" s="226"/>
      <c r="AK51" s="262" t="s">
        <v>538</v>
      </c>
      <c r="AL51" s="259" t="n">
        <v>0</v>
      </c>
    </row>
    <row r="52" customFormat="false" ht="12.75" hidden="false" customHeight="false" outlineLevel="0" collapsed="false">
      <c r="A52" s="215"/>
      <c r="B52" s="235" t="n">
        <f aca="false">SUM(B49:B51)</f>
        <v>0.0308421073879691</v>
      </c>
      <c r="C52" s="228"/>
      <c r="D52" s="215"/>
      <c r="E52" s="235" t="n">
        <f aca="false">SUM(E49:E51)</f>
        <v>0.11334329482672</v>
      </c>
      <c r="F52" s="269"/>
      <c r="G52" s="236"/>
      <c r="H52" s="237" t="n">
        <f aca="false">SUM(H49:H51)</f>
        <v>0.0878380846550156</v>
      </c>
      <c r="I52" s="228"/>
      <c r="J52" s="220"/>
      <c r="K52" s="237" t="n">
        <f aca="false">SUM(K49:K51)</f>
        <v>0.118673466859385</v>
      </c>
      <c r="L52" s="228"/>
      <c r="M52" s="220"/>
      <c r="N52" s="237" t="n">
        <f aca="false">SUM(N49:N51)</f>
        <v>0.621657522218653</v>
      </c>
      <c r="O52" s="228"/>
      <c r="P52" s="263"/>
      <c r="Q52" s="223"/>
      <c r="R52" s="240"/>
      <c r="S52" s="215" t="s">
        <v>103</v>
      </c>
      <c r="T52" s="216" t="n">
        <v>0.0022</v>
      </c>
      <c r="U52" s="228"/>
      <c r="V52" s="215"/>
      <c r="W52" s="216"/>
      <c r="X52" s="228"/>
      <c r="Y52" s="228"/>
      <c r="Z52" s="228"/>
      <c r="AK52" s="25" t="s">
        <v>540</v>
      </c>
      <c r="AL52" s="259" t="n">
        <v>0.007</v>
      </c>
    </row>
    <row r="53" customFormat="false" ht="12.75" hidden="false" customHeight="false" outlineLevel="0" collapsed="false">
      <c r="A53" s="234" t="s">
        <v>129</v>
      </c>
      <c r="B53" s="201" t="s">
        <v>553</v>
      </c>
      <c r="C53" s="269"/>
      <c r="D53" s="25" t="s">
        <v>129</v>
      </c>
      <c r="E53" s="25" t="s">
        <v>554</v>
      </c>
      <c r="F53" s="203"/>
      <c r="G53" s="244" t="s">
        <v>404</v>
      </c>
      <c r="H53" s="245" t="s">
        <v>402</v>
      </c>
      <c r="I53" s="269"/>
      <c r="J53" s="206" t="s">
        <v>406</v>
      </c>
      <c r="K53" s="207" t="s">
        <v>555</v>
      </c>
      <c r="L53" s="269"/>
      <c r="M53" s="206" t="s">
        <v>406</v>
      </c>
      <c r="N53" s="237" t="s">
        <v>556</v>
      </c>
      <c r="O53" s="269"/>
      <c r="P53" s="263"/>
      <c r="Q53" s="232"/>
      <c r="R53" s="271"/>
      <c r="S53" s="215" t="s">
        <v>485</v>
      </c>
      <c r="T53" s="227" t="n">
        <f aca="false">T4/(1-0.02988)-T4</f>
        <v>0.0877808930853914</v>
      </c>
      <c r="U53" s="269"/>
      <c r="V53" s="215"/>
      <c r="W53" s="227"/>
      <c r="X53" s="269"/>
      <c r="Y53" s="202"/>
      <c r="Z53" s="202"/>
      <c r="AK53" s="25" t="s">
        <v>546</v>
      </c>
      <c r="AL53" s="259" t="n">
        <v>0</v>
      </c>
    </row>
    <row r="54" customFormat="false" ht="12.75" hidden="false" customHeight="false" outlineLevel="0" collapsed="false">
      <c r="A54" s="234" t="s">
        <v>425</v>
      </c>
      <c r="B54" s="216" t="n">
        <v>0.0208</v>
      </c>
      <c r="C54" s="203"/>
      <c r="D54" s="215" t="s">
        <v>425</v>
      </c>
      <c r="E54" s="217" t="n">
        <v>0.2039</v>
      </c>
      <c r="F54" s="203"/>
      <c r="G54" s="218" t="s">
        <v>425</v>
      </c>
      <c r="H54" s="219" t="n">
        <v>0.0572</v>
      </c>
      <c r="I54" s="203"/>
      <c r="J54" s="220" t="s">
        <v>425</v>
      </c>
      <c r="K54" s="219" t="n">
        <v>0.0651</v>
      </c>
      <c r="L54" s="203"/>
      <c r="M54" s="220" t="s">
        <v>425</v>
      </c>
      <c r="N54" s="272" t="n">
        <v>0.335</v>
      </c>
      <c r="O54" s="203"/>
      <c r="P54" s="265"/>
      <c r="Q54" s="240"/>
      <c r="R54" s="223"/>
      <c r="S54" s="234"/>
      <c r="T54" s="235" t="n">
        <f aca="false">SUM(T51:T53)</f>
        <v>0.119980893085391</v>
      </c>
      <c r="U54" s="203"/>
      <c r="V54" s="234"/>
      <c r="W54" s="235"/>
      <c r="X54" s="203"/>
      <c r="Y54" s="203"/>
      <c r="Z54" s="203"/>
      <c r="AL54" s="259"/>
    </row>
    <row r="55" customFormat="false" ht="12.75" hidden="false" customHeight="false" outlineLevel="0" collapsed="false">
      <c r="A55" s="243" t="s">
        <v>103</v>
      </c>
      <c r="B55" s="216" t="n">
        <f aca="false">0.0022+0.0075+0.0131</f>
        <v>0.0228</v>
      </c>
      <c r="C55" s="203"/>
      <c r="D55" s="215" t="s">
        <v>103</v>
      </c>
      <c r="E55" s="217" t="n">
        <f aca="false">0.0075+0.0022+0.0131</f>
        <v>0.0228</v>
      </c>
      <c r="F55" s="226"/>
      <c r="G55" s="218" t="s">
        <v>103</v>
      </c>
      <c r="H55" s="219" t="n">
        <f aca="false">0.0022+0.0075+0.0225</f>
        <v>0.0322</v>
      </c>
      <c r="I55" s="203"/>
      <c r="J55" s="220" t="s">
        <v>103</v>
      </c>
      <c r="K55" s="219" t="n">
        <f aca="false">0.0022+0.0075</f>
        <v>0.0097</v>
      </c>
      <c r="L55" s="203"/>
      <c r="M55" s="220" t="s">
        <v>103</v>
      </c>
      <c r="N55" s="219" t="n">
        <f aca="false">0.0022+0.0075</f>
        <v>0.0097</v>
      </c>
      <c r="O55" s="203"/>
      <c r="P55" s="210"/>
      <c r="Q55" s="240"/>
      <c r="R55" s="223"/>
      <c r="S55" s="202"/>
      <c r="T55" s="228" t="n">
        <f aca="false">+T54+T48</f>
        <v>0.168764634673006</v>
      </c>
      <c r="U55" s="203"/>
      <c r="V55" s="202"/>
      <c r="W55" s="228"/>
      <c r="X55" s="203"/>
      <c r="Y55" s="203"/>
      <c r="Z55" s="203"/>
      <c r="AK55" s="260" t="n">
        <v>36404</v>
      </c>
    </row>
    <row r="56" customFormat="false" ht="12.75" hidden="false" customHeight="false" outlineLevel="0" collapsed="false">
      <c r="A56" s="215" t="s">
        <v>557</v>
      </c>
      <c r="B56" s="227" t="n">
        <f aca="false">B5/(1-0.0437)-B5</f>
        <v>0.118812088256823</v>
      </c>
      <c r="C56" s="226"/>
      <c r="D56" s="215" t="s">
        <v>558</v>
      </c>
      <c r="E56" s="227" t="n">
        <f aca="false">(E4)/(1-0.0238)-E4</f>
        <v>0.0638762548658063</v>
      </c>
      <c r="F56" s="228"/>
      <c r="G56" s="218" t="s">
        <v>559</v>
      </c>
      <c r="H56" s="270" t="n">
        <f aca="false">(H4)/(1-0.0191)-H4</f>
        <v>0.0516005709042715</v>
      </c>
      <c r="I56" s="226"/>
      <c r="J56" s="220" t="s">
        <v>560</v>
      </c>
      <c r="K56" s="230" t="n">
        <f aca="false">(K4)/(1-0.0563)-K4</f>
        <v>0.164658260040267</v>
      </c>
      <c r="L56" s="226"/>
      <c r="M56" s="220" t="s">
        <v>561</v>
      </c>
      <c r="N56" s="230" t="n">
        <f aca="false">(N6)/(1-0.0545)-N6</f>
        <v>0.167160232681121</v>
      </c>
      <c r="O56" s="226"/>
      <c r="P56" s="261"/>
      <c r="Q56" s="210"/>
      <c r="R56" s="232"/>
      <c r="S56" s="200" t="s">
        <v>1</v>
      </c>
      <c r="T56" s="211" t="s">
        <v>1</v>
      </c>
      <c r="U56" s="226"/>
      <c r="V56" s="200"/>
      <c r="W56" s="211"/>
      <c r="X56" s="226"/>
      <c r="Y56" s="226"/>
      <c r="Z56" s="226"/>
      <c r="AK56" s="262" t="s">
        <v>538</v>
      </c>
      <c r="AL56" s="259" t="n">
        <v>0</v>
      </c>
    </row>
    <row r="57" customFormat="false" ht="12.75" hidden="false" customHeight="false" outlineLevel="0" collapsed="false">
      <c r="A57" s="215"/>
      <c r="B57" s="235" t="n">
        <f aca="false">SUM(B54:B56)</f>
        <v>0.162412088256823</v>
      </c>
      <c r="C57" s="228"/>
      <c r="D57" s="215"/>
      <c r="E57" s="235" t="n">
        <f aca="false">SUM(E54:E56)</f>
        <v>0.290576254865806</v>
      </c>
      <c r="F57" s="202"/>
      <c r="G57" s="236"/>
      <c r="H57" s="237" t="n">
        <f aca="false">SUM(H54:H56)</f>
        <v>0.141000570904272</v>
      </c>
      <c r="I57" s="228"/>
      <c r="J57" s="220"/>
      <c r="K57" s="237" t="n">
        <f aca="false">SUM(K54:K56)</f>
        <v>0.239458260040267</v>
      </c>
      <c r="L57" s="228"/>
      <c r="M57" s="220"/>
      <c r="N57" s="237" t="n">
        <f aca="false">SUM(N54:N56)</f>
        <v>0.511860232681121</v>
      </c>
      <c r="O57" s="228"/>
      <c r="P57" s="263"/>
      <c r="Q57" s="223"/>
      <c r="R57" s="240"/>
      <c r="S57" s="215"/>
      <c r="T57" s="216" t="s">
        <v>1</v>
      </c>
      <c r="U57" s="228"/>
      <c r="V57" s="215"/>
      <c r="W57" s="216"/>
      <c r="X57" s="228"/>
      <c r="Y57" s="228"/>
      <c r="Z57" s="228"/>
      <c r="AK57" s="25" t="s">
        <v>540</v>
      </c>
      <c r="AL57" s="259" t="n">
        <v>0.004</v>
      </c>
    </row>
    <row r="58" customFormat="false" ht="12.75" hidden="false" customHeight="false" outlineLevel="0" collapsed="false">
      <c r="A58" s="215" t="s">
        <v>129</v>
      </c>
      <c r="B58" s="201" t="s">
        <v>562</v>
      </c>
      <c r="C58" s="269"/>
      <c r="D58" s="25" t="s">
        <v>129</v>
      </c>
      <c r="E58" s="25" t="s">
        <v>563</v>
      </c>
      <c r="F58" s="203"/>
      <c r="G58" s="244" t="s">
        <v>404</v>
      </c>
      <c r="H58" s="245" t="s">
        <v>444</v>
      </c>
      <c r="I58" s="202"/>
      <c r="J58" s="206" t="s">
        <v>406</v>
      </c>
      <c r="K58" s="207" t="s">
        <v>472</v>
      </c>
      <c r="L58" s="202"/>
      <c r="M58" s="206" t="s">
        <v>406</v>
      </c>
      <c r="N58" s="237" t="s">
        <v>564</v>
      </c>
      <c r="O58" s="202"/>
      <c r="P58" s="263"/>
      <c r="Q58" s="223"/>
      <c r="R58" s="271"/>
      <c r="S58" s="215"/>
      <c r="T58" s="216"/>
      <c r="U58" s="269"/>
      <c r="V58" s="215"/>
      <c r="W58" s="216"/>
      <c r="X58" s="269"/>
      <c r="Y58" s="202"/>
      <c r="Z58" s="202"/>
      <c r="AK58" s="25" t="s">
        <v>546</v>
      </c>
      <c r="AL58" s="259" t="n">
        <v>0</v>
      </c>
    </row>
    <row r="59" customFormat="false" ht="12.75" hidden="false" customHeight="false" outlineLevel="0" collapsed="false">
      <c r="A59" s="234" t="s">
        <v>425</v>
      </c>
      <c r="B59" s="216" t="n">
        <v>0.0245</v>
      </c>
      <c r="C59" s="203"/>
      <c r="D59" s="215" t="s">
        <v>425</v>
      </c>
      <c r="E59" s="217" t="n">
        <v>0.18</v>
      </c>
      <c r="F59" s="203"/>
      <c r="G59" s="218" t="s">
        <v>425</v>
      </c>
      <c r="H59" s="219" t="n">
        <v>0.0776</v>
      </c>
      <c r="I59" s="203"/>
      <c r="J59" s="220" t="s">
        <v>425</v>
      </c>
      <c r="K59" s="219" t="n">
        <v>0.0829</v>
      </c>
      <c r="L59" s="203"/>
      <c r="M59" s="220" t="s">
        <v>425</v>
      </c>
      <c r="N59" s="272" t="n">
        <v>0.1873</v>
      </c>
      <c r="O59" s="203"/>
      <c r="P59" s="263"/>
      <c r="Q59" s="232"/>
      <c r="R59" s="223"/>
      <c r="S59" s="215"/>
      <c r="T59" s="227"/>
      <c r="U59" s="203"/>
      <c r="V59" s="215"/>
      <c r="W59" s="227"/>
      <c r="X59" s="203"/>
      <c r="Y59" s="203"/>
      <c r="Z59" s="203"/>
      <c r="AL59" s="259"/>
    </row>
    <row r="60" customFormat="false" ht="12.75" hidden="false" customHeight="false" outlineLevel="0" collapsed="false">
      <c r="A60" s="202" t="s">
        <v>103</v>
      </c>
      <c r="B60" s="216" t="n">
        <f aca="false">0.0022+0.0075+0.0131</f>
        <v>0.0228</v>
      </c>
      <c r="C60" s="203"/>
      <c r="D60" s="215" t="s">
        <v>103</v>
      </c>
      <c r="E60" s="217" t="n">
        <v>0</v>
      </c>
      <c r="F60" s="226"/>
      <c r="G60" s="218" t="s">
        <v>103</v>
      </c>
      <c r="H60" s="219" t="n">
        <f aca="false">0.0022+0.0075</f>
        <v>0.0097</v>
      </c>
      <c r="I60" s="203"/>
      <c r="J60" s="220" t="s">
        <v>103</v>
      </c>
      <c r="K60" s="219" t="n">
        <f aca="false">0.0022+0.0075</f>
        <v>0.0097</v>
      </c>
      <c r="L60" s="203"/>
      <c r="M60" s="220" t="s">
        <v>103</v>
      </c>
      <c r="N60" s="219" t="n">
        <f aca="false">0.0022+0.0075</f>
        <v>0.0097</v>
      </c>
      <c r="O60" s="203"/>
      <c r="P60" s="265"/>
      <c r="Q60" s="240"/>
      <c r="R60" s="223"/>
      <c r="S60" s="234" t="s">
        <v>1</v>
      </c>
      <c r="T60" s="235" t="s">
        <v>1</v>
      </c>
      <c r="U60" s="203"/>
      <c r="V60" s="234"/>
      <c r="W60" s="235"/>
      <c r="X60" s="203"/>
      <c r="Y60" s="203"/>
      <c r="Z60" s="203"/>
      <c r="AK60" s="260" t="n">
        <v>36312</v>
      </c>
    </row>
    <row r="61" customFormat="false" ht="12.75" hidden="false" customHeight="false" outlineLevel="0" collapsed="false">
      <c r="A61" s="200" t="s">
        <v>565</v>
      </c>
      <c r="B61" s="227" t="n">
        <f aca="false">B5/(1-0.0521)-B5</f>
        <v>0.142905369764743</v>
      </c>
      <c r="C61" s="226"/>
      <c r="D61" s="215" t="s">
        <v>558</v>
      </c>
      <c r="E61" s="227" t="n">
        <f aca="false">(E4)/(1-0.0238)-E4</f>
        <v>0.0638762548658063</v>
      </c>
      <c r="F61" s="228"/>
      <c r="G61" s="218" t="s">
        <v>482</v>
      </c>
      <c r="H61" s="229" t="n">
        <f aca="false">(H4)/(1-0.0428)-H4</f>
        <v>0.118491433347263</v>
      </c>
      <c r="I61" s="226"/>
      <c r="J61" s="220" t="s">
        <v>483</v>
      </c>
      <c r="K61" s="230" t="n">
        <f aca="false">(K4)/(1-0.0812)-K4</f>
        <v>0.243918154114062</v>
      </c>
      <c r="L61" s="226"/>
      <c r="M61" s="220" t="s">
        <v>566</v>
      </c>
      <c r="N61" s="230" t="n">
        <f aca="false">(N7)/(1-0.0299)-N7</f>
        <v>0.161813215132461</v>
      </c>
      <c r="O61" s="226"/>
      <c r="P61" s="261"/>
      <c r="Q61" s="210"/>
      <c r="R61" s="232"/>
      <c r="S61" s="243" t="s">
        <v>1</v>
      </c>
      <c r="T61" s="248" t="s">
        <v>1</v>
      </c>
      <c r="U61" s="226"/>
      <c r="V61" s="243"/>
      <c r="W61" s="248"/>
      <c r="X61" s="226"/>
      <c r="Y61" s="226"/>
      <c r="Z61" s="226"/>
      <c r="AK61" s="262" t="s">
        <v>538</v>
      </c>
      <c r="AL61" s="259" t="n">
        <v>0.002</v>
      </c>
    </row>
    <row r="62" customFormat="false" ht="12.75" hidden="false" customHeight="false" outlineLevel="0" collapsed="false">
      <c r="A62" s="215"/>
      <c r="B62" s="235" t="n">
        <f aca="false">SUM(B59:B61)</f>
        <v>0.190205369764743</v>
      </c>
      <c r="C62" s="228"/>
      <c r="D62" s="215"/>
      <c r="E62" s="235" t="n">
        <f aca="false">SUM(E59:E61)</f>
        <v>0.243876254865806</v>
      </c>
      <c r="F62" s="202"/>
      <c r="G62" s="236"/>
      <c r="H62" s="237" t="n">
        <f aca="false">SUM(H59:H61)</f>
        <v>0.205791433347263</v>
      </c>
      <c r="I62" s="228"/>
      <c r="J62" s="220"/>
      <c r="K62" s="237" t="n">
        <f aca="false">SUM(K59:K61)</f>
        <v>0.336518154114062</v>
      </c>
      <c r="L62" s="228"/>
      <c r="M62" s="220"/>
      <c r="N62" s="237" t="n">
        <f aca="false">SUM(N59:N61)</f>
        <v>0.358813215132461</v>
      </c>
      <c r="O62" s="228"/>
      <c r="P62" s="263"/>
      <c r="Q62" s="223"/>
      <c r="R62" s="240"/>
      <c r="S62" s="215" t="s">
        <v>1</v>
      </c>
      <c r="T62" s="216" t="s">
        <v>1</v>
      </c>
      <c r="U62" s="228"/>
      <c r="V62" s="215"/>
      <c r="W62" s="216"/>
      <c r="X62" s="228"/>
      <c r="Y62" s="228"/>
      <c r="Z62" s="228"/>
      <c r="AK62" s="25" t="s">
        <v>540</v>
      </c>
      <c r="AL62" s="259" t="n">
        <v>0.005</v>
      </c>
    </row>
    <row r="63" customFormat="false" ht="12.75" hidden="false" customHeight="false" outlineLevel="0" collapsed="false">
      <c r="A63" s="215" t="s">
        <v>129</v>
      </c>
      <c r="B63" s="201" t="s">
        <v>567</v>
      </c>
      <c r="C63" s="202"/>
      <c r="D63" s="25" t="s">
        <v>129</v>
      </c>
      <c r="E63" s="25" t="s">
        <v>568</v>
      </c>
      <c r="F63" s="203"/>
      <c r="G63" s="244" t="s">
        <v>404</v>
      </c>
      <c r="H63" s="245" t="s">
        <v>468</v>
      </c>
      <c r="I63" s="202"/>
      <c r="J63" s="206" t="s">
        <v>406</v>
      </c>
      <c r="K63" s="207" t="s">
        <v>490</v>
      </c>
      <c r="L63" s="202"/>
      <c r="M63" s="273"/>
      <c r="N63" s="274"/>
      <c r="O63" s="202"/>
      <c r="P63" s="263"/>
      <c r="Q63" s="223"/>
      <c r="R63" s="210"/>
      <c r="S63" s="215" t="s">
        <v>1</v>
      </c>
      <c r="T63" s="216" t="s">
        <v>1</v>
      </c>
      <c r="U63" s="202"/>
      <c r="V63" s="215"/>
      <c r="W63" s="216"/>
      <c r="X63" s="202"/>
      <c r="Y63" s="197"/>
      <c r="Z63" s="197"/>
      <c r="AK63" s="25" t="s">
        <v>546</v>
      </c>
      <c r="AL63" s="259" t="n">
        <v>0.002</v>
      </c>
    </row>
    <row r="64" customFormat="false" ht="12.75" hidden="false" customHeight="false" outlineLevel="0" collapsed="false">
      <c r="A64" s="215" t="s">
        <v>425</v>
      </c>
      <c r="B64" s="216" t="n">
        <v>0.0024</v>
      </c>
      <c r="C64" s="203"/>
      <c r="D64" s="215" t="s">
        <v>425</v>
      </c>
      <c r="E64" s="217" t="n">
        <v>0.3486</v>
      </c>
      <c r="F64" s="203"/>
      <c r="G64" s="218" t="s">
        <v>425</v>
      </c>
      <c r="H64" s="219" t="n">
        <v>0.0873</v>
      </c>
      <c r="I64" s="203"/>
      <c r="J64" s="220" t="s">
        <v>425</v>
      </c>
      <c r="K64" s="219" t="n">
        <v>0.0953</v>
      </c>
      <c r="L64" s="203"/>
      <c r="M64" s="275"/>
      <c r="N64" s="276"/>
      <c r="O64" s="203"/>
      <c r="P64" s="263"/>
      <c r="Q64" s="232"/>
      <c r="R64" s="223"/>
      <c r="S64" s="215" t="s">
        <v>1</v>
      </c>
      <c r="T64" s="227" t="s">
        <v>1</v>
      </c>
      <c r="U64" s="203"/>
      <c r="V64" s="215"/>
      <c r="W64" s="227"/>
      <c r="X64" s="203"/>
      <c r="Y64" s="203"/>
      <c r="Z64" s="203"/>
      <c r="AL64" s="259"/>
    </row>
    <row r="65" customFormat="false" ht="12.75" hidden="false" customHeight="false" outlineLevel="0" collapsed="false">
      <c r="A65" s="234" t="s">
        <v>103</v>
      </c>
      <c r="B65" s="216" t="n">
        <f aca="false">0.0022+0.0075+0.0131</f>
        <v>0.0228</v>
      </c>
      <c r="C65" s="203"/>
      <c r="D65" s="215" t="s">
        <v>103</v>
      </c>
      <c r="E65" s="217" t="n">
        <f aca="false">0.0131+0.0075+0.0022</f>
        <v>0.0228</v>
      </c>
      <c r="F65" s="226"/>
      <c r="G65" s="218" t="s">
        <v>103</v>
      </c>
      <c r="H65" s="219" t="n">
        <f aca="false">0.0022</f>
        <v>0.0022</v>
      </c>
      <c r="I65" s="203"/>
      <c r="J65" s="220" t="s">
        <v>103</v>
      </c>
      <c r="K65" s="219" t="n">
        <f aca="false">0.0022+0.0075</f>
        <v>0.0097</v>
      </c>
      <c r="L65" s="203"/>
      <c r="M65" s="275"/>
      <c r="N65" s="275"/>
      <c r="O65" s="203"/>
      <c r="P65" s="265"/>
      <c r="Q65" s="240"/>
      <c r="R65" s="223"/>
      <c r="S65" s="234"/>
      <c r="T65" s="235" t="s">
        <v>1</v>
      </c>
      <c r="U65" s="203"/>
      <c r="V65" s="234"/>
      <c r="W65" s="235"/>
      <c r="X65" s="203"/>
      <c r="Y65" s="203"/>
      <c r="Z65" s="203"/>
      <c r="AK65" s="260" t="n">
        <v>36281</v>
      </c>
    </row>
    <row r="66" customFormat="false" ht="12.75" hidden="false" customHeight="false" outlineLevel="0" collapsed="false">
      <c r="A66" s="243" t="s">
        <v>569</v>
      </c>
      <c r="B66" s="227" t="n">
        <f aca="false">(B4)/(1-0.0045)-B4</f>
        <v>0.0118432948267202</v>
      </c>
      <c r="C66" s="226"/>
      <c r="D66" s="215" t="s">
        <v>570</v>
      </c>
      <c r="E66" s="227" t="n">
        <f aca="false">(E4)/(1-0.0474)-E4</f>
        <v>0.130367415494436</v>
      </c>
      <c r="F66" s="228"/>
      <c r="G66" s="218" t="s">
        <v>571</v>
      </c>
      <c r="H66" s="230" t="n">
        <f aca="false">(H4)/(1-0.0499)-H4</f>
        <v>0.139180086306705</v>
      </c>
      <c r="I66" s="226"/>
      <c r="J66" s="220" t="s">
        <v>499</v>
      </c>
      <c r="K66" s="230" t="n">
        <f aca="false">(K4)/(1-0.0975)-K4</f>
        <v>0.298171745152354</v>
      </c>
      <c r="L66" s="226"/>
      <c r="M66" s="275"/>
      <c r="N66" s="277"/>
      <c r="O66" s="226"/>
      <c r="P66" s="261"/>
      <c r="Q66" s="210"/>
      <c r="R66" s="232"/>
      <c r="S66" s="243" t="s">
        <v>1</v>
      </c>
      <c r="T66" s="248" t="s">
        <v>1</v>
      </c>
      <c r="U66" s="226"/>
      <c r="V66" s="243"/>
      <c r="W66" s="248"/>
      <c r="X66" s="226"/>
      <c r="Y66" s="226"/>
      <c r="Z66" s="226"/>
      <c r="AK66" s="262" t="s">
        <v>538</v>
      </c>
      <c r="AL66" s="259" t="n">
        <v>0.002</v>
      </c>
    </row>
    <row r="67" customFormat="false" ht="12.75" hidden="false" customHeight="false" outlineLevel="0" collapsed="false">
      <c r="A67" s="215"/>
      <c r="B67" s="235" t="n">
        <f aca="false">SUM(B64:B66)</f>
        <v>0.0370432948267202</v>
      </c>
      <c r="C67" s="228"/>
      <c r="D67" s="215"/>
      <c r="E67" s="235" t="n">
        <f aca="false">SUM(E64:E66)</f>
        <v>0.501767415494436</v>
      </c>
      <c r="F67" s="197"/>
      <c r="G67" s="236"/>
      <c r="H67" s="237" t="n">
        <f aca="false">SUM(H64:H66)</f>
        <v>0.228680086306705</v>
      </c>
      <c r="I67" s="228"/>
      <c r="J67" s="220"/>
      <c r="K67" s="237" t="n">
        <f aca="false">SUM(K64:K66)</f>
        <v>0.403171745152354</v>
      </c>
      <c r="L67" s="228"/>
      <c r="M67" s="275"/>
      <c r="N67" s="274"/>
      <c r="O67" s="228"/>
      <c r="P67" s="263"/>
      <c r="Q67" s="223"/>
      <c r="R67" s="240"/>
      <c r="S67" s="215"/>
      <c r="T67" s="216"/>
      <c r="U67" s="228"/>
      <c r="V67" s="215"/>
      <c r="W67" s="216"/>
      <c r="X67" s="228"/>
      <c r="Y67" s="228"/>
      <c r="Z67" s="228"/>
      <c r="AK67" s="25" t="s">
        <v>540</v>
      </c>
      <c r="AL67" s="259" t="n">
        <v>0.005</v>
      </c>
    </row>
    <row r="68" customFormat="false" ht="12.75" hidden="false" customHeight="false" outlineLevel="0" collapsed="false">
      <c r="A68" s="215" t="s">
        <v>129</v>
      </c>
      <c r="B68" s="235" t="s">
        <v>572</v>
      </c>
      <c r="C68" s="202"/>
      <c r="D68" s="25" t="s">
        <v>129</v>
      </c>
      <c r="E68" s="25" t="s">
        <v>573</v>
      </c>
      <c r="F68" s="203"/>
      <c r="G68" s="244" t="s">
        <v>404</v>
      </c>
      <c r="H68" s="245" t="s">
        <v>486</v>
      </c>
      <c r="I68" s="197"/>
      <c r="J68" s="206" t="s">
        <v>406</v>
      </c>
      <c r="K68" s="207" t="s">
        <v>574</v>
      </c>
      <c r="L68" s="197"/>
      <c r="M68" s="275"/>
      <c r="N68" s="275"/>
      <c r="O68" s="197"/>
      <c r="P68" s="263"/>
      <c r="Q68" s="223"/>
      <c r="R68" s="210"/>
      <c r="S68" s="215"/>
      <c r="T68" s="216"/>
      <c r="U68" s="202"/>
      <c r="V68" s="215"/>
      <c r="W68" s="216"/>
      <c r="X68" s="202"/>
      <c r="Y68" s="197"/>
      <c r="Z68" s="197"/>
      <c r="AK68" s="25" t="s">
        <v>546</v>
      </c>
      <c r="AL68" s="259" t="n">
        <v>0.002</v>
      </c>
    </row>
    <row r="69" customFormat="false" ht="12.75" hidden="false" customHeight="false" outlineLevel="0" collapsed="false">
      <c r="A69" s="215" t="s">
        <v>425</v>
      </c>
      <c r="B69" s="217" t="n">
        <v>0.0115</v>
      </c>
      <c r="C69" s="203"/>
      <c r="D69" s="215" t="s">
        <v>425</v>
      </c>
      <c r="E69" s="217" t="n">
        <v>0.17</v>
      </c>
      <c r="F69" s="203"/>
      <c r="G69" s="218" t="s">
        <v>425</v>
      </c>
      <c r="H69" s="219" t="n">
        <v>0.1015</v>
      </c>
      <c r="I69" s="203"/>
      <c r="J69" s="220" t="s">
        <v>425</v>
      </c>
      <c r="K69" s="219" t="n">
        <v>0.0236</v>
      </c>
      <c r="L69" s="203"/>
      <c r="M69" s="275"/>
      <c r="N69" s="275"/>
      <c r="O69" s="203"/>
      <c r="P69" s="263"/>
      <c r="Q69" s="232"/>
      <c r="R69" s="223"/>
      <c r="S69" s="215"/>
      <c r="T69" s="227"/>
      <c r="U69" s="203"/>
      <c r="V69" s="215"/>
      <c r="W69" s="227"/>
      <c r="X69" s="203"/>
      <c r="Y69" s="203"/>
      <c r="Z69" s="203"/>
      <c r="AL69" s="259"/>
    </row>
    <row r="70" customFormat="false" ht="12.75" hidden="false" customHeight="false" outlineLevel="0" collapsed="false">
      <c r="A70" s="234" t="s">
        <v>103</v>
      </c>
      <c r="B70" s="217" t="n">
        <f aca="false">0.0022+0.0075+0.0131</f>
        <v>0.0228</v>
      </c>
      <c r="C70" s="203"/>
      <c r="D70" s="215" t="s">
        <v>103</v>
      </c>
      <c r="E70" s="217" t="n">
        <v>0</v>
      </c>
      <c r="F70" s="226"/>
      <c r="G70" s="218" t="s">
        <v>103</v>
      </c>
      <c r="H70" s="219" t="n">
        <f aca="false">0.0022+0.0075</f>
        <v>0.0097</v>
      </c>
      <c r="I70" s="203"/>
      <c r="J70" s="220" t="s">
        <v>103</v>
      </c>
      <c r="K70" s="219" t="n">
        <f aca="false">0.0022+0.0075</f>
        <v>0.0097</v>
      </c>
      <c r="L70" s="203"/>
      <c r="M70" s="277"/>
      <c r="N70" s="277"/>
      <c r="O70" s="203"/>
      <c r="P70" s="238"/>
      <c r="Q70" s="239"/>
      <c r="R70" s="223"/>
      <c r="S70" s="234"/>
      <c r="T70" s="235"/>
      <c r="U70" s="203"/>
      <c r="V70" s="234"/>
      <c r="W70" s="235"/>
      <c r="X70" s="203"/>
      <c r="Y70" s="203"/>
      <c r="Z70" s="203"/>
      <c r="AK70" s="260" t="n">
        <v>36251</v>
      </c>
    </row>
    <row r="71" customFormat="false" ht="12.75" hidden="false" customHeight="false" outlineLevel="0" collapsed="false">
      <c r="A71" s="243" t="s">
        <v>558</v>
      </c>
      <c r="B71" s="227" t="n">
        <f aca="false">(+B4)/(1-0.0238)-B4</f>
        <v>0.0638762548658063</v>
      </c>
      <c r="C71" s="226"/>
      <c r="D71" s="215" t="s">
        <v>575</v>
      </c>
      <c r="E71" s="227" t="n">
        <f aca="false">(E3)/(1-0.0193)-E3</f>
        <v>0.050773936983787</v>
      </c>
      <c r="F71" s="228"/>
      <c r="G71" s="218" t="s">
        <v>576</v>
      </c>
      <c r="H71" s="270" t="n">
        <f aca="false">(H4)/(1-0.059)-H4</f>
        <v>0.16615302869288</v>
      </c>
      <c r="I71" s="226"/>
      <c r="J71" s="220" t="s">
        <v>430</v>
      </c>
      <c r="K71" s="230" t="n">
        <f aca="false">(K3)/(1-0.0268)-K3</f>
        <v>0.0826140567200988</v>
      </c>
      <c r="L71" s="226"/>
      <c r="M71" s="274"/>
      <c r="N71" s="274"/>
      <c r="O71" s="226"/>
      <c r="P71" s="210"/>
      <c r="Q71" s="210"/>
      <c r="R71" s="232"/>
      <c r="S71" s="202"/>
      <c r="T71" s="202"/>
      <c r="U71" s="226"/>
      <c r="V71" s="202"/>
      <c r="W71" s="202"/>
      <c r="X71" s="226"/>
      <c r="Y71" s="226"/>
      <c r="Z71" s="226"/>
      <c r="AK71" s="262" t="s">
        <v>538</v>
      </c>
      <c r="AL71" s="259" t="n">
        <v>0.002</v>
      </c>
    </row>
    <row r="72" customFormat="false" ht="12.75" hidden="false" customHeight="false" outlineLevel="0" collapsed="false">
      <c r="A72" s="215"/>
      <c r="B72" s="235" t="n">
        <f aca="false">SUM(B69:B71)</f>
        <v>0.0981762548658063</v>
      </c>
      <c r="C72" s="228"/>
      <c r="D72" s="215"/>
      <c r="E72" s="235" t="n">
        <f aca="false">SUM(E69:E71)</f>
        <v>0.220773936983787</v>
      </c>
      <c r="F72" s="197"/>
      <c r="G72" s="236"/>
      <c r="H72" s="237" t="n">
        <f aca="false">SUM(H69:H71)</f>
        <v>0.27735302869288</v>
      </c>
      <c r="I72" s="228"/>
      <c r="J72" s="220"/>
      <c r="K72" s="237" t="n">
        <f aca="false">SUM(K69:K71)</f>
        <v>0.115914056720099</v>
      </c>
      <c r="L72" s="228"/>
      <c r="M72" s="278"/>
      <c r="N72" s="278"/>
      <c r="O72" s="228"/>
      <c r="P72" s="223"/>
      <c r="Q72" s="223"/>
      <c r="R72" s="240"/>
      <c r="S72" s="203"/>
      <c r="T72" s="203"/>
      <c r="U72" s="228"/>
      <c r="V72" s="203"/>
      <c r="W72" s="203"/>
      <c r="X72" s="228"/>
      <c r="Y72" s="228"/>
      <c r="Z72" s="228"/>
      <c r="AK72" s="25" t="s">
        <v>540</v>
      </c>
      <c r="AL72" s="259" t="n">
        <v>0.007</v>
      </c>
    </row>
    <row r="73" customFormat="false" ht="12.75" hidden="false" customHeight="false" outlineLevel="0" collapsed="false">
      <c r="A73" s="215" t="s">
        <v>129</v>
      </c>
      <c r="B73" s="201" t="s">
        <v>577</v>
      </c>
      <c r="C73" s="197"/>
      <c r="D73" s="25" t="s">
        <v>578</v>
      </c>
      <c r="E73" s="25" t="s">
        <v>579</v>
      </c>
      <c r="F73" s="203"/>
      <c r="G73" s="244" t="s">
        <v>404</v>
      </c>
      <c r="H73" s="245" t="s">
        <v>503</v>
      </c>
      <c r="I73" s="197"/>
      <c r="J73" s="206" t="s">
        <v>406</v>
      </c>
      <c r="K73" s="207" t="s">
        <v>580</v>
      </c>
      <c r="L73" s="197"/>
      <c r="M73" s="275"/>
      <c r="N73" s="275"/>
      <c r="O73" s="197"/>
      <c r="P73" s="232"/>
      <c r="Q73" s="232"/>
      <c r="R73" s="279"/>
      <c r="S73" s="226"/>
      <c r="T73" s="226"/>
      <c r="U73" s="197"/>
      <c r="V73" s="226"/>
      <c r="W73" s="226"/>
      <c r="X73" s="197"/>
      <c r="Y73" s="197"/>
      <c r="Z73" s="197"/>
      <c r="AK73" s="25" t="s">
        <v>546</v>
      </c>
      <c r="AL73" s="259" t="n">
        <v>0.002</v>
      </c>
    </row>
    <row r="74" customFormat="false" ht="12.75" hidden="false" customHeight="false" outlineLevel="0" collapsed="false">
      <c r="A74" s="215" t="s">
        <v>425</v>
      </c>
      <c r="B74" s="216" t="n">
        <v>0.0187</v>
      </c>
      <c r="C74" s="203"/>
      <c r="D74" s="215" t="s">
        <v>425</v>
      </c>
      <c r="E74" s="217" t="n">
        <v>0.0754</v>
      </c>
      <c r="F74" s="203"/>
      <c r="G74" s="218" t="s">
        <v>425</v>
      </c>
      <c r="H74" s="219" t="n">
        <v>0.1126</v>
      </c>
      <c r="I74" s="203"/>
      <c r="J74" s="220" t="s">
        <v>425</v>
      </c>
      <c r="K74" s="219" t="n">
        <v>0.0195</v>
      </c>
      <c r="L74" s="203"/>
      <c r="M74" s="275"/>
      <c r="N74" s="275"/>
      <c r="O74" s="203"/>
      <c r="P74" s="240"/>
      <c r="Q74" s="240"/>
      <c r="R74" s="223"/>
      <c r="S74" s="228"/>
      <c r="T74" s="228"/>
      <c r="U74" s="203"/>
      <c r="V74" s="228"/>
      <c r="W74" s="228"/>
      <c r="X74" s="203"/>
      <c r="Y74" s="203"/>
      <c r="Z74" s="203"/>
      <c r="AL74" s="259"/>
    </row>
    <row r="75" customFormat="false" ht="12.75" hidden="false" customHeight="false" outlineLevel="0" collapsed="false">
      <c r="A75" s="234" t="s">
        <v>103</v>
      </c>
      <c r="B75" s="217" t="n">
        <f aca="false">0.0022+0.0075+0.0131</f>
        <v>0.0228</v>
      </c>
      <c r="C75" s="203"/>
      <c r="D75" s="215" t="s">
        <v>103</v>
      </c>
      <c r="E75" s="217" t="n">
        <v>0</v>
      </c>
      <c r="F75" s="226"/>
      <c r="G75" s="218" t="s">
        <v>103</v>
      </c>
      <c r="H75" s="219" t="n">
        <f aca="false">0.0022+0.0075</f>
        <v>0.0097</v>
      </c>
      <c r="I75" s="203"/>
      <c r="J75" s="220" t="s">
        <v>103</v>
      </c>
      <c r="K75" s="219" t="n">
        <f aca="false">0.0022</f>
        <v>0.0022</v>
      </c>
      <c r="L75" s="203"/>
      <c r="M75" s="277"/>
      <c r="N75" s="277"/>
      <c r="O75" s="203"/>
      <c r="P75" s="210"/>
      <c r="Q75" s="210"/>
      <c r="R75" s="223"/>
      <c r="S75" s="202"/>
      <c r="T75" s="202"/>
      <c r="U75" s="203"/>
      <c r="V75" s="202"/>
      <c r="W75" s="202"/>
      <c r="X75" s="203"/>
      <c r="Y75" s="203"/>
      <c r="Z75" s="203"/>
      <c r="AK75" s="260" t="n">
        <v>36220</v>
      </c>
    </row>
    <row r="76" customFormat="false" ht="12.75" hidden="false" customHeight="false" outlineLevel="0" collapsed="false">
      <c r="A76" s="202" t="s">
        <v>581</v>
      </c>
      <c r="B76" s="227" t="n">
        <f aca="false">B4/(1-0.039)-B4</f>
        <v>0.106326742976067</v>
      </c>
      <c r="C76" s="226"/>
      <c r="D76" s="215" t="s">
        <v>582</v>
      </c>
      <c r="E76" s="227" t="n">
        <f aca="false">(+E3)/(1-0.0062)-E3</f>
        <v>0.0160957939223185</v>
      </c>
      <c r="F76" s="228"/>
      <c r="G76" s="218" t="s">
        <v>583</v>
      </c>
      <c r="H76" s="270" t="n">
        <f aca="false">(H4)/(1-0.0699)-H4</f>
        <v>0.199156004730674</v>
      </c>
      <c r="I76" s="226"/>
      <c r="J76" s="220" t="s">
        <v>584</v>
      </c>
      <c r="K76" s="230" t="n">
        <f aca="false">(K3)/(1-0.0263)-K3</f>
        <v>0.081031118414296</v>
      </c>
      <c r="L76" s="226"/>
      <c r="M76" s="274"/>
      <c r="N76" s="274"/>
      <c r="O76" s="226"/>
      <c r="P76" s="223"/>
      <c r="Q76" s="223"/>
      <c r="R76" s="232"/>
      <c r="S76" s="203"/>
      <c r="T76" s="203"/>
      <c r="U76" s="226"/>
      <c r="V76" s="203"/>
      <c r="W76" s="203"/>
      <c r="X76" s="226"/>
      <c r="Y76" s="226"/>
      <c r="Z76" s="226"/>
      <c r="AK76" s="262" t="s">
        <v>538</v>
      </c>
      <c r="AL76" s="259" t="n">
        <v>0.001</v>
      </c>
    </row>
    <row r="77" customFormat="false" ht="12.75" hidden="false" customHeight="false" outlineLevel="0" collapsed="false">
      <c r="A77" s="203"/>
      <c r="B77" s="235" t="n">
        <f aca="false">SUM(B74:B76)</f>
        <v>0.147826742976067</v>
      </c>
      <c r="C77" s="228"/>
      <c r="D77" s="215"/>
      <c r="E77" s="235" t="n">
        <f aca="false">SUM(E74:E76)</f>
        <v>0.0914957939223185</v>
      </c>
      <c r="F77" s="197"/>
      <c r="G77" s="236"/>
      <c r="H77" s="237" t="n">
        <f aca="false">SUM(H74:H76)</f>
        <v>0.321456004730674</v>
      </c>
      <c r="I77" s="228"/>
      <c r="J77" s="220"/>
      <c r="K77" s="237" t="n">
        <f aca="false">SUM(K74:K76)</f>
        <v>0.102731118414296</v>
      </c>
      <c r="L77" s="228"/>
      <c r="M77" s="274"/>
      <c r="N77" s="274"/>
      <c r="O77" s="228"/>
      <c r="P77" s="223"/>
      <c r="Q77" s="223"/>
      <c r="R77" s="240"/>
      <c r="S77" s="203"/>
      <c r="T77" s="203"/>
      <c r="U77" s="228"/>
      <c r="V77" s="203"/>
      <c r="W77" s="203"/>
      <c r="X77" s="228"/>
      <c r="Y77" s="228"/>
      <c r="Z77" s="228"/>
      <c r="AK77" s="25" t="s">
        <v>540</v>
      </c>
      <c r="AL77" s="259" t="n">
        <v>0.003</v>
      </c>
    </row>
    <row r="78" customFormat="false" ht="12.75" hidden="false" customHeight="false" outlineLevel="0" collapsed="false">
      <c r="A78" s="226" t="s">
        <v>129</v>
      </c>
      <c r="B78" s="201" t="s">
        <v>585</v>
      </c>
      <c r="C78" s="197"/>
      <c r="F78" s="203"/>
      <c r="G78" s="244" t="s">
        <v>404</v>
      </c>
      <c r="H78" s="245" t="s">
        <v>517</v>
      </c>
      <c r="I78" s="197"/>
      <c r="J78" s="206" t="s">
        <v>406</v>
      </c>
      <c r="K78" s="207" t="s">
        <v>586</v>
      </c>
      <c r="L78" s="197"/>
      <c r="M78" s="276"/>
      <c r="N78" s="276"/>
      <c r="O78" s="197"/>
      <c r="P78" s="232"/>
      <c r="Q78" s="232"/>
      <c r="R78" s="279"/>
      <c r="S78" s="226"/>
      <c r="T78" s="226"/>
      <c r="U78" s="197"/>
      <c r="V78" s="226"/>
      <c r="W78" s="226"/>
      <c r="X78" s="197"/>
      <c r="Y78" s="197"/>
      <c r="Z78" s="197"/>
      <c r="AK78" s="25" t="s">
        <v>546</v>
      </c>
      <c r="AL78" s="259" t="n">
        <v>0.001</v>
      </c>
    </row>
    <row r="79" customFormat="false" ht="12.75" hidden="false" customHeight="false" outlineLevel="0" collapsed="false">
      <c r="A79" s="228" t="s">
        <v>425</v>
      </c>
      <c r="B79" s="216" t="n">
        <v>0.0224</v>
      </c>
      <c r="C79" s="203"/>
      <c r="D79" s="253" t="s">
        <v>587</v>
      </c>
      <c r="E79" s="235" t="s">
        <v>588</v>
      </c>
      <c r="F79" s="203"/>
      <c r="G79" s="218" t="s">
        <v>425</v>
      </c>
      <c r="H79" s="219" t="n">
        <v>0.1504</v>
      </c>
      <c r="I79" s="203"/>
      <c r="J79" s="220" t="s">
        <v>425</v>
      </c>
      <c r="K79" s="219" t="n">
        <v>0.0177</v>
      </c>
      <c r="L79" s="203"/>
      <c r="M79" s="276"/>
      <c r="N79" s="276"/>
      <c r="O79" s="203"/>
      <c r="P79" s="240"/>
      <c r="Q79" s="240"/>
      <c r="R79" s="223"/>
      <c r="S79" s="228"/>
      <c r="T79" s="228"/>
      <c r="U79" s="203"/>
      <c r="V79" s="228"/>
      <c r="W79" s="228"/>
      <c r="X79" s="203"/>
      <c r="Y79" s="203"/>
      <c r="Z79" s="203"/>
      <c r="AL79" s="259"/>
    </row>
    <row r="80" customFormat="false" ht="12.75" hidden="false" customHeight="false" outlineLevel="0" collapsed="false">
      <c r="A80" s="202" t="s">
        <v>103</v>
      </c>
      <c r="B80" s="217" t="n">
        <f aca="false">0.0022+0.0075+0.0131</f>
        <v>0.0228</v>
      </c>
      <c r="C80" s="203"/>
      <c r="D80" s="215" t="s">
        <v>425</v>
      </c>
      <c r="E80" s="217" t="n">
        <v>0.0964</v>
      </c>
      <c r="F80" s="226"/>
      <c r="G80" s="218" t="s">
        <v>103</v>
      </c>
      <c r="H80" s="219" t="n">
        <f aca="false">0.0022+0.0075</f>
        <v>0.0097</v>
      </c>
      <c r="I80" s="203"/>
      <c r="J80" s="220" t="s">
        <v>103</v>
      </c>
      <c r="K80" s="219" t="n">
        <f aca="false">0.0022+0.0075</f>
        <v>0.0097</v>
      </c>
      <c r="L80" s="203"/>
      <c r="M80" s="276"/>
      <c r="N80" s="276"/>
      <c r="O80" s="203"/>
      <c r="P80" s="279"/>
      <c r="Q80" s="279"/>
      <c r="R80" s="223"/>
      <c r="S80" s="197"/>
      <c r="T80" s="197"/>
      <c r="U80" s="203"/>
      <c r="V80" s="197"/>
      <c r="W80" s="197"/>
      <c r="X80" s="203"/>
      <c r="Y80" s="203"/>
      <c r="Z80" s="203"/>
      <c r="AK80" s="260" t="n">
        <v>36192</v>
      </c>
    </row>
    <row r="81" customFormat="false" ht="12.75" hidden="false" customHeight="false" outlineLevel="0" collapsed="false">
      <c r="A81" s="203" t="s">
        <v>570</v>
      </c>
      <c r="B81" s="227" t="n">
        <f aca="false">B4/(1-0.0474)-B4</f>
        <v>0.130367415494436</v>
      </c>
      <c r="C81" s="226"/>
      <c r="D81" s="215" t="s">
        <v>103</v>
      </c>
      <c r="E81" s="217" t="n">
        <f aca="false">0.0075+0.0022+0.0131</f>
        <v>0.0228</v>
      </c>
      <c r="F81" s="228"/>
      <c r="G81" s="218" t="s">
        <v>589</v>
      </c>
      <c r="H81" s="229" t="n">
        <f aca="false">(H4)/(1-0.0782)-H4</f>
        <v>0.224810154046431</v>
      </c>
      <c r="I81" s="226"/>
      <c r="J81" s="220" t="s">
        <v>584</v>
      </c>
      <c r="K81" s="230" t="n">
        <f aca="false">(K3)/(1-0.0263)-K3</f>
        <v>0.081031118414296</v>
      </c>
      <c r="L81" s="226"/>
      <c r="M81" s="277"/>
      <c r="N81" s="277"/>
      <c r="O81" s="226"/>
      <c r="P81" s="223"/>
      <c r="Q81" s="223"/>
      <c r="R81" s="232"/>
      <c r="S81" s="203"/>
      <c r="T81" s="203"/>
      <c r="U81" s="226"/>
      <c r="V81" s="203"/>
      <c r="W81" s="203"/>
      <c r="X81" s="226"/>
      <c r="Y81" s="226"/>
      <c r="Z81" s="226"/>
      <c r="AK81" s="262" t="s">
        <v>538</v>
      </c>
      <c r="AL81" s="259" t="n">
        <v>0.004</v>
      </c>
    </row>
    <row r="82" customFormat="false" ht="12.75" hidden="false" customHeight="false" outlineLevel="0" collapsed="false">
      <c r="A82" s="203"/>
      <c r="B82" s="235" t="n">
        <f aca="false">SUM(B79:B81)</f>
        <v>0.175567415494436</v>
      </c>
      <c r="C82" s="228"/>
      <c r="D82" s="215" t="s">
        <v>590</v>
      </c>
      <c r="E82" s="227" t="n">
        <f aca="false">(2.25)/(1-0.0084)-2.25</f>
        <v>0.0190601048810004</v>
      </c>
      <c r="F82" s="197"/>
      <c r="G82" s="236"/>
      <c r="H82" s="237" t="n">
        <f aca="false">SUM(H79:H81)</f>
        <v>0.384910154046431</v>
      </c>
      <c r="I82" s="228"/>
      <c r="J82" s="220"/>
      <c r="K82" s="237" t="n">
        <f aca="false">SUM(K79:K81)</f>
        <v>0.108431118414296</v>
      </c>
      <c r="L82" s="228"/>
      <c r="M82" s="274"/>
      <c r="N82" s="274"/>
      <c r="O82" s="228"/>
      <c r="P82" s="223"/>
      <c r="Q82" s="223"/>
      <c r="R82" s="240"/>
      <c r="S82" s="203"/>
      <c r="T82" s="203"/>
      <c r="U82" s="228"/>
      <c r="V82" s="203"/>
      <c r="W82" s="203"/>
      <c r="X82" s="228"/>
      <c r="Y82" s="228"/>
      <c r="Z82" s="228"/>
      <c r="AK82" s="25" t="s">
        <v>540</v>
      </c>
      <c r="AL82" s="259" t="n">
        <v>0.01</v>
      </c>
    </row>
    <row r="83" customFormat="false" ht="14.1" hidden="false" customHeight="true" outlineLevel="0" collapsed="false">
      <c r="A83" s="226" t="s">
        <v>129</v>
      </c>
      <c r="B83" s="235" t="s">
        <v>591</v>
      </c>
      <c r="C83" s="197"/>
      <c r="D83" s="215"/>
      <c r="E83" s="235" t="n">
        <f aca="false">SUM(E80:E82)</f>
        <v>0.138260104881</v>
      </c>
      <c r="F83" s="203"/>
      <c r="G83" s="244" t="s">
        <v>404</v>
      </c>
      <c r="H83" s="245" t="s">
        <v>553</v>
      </c>
      <c r="I83" s="197"/>
      <c r="J83" s="206" t="s">
        <v>406</v>
      </c>
      <c r="K83" s="207" t="s">
        <v>592</v>
      </c>
      <c r="L83" s="197"/>
      <c r="M83" s="278"/>
      <c r="N83" s="278"/>
      <c r="O83" s="197"/>
      <c r="P83" s="232"/>
      <c r="Q83" s="232"/>
      <c r="R83" s="279"/>
      <c r="S83" s="226"/>
      <c r="T83" s="226"/>
      <c r="U83" s="197"/>
      <c r="V83" s="226"/>
      <c r="W83" s="226"/>
      <c r="X83" s="197"/>
      <c r="Y83" s="197"/>
      <c r="Z83" s="197"/>
      <c r="AK83" s="25" t="s">
        <v>546</v>
      </c>
      <c r="AL83" s="259" t="n">
        <v>0.004</v>
      </c>
    </row>
    <row r="84" customFormat="false" ht="12.75" hidden="false" customHeight="false" outlineLevel="0" collapsed="false">
      <c r="A84" s="228" t="s">
        <v>425</v>
      </c>
      <c r="B84" s="217" t="n">
        <v>0.0095</v>
      </c>
      <c r="C84" s="203"/>
      <c r="F84" s="203"/>
      <c r="G84" s="218" t="s">
        <v>425</v>
      </c>
      <c r="H84" s="219" t="n">
        <v>0.0783</v>
      </c>
      <c r="I84" s="203"/>
      <c r="J84" s="220" t="s">
        <v>425</v>
      </c>
      <c r="K84" s="219" t="n">
        <v>0.0177</v>
      </c>
      <c r="L84" s="203"/>
      <c r="M84" s="275"/>
      <c r="N84" s="275"/>
      <c r="O84" s="203"/>
      <c r="P84" s="280"/>
      <c r="Q84" s="281"/>
      <c r="R84" s="223"/>
      <c r="S84" s="282"/>
      <c r="T84" s="283"/>
      <c r="U84" s="203"/>
      <c r="V84" s="282"/>
      <c r="W84" s="283"/>
      <c r="X84" s="203"/>
      <c r="Y84" s="203"/>
      <c r="Z84" s="203"/>
      <c r="AL84" s="259"/>
    </row>
    <row r="85" customFormat="false" ht="12.75" hidden="false" customHeight="false" outlineLevel="0" collapsed="false">
      <c r="A85" s="197" t="s">
        <v>103</v>
      </c>
      <c r="B85" s="217" t="n">
        <f aca="false">0.0022+0.0075+0.0131</f>
        <v>0.0228</v>
      </c>
      <c r="C85" s="203"/>
      <c r="D85" s="253" t="s">
        <v>593</v>
      </c>
      <c r="E85" s="235"/>
      <c r="F85" s="226"/>
      <c r="G85" s="218" t="s">
        <v>103</v>
      </c>
      <c r="H85" s="219" t="n">
        <f aca="false">0.0022+0.0075</f>
        <v>0.0097</v>
      </c>
      <c r="I85" s="203"/>
      <c r="J85" s="220" t="s">
        <v>103</v>
      </c>
      <c r="K85" s="219" t="n">
        <f aca="false">0.0022+0.0075</f>
        <v>0.0097</v>
      </c>
      <c r="L85" s="203"/>
      <c r="M85" s="275"/>
      <c r="N85" s="275"/>
      <c r="O85" s="203"/>
      <c r="P85" s="279"/>
      <c r="Q85" s="279"/>
      <c r="R85" s="223"/>
      <c r="S85" s="197"/>
      <c r="T85" s="197"/>
      <c r="U85" s="203"/>
      <c r="V85" s="197"/>
      <c r="W85" s="197"/>
      <c r="X85" s="203"/>
      <c r="Y85" s="203"/>
      <c r="Z85" s="203"/>
      <c r="AK85" s="260" t="n">
        <v>36161</v>
      </c>
    </row>
    <row r="86" customFormat="false" ht="12.75" hidden="false" customHeight="false" outlineLevel="0" collapsed="false">
      <c r="A86" s="203" t="s">
        <v>575</v>
      </c>
      <c r="B86" s="227" t="n">
        <f aca="false">(B3)/(1-0.0193)-B3</f>
        <v>0.050773936983787</v>
      </c>
      <c r="C86" s="226"/>
      <c r="D86" s="215" t="s">
        <v>425</v>
      </c>
      <c r="E86" s="217" t="n">
        <v>0.0448</v>
      </c>
      <c r="F86" s="228"/>
      <c r="G86" s="218" t="s">
        <v>594</v>
      </c>
      <c r="H86" s="229" t="n">
        <f aca="false">(H4)/(1-0.0415)-H4</f>
        <v>0.114736567553469</v>
      </c>
      <c r="I86" s="226"/>
      <c r="J86" s="220" t="s">
        <v>584</v>
      </c>
      <c r="K86" s="230" t="n">
        <f aca="false">(K4)/(1-0.0263)-K4</f>
        <v>0.0745486289411521</v>
      </c>
      <c r="L86" s="226"/>
      <c r="M86" s="277"/>
      <c r="N86" s="277"/>
      <c r="O86" s="226"/>
      <c r="P86" s="223"/>
      <c r="Q86" s="223"/>
      <c r="R86" s="232"/>
      <c r="S86" s="203"/>
      <c r="T86" s="203"/>
      <c r="U86" s="226"/>
      <c r="V86" s="203"/>
      <c r="W86" s="203"/>
      <c r="X86" s="226"/>
      <c r="Y86" s="226"/>
      <c r="Z86" s="226"/>
      <c r="AK86" s="262" t="s">
        <v>538</v>
      </c>
      <c r="AL86" s="259" t="n">
        <v>0.003</v>
      </c>
    </row>
    <row r="87" customFormat="false" ht="12.75" hidden="false" customHeight="false" outlineLevel="0" collapsed="false">
      <c r="A87" s="203"/>
      <c r="B87" s="235" t="n">
        <f aca="false">SUM(B84:B86)</f>
        <v>0.083073936983787</v>
      </c>
      <c r="C87" s="228"/>
      <c r="D87" s="215" t="s">
        <v>103</v>
      </c>
      <c r="E87" s="217" t="n">
        <f aca="false">0.0075+0.0022+0.0131</f>
        <v>0.0228</v>
      </c>
      <c r="F87" s="197"/>
      <c r="G87" s="236"/>
      <c r="H87" s="237" t="n">
        <f aca="false">SUM(H84:H86)</f>
        <v>0.202736567553469</v>
      </c>
      <c r="I87" s="228"/>
      <c r="J87" s="220"/>
      <c r="K87" s="237" t="n">
        <f aca="false">SUM(K84:K86)</f>
        <v>0.101948628941152</v>
      </c>
      <c r="L87" s="228"/>
      <c r="M87" s="274"/>
      <c r="N87" s="274"/>
      <c r="O87" s="228"/>
      <c r="P87" s="223"/>
      <c r="Q87" s="223"/>
      <c r="R87" s="240"/>
      <c r="S87" s="203"/>
      <c r="T87" s="203"/>
      <c r="U87" s="228"/>
      <c r="V87" s="203"/>
      <c r="W87" s="203"/>
      <c r="X87" s="228"/>
      <c r="Y87" s="228"/>
      <c r="Z87" s="228"/>
      <c r="AK87" s="25" t="s">
        <v>540</v>
      </c>
      <c r="AL87" s="259" t="n">
        <v>0.008</v>
      </c>
    </row>
    <row r="88" customFormat="false" ht="12.75" hidden="false" customHeight="false" outlineLevel="0" collapsed="false">
      <c r="A88" s="226" t="s">
        <v>129</v>
      </c>
      <c r="B88" s="235" t="s">
        <v>595</v>
      </c>
      <c r="C88" s="197"/>
      <c r="D88" s="215" t="s">
        <v>441</v>
      </c>
      <c r="E88" s="227" t="n">
        <v>0</v>
      </c>
      <c r="F88" s="203"/>
      <c r="G88" s="244" t="s">
        <v>404</v>
      </c>
      <c r="H88" s="245" t="s">
        <v>596</v>
      </c>
      <c r="I88" s="197"/>
      <c r="J88" s="206" t="s">
        <v>406</v>
      </c>
      <c r="K88" s="207" t="s">
        <v>597</v>
      </c>
      <c r="L88" s="197"/>
      <c r="O88" s="197"/>
      <c r="P88" s="232"/>
      <c r="Q88" s="232"/>
      <c r="R88" s="279"/>
      <c r="S88" s="226"/>
      <c r="T88" s="226"/>
      <c r="U88" s="197"/>
      <c r="V88" s="226"/>
      <c r="W88" s="226"/>
      <c r="X88" s="197"/>
      <c r="Y88" s="228"/>
      <c r="Z88" s="228"/>
      <c r="AK88" s="25" t="s">
        <v>546</v>
      </c>
      <c r="AL88" s="259" t="n">
        <v>0.003</v>
      </c>
    </row>
    <row r="89" customFormat="false" ht="12.75" hidden="false" customHeight="false" outlineLevel="0" collapsed="false">
      <c r="A89" s="282" t="s">
        <v>425</v>
      </c>
      <c r="B89" s="217" t="n">
        <v>0.0167</v>
      </c>
      <c r="C89" s="203"/>
      <c r="D89" s="215"/>
      <c r="E89" s="235" t="n">
        <f aca="false">SUM(E86:E88)</f>
        <v>0.0676</v>
      </c>
      <c r="F89" s="203"/>
      <c r="G89" s="218" t="s">
        <v>425</v>
      </c>
      <c r="H89" s="219" t="n">
        <f aca="false">0.0511-0.0022-0.0088</f>
        <v>0.0401</v>
      </c>
      <c r="I89" s="203"/>
      <c r="J89" s="220" t="s">
        <v>425</v>
      </c>
      <c r="K89" s="219" t="n">
        <v>0.0177</v>
      </c>
      <c r="L89" s="203"/>
      <c r="M89" s="278"/>
      <c r="N89" s="278"/>
      <c r="O89" s="203"/>
      <c r="P89" s="240"/>
      <c r="Q89" s="240"/>
      <c r="R89" s="223"/>
      <c r="S89" s="228"/>
      <c r="T89" s="228"/>
      <c r="U89" s="203"/>
      <c r="V89" s="228"/>
      <c r="W89" s="228"/>
      <c r="X89" s="203"/>
      <c r="Y89" s="254"/>
      <c r="Z89" s="254"/>
      <c r="AL89" s="259"/>
    </row>
    <row r="90" customFormat="false" ht="12.75" hidden="false" customHeight="false" outlineLevel="0" collapsed="false">
      <c r="A90" s="197" t="s">
        <v>103</v>
      </c>
      <c r="B90" s="217" t="n">
        <f aca="false">0.0022+0.0072+0.0131</f>
        <v>0.0225</v>
      </c>
      <c r="C90" s="203"/>
      <c r="F90" s="226"/>
      <c r="G90" s="218" t="s">
        <v>103</v>
      </c>
      <c r="H90" s="219" t="n">
        <f aca="false">0.0022+0.0075</f>
        <v>0.0097</v>
      </c>
      <c r="I90" s="203"/>
      <c r="J90" s="220" t="s">
        <v>103</v>
      </c>
      <c r="K90" s="219" t="n">
        <f aca="false">0.0022+0.0075</f>
        <v>0.0097</v>
      </c>
      <c r="L90" s="203"/>
      <c r="M90" s="275"/>
      <c r="N90" s="275"/>
      <c r="O90" s="203"/>
      <c r="P90" s="279"/>
      <c r="Q90" s="279"/>
      <c r="R90" s="223"/>
      <c r="S90" s="197"/>
      <c r="T90" s="197"/>
      <c r="U90" s="203"/>
      <c r="V90" s="197"/>
      <c r="W90" s="197"/>
      <c r="X90" s="203"/>
      <c r="Y90" s="254"/>
      <c r="Z90" s="254"/>
      <c r="AK90" s="260" t="n">
        <v>36130</v>
      </c>
    </row>
    <row r="91" customFormat="false" ht="12.75" hidden="false" customHeight="false" outlineLevel="0" collapsed="false">
      <c r="A91" s="203" t="s">
        <v>598</v>
      </c>
      <c r="B91" s="227" t="s">
        <v>599</v>
      </c>
      <c r="C91" s="226"/>
      <c r="F91" s="228"/>
      <c r="G91" s="218" t="s">
        <v>600</v>
      </c>
      <c r="H91" s="230" t="n">
        <f aca="false">(H5)/(1-0.0109)-H5</f>
        <v>0.0325093519361035</v>
      </c>
      <c r="I91" s="226"/>
      <c r="J91" s="220" t="s">
        <v>584</v>
      </c>
      <c r="K91" s="230" t="n">
        <f aca="false">(K3)/(1-0.0263)-K3</f>
        <v>0.081031118414296</v>
      </c>
      <c r="L91" s="226"/>
      <c r="M91" s="275"/>
      <c r="N91" s="275"/>
      <c r="O91" s="226"/>
      <c r="P91" s="223"/>
      <c r="Q91" s="223"/>
      <c r="R91" s="232"/>
      <c r="S91" s="203"/>
      <c r="T91" s="203"/>
      <c r="U91" s="226"/>
      <c r="V91" s="203"/>
      <c r="W91" s="203"/>
      <c r="X91" s="226"/>
      <c r="Y91" s="254"/>
      <c r="Z91" s="254"/>
      <c r="AK91" s="262" t="s">
        <v>538</v>
      </c>
      <c r="AL91" s="259" t="n">
        <v>0.002</v>
      </c>
    </row>
    <row r="92" customFormat="false" ht="12.75" hidden="false" customHeight="false" outlineLevel="0" collapsed="false">
      <c r="A92" s="203"/>
      <c r="B92" s="235" t="s">
        <v>599</v>
      </c>
      <c r="C92" s="228"/>
      <c r="F92" s="228"/>
      <c r="G92" s="236"/>
      <c r="H92" s="237" t="n">
        <f aca="false">SUM(H89:H91)</f>
        <v>0.0823093519361035</v>
      </c>
      <c r="I92" s="228"/>
      <c r="J92" s="220"/>
      <c r="K92" s="237" t="n">
        <f aca="false">SUM(K89:K91)</f>
        <v>0.108431118414296</v>
      </c>
      <c r="L92" s="228"/>
      <c r="M92" s="277"/>
      <c r="N92" s="277"/>
      <c r="O92" s="228"/>
      <c r="P92" s="223"/>
      <c r="Q92" s="223"/>
      <c r="R92" s="240"/>
      <c r="S92" s="203"/>
      <c r="T92" s="203"/>
      <c r="U92" s="228"/>
      <c r="V92" s="203"/>
      <c r="W92" s="203"/>
      <c r="X92" s="228"/>
      <c r="Y92" s="226"/>
      <c r="Z92" s="226"/>
      <c r="AK92" s="25" t="s">
        <v>540</v>
      </c>
      <c r="AL92" s="259" t="n">
        <v>0.008</v>
      </c>
    </row>
    <row r="93" customFormat="false" ht="12.75" hidden="false" customHeight="false" outlineLevel="0" collapsed="false">
      <c r="A93" s="226" t="s">
        <v>129</v>
      </c>
      <c r="B93" s="235" t="s">
        <v>601</v>
      </c>
      <c r="C93" s="197"/>
      <c r="F93" s="254"/>
      <c r="G93" s="244" t="s">
        <v>404</v>
      </c>
      <c r="H93" s="245" t="s">
        <v>602</v>
      </c>
      <c r="I93" s="228"/>
      <c r="J93" s="206" t="s">
        <v>406</v>
      </c>
      <c r="K93" s="207" t="s">
        <v>603</v>
      </c>
      <c r="L93" s="228"/>
      <c r="M93" s="274"/>
      <c r="N93" s="274"/>
      <c r="O93" s="228"/>
      <c r="P93" s="232"/>
      <c r="Q93" s="232"/>
      <c r="R93" s="279"/>
      <c r="S93" s="226"/>
      <c r="T93" s="226"/>
      <c r="U93" s="197"/>
      <c r="V93" s="226"/>
      <c r="W93" s="226"/>
      <c r="X93" s="197"/>
      <c r="Y93" s="228"/>
      <c r="Z93" s="228"/>
      <c r="AK93" s="25" t="s">
        <v>546</v>
      </c>
      <c r="AL93" s="259" t="n">
        <v>0.002</v>
      </c>
    </row>
    <row r="94" customFormat="false" ht="12.75" hidden="false" customHeight="false" outlineLevel="0" collapsed="false">
      <c r="A94" s="282" t="s">
        <v>425</v>
      </c>
      <c r="B94" s="217" t="n">
        <v>0.0204</v>
      </c>
      <c r="C94" s="203"/>
      <c r="F94" s="254"/>
      <c r="G94" s="218" t="s">
        <v>425</v>
      </c>
      <c r="H94" s="219" t="n">
        <f aca="false">0.0945-0.0022-0.0088</f>
        <v>0.0835</v>
      </c>
      <c r="I94" s="254"/>
      <c r="J94" s="220" t="s">
        <v>425</v>
      </c>
      <c r="K94" s="219" t="n">
        <v>0.0633</v>
      </c>
      <c r="L94" s="254"/>
      <c r="M94" s="278"/>
      <c r="N94" s="278"/>
      <c r="O94" s="254"/>
      <c r="P94" s="280"/>
      <c r="Q94" s="281"/>
      <c r="R94" s="223"/>
      <c r="S94" s="282"/>
      <c r="T94" s="283"/>
      <c r="U94" s="203"/>
      <c r="V94" s="282"/>
      <c r="W94" s="283"/>
      <c r="X94" s="203"/>
      <c r="Y94" s="197"/>
      <c r="Z94" s="197"/>
      <c r="AL94" s="259"/>
    </row>
    <row r="95" customFormat="false" ht="12.75" hidden="false" customHeight="false" outlineLevel="0" collapsed="false">
      <c r="A95" s="197" t="s">
        <v>103</v>
      </c>
      <c r="B95" s="217" t="n">
        <f aca="false">0.0022+0.0075+0.0131</f>
        <v>0.0228</v>
      </c>
      <c r="C95" s="203"/>
      <c r="F95" s="226"/>
      <c r="G95" s="218" t="s">
        <v>103</v>
      </c>
      <c r="H95" s="219" t="n">
        <f aca="false">0.0022+0.0075</f>
        <v>0.0097</v>
      </c>
      <c r="I95" s="254" t="s">
        <v>1</v>
      </c>
      <c r="J95" s="220" t="s">
        <v>103</v>
      </c>
      <c r="K95" s="219" t="n">
        <f aca="false">0.0022+0.0075</f>
        <v>0.0097</v>
      </c>
      <c r="L95" s="254"/>
      <c r="M95" s="275"/>
      <c r="N95" s="275"/>
      <c r="O95" s="254"/>
      <c r="P95" s="279"/>
      <c r="Q95" s="279"/>
      <c r="R95" s="223"/>
      <c r="S95" s="197"/>
      <c r="T95" s="197"/>
      <c r="U95" s="203"/>
      <c r="V95" s="197"/>
      <c r="W95" s="197"/>
      <c r="X95" s="203"/>
      <c r="Y95" s="203"/>
      <c r="Z95" s="203"/>
      <c r="AK95" s="260" t="n">
        <v>36100</v>
      </c>
    </row>
    <row r="96" customFormat="false" ht="12.75" hidden="false" customHeight="false" outlineLevel="0" collapsed="false">
      <c r="A96" s="203" t="s">
        <v>604</v>
      </c>
      <c r="B96" s="227" t="n">
        <f aca="false">(B3)/(1-0.0429)-B3</f>
        <v>0.1156430884965</v>
      </c>
      <c r="C96" s="226"/>
      <c r="F96" s="228"/>
      <c r="G96" s="218" t="s">
        <v>605</v>
      </c>
      <c r="H96" s="230" t="n">
        <f aca="false">(H5)/(1-0.0217)-H5</f>
        <v>0.0654349381580293</v>
      </c>
      <c r="I96" s="226"/>
      <c r="J96" s="220" t="s">
        <v>606</v>
      </c>
      <c r="K96" s="230" t="n">
        <f aca="false">(K3)/(1-0.0512)-K3</f>
        <v>0.161888701517707</v>
      </c>
      <c r="L96" s="226"/>
      <c r="M96" s="275"/>
      <c r="N96" s="275"/>
      <c r="O96" s="226"/>
      <c r="P96" s="223"/>
      <c r="Q96" s="223"/>
      <c r="R96" s="232"/>
      <c r="S96" s="203"/>
      <c r="T96" s="203"/>
      <c r="U96" s="226"/>
      <c r="V96" s="203"/>
      <c r="W96" s="203"/>
      <c r="X96" s="226"/>
      <c r="Y96" s="203"/>
      <c r="Z96" s="203"/>
      <c r="AK96" s="262" t="s">
        <v>538</v>
      </c>
      <c r="AL96" s="259" t="n">
        <v>0.003</v>
      </c>
    </row>
    <row r="97" customFormat="false" ht="12.75" hidden="false" customHeight="false" outlineLevel="0" collapsed="false">
      <c r="A97" s="203"/>
      <c r="B97" s="235" t="n">
        <f aca="false">SUM(B94:B96)</f>
        <v>0.1588430884965</v>
      </c>
      <c r="C97" s="228"/>
      <c r="F97" s="197"/>
      <c r="G97" s="236"/>
      <c r="H97" s="237" t="n">
        <f aca="false">SUM(H94:H96)</f>
        <v>0.158634938158029</v>
      </c>
      <c r="I97" s="228"/>
      <c r="J97" s="220"/>
      <c r="K97" s="237" t="n">
        <f aca="false">SUM(K94:K96)</f>
        <v>0.234888701517707</v>
      </c>
      <c r="L97" s="228"/>
      <c r="M97" s="277"/>
      <c r="N97" s="277"/>
      <c r="O97" s="228"/>
      <c r="P97" s="223"/>
      <c r="Q97" s="223"/>
      <c r="R97" s="240"/>
      <c r="S97" s="203"/>
      <c r="T97" s="203"/>
      <c r="U97" s="228"/>
      <c r="V97" s="203"/>
      <c r="W97" s="203"/>
      <c r="X97" s="228"/>
      <c r="Y97" s="226"/>
      <c r="Z97" s="226"/>
      <c r="AK97" s="25" t="s">
        <v>540</v>
      </c>
      <c r="AL97" s="259" t="n">
        <v>0.006</v>
      </c>
    </row>
    <row r="98" customFormat="false" ht="12.75" hidden="false" customHeight="false" outlineLevel="0" collapsed="false">
      <c r="A98" s="226" t="s">
        <v>129</v>
      </c>
      <c r="B98" s="235" t="s">
        <v>607</v>
      </c>
      <c r="C98" s="228"/>
      <c r="F98" s="203"/>
      <c r="G98" s="244" t="s">
        <v>404</v>
      </c>
      <c r="H98" s="257" t="s">
        <v>608</v>
      </c>
      <c r="I98" s="197"/>
      <c r="J98" s="206" t="s">
        <v>406</v>
      </c>
      <c r="K98" s="207" t="s">
        <v>506</v>
      </c>
      <c r="L98" s="197"/>
      <c r="M98" s="274"/>
      <c r="N98" s="274"/>
      <c r="O98" s="197"/>
      <c r="P98" s="232"/>
      <c r="Q98" s="232"/>
      <c r="R98" s="240"/>
      <c r="S98" s="226"/>
      <c r="T98" s="226"/>
      <c r="U98" s="228"/>
      <c r="V98" s="226"/>
      <c r="W98" s="226"/>
      <c r="X98" s="228"/>
      <c r="Y98" s="228"/>
      <c r="Z98" s="228"/>
      <c r="AK98" s="25" t="s">
        <v>546</v>
      </c>
      <c r="AL98" s="259" t="n">
        <v>0.003</v>
      </c>
    </row>
    <row r="99" customFormat="false" ht="12.75" hidden="false" customHeight="false" outlineLevel="0" collapsed="false">
      <c r="A99" s="228" t="s">
        <v>425</v>
      </c>
      <c r="B99" s="217" t="n">
        <v>0.0028</v>
      </c>
      <c r="C99" s="254"/>
      <c r="F99" s="203"/>
      <c r="G99" s="236" t="s">
        <v>425</v>
      </c>
      <c r="H99" s="219" t="n">
        <v>0.0427</v>
      </c>
      <c r="I99" s="203"/>
      <c r="J99" s="220" t="s">
        <v>425</v>
      </c>
      <c r="K99" s="219" t="n">
        <v>0.0811</v>
      </c>
      <c r="L99" s="203"/>
      <c r="O99" s="203"/>
      <c r="P99" s="240"/>
      <c r="Q99" s="240"/>
      <c r="R99" s="258"/>
      <c r="S99" s="228"/>
      <c r="T99" s="228"/>
      <c r="U99" s="254"/>
      <c r="V99" s="228"/>
      <c r="W99" s="228"/>
      <c r="X99" s="254"/>
      <c r="AL99" s="259"/>
    </row>
    <row r="100" customFormat="false" ht="12.75" hidden="false" customHeight="false" outlineLevel="0" collapsed="false">
      <c r="A100" s="197" t="s">
        <v>103</v>
      </c>
      <c r="B100" s="217" t="n">
        <v>0</v>
      </c>
      <c r="C100" s="254"/>
      <c r="F100" s="203"/>
      <c r="G100" s="236" t="s">
        <v>103</v>
      </c>
      <c r="H100" s="219" t="n">
        <f aca="false">0.0022+0.0075</f>
        <v>0.0097</v>
      </c>
      <c r="I100" s="203"/>
      <c r="J100" s="220" t="s">
        <v>103</v>
      </c>
      <c r="K100" s="219" t="n">
        <f aca="false">0.0022+0.0075</f>
        <v>0.0097</v>
      </c>
      <c r="L100" s="203"/>
      <c r="O100" s="203"/>
      <c r="P100" s="279"/>
      <c r="Q100" s="279"/>
      <c r="R100" s="258"/>
      <c r="S100" s="197"/>
      <c r="T100" s="197"/>
      <c r="U100" s="254"/>
      <c r="V100" s="197"/>
      <c r="W100" s="197"/>
      <c r="X100" s="254"/>
      <c r="Y100" s="197"/>
      <c r="Z100" s="197"/>
      <c r="AK100" s="260" t="n">
        <v>36069</v>
      </c>
    </row>
    <row r="101" customFormat="false" ht="12.75" hidden="false" customHeight="false" outlineLevel="0" collapsed="false">
      <c r="A101" s="203" t="s">
        <v>582</v>
      </c>
      <c r="B101" s="227" t="n">
        <f aca="false">(B3-0.09)/(1-0.0062)-(B3-0.09)</f>
        <v>0.0155343127389815</v>
      </c>
      <c r="C101" s="254"/>
      <c r="F101" s="226"/>
      <c r="G101" s="236" t="s">
        <v>609</v>
      </c>
      <c r="H101" s="230" t="n">
        <f aca="false">(+H5)/(1-0.0128)-H5</f>
        <v>0.0382495948136143</v>
      </c>
      <c r="I101" s="203"/>
      <c r="J101" s="220" t="s">
        <v>513</v>
      </c>
      <c r="K101" s="230" t="n">
        <f aca="false">(K3)/(1-0.0761)-K3</f>
        <v>0.247104665007035</v>
      </c>
      <c r="L101" s="203"/>
      <c r="O101" s="203"/>
      <c r="P101" s="223"/>
      <c r="Q101" s="223"/>
      <c r="R101" s="258"/>
      <c r="S101" s="203"/>
      <c r="T101" s="203"/>
      <c r="U101" s="254"/>
      <c r="V101" s="203"/>
      <c r="W101" s="203"/>
      <c r="X101" s="254"/>
      <c r="Y101" s="203"/>
      <c r="Z101" s="203"/>
      <c r="AK101" s="262" t="s">
        <v>538</v>
      </c>
      <c r="AL101" s="259" t="n">
        <v>0</v>
      </c>
    </row>
    <row r="102" customFormat="false" ht="12.75" hidden="false" customHeight="false" outlineLevel="0" collapsed="false">
      <c r="A102" s="203"/>
      <c r="B102" s="235" t="n">
        <f aca="false">SUM(B99:B101)</f>
        <v>0.0183343127389815</v>
      </c>
      <c r="C102" s="226"/>
      <c r="F102" s="228"/>
      <c r="G102" s="236"/>
      <c r="H102" s="237" t="n">
        <f aca="false">SUM(H99:H101)</f>
        <v>0.0906495948136143</v>
      </c>
      <c r="I102" s="226"/>
      <c r="J102" s="220"/>
      <c r="K102" s="237" t="n">
        <f aca="false">SUM(K99:K101)</f>
        <v>0.337904665007035</v>
      </c>
      <c r="L102" s="226"/>
      <c r="O102" s="226"/>
      <c r="P102" s="223" t="n">
        <f aca="false">+'Offseason Rate'!B102+'Offseason Rate'!B3</f>
        <v>2.56732360619245</v>
      </c>
      <c r="Q102" s="223" t="n">
        <f aca="false">+P102*0.6</f>
        <v>1.54039416371547</v>
      </c>
      <c r="R102" s="232"/>
      <c r="S102" s="203" t="n">
        <f aca="false">+'Offseason Rate'!E102+'Offseason Rate'!E3</f>
        <v>2.7563293741337</v>
      </c>
      <c r="T102" s="203" t="n">
        <f aca="false">+S102*0.6</f>
        <v>1.65379762448022</v>
      </c>
      <c r="U102" s="226"/>
      <c r="V102" s="203"/>
      <c r="W102" s="203"/>
      <c r="X102" s="226"/>
      <c r="Y102" s="203"/>
      <c r="Z102" s="203"/>
      <c r="AK102" s="25" t="s">
        <v>540</v>
      </c>
      <c r="AL102" s="259" t="n">
        <v>0</v>
      </c>
    </row>
    <row r="103" customFormat="false" ht="12.75" hidden="false" customHeight="false" outlineLevel="0" collapsed="false">
      <c r="A103" s="226" t="s">
        <v>129</v>
      </c>
      <c r="B103" s="235" t="s">
        <v>608</v>
      </c>
      <c r="C103" s="228"/>
      <c r="G103" s="244" t="s">
        <v>404</v>
      </c>
      <c r="H103" s="257" t="s">
        <v>610</v>
      </c>
      <c r="I103" s="228"/>
      <c r="J103" s="206" t="s">
        <v>406</v>
      </c>
      <c r="K103" s="207" t="s">
        <v>520</v>
      </c>
      <c r="L103" s="228"/>
      <c r="O103" s="228"/>
      <c r="P103" s="232"/>
      <c r="Q103" s="232"/>
      <c r="R103" s="240"/>
      <c r="S103" s="226"/>
      <c r="T103" s="226"/>
      <c r="U103" s="228"/>
      <c r="V103" s="226"/>
      <c r="W103" s="226"/>
      <c r="X103" s="228"/>
      <c r="Y103" s="226"/>
      <c r="Z103" s="226"/>
      <c r="AK103" s="25" t="s">
        <v>546</v>
      </c>
      <c r="AL103" s="259" t="n">
        <v>0</v>
      </c>
    </row>
    <row r="104" customFormat="false" ht="12.75" hidden="false" customHeight="false" outlineLevel="0" collapsed="false">
      <c r="A104" s="282" t="s">
        <v>425</v>
      </c>
      <c r="B104" s="217" t="n">
        <v>0.0076</v>
      </c>
      <c r="C104" s="197"/>
      <c r="F104" s="197"/>
      <c r="G104" s="236" t="s">
        <v>425</v>
      </c>
      <c r="H104" s="219" t="n">
        <v>0.0766</v>
      </c>
      <c r="J104" s="220" t="s">
        <v>425</v>
      </c>
      <c r="K104" s="219" t="n">
        <v>0.0935</v>
      </c>
      <c r="P104" s="240"/>
      <c r="Q104" s="240"/>
      <c r="R104" s="279"/>
      <c r="S104" s="228"/>
      <c r="T104" s="228"/>
      <c r="U104" s="197"/>
      <c r="V104" s="228"/>
      <c r="W104" s="228"/>
      <c r="X104" s="197"/>
      <c r="Y104" s="228"/>
      <c r="Z104" s="228"/>
    </row>
    <row r="105" customFormat="false" ht="12.75" hidden="false" customHeight="false" outlineLevel="0" collapsed="false">
      <c r="A105" s="197" t="s">
        <v>103</v>
      </c>
      <c r="B105" s="217" t="n">
        <f aca="false">0.0022+0.0075+0.0131</f>
        <v>0.0228</v>
      </c>
      <c r="C105" s="203"/>
      <c r="F105" s="203"/>
      <c r="G105" s="236" t="s">
        <v>103</v>
      </c>
      <c r="H105" s="219" t="n">
        <f aca="false">0.0022+0.0075</f>
        <v>0.0097</v>
      </c>
      <c r="I105" s="197"/>
      <c r="J105" s="220" t="s">
        <v>103</v>
      </c>
      <c r="K105" s="219" t="n">
        <f aca="false">0.0022+0.0075</f>
        <v>0.0097</v>
      </c>
      <c r="L105" s="197"/>
      <c r="O105" s="197"/>
      <c r="P105" s="240"/>
      <c r="Q105" s="240"/>
      <c r="R105" s="223"/>
      <c r="S105" s="228"/>
      <c r="T105" s="228"/>
      <c r="U105" s="203"/>
      <c r="V105" s="228"/>
      <c r="W105" s="228"/>
      <c r="X105" s="203"/>
      <c r="Y105" s="197"/>
      <c r="Z105" s="197"/>
      <c r="AK105" s="260" t="n">
        <v>36039</v>
      </c>
    </row>
    <row r="106" customFormat="false" ht="12.75" hidden="false" customHeight="false" outlineLevel="0" collapsed="false">
      <c r="A106" s="203" t="s">
        <v>611</v>
      </c>
      <c r="B106" s="227" t="n">
        <f aca="false">2.3/(1-0.0152)-2.3</f>
        <v>0.0354995938261578</v>
      </c>
      <c r="C106" s="203"/>
      <c r="F106" s="203"/>
      <c r="G106" s="236" t="s">
        <v>612</v>
      </c>
      <c r="H106" s="230" t="n">
        <f aca="false">(+H5)/(1-0.0209)-H5</f>
        <v>0.0629710959044023</v>
      </c>
      <c r="I106" s="203"/>
      <c r="J106" s="220" t="s">
        <v>526</v>
      </c>
      <c r="K106" s="230" t="n">
        <f aca="false">(K3)/(1-0.0924)-K3</f>
        <v>0.305420890260026</v>
      </c>
      <c r="L106" s="203"/>
      <c r="O106" s="203"/>
      <c r="P106" s="258"/>
      <c r="Q106" s="258"/>
      <c r="R106" s="223"/>
      <c r="S106" s="254"/>
      <c r="T106" s="254"/>
      <c r="U106" s="203"/>
      <c r="V106" s="254"/>
      <c r="W106" s="254"/>
      <c r="X106" s="203"/>
      <c r="Y106" s="203"/>
      <c r="Z106" s="203"/>
      <c r="AK106" s="262" t="s">
        <v>538</v>
      </c>
      <c r="AL106" s="259" t="n">
        <v>0</v>
      </c>
    </row>
    <row r="107" customFormat="false" ht="12.75" hidden="false" customHeight="false" outlineLevel="0" collapsed="false">
      <c r="A107" s="203"/>
      <c r="B107" s="235" t="n">
        <f aca="false">SUM(B104:B106)</f>
        <v>0.0658995938261578</v>
      </c>
      <c r="C107" s="226"/>
      <c r="F107" s="226"/>
      <c r="G107" s="236"/>
      <c r="H107" s="237" t="n">
        <f aca="false">SUM(H104:H106)</f>
        <v>0.149271095904402</v>
      </c>
      <c r="I107" s="203"/>
      <c r="J107" s="220"/>
      <c r="K107" s="237" t="n">
        <f aca="false">SUM(K104:K106)</f>
        <v>0.408620890260026</v>
      </c>
      <c r="L107" s="203"/>
      <c r="O107" s="203"/>
      <c r="P107" s="258" t="n">
        <f aca="false">+'Offseason Rate'!B107+'Offseason Rate'!B3</f>
        <v>2.62220992459751</v>
      </c>
      <c r="Q107" s="258" t="n">
        <f aca="false">+P107*0.4</f>
        <v>1.04888396983901</v>
      </c>
      <c r="R107" s="232"/>
      <c r="S107" s="254" t="n">
        <f aca="false">+'Offseason Rate'!E107+'Offseason Rate'!E3</f>
        <v>2.8018183074266</v>
      </c>
      <c r="T107" s="254" t="n">
        <f aca="false">+S107*0.4</f>
        <v>1.12072732297064</v>
      </c>
      <c r="U107" s="226"/>
      <c r="V107" s="254"/>
      <c r="W107" s="254"/>
      <c r="X107" s="226"/>
      <c r="Y107" s="203"/>
      <c r="Z107" s="203"/>
      <c r="AK107" s="25" t="s">
        <v>540</v>
      </c>
      <c r="AL107" s="259" t="n">
        <v>0</v>
      </c>
    </row>
    <row r="108" customFormat="false" ht="12.75" hidden="false" customHeight="false" outlineLevel="0" collapsed="false">
      <c r="A108" s="226" t="s">
        <v>129</v>
      </c>
      <c r="B108" s="235" t="s">
        <v>613</v>
      </c>
      <c r="C108" s="228"/>
      <c r="F108" s="228"/>
      <c r="G108" s="244" t="s">
        <v>404</v>
      </c>
      <c r="H108" s="245" t="s">
        <v>614</v>
      </c>
      <c r="I108" s="226"/>
      <c r="J108" s="206" t="s">
        <v>406</v>
      </c>
      <c r="K108" s="207" t="s">
        <v>615</v>
      </c>
      <c r="L108" s="226"/>
      <c r="O108" s="226"/>
      <c r="P108" s="258"/>
      <c r="Q108" s="258" t="n">
        <f aca="false">SUM(Q102:Q107)</f>
        <v>2.58927813355448</v>
      </c>
      <c r="R108" s="240"/>
      <c r="S108" s="254"/>
      <c r="T108" s="254" t="n">
        <f aca="false">SUM(T102:T107)</f>
        <v>2.77452494745086</v>
      </c>
      <c r="U108" s="228"/>
      <c r="V108" s="254"/>
      <c r="W108" s="254"/>
      <c r="X108" s="228"/>
      <c r="Y108" s="226"/>
      <c r="Z108" s="226"/>
      <c r="AK108" s="25" t="s">
        <v>546</v>
      </c>
      <c r="AL108" s="259" t="n">
        <v>0</v>
      </c>
    </row>
    <row r="109" customFormat="false" ht="12.75" hidden="false" customHeight="false" outlineLevel="0" collapsed="false">
      <c r="A109" s="282" t="s">
        <v>425</v>
      </c>
      <c r="B109" s="217" t="n">
        <v>0.0113</v>
      </c>
      <c r="F109" s="197"/>
      <c r="G109" s="218" t="s">
        <v>425</v>
      </c>
      <c r="H109" s="219" t="n">
        <v>0.0459</v>
      </c>
      <c r="I109" s="228"/>
      <c r="J109" s="220" t="s">
        <v>425</v>
      </c>
      <c r="K109" s="219" t="n">
        <v>0.0456</v>
      </c>
      <c r="L109" s="228"/>
      <c r="O109" s="228"/>
      <c r="P109" s="232"/>
      <c r="Q109" s="232"/>
      <c r="S109" s="226"/>
      <c r="T109" s="226"/>
      <c r="V109" s="226"/>
      <c r="W109" s="226"/>
      <c r="Y109" s="228"/>
      <c r="Z109" s="228"/>
    </row>
    <row r="110" customFormat="false" ht="12.75" hidden="false" customHeight="false" outlineLevel="0" collapsed="false">
      <c r="A110" s="197" t="s">
        <v>103</v>
      </c>
      <c r="B110" s="217" t="n">
        <f aca="false">0.0022+0.0075+0.0131</f>
        <v>0.0228</v>
      </c>
      <c r="C110" s="197"/>
      <c r="F110" s="203"/>
      <c r="G110" s="218" t="s">
        <v>103</v>
      </c>
      <c r="H110" s="219" t="n">
        <f aca="false">0.0022+0.0075</f>
        <v>0.0097</v>
      </c>
      <c r="I110" s="197"/>
      <c r="J110" s="220" t="s">
        <v>103</v>
      </c>
      <c r="K110" s="219" t="n">
        <f aca="false">0.0022+0.0075</f>
        <v>0.0097</v>
      </c>
      <c r="L110" s="197"/>
      <c r="O110" s="197"/>
      <c r="P110" s="240"/>
      <c r="Q110" s="240"/>
      <c r="R110" s="279"/>
      <c r="S110" s="228"/>
      <c r="T110" s="228"/>
      <c r="U110" s="197"/>
      <c r="V110" s="228"/>
      <c r="W110" s="228"/>
      <c r="X110" s="197"/>
      <c r="AK110" s="260" t="n">
        <v>36008</v>
      </c>
    </row>
    <row r="111" customFormat="false" ht="12.75" hidden="false" customHeight="false" outlineLevel="0" collapsed="false">
      <c r="A111" s="203" t="s">
        <v>616</v>
      </c>
      <c r="B111" s="227" t="n">
        <f aca="false">2.3/(1-0.0236)-2.3</f>
        <v>0.0555919705038916</v>
      </c>
      <c r="C111" s="203"/>
      <c r="F111" s="203"/>
      <c r="G111" s="218" t="s">
        <v>617</v>
      </c>
      <c r="H111" s="230" t="n">
        <f aca="false">(+H5)/(1-0.0116)-H5</f>
        <v>0.0346216106839337</v>
      </c>
      <c r="I111" s="203"/>
      <c r="J111" s="220" t="s">
        <v>618</v>
      </c>
      <c r="K111" s="230" t="n">
        <f aca="false">(K6)/(1-0.0249)-(K6)</f>
        <v>0.0740539431853144</v>
      </c>
      <c r="L111" s="203"/>
      <c r="O111" s="203"/>
      <c r="P111" s="279"/>
      <c r="Q111" s="279"/>
      <c r="R111" s="223"/>
      <c r="S111" s="197"/>
      <c r="T111" s="197"/>
      <c r="U111" s="203"/>
      <c r="V111" s="197"/>
      <c r="W111" s="197"/>
      <c r="X111" s="203"/>
      <c r="AK111" s="262" t="s">
        <v>538</v>
      </c>
      <c r="AL111" s="259" t="n">
        <v>0</v>
      </c>
    </row>
    <row r="112" customFormat="false" ht="12.75" hidden="false" customHeight="false" outlineLevel="0" collapsed="false">
      <c r="A112" s="203"/>
      <c r="B112" s="235" t="n">
        <f aca="false">SUM(B109:B111)</f>
        <v>0.0896919705038916</v>
      </c>
      <c r="C112" s="203"/>
      <c r="F112" s="226"/>
      <c r="G112" s="236"/>
      <c r="H112" s="237" t="n">
        <f aca="false">SUM(H109:H111)</f>
        <v>0.0902216106839337</v>
      </c>
      <c r="I112" s="203"/>
      <c r="J112" s="220"/>
      <c r="K112" s="237" t="n">
        <f aca="false">SUM(K109:K111)</f>
        <v>0.129353943185314</v>
      </c>
      <c r="L112" s="203"/>
      <c r="O112" s="203"/>
      <c r="P112" s="223"/>
      <c r="Q112" s="223"/>
      <c r="R112" s="223"/>
      <c r="S112" s="203"/>
      <c r="T112" s="203"/>
      <c r="U112" s="203"/>
      <c r="V112" s="203"/>
      <c r="W112" s="203"/>
      <c r="X112" s="203"/>
      <c r="AK112" s="25" t="s">
        <v>540</v>
      </c>
      <c r="AL112" s="259" t="n">
        <v>0</v>
      </c>
    </row>
    <row r="113" customFormat="false" ht="12.75" hidden="false" customHeight="false" outlineLevel="0" collapsed="false">
      <c r="A113" s="226" t="s">
        <v>129</v>
      </c>
      <c r="B113" s="235" t="s">
        <v>619</v>
      </c>
      <c r="C113" s="226"/>
      <c r="F113" s="228"/>
      <c r="G113" s="244" t="s">
        <v>404</v>
      </c>
      <c r="H113" s="245" t="s">
        <v>620</v>
      </c>
      <c r="I113" s="226"/>
      <c r="J113" s="206" t="s">
        <v>406</v>
      </c>
      <c r="K113" s="207" t="s">
        <v>531</v>
      </c>
      <c r="L113" s="226"/>
      <c r="O113" s="226"/>
      <c r="P113" s="223"/>
      <c r="Q113" s="223"/>
      <c r="R113" s="232"/>
      <c r="S113" s="203"/>
      <c r="T113" s="203"/>
      <c r="U113" s="226"/>
      <c r="V113" s="203"/>
      <c r="W113" s="203"/>
      <c r="X113" s="226"/>
      <c r="AK113" s="25" t="s">
        <v>546</v>
      </c>
      <c r="AL113" s="259" t="n">
        <v>0</v>
      </c>
    </row>
    <row r="114" customFormat="false" ht="12.75" hidden="false" customHeight="false" outlineLevel="0" collapsed="false">
      <c r="A114" s="228" t="s">
        <v>425</v>
      </c>
      <c r="B114" s="217" t="n">
        <v>0.0041</v>
      </c>
      <c r="C114" s="228"/>
      <c r="G114" s="218" t="s">
        <v>425</v>
      </c>
      <c r="H114" s="219" t="n">
        <v>0.1618</v>
      </c>
      <c r="I114" s="228"/>
      <c r="J114" s="220" t="s">
        <v>425</v>
      </c>
      <c r="K114" s="219" t="n">
        <v>0.0634</v>
      </c>
      <c r="L114" s="228"/>
      <c r="O114" s="228"/>
      <c r="P114" s="232"/>
      <c r="Q114" s="232"/>
      <c r="R114" s="240"/>
      <c r="S114" s="226"/>
      <c r="T114" s="226"/>
      <c r="U114" s="228"/>
      <c r="V114" s="226"/>
      <c r="W114" s="226"/>
      <c r="X114" s="228"/>
    </row>
    <row r="115" customFormat="false" ht="12.75" hidden="false" customHeight="false" outlineLevel="0" collapsed="false">
      <c r="A115" s="197" t="s">
        <v>103</v>
      </c>
      <c r="B115" s="217" t="n">
        <f aca="false">0.0022+0.0075+0.0131</f>
        <v>0.0228</v>
      </c>
      <c r="C115" s="197"/>
      <c r="G115" s="218" t="s">
        <v>103</v>
      </c>
      <c r="H115" s="219" t="n">
        <f aca="false">0.0022+0+0.0225+0.0075</f>
        <v>0.0322</v>
      </c>
      <c r="J115" s="220" t="s">
        <v>103</v>
      </c>
      <c r="K115" s="219" t="n">
        <f aca="false">0.0022+0.0075</f>
        <v>0.0097</v>
      </c>
      <c r="P115" s="240"/>
      <c r="Q115" s="240"/>
      <c r="R115" s="279"/>
      <c r="S115" s="228"/>
      <c r="T115" s="228"/>
      <c r="U115" s="197"/>
      <c r="V115" s="228"/>
      <c r="W115" s="228"/>
      <c r="X115" s="197"/>
      <c r="AK115" s="260" t="n">
        <v>35977</v>
      </c>
    </row>
    <row r="116" customFormat="false" ht="12.75" hidden="false" customHeight="false" outlineLevel="0" collapsed="false">
      <c r="A116" s="203" t="s">
        <v>590</v>
      </c>
      <c r="B116" s="227" t="n">
        <f aca="false">B7/(1-0.0084)-B7</f>
        <v>0.062686567164179</v>
      </c>
      <c r="C116" s="203"/>
      <c r="D116" s="284"/>
      <c r="G116" s="218" t="s">
        <v>550</v>
      </c>
      <c r="H116" s="229" t="n">
        <f aca="false">(H4)/(1-0.0101)-H4</f>
        <v>0.0270380846550156</v>
      </c>
      <c r="J116" s="220" t="s">
        <v>537</v>
      </c>
      <c r="K116" s="230" t="n">
        <f aca="false">(K6)/(1-0.0498)-(K6)</f>
        <v>0.151989054935803</v>
      </c>
      <c r="R116" s="223"/>
      <c r="U116" s="203"/>
      <c r="X116" s="203"/>
      <c r="AK116" s="262" t="s">
        <v>538</v>
      </c>
      <c r="AL116" s="259" t="n">
        <v>0</v>
      </c>
    </row>
    <row r="117" customFormat="false" ht="12.75" hidden="false" customHeight="false" outlineLevel="0" collapsed="false">
      <c r="A117" s="203" t="s">
        <v>460</v>
      </c>
      <c r="B117" s="235" t="n">
        <f aca="false">SUM(B114:B116)</f>
        <v>0.089586567164179</v>
      </c>
      <c r="C117" s="203"/>
      <c r="D117" s="284"/>
      <c r="G117" s="236"/>
      <c r="H117" s="237" t="n">
        <f aca="false">SUM(H114:H116)</f>
        <v>0.221038084655016</v>
      </c>
      <c r="J117" s="220"/>
      <c r="K117" s="237" t="n">
        <f aca="false">SUM(K114:K116)</f>
        <v>0.225089054935803</v>
      </c>
      <c r="P117" s="279"/>
      <c r="Q117" s="279"/>
      <c r="R117" s="223"/>
      <c r="S117" s="197"/>
      <c r="T117" s="197"/>
      <c r="U117" s="203"/>
      <c r="V117" s="197"/>
      <c r="W117" s="197"/>
      <c r="X117" s="203"/>
      <c r="AK117" s="25" t="s">
        <v>540</v>
      </c>
      <c r="AL117" s="259" t="n">
        <v>0</v>
      </c>
    </row>
    <row r="118" customFormat="false" ht="12.75" hidden="false" customHeight="false" outlineLevel="0" collapsed="false">
      <c r="A118" s="226" t="s">
        <v>1</v>
      </c>
      <c r="C118" s="226"/>
      <c r="G118" s="244" t="s">
        <v>404</v>
      </c>
      <c r="H118" s="245" t="s">
        <v>621</v>
      </c>
      <c r="J118" s="206" t="s">
        <v>406</v>
      </c>
      <c r="K118" s="207" t="s">
        <v>545</v>
      </c>
      <c r="P118" s="223"/>
      <c r="Q118" s="223"/>
      <c r="R118" s="232"/>
      <c r="S118" s="203"/>
      <c r="T118" s="203"/>
      <c r="U118" s="226"/>
      <c r="V118" s="203"/>
      <c r="W118" s="203"/>
      <c r="X118" s="226"/>
      <c r="AK118" s="25" t="s">
        <v>546</v>
      </c>
      <c r="AL118" s="259" t="n">
        <v>0</v>
      </c>
    </row>
    <row r="119" customFormat="false" ht="12.75" hidden="false" customHeight="false" outlineLevel="0" collapsed="false">
      <c r="A119" s="228" t="s">
        <v>129</v>
      </c>
      <c r="C119" s="228"/>
      <c r="G119" s="218" t="s">
        <v>425</v>
      </c>
      <c r="H119" s="219" t="n">
        <v>0.3288</v>
      </c>
      <c r="J119" s="220" t="s">
        <v>425</v>
      </c>
      <c r="K119" s="219" t="n">
        <v>0.0758</v>
      </c>
      <c r="P119" s="223"/>
      <c r="Q119" s="223"/>
      <c r="R119" s="240"/>
      <c r="S119" s="203"/>
      <c r="T119" s="203"/>
      <c r="U119" s="228"/>
      <c r="V119" s="203"/>
      <c r="W119" s="203"/>
      <c r="X119" s="228"/>
    </row>
    <row r="120" customFormat="false" ht="12.75" hidden="false" customHeight="false" outlineLevel="0" collapsed="false">
      <c r="A120" s="228" t="s">
        <v>622</v>
      </c>
      <c r="G120" s="218" t="s">
        <v>103</v>
      </c>
      <c r="H120" s="219" t="n">
        <f aca="false">0.0022+0+0.0225+0.0075</f>
        <v>0.0322</v>
      </c>
      <c r="J120" s="220" t="s">
        <v>103</v>
      </c>
      <c r="K120" s="219" t="n">
        <f aca="false">0.0022+0.0075</f>
        <v>0.0097</v>
      </c>
      <c r="P120" s="232"/>
      <c r="Q120" s="232"/>
      <c r="S120" s="226"/>
      <c r="T120" s="226"/>
      <c r="V120" s="226"/>
      <c r="W120" s="226"/>
    </row>
    <row r="121" customFormat="false" ht="12.75" hidden="false" customHeight="false" outlineLevel="0" collapsed="false">
      <c r="A121" s="254" t="s">
        <v>623</v>
      </c>
      <c r="G121" s="218" t="s">
        <v>462</v>
      </c>
      <c r="H121" s="229" t="n">
        <f aca="false">(H3)/(1-0.0279)-H3</f>
        <v>0.0711778623598396</v>
      </c>
      <c r="J121" s="220" t="s">
        <v>552</v>
      </c>
      <c r="K121" s="230" t="n">
        <f aca="false">(K6)/(1-0.0661)-(K6)</f>
        <v>0.205257522218653</v>
      </c>
      <c r="P121" s="240"/>
      <c r="Q121" s="240"/>
      <c r="S121" s="228"/>
      <c r="T121" s="228"/>
      <c r="V121" s="228"/>
      <c r="W121" s="228"/>
    </row>
    <row r="122" customFormat="false" ht="12.75" hidden="false" customHeight="false" outlineLevel="0" collapsed="false">
      <c r="A122" s="254" t="s">
        <v>129</v>
      </c>
      <c r="B122" s="235" t="s">
        <v>596</v>
      </c>
      <c r="G122" s="236"/>
      <c r="H122" s="237" t="n">
        <f aca="false">SUM(H119:H121)</f>
        <v>0.43217786235984</v>
      </c>
      <c r="J122" s="220"/>
      <c r="K122" s="237" t="n">
        <f aca="false">SUM(K119:K121)</f>
        <v>0.290757522218653</v>
      </c>
      <c r="P122" s="279"/>
      <c r="Q122" s="279"/>
      <c r="S122" s="197"/>
      <c r="T122" s="197"/>
      <c r="V122" s="197"/>
      <c r="W122" s="197"/>
    </row>
    <row r="123" customFormat="false" ht="12.75" hidden="false" customHeight="false" outlineLevel="0" collapsed="false">
      <c r="A123" s="254" t="s">
        <v>425</v>
      </c>
      <c r="B123" s="217" t="n">
        <v>0.0016</v>
      </c>
      <c r="G123" s="244" t="s">
        <v>404</v>
      </c>
      <c r="H123" s="245" t="s">
        <v>624</v>
      </c>
      <c r="J123" s="206" t="s">
        <v>406</v>
      </c>
      <c r="K123" s="237" t="s">
        <v>625</v>
      </c>
      <c r="P123" s="223"/>
      <c r="Q123" s="223"/>
      <c r="S123" s="203"/>
      <c r="T123" s="203"/>
      <c r="V123" s="203"/>
      <c r="W123" s="203"/>
    </row>
    <row r="124" customFormat="false" ht="12.75" hidden="false" customHeight="false" outlineLevel="0" collapsed="false">
      <c r="A124" s="226" t="s">
        <v>103</v>
      </c>
      <c r="B124" s="217" t="n">
        <f aca="false">0.0022+0.0075+0.0131</f>
        <v>0.0228</v>
      </c>
      <c r="G124" s="218" t="s">
        <v>425</v>
      </c>
      <c r="H124" s="219" t="n">
        <v>0.3786</v>
      </c>
      <c r="J124" s="220" t="s">
        <v>425</v>
      </c>
      <c r="K124" s="272" t="n">
        <v>0.0548</v>
      </c>
      <c r="P124" s="223"/>
      <c r="Q124" s="223"/>
      <c r="S124" s="203"/>
      <c r="T124" s="203"/>
      <c r="V124" s="203"/>
      <c r="W124" s="203"/>
    </row>
    <row r="125" customFormat="false" ht="12.75" hidden="false" customHeight="false" outlineLevel="0" collapsed="false">
      <c r="A125" s="228" t="s">
        <v>575</v>
      </c>
      <c r="B125" s="227" t="n">
        <f aca="false">B3/(1-0.0193)-B3</f>
        <v>0.050773936983787</v>
      </c>
      <c r="G125" s="218" t="s">
        <v>103</v>
      </c>
      <c r="H125" s="219" t="n">
        <f aca="false">0.0022+0+0.0225+0.0075</f>
        <v>0.0322</v>
      </c>
      <c r="J125" s="220" t="s">
        <v>103</v>
      </c>
      <c r="K125" s="219" t="n">
        <f aca="false">0.0022</f>
        <v>0.0022</v>
      </c>
      <c r="P125" s="232"/>
      <c r="Q125" s="232"/>
      <c r="S125" s="226"/>
      <c r="T125" s="226"/>
      <c r="V125" s="226"/>
      <c r="W125" s="226"/>
    </row>
    <row r="126" customFormat="false" ht="12.75" hidden="false" customHeight="false" outlineLevel="0" collapsed="false">
      <c r="A126" s="197" t="s">
        <v>460</v>
      </c>
      <c r="B126" s="235" t="n">
        <f aca="false">SUM(B123:B125)</f>
        <v>0.075173936983787</v>
      </c>
      <c r="G126" s="218" t="s">
        <v>482</v>
      </c>
      <c r="H126" s="229" t="n">
        <f aca="false">(H4)/(1-0.0428)-H4</f>
        <v>0.118491433347263</v>
      </c>
      <c r="J126" s="220" t="s">
        <v>626</v>
      </c>
      <c r="K126" s="230" t="n">
        <f aca="false">(K6)/(1-0.0378)-K6</f>
        <v>0.113926418623987</v>
      </c>
      <c r="P126" s="240"/>
      <c r="Q126" s="240"/>
      <c r="S126" s="228"/>
      <c r="T126" s="228"/>
      <c r="V126" s="228"/>
      <c r="W126" s="228"/>
    </row>
    <row r="127" customFormat="false" ht="12.75" hidden="false" customHeight="false" outlineLevel="0" collapsed="false">
      <c r="A127" s="203"/>
      <c r="G127" s="236"/>
      <c r="H127" s="237" t="n">
        <f aca="false">SUM(H124:H126)</f>
        <v>0.529291433347263</v>
      </c>
      <c r="J127" s="220"/>
      <c r="K127" s="237" t="n">
        <f aca="false">SUM(K124:K126)</f>
        <v>0.170926418623987</v>
      </c>
    </row>
    <row r="128" customFormat="false" ht="12.75" hidden="false" customHeight="false" outlineLevel="0" collapsed="false">
      <c r="A128" s="228" t="s">
        <v>129</v>
      </c>
      <c r="G128" s="218" t="s">
        <v>1</v>
      </c>
      <c r="H128" s="219" t="s">
        <v>1</v>
      </c>
      <c r="J128" s="206" t="s">
        <v>406</v>
      </c>
      <c r="K128" s="237" t="s">
        <v>556</v>
      </c>
    </row>
    <row r="129" customFormat="false" ht="12.75" hidden="false" customHeight="false" outlineLevel="0" collapsed="false">
      <c r="A129" s="228" t="s">
        <v>627</v>
      </c>
      <c r="G129" s="244" t="s">
        <v>404</v>
      </c>
      <c r="H129" s="257" t="s">
        <v>628</v>
      </c>
      <c r="J129" s="220" t="s">
        <v>425</v>
      </c>
      <c r="K129" s="272" t="n">
        <v>0.0672</v>
      </c>
    </row>
    <row r="130" customFormat="false" ht="12.75" hidden="false" customHeight="false" outlineLevel="0" collapsed="false">
      <c r="A130" s="254" t="s">
        <v>629</v>
      </c>
      <c r="G130" s="236" t="s">
        <v>425</v>
      </c>
      <c r="H130" s="219" t="n">
        <v>0.1826</v>
      </c>
      <c r="J130" s="220" t="s">
        <v>103</v>
      </c>
      <c r="K130" s="219" t="n">
        <f aca="false">0.0022+0.0075</f>
        <v>0.0097</v>
      </c>
    </row>
    <row r="131" customFormat="false" ht="12.75" hidden="false" customHeight="false" outlineLevel="0" collapsed="false">
      <c r="A131" s="254" t="s">
        <v>129</v>
      </c>
      <c r="B131" s="235" t="s">
        <v>619</v>
      </c>
      <c r="G131" s="236" t="s">
        <v>103</v>
      </c>
      <c r="H131" s="219" t="n">
        <f aca="false">0.0022+0.0075</f>
        <v>0.0097</v>
      </c>
      <c r="J131" s="220" t="s">
        <v>561</v>
      </c>
      <c r="K131" s="230" t="n">
        <f aca="false">(K6)/(1-0.0545)-K6</f>
        <v>0.167160232681121</v>
      </c>
    </row>
    <row r="132" customFormat="false" ht="12.75" hidden="false" customHeight="false" outlineLevel="0" collapsed="false">
      <c r="A132" s="254" t="s">
        <v>425</v>
      </c>
      <c r="B132" s="217" t="n">
        <v>0.0057</v>
      </c>
      <c r="G132" s="236" t="s">
        <v>609</v>
      </c>
      <c r="H132" s="230" t="n">
        <f aca="false">(H5)/(1-0.0128)-H5</f>
        <v>0.0382495948136143</v>
      </c>
      <c r="J132" s="220"/>
      <c r="K132" s="237" t="n">
        <f aca="false">SUM(K129:K131)</f>
        <v>0.244060232681121</v>
      </c>
    </row>
    <row r="133" customFormat="false" ht="12.75" hidden="false" customHeight="false" outlineLevel="0" collapsed="false">
      <c r="A133" s="226" t="s">
        <v>103</v>
      </c>
      <c r="B133" s="217" t="n">
        <f aca="false">0.0075+0.0022</f>
        <v>0.0097</v>
      </c>
      <c r="G133" s="236"/>
      <c r="H133" s="237" t="n">
        <f aca="false">SUM(H130:H132)</f>
        <v>0.230549594813614</v>
      </c>
      <c r="J133" s="206" t="s">
        <v>406</v>
      </c>
      <c r="K133" s="237" t="s">
        <v>564</v>
      </c>
    </row>
    <row r="134" customFormat="false" ht="12.75" hidden="false" customHeight="false" outlineLevel="0" collapsed="false">
      <c r="A134" s="228" t="s">
        <v>630</v>
      </c>
      <c r="B134" s="227" t="n">
        <f aca="false">B7/(1-0.0084)-B7</f>
        <v>0.062686567164179</v>
      </c>
      <c r="J134" s="220" t="s">
        <v>425</v>
      </c>
      <c r="K134" s="272" t="n">
        <v>0.0491</v>
      </c>
    </row>
    <row r="135" customFormat="false" ht="12.75" hidden="false" customHeight="false" outlineLevel="0" collapsed="false">
      <c r="A135" s="197" t="s">
        <v>460</v>
      </c>
      <c r="B135" s="235" t="n">
        <f aca="false">SUM(B132:B134)</f>
        <v>0.078086567164179</v>
      </c>
      <c r="G135" s="218" t="s">
        <v>1</v>
      </c>
      <c r="H135" s="219" t="s">
        <v>1</v>
      </c>
      <c r="J135" s="220" t="s">
        <v>103</v>
      </c>
      <c r="K135" s="219" t="n">
        <f aca="false">0.0022+0.0075</f>
        <v>0.0097</v>
      </c>
    </row>
    <row r="136" customFormat="false" ht="12.75" hidden="false" customHeight="false" outlineLevel="0" collapsed="false">
      <c r="A136" s="228"/>
      <c r="G136" s="218" t="s">
        <v>1</v>
      </c>
      <c r="H136" s="219" t="s">
        <v>1</v>
      </c>
      <c r="J136" s="220" t="s">
        <v>566</v>
      </c>
      <c r="K136" s="230" t="n">
        <f aca="false">(K7)/(1-0.0299)-K7</f>
        <v>0.161813215132461</v>
      </c>
    </row>
    <row r="137" customFormat="false" ht="12.75" hidden="false" customHeight="false" outlineLevel="0" collapsed="false">
      <c r="A137" s="197" t="s">
        <v>631</v>
      </c>
      <c r="J137" s="285"/>
      <c r="K137" s="286" t="n">
        <f aca="false">SUM(K134:K136)</f>
        <v>0.220613215132461</v>
      </c>
    </row>
    <row r="138" customFormat="false" ht="12.75" hidden="false" customHeight="false" outlineLevel="0" collapsed="false">
      <c r="A138" s="203" t="s">
        <v>632</v>
      </c>
      <c r="J138" s="206"/>
      <c r="K138" s="237"/>
    </row>
    <row r="139" customFormat="false" ht="12.75" hidden="false" customHeight="false" outlineLevel="0" collapsed="false">
      <c r="A139" s="203" t="s">
        <v>426</v>
      </c>
      <c r="B139" s="25" t="n">
        <v>0.045</v>
      </c>
      <c r="J139" s="220"/>
      <c r="K139" s="272"/>
    </row>
    <row r="140" customFormat="false" ht="12.75" hidden="false" customHeight="false" outlineLevel="0" collapsed="false">
      <c r="A140" s="226" t="s">
        <v>103</v>
      </c>
      <c r="B140" s="25" t="n">
        <f aca="false">0.0022+0.0075</f>
        <v>0.0097</v>
      </c>
      <c r="J140" s="220"/>
      <c r="K140" s="219"/>
    </row>
    <row r="141" customFormat="false" ht="12.75" hidden="false" customHeight="false" outlineLevel="0" collapsed="false">
      <c r="A141" s="228" t="s">
        <v>633</v>
      </c>
      <c r="B141" s="25" t="n">
        <f aca="false">ROUND(+B4/(1-0.0709)-B4,4)</f>
        <v>0.1999</v>
      </c>
      <c r="J141" s="220"/>
      <c r="K141" s="230"/>
    </row>
    <row r="142" customFormat="false" ht="13.5" hidden="false" customHeight="false" outlineLevel="0" collapsed="false">
      <c r="B142" s="287" t="n">
        <f aca="false">SUM(B139:B141)</f>
        <v>0.2546</v>
      </c>
      <c r="J142" s="285"/>
      <c r="K142" s="286"/>
    </row>
    <row r="143" customFormat="false" ht="13.5" hidden="false" customHeight="false" outlineLevel="0" collapsed="false">
      <c r="J143" s="275"/>
      <c r="K143" s="275"/>
    </row>
    <row r="144" customFormat="false" ht="12.75" hidden="false" customHeight="false" outlineLevel="0" collapsed="false">
      <c r="A144" s="25" t="s">
        <v>634</v>
      </c>
      <c r="B144" s="284"/>
      <c r="J144" s="275"/>
      <c r="K144" s="275"/>
    </row>
    <row r="145" customFormat="false" ht="12.75" hidden="false" customHeight="false" outlineLevel="0" collapsed="false">
      <c r="A145" s="254" t="s">
        <v>635</v>
      </c>
      <c r="J145" s="277"/>
      <c r="K145" s="277"/>
    </row>
    <row r="146" customFormat="false" ht="12.75" hidden="false" customHeight="false" outlineLevel="0" collapsed="false">
      <c r="A146" s="254" t="s">
        <v>129</v>
      </c>
      <c r="B146" s="235" t="s">
        <v>619</v>
      </c>
      <c r="J146" s="274"/>
      <c r="K146" s="274"/>
    </row>
    <row r="147" customFormat="false" ht="12.75" hidden="false" customHeight="false" outlineLevel="0" collapsed="false">
      <c r="A147" s="254" t="s">
        <v>425</v>
      </c>
      <c r="B147" s="217" t="n">
        <v>0.0055</v>
      </c>
      <c r="J147" s="278"/>
      <c r="K147" s="278"/>
    </row>
    <row r="148" customFormat="false" ht="12.75" hidden="false" customHeight="false" outlineLevel="0" collapsed="false">
      <c r="A148" s="226" t="s">
        <v>103</v>
      </c>
      <c r="B148" s="217" t="n">
        <v>0.0167</v>
      </c>
      <c r="J148" s="275"/>
      <c r="K148" s="275"/>
    </row>
    <row r="149" customFormat="false" ht="12.75" hidden="false" customHeight="false" outlineLevel="0" collapsed="false">
      <c r="A149" s="228" t="s">
        <v>630</v>
      </c>
      <c r="B149" s="227" t="n">
        <f aca="false">B7/(1-0.0084)-B7</f>
        <v>0.062686567164179</v>
      </c>
      <c r="J149" s="275"/>
      <c r="K149" s="275"/>
    </row>
    <row r="150" customFormat="false" ht="12.75" hidden="false" customHeight="false" outlineLevel="0" collapsed="false">
      <c r="A150" s="197" t="s">
        <v>460</v>
      </c>
      <c r="B150" s="235" t="n">
        <f aca="false">SUM(B147:B149)</f>
        <v>0.084886567164179</v>
      </c>
      <c r="J150" s="277"/>
      <c r="K150" s="277"/>
    </row>
    <row r="151" customFormat="false" ht="12.75" hidden="false" customHeight="false" outlineLevel="0" collapsed="false">
      <c r="A151" s="228"/>
      <c r="J151" s="274"/>
      <c r="K151" s="274"/>
    </row>
    <row r="152" customFormat="false" ht="12.75" hidden="false" customHeight="false" outlineLevel="0" collapsed="false">
      <c r="J152" s="274"/>
      <c r="K152" s="274"/>
    </row>
    <row r="153" customFormat="false" ht="12.75" hidden="false" customHeight="false" outlineLevel="0" collapsed="false">
      <c r="J153" s="276"/>
      <c r="K153" s="276"/>
    </row>
    <row r="154" customFormat="false" ht="12.75" hidden="false" customHeight="false" outlineLevel="0" collapsed="false">
      <c r="J154" s="276"/>
      <c r="K154" s="276"/>
    </row>
    <row r="155" customFormat="false" ht="12.75" hidden="false" customHeight="false" outlineLevel="0" collapsed="false">
      <c r="J155" s="276"/>
      <c r="K155" s="276"/>
    </row>
    <row r="156" customFormat="false" ht="12.75" hidden="false" customHeight="false" outlineLevel="0" collapsed="false">
      <c r="J156" s="277"/>
      <c r="K156" s="277"/>
    </row>
    <row r="157" customFormat="false" ht="12.75" hidden="false" customHeight="false" outlineLevel="0" collapsed="false">
      <c r="J157" s="274"/>
      <c r="K157" s="274"/>
    </row>
    <row r="158" customFormat="false" ht="12.75" hidden="false" customHeight="false" outlineLevel="0" collapsed="false">
      <c r="J158" s="278"/>
      <c r="K158" s="278"/>
    </row>
    <row r="159" customFormat="false" ht="12.75" hidden="false" customHeight="false" outlineLevel="0" collapsed="false">
      <c r="J159" s="275"/>
      <c r="K159" s="275"/>
    </row>
    <row r="160" customFormat="false" ht="12.75" hidden="false" customHeight="false" outlineLevel="0" collapsed="false">
      <c r="J160" s="275"/>
      <c r="K160" s="275"/>
    </row>
    <row r="161" customFormat="false" ht="12.75" hidden="false" customHeight="false" outlineLevel="0" collapsed="false">
      <c r="J161" s="277"/>
      <c r="K161" s="277"/>
    </row>
    <row r="162" customFormat="false" ht="12.75" hidden="false" customHeight="false" outlineLevel="0" collapsed="false">
      <c r="J162" s="274"/>
      <c r="K162" s="274"/>
    </row>
    <row r="164" customFormat="false" ht="12.75" hidden="false" customHeight="false" outlineLevel="0" collapsed="false">
      <c r="J164" s="278"/>
      <c r="K164" s="278"/>
    </row>
    <row r="165" customFormat="false" ht="12.75" hidden="false" customHeight="false" outlineLevel="0" collapsed="false">
      <c r="J165" s="275"/>
      <c r="K165" s="275"/>
    </row>
    <row r="166" customFormat="false" ht="12.75" hidden="false" customHeight="false" outlineLevel="0" collapsed="false">
      <c r="J166" s="275"/>
      <c r="K166" s="275"/>
    </row>
    <row r="167" customFormat="false" ht="12.75" hidden="false" customHeight="false" outlineLevel="0" collapsed="false">
      <c r="J167" s="277"/>
      <c r="K167" s="277"/>
    </row>
    <row r="168" customFormat="false" ht="12.75" hidden="false" customHeight="false" outlineLevel="0" collapsed="false">
      <c r="J168" s="274"/>
      <c r="K168" s="274"/>
    </row>
    <row r="169" customFormat="false" ht="12.75" hidden="false" customHeight="false" outlineLevel="0" collapsed="false">
      <c r="J169" s="278"/>
      <c r="K169" s="278"/>
    </row>
    <row r="170" customFormat="false" ht="12.75" hidden="false" customHeight="false" outlineLevel="0" collapsed="false">
      <c r="J170" s="275"/>
      <c r="K170" s="275"/>
    </row>
    <row r="171" customFormat="false" ht="12.75" hidden="false" customHeight="false" outlineLevel="0" collapsed="false">
      <c r="J171" s="275"/>
      <c r="K171" s="275"/>
    </row>
    <row r="172" customFormat="false" ht="12.75" hidden="false" customHeight="false" outlineLevel="0" collapsed="false">
      <c r="J172" s="277"/>
      <c r="K172" s="277"/>
    </row>
    <row r="173" customFormat="false" ht="12.75" hidden="false" customHeight="false" outlineLevel="0" collapsed="false">
      <c r="J173" s="274"/>
      <c r="K173" s="274"/>
    </row>
  </sheetData>
  <mergeCells count="1">
    <mergeCell ref="G2:J2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false" hidden="false" outlineLevel="0" max="3" min="2" style="1" width="9.14"/>
    <col collapsed="false" customWidth="true" hidden="false" outlineLevel="0" max="4" min="4" style="1" width="9.85"/>
    <col collapsed="false" customWidth="true" hidden="false" outlineLevel="0" max="5" min="5" style="1" width="8.28"/>
    <col collapsed="false" customWidth="true" hidden="false" outlineLevel="0" max="6" min="6" style="1" width="8.14"/>
    <col collapsed="false" customWidth="false" hidden="false" outlineLevel="0" max="7" min="7" style="1" width="9.14"/>
    <col collapsed="false" customWidth="true" hidden="false" outlineLevel="0" max="8" min="8" style="1" width="14.56"/>
    <col collapsed="false" customWidth="true" hidden="false" outlineLevel="0" max="9" min="9" style="1" width="7.7"/>
    <col collapsed="false" customWidth="true" hidden="false" outlineLevel="0" max="10" min="10" style="1" width="8.56"/>
    <col collapsed="false" customWidth="true" hidden="false" outlineLevel="0" max="11" min="11" style="1" width="9.56"/>
    <col collapsed="false" customWidth="false" hidden="false" outlineLevel="0" max="257" min="12" style="1" width="9.14"/>
  </cols>
  <sheetData>
    <row r="1" customFormat="false" ht="12.75" hidden="false" customHeight="false" outlineLevel="0" collapsed="false">
      <c r="A1" s="214" t="s">
        <v>1</v>
      </c>
      <c r="B1" s="214"/>
    </row>
    <row r="2" customFormat="false" ht="12.75" hidden="false" customHeight="false" outlineLevel="0" collapsed="false">
      <c r="B2" s="214"/>
    </row>
    <row r="3" customFormat="false" ht="12.75" hidden="false" customHeight="false" outlineLevel="0" collapsed="false">
      <c r="A3" s="214" t="s">
        <v>636</v>
      </c>
      <c r="Q3" s="1" t="n">
        <v>2.94</v>
      </c>
      <c r="T3" s="1" t="n">
        <v>2.96</v>
      </c>
      <c r="W3" s="1" t="n">
        <v>3.03</v>
      </c>
      <c r="Z3" s="1" t="n">
        <v>2.8</v>
      </c>
      <c r="AC3" s="1" t="n">
        <v>3.03</v>
      </c>
    </row>
    <row r="4" customFormat="false" ht="12.75" hidden="false" customHeight="false" outlineLevel="0" collapsed="false">
      <c r="B4" s="162" t="n">
        <v>1</v>
      </c>
      <c r="C4" s="162" t="n">
        <v>2</v>
      </c>
      <c r="D4" s="162" t="n">
        <v>3</v>
      </c>
      <c r="E4" s="162" t="n">
        <v>4</v>
      </c>
      <c r="F4" s="162" t="s">
        <v>637</v>
      </c>
      <c r="G4" s="162" t="n">
        <v>5</v>
      </c>
      <c r="H4" s="162" t="n">
        <v>6</v>
      </c>
      <c r="J4" s="288" t="s">
        <v>638</v>
      </c>
      <c r="K4" s="166" t="n">
        <f aca="false">+Rates!W17</f>
        <v>0.114474055003882</v>
      </c>
    </row>
    <row r="5" customFormat="false" ht="12.75" hidden="false" customHeight="false" outlineLevel="0" collapsed="false">
      <c r="A5" s="289" t="n">
        <v>1</v>
      </c>
      <c r="B5" s="166" t="n">
        <f aca="false">+Rates!B17</f>
        <v>0.0339670847967884</v>
      </c>
      <c r="C5" s="166" t="n">
        <f aca="false">+Rates!B22</f>
        <v>0.0484789473684209</v>
      </c>
      <c r="D5" s="166" t="n">
        <f aca="false">+Rates!B27</f>
        <v>0.0624733819507751</v>
      </c>
      <c r="E5" s="166"/>
      <c r="F5" s="166"/>
      <c r="G5" s="166" t="n">
        <f aca="false">+Rates!B37</f>
        <v>0.174494710327456</v>
      </c>
      <c r="H5" s="166" t="n">
        <f aca="false">+Rates!B42</f>
        <v>0.202559466327827</v>
      </c>
      <c r="J5" s="162"/>
    </row>
    <row r="6" customFormat="false" ht="12.75" hidden="false" customHeight="false" outlineLevel="0" collapsed="false">
      <c r="A6" s="289" t="n">
        <v>2</v>
      </c>
      <c r="B6" s="166"/>
      <c r="C6" s="166"/>
      <c r="D6" s="166" t="n">
        <f aca="false">+Rates!B52</f>
        <v>0.0308421073879691</v>
      </c>
      <c r="E6" s="166"/>
      <c r="F6" s="166"/>
      <c r="G6" s="166" t="n">
        <f aca="false">+Rates!B57</f>
        <v>0.162412088256823</v>
      </c>
      <c r="H6" s="166" t="n">
        <f aca="false">+Rates!B62</f>
        <v>0.190205369764743</v>
      </c>
      <c r="J6" s="288" t="s">
        <v>639</v>
      </c>
      <c r="K6" s="290" t="n">
        <f aca="false">+Rates!Z17</f>
        <v>0.117929103561195</v>
      </c>
    </row>
    <row r="7" customFormat="false" ht="12.75" hidden="false" customHeight="false" outlineLevel="0" collapsed="false">
      <c r="A7" s="289" t="n">
        <v>3</v>
      </c>
      <c r="B7" s="166"/>
      <c r="C7" s="166"/>
      <c r="D7" s="166" t="n">
        <f aca="false">+Rates!B67</f>
        <v>0.0370432948267202</v>
      </c>
      <c r="E7" s="166" t="n">
        <f aca="false">+Rates!B72</f>
        <v>0.0981762548658063</v>
      </c>
      <c r="F7" s="166"/>
      <c r="G7" s="166" t="n">
        <f aca="false">+Rates!B77</f>
        <v>0.147826742976067</v>
      </c>
      <c r="H7" s="166" t="n">
        <f aca="false">+Rates!B82</f>
        <v>0.175567415494436</v>
      </c>
    </row>
    <row r="8" customFormat="false" ht="12.75" hidden="false" customHeight="false" outlineLevel="0" collapsed="false">
      <c r="A8" s="289" t="n">
        <v>4</v>
      </c>
      <c r="B8" s="166"/>
      <c r="C8" s="166"/>
      <c r="D8" s="166"/>
      <c r="E8" s="166" t="n">
        <f aca="false">+Rates!B87</f>
        <v>0.083073936983787</v>
      </c>
      <c r="F8" s="166"/>
      <c r="G8" s="166"/>
      <c r="H8" s="166" t="n">
        <f aca="false">+Rates!B97</f>
        <v>0.1588430884965</v>
      </c>
      <c r="J8" s="214" t="s">
        <v>640</v>
      </c>
      <c r="K8" s="289"/>
    </row>
    <row r="9" customFormat="false" ht="12.75" hidden="false" customHeight="false" outlineLevel="0" collapsed="false">
      <c r="A9" s="291" t="s">
        <v>637</v>
      </c>
      <c r="B9" s="166"/>
      <c r="C9" s="166"/>
      <c r="D9" s="166"/>
      <c r="E9" s="166"/>
      <c r="F9" s="166" t="n">
        <f aca="false">+Rates!B102</f>
        <v>0.0183343127389815</v>
      </c>
      <c r="G9" s="166"/>
      <c r="H9" s="166"/>
      <c r="K9" s="292" t="n">
        <f aca="false">+Rates!B135</f>
        <v>0.078086567164179</v>
      </c>
    </row>
    <row r="10" customFormat="false" ht="12.75" hidden="false" customHeight="false" outlineLevel="0" collapsed="false">
      <c r="A10" s="289" t="n">
        <v>5</v>
      </c>
      <c r="B10" s="166"/>
      <c r="C10" s="166"/>
      <c r="D10" s="166"/>
      <c r="E10" s="166"/>
      <c r="F10" s="166"/>
      <c r="G10" s="166" t="n">
        <f aca="false">+Rates!B107</f>
        <v>0.0658995938261578</v>
      </c>
      <c r="H10" s="166"/>
      <c r="K10" s="289"/>
    </row>
    <row r="11" customFormat="false" ht="12.75" hidden="false" customHeight="false" outlineLevel="0" collapsed="false">
      <c r="A11" s="289" t="n">
        <v>6</v>
      </c>
      <c r="H11" s="166" t="n">
        <f aca="false">+Rates!B117</f>
        <v>0.089586567164179</v>
      </c>
      <c r="K11" s="289"/>
    </row>
    <row r="12" customFormat="false" ht="12.75" hidden="false" customHeight="false" outlineLevel="0" collapsed="false">
      <c r="A12" s="289"/>
      <c r="B12" s="1" t="s">
        <v>641</v>
      </c>
      <c r="H12" s="166"/>
      <c r="K12" s="289"/>
    </row>
    <row r="13" customFormat="false" ht="12.75" hidden="false" customHeight="false" outlineLevel="0" collapsed="false">
      <c r="A13" s="289"/>
    </row>
    <row r="14" customFormat="false" ht="12.75" hidden="false" customHeight="false" outlineLevel="0" collapsed="false">
      <c r="A14" s="293" t="s">
        <v>642</v>
      </c>
      <c r="K14" s="289"/>
    </row>
    <row r="15" customFormat="false" ht="12.75" hidden="false" customHeight="false" outlineLevel="0" collapsed="false">
      <c r="A15" s="293"/>
      <c r="C15" s="162" t="s">
        <v>643</v>
      </c>
      <c r="K15" s="289"/>
    </row>
    <row r="16" customFormat="false" ht="12.75" hidden="false" customHeight="false" outlineLevel="0" collapsed="false">
      <c r="A16" s="293"/>
      <c r="C16" s="162" t="s">
        <v>644</v>
      </c>
      <c r="D16" s="1" t="s">
        <v>645</v>
      </c>
      <c r="K16" s="289"/>
    </row>
    <row r="17" customFormat="false" ht="12.75" hidden="false" customHeight="false" outlineLevel="0" collapsed="false">
      <c r="A17" s="289"/>
      <c r="B17" s="162" t="s">
        <v>646</v>
      </c>
      <c r="C17" s="162" t="s">
        <v>647</v>
      </c>
      <c r="D17" s="162" t="s">
        <v>648</v>
      </c>
      <c r="E17" s="162" t="s">
        <v>649</v>
      </c>
      <c r="F17" s="162" t="s">
        <v>650</v>
      </c>
      <c r="G17" s="1" t="s">
        <v>651</v>
      </c>
      <c r="H17" s="162" t="s">
        <v>652</v>
      </c>
      <c r="I17" s="162" t="s">
        <v>252</v>
      </c>
      <c r="J17" s="289" t="s">
        <v>257</v>
      </c>
      <c r="K17" s="1" t="s">
        <v>256</v>
      </c>
    </row>
    <row r="18" customFormat="false" ht="12.75" hidden="false" customHeight="false" outlineLevel="0" collapsed="false">
      <c r="A18" s="291" t="s">
        <v>653</v>
      </c>
      <c r="B18" s="166" t="n">
        <f aca="false">+Rates!H22-0.0225+B24+B25</f>
        <v>0.186339718125973</v>
      </c>
      <c r="C18" s="166" t="n">
        <f aca="false">+Rates!H22-0.0075</f>
        <v>0.16277786235984</v>
      </c>
      <c r="D18" s="166" t="n">
        <f aca="false">+C18-0.0075</f>
        <v>0.15527786235984</v>
      </c>
      <c r="E18" s="166" t="n">
        <f aca="false">+D18-0.0225</f>
        <v>0.13277786235984</v>
      </c>
      <c r="F18" s="166" t="n">
        <f aca="false">+D18+0.0075</f>
        <v>0.16277786235984</v>
      </c>
      <c r="G18" s="166" t="n">
        <f aca="false">+Rates!H27</f>
        <v>0.23263040911008</v>
      </c>
      <c r="H18" s="166" t="n">
        <f aca="false">+Rates!H32</f>
        <v>0.254934126646834</v>
      </c>
      <c r="I18" s="166" t="n">
        <f aca="false">+Rates!H37</f>
        <v>0.302158727604334</v>
      </c>
      <c r="J18" s="292" t="n">
        <f aca="false">+Rates!H42</f>
        <v>0.344940686061659</v>
      </c>
      <c r="K18" s="166" t="n">
        <f aca="false">+Rates!H47</f>
        <v>0.407117373206266</v>
      </c>
    </row>
    <row r="19" customFormat="false" ht="12.75" hidden="false" customHeight="false" outlineLevel="0" collapsed="false">
      <c r="A19" s="291" t="s">
        <v>654</v>
      </c>
      <c r="B19" s="166"/>
      <c r="C19" s="166" t="n">
        <f aca="false">+Rates!H52-0.0075</f>
        <v>0.0803380846550156</v>
      </c>
      <c r="D19" s="166"/>
      <c r="E19" s="166"/>
      <c r="F19" s="166" t="n">
        <f aca="false">+C19+0.0075</f>
        <v>0.0878380846550156</v>
      </c>
      <c r="G19" s="166"/>
      <c r="H19" s="166"/>
      <c r="I19" s="166"/>
      <c r="J19" s="291"/>
    </row>
    <row r="20" customFormat="false" ht="12.75" hidden="false" customHeight="false" outlineLevel="0" collapsed="false">
      <c r="A20" s="289" t="n">
        <v>1</v>
      </c>
      <c r="B20" s="166" t="n">
        <f aca="false">+Rates!H57-0.0225+B24+B25</f>
        <v>0.157062426670405</v>
      </c>
      <c r="C20" s="166"/>
      <c r="D20" s="166" t="n">
        <f aca="false">+Rates!H57-0.0075</f>
        <v>0.133500570904272</v>
      </c>
      <c r="E20" s="166" t="n">
        <f aca="false">+D20-0.0225</f>
        <v>0.111000570904272</v>
      </c>
      <c r="F20" s="166"/>
      <c r="G20" s="166" t="n">
        <f aca="false">+Rates!H62</f>
        <v>0.205791433347263</v>
      </c>
      <c r="H20" s="166" t="n">
        <f aca="false">+Rates!H67</f>
        <v>0.228680086306705</v>
      </c>
      <c r="I20" s="166" t="n">
        <f aca="false">+Rates!H72</f>
        <v>0.27735302869288</v>
      </c>
      <c r="J20" s="166" t="n">
        <f aca="false">+Rates!H77</f>
        <v>0.321456004730674</v>
      </c>
      <c r="K20" s="166" t="n">
        <f aca="false">+Rates!H82</f>
        <v>0.384910154046431</v>
      </c>
    </row>
    <row r="21" customFormat="false" ht="12.75" hidden="false" customHeight="false" outlineLevel="0" collapsed="false">
      <c r="A21" s="289" t="n">
        <v>2</v>
      </c>
      <c r="B21" s="166"/>
      <c r="C21" s="166"/>
      <c r="D21" s="166"/>
      <c r="E21" s="166"/>
      <c r="F21" s="166"/>
      <c r="G21" s="166"/>
      <c r="H21" s="166"/>
      <c r="I21" s="166"/>
      <c r="J21" s="166" t="n">
        <f aca="false">SUM(Rates!H87)</f>
        <v>0.202736567553469</v>
      </c>
      <c r="K21" s="166"/>
    </row>
    <row r="22" customFormat="false" ht="12.75" hidden="false" customHeight="false" outlineLevel="0" collapsed="false">
      <c r="A22" s="289" t="n">
        <v>4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 t="n">
        <f aca="false">+Rates!H97</f>
        <v>0.158634938158029</v>
      </c>
    </row>
    <row r="23" customFormat="false" ht="12.75" hidden="false" customHeight="false" outlineLevel="0" collapsed="false">
      <c r="A23" s="289" t="n">
        <v>5</v>
      </c>
      <c r="B23" s="166"/>
      <c r="C23" s="166"/>
      <c r="D23" s="166"/>
      <c r="E23" s="166"/>
      <c r="F23" s="166"/>
      <c r="G23" s="166"/>
      <c r="H23" s="166"/>
      <c r="I23" s="166" t="n">
        <f aca="false">+Rates!H112</f>
        <v>0.0902216106839337</v>
      </c>
      <c r="J23" s="166" t="n">
        <f aca="false">+Rates!H102</f>
        <v>0.0906495948136143</v>
      </c>
      <c r="K23" s="166" t="n">
        <f aca="false">+Rates!H107</f>
        <v>0.149271095904402</v>
      </c>
    </row>
    <row r="24" customFormat="false" ht="12.75" hidden="false" customHeight="false" outlineLevel="0" collapsed="false">
      <c r="A24" s="294" t="s">
        <v>655</v>
      </c>
      <c r="B24" s="295" t="n">
        <f aca="false">0.0009+0.0022+0.0075</f>
        <v>0.0106</v>
      </c>
      <c r="F24" s="214" t="s">
        <v>656</v>
      </c>
    </row>
    <row r="25" customFormat="false" ht="12.75" hidden="false" customHeight="false" outlineLevel="0" collapsed="false">
      <c r="A25" s="296" t="s">
        <v>377</v>
      </c>
      <c r="B25" s="297" t="n">
        <f aca="false">0.0101*(+Rates!H4+Rates!H57-0.0225)</f>
        <v>0.0279618557661331</v>
      </c>
      <c r="F25" s="214" t="s">
        <v>657</v>
      </c>
      <c r="I25" s="298" t="n">
        <f aca="false">+I18-I23</f>
        <v>0.211937116920401</v>
      </c>
      <c r="J25" s="298" t="n">
        <f aca="false">+J18-J23</f>
        <v>0.254291091248045</v>
      </c>
      <c r="K25" s="298" t="n">
        <f aca="false">+K18-K23</f>
        <v>0.257846277301863</v>
      </c>
    </row>
    <row r="26" customFormat="false" ht="12.75" hidden="false" customHeight="false" outlineLevel="0" collapsed="false">
      <c r="A26" s="177"/>
      <c r="B26" s="166"/>
      <c r="F26" s="214" t="s">
        <v>658</v>
      </c>
      <c r="I26" s="299" t="n">
        <f aca="false">+I20-I23</f>
        <v>0.187131418008946</v>
      </c>
      <c r="J26" s="299" t="n">
        <f aca="false">+J20-J23</f>
        <v>0.23080640991706</v>
      </c>
      <c r="K26" s="298" t="n">
        <f aca="false">+K20-K23</f>
        <v>0.235639058142029</v>
      </c>
    </row>
    <row r="27" customFormat="false" ht="12.75" hidden="false" customHeight="false" outlineLevel="0" collapsed="false">
      <c r="A27" s="177"/>
      <c r="B27" s="166"/>
    </row>
    <row r="28" customFormat="false" ht="12.75" hidden="false" customHeight="false" outlineLevel="0" collapsed="false">
      <c r="A28" s="293" t="s">
        <v>659</v>
      </c>
      <c r="J28" s="171"/>
      <c r="K28" s="171"/>
      <c r="L28" s="177"/>
    </row>
    <row r="29" customFormat="false" ht="12.75" hidden="false" customHeight="false" outlineLevel="0" collapsed="false">
      <c r="A29" s="289"/>
      <c r="B29" s="162" t="s">
        <v>660</v>
      </c>
      <c r="C29" s="162" t="s">
        <v>661</v>
      </c>
      <c r="D29" s="162" t="s">
        <v>284</v>
      </c>
      <c r="E29" s="162" t="s">
        <v>662</v>
      </c>
      <c r="F29" s="162" t="s">
        <v>663</v>
      </c>
      <c r="G29" s="162" t="s">
        <v>664</v>
      </c>
      <c r="H29" s="300" t="s">
        <v>665</v>
      </c>
      <c r="J29" s="300" t="s">
        <v>666</v>
      </c>
      <c r="K29" s="300" t="s">
        <v>667</v>
      </c>
      <c r="L29" s="177"/>
    </row>
    <row r="30" customFormat="false" ht="12.75" hidden="false" customHeight="false" outlineLevel="0" collapsed="false">
      <c r="A30" s="291" t="s">
        <v>660</v>
      </c>
      <c r="B30" s="166" t="n">
        <f aca="false">+Rates!K17</f>
        <v>0.105983353884094</v>
      </c>
      <c r="C30" s="166" t="n">
        <f aca="false">+Rates!K27</f>
        <v>0.160734183033849</v>
      </c>
      <c r="D30" s="166" t="n">
        <f aca="false">+Rates!K22</f>
        <v>0.106925548573195</v>
      </c>
      <c r="E30" s="166" t="n">
        <f aca="false">+Rates!K32</f>
        <v>0.285855915477851</v>
      </c>
      <c r="F30" s="166" t="n">
        <f aca="false">+Rates!K37</f>
        <v>0.387541966056866</v>
      </c>
      <c r="G30" s="166" t="n">
        <f aca="false">+Rates!K42</f>
        <v>0.457394243070363</v>
      </c>
      <c r="H30" s="301" t="n">
        <f aca="false">ROUND(+F30*0.6+G30*0.4,3)</f>
        <v>0.415</v>
      </c>
      <c r="J30" s="302" t="n">
        <f aca="false">+Rates!N17</f>
        <v>0.852941966056866</v>
      </c>
      <c r="K30" s="302" t="n">
        <f aca="false">SUM(Rates!N22)</f>
        <v>1.01119424307036</v>
      </c>
      <c r="L30" s="177"/>
    </row>
    <row r="31" customFormat="false" ht="12.75" hidden="false" customHeight="false" outlineLevel="0" collapsed="false">
      <c r="A31" s="291" t="s">
        <v>668</v>
      </c>
      <c r="B31" s="166"/>
      <c r="C31" s="166" t="n">
        <f aca="false">+Rates!K87</f>
        <v>0.101948628941152</v>
      </c>
      <c r="D31" s="299" t="n">
        <f aca="false">+D33</f>
        <v>0.102731118414296</v>
      </c>
      <c r="E31" s="166" t="n">
        <f aca="false">+E33</f>
        <v>0.234888701517707</v>
      </c>
      <c r="F31" s="166" t="n">
        <f aca="false">+F33</f>
        <v>0.337904665007035</v>
      </c>
      <c r="G31" s="166" t="n">
        <f aca="false">+G33</f>
        <v>0.408620890260026</v>
      </c>
      <c r="H31" s="301" t="n">
        <f aca="false">ROUND(+F31*0.6+G31*0.4,3)</f>
        <v>0.366</v>
      </c>
      <c r="J31" s="302" t="n">
        <f aca="false">SUM(Rates!N37)</f>
        <v>0.647204665007035</v>
      </c>
      <c r="K31" s="302" t="n">
        <f aca="false">SUM(Rates!N42)</f>
        <v>0.806320890260026</v>
      </c>
      <c r="L31" s="177"/>
    </row>
    <row r="32" customFormat="false" ht="12.75" hidden="false" customHeight="false" outlineLevel="0" collapsed="false">
      <c r="A32" s="291" t="s">
        <v>669</v>
      </c>
      <c r="B32" s="166"/>
      <c r="C32" s="166" t="n">
        <f aca="false">+Rates!K52</f>
        <v>0.118673466859385</v>
      </c>
      <c r="D32" s="166" t="n">
        <f aca="false">+Rates!K47</f>
        <v>0.0660603053435115</v>
      </c>
      <c r="E32" s="166" t="n">
        <f aca="false">+Rates!K57</f>
        <v>0.239458260040267</v>
      </c>
      <c r="F32" s="166" t="n">
        <f aca="false">+Rates!K62</f>
        <v>0.336518154114062</v>
      </c>
      <c r="G32" s="166" t="n">
        <f aca="false">+Rates!K67</f>
        <v>0.403171745152354</v>
      </c>
      <c r="H32" s="301" t="n">
        <f aca="false">ROUND(+F32*0.6+G32*0.4,3)</f>
        <v>0.363</v>
      </c>
      <c r="J32" s="302" t="n">
        <f aca="false">SUM(Rates!N27)</f>
        <v>0.662118154114062</v>
      </c>
      <c r="K32" s="302" t="n">
        <f aca="false">SUM(Rates!N32)</f>
        <v>0.817171745152355</v>
      </c>
      <c r="L32" s="177"/>
    </row>
    <row r="33" customFormat="false" ht="12.75" hidden="false" customHeight="false" outlineLevel="0" collapsed="false">
      <c r="A33" s="291" t="s">
        <v>670</v>
      </c>
      <c r="B33" s="166"/>
      <c r="C33" s="166" t="n">
        <f aca="false">+Rates!K87</f>
        <v>0.101948628941152</v>
      </c>
      <c r="D33" s="166" t="n">
        <f aca="false">+Rates!K77</f>
        <v>0.102731118414296</v>
      </c>
      <c r="E33" s="166" t="n">
        <f aca="false">+Rates!K97</f>
        <v>0.234888701517707</v>
      </c>
      <c r="F33" s="166" t="n">
        <f aca="false">+Rates!K102</f>
        <v>0.337904665007035</v>
      </c>
      <c r="G33" s="166" t="n">
        <f aca="false">+Rates!K107</f>
        <v>0.408620890260026</v>
      </c>
      <c r="H33" s="301" t="n">
        <f aca="false">ROUND(+F33*0.6+G33*0.4,3)</f>
        <v>0.366</v>
      </c>
      <c r="J33" s="302" t="n">
        <f aca="false">SUM(Rates!N37)</f>
        <v>0.647204665007035</v>
      </c>
      <c r="K33" s="302" t="n">
        <f aca="false">SUM(Rates!N42)</f>
        <v>0.806320890260026</v>
      </c>
      <c r="L33" s="177"/>
    </row>
    <row r="34" customFormat="false" ht="12.75" hidden="false" customHeight="false" outlineLevel="0" collapsed="false">
      <c r="A34" s="303" t="s">
        <v>671</v>
      </c>
      <c r="E34" s="304" t="n">
        <f aca="false">+Rates!K112</f>
        <v>0.129353943185314</v>
      </c>
      <c r="F34" s="166" t="n">
        <f aca="false">+Rates!K117</f>
        <v>0.225089054935803</v>
      </c>
      <c r="G34" s="166" t="n">
        <f aca="false">+Rates!K122</f>
        <v>0.290757522218653</v>
      </c>
      <c r="H34" s="166" t="n">
        <f aca="false">ROUND(+F34*0.6+G34*0.4,3)</f>
        <v>0.251</v>
      </c>
      <c r="J34" s="302" t="n">
        <f aca="false">SUM(Rates!N47)</f>
        <v>0.467589054935803</v>
      </c>
      <c r="K34" s="302" t="n">
        <f aca="false">SUM(Rates!N52)</f>
        <v>0.621657522218653</v>
      </c>
    </row>
    <row r="35" customFormat="false" ht="12.75" hidden="false" customHeight="false" outlineLevel="0" collapsed="false">
      <c r="A35" s="303" t="s">
        <v>672</v>
      </c>
      <c r="E35" s="304"/>
      <c r="F35" s="166" t="n">
        <f aca="false">+Rates!K127</f>
        <v>0.170926418623987</v>
      </c>
      <c r="G35" s="166" t="n">
        <f aca="false">+Rates!K132</f>
        <v>0.244060232681121</v>
      </c>
      <c r="H35" s="301" t="n">
        <f aca="false">ROUND(+F35*0.6+G35*0.4,3)</f>
        <v>0.2</v>
      </c>
      <c r="J35" s="302"/>
      <c r="K35" s="302" t="n">
        <f aca="false">SUM(Rates!N57)</f>
        <v>0.511860232681121</v>
      </c>
    </row>
    <row r="36" customFormat="false" ht="12.75" hidden="false" customHeight="false" outlineLevel="0" collapsed="false">
      <c r="A36" s="303" t="s">
        <v>189</v>
      </c>
      <c r="E36" s="304"/>
      <c r="G36" s="166" t="n">
        <f aca="false">+Rates!K137</f>
        <v>0.220613215132461</v>
      </c>
      <c r="H36" s="305"/>
      <c r="J36" s="302"/>
      <c r="K36" s="302" t="n">
        <f aca="false">SUM(Rates!N62)</f>
        <v>0.358813215132461</v>
      </c>
    </row>
    <row r="37" customFormat="false" ht="12.75" hidden="false" customHeight="false" outlineLevel="0" collapsed="false">
      <c r="A37" s="303"/>
      <c r="E37" s="304"/>
      <c r="G37" s="166"/>
      <c r="H37" s="305"/>
      <c r="J37" s="302"/>
      <c r="K37" s="302"/>
    </row>
    <row r="39" customFormat="false" ht="12.75" hidden="false" customHeight="false" outlineLevel="0" collapsed="false">
      <c r="A39" s="214" t="s">
        <v>409</v>
      </c>
      <c r="B39" s="305" t="s">
        <v>673</v>
      </c>
      <c r="C39" s="305" t="s">
        <v>674</v>
      </c>
      <c r="D39" s="305" t="s">
        <v>675</v>
      </c>
      <c r="E39" s="305" t="s">
        <v>676</v>
      </c>
    </row>
    <row r="40" customFormat="false" ht="12.75" hidden="false" customHeight="false" outlineLevel="0" collapsed="false">
      <c r="B40" s="306" t="n">
        <f aca="false">+Rates!Q17</f>
        <v>0.0546131979695431</v>
      </c>
      <c r="C40" s="306" t="n">
        <f aca="false">SUM(Rates!Q22)</f>
        <v>0.0566131979695431</v>
      </c>
      <c r="D40" s="306" t="n">
        <f aca="false">SUM(Rates!Q27)</f>
        <v>0.0830192425793246</v>
      </c>
      <c r="E40" s="306" t="n">
        <f aca="false">SUM(Rates!Q32)</f>
        <v>0.0991371663244356</v>
      </c>
    </row>
    <row r="43" customFormat="false" ht="12.75" hidden="false" customHeight="false" outlineLevel="0" collapsed="false">
      <c r="A43" s="214" t="s">
        <v>677</v>
      </c>
      <c r="F43" s="214" t="s">
        <v>678</v>
      </c>
    </row>
    <row r="44" customFormat="false" ht="12.75" hidden="false" customHeight="false" outlineLevel="0" collapsed="false">
      <c r="A44" s="289"/>
      <c r="B44" s="162" t="s">
        <v>679</v>
      </c>
      <c r="C44" s="162" t="s">
        <v>680</v>
      </c>
      <c r="D44" s="162" t="s">
        <v>151</v>
      </c>
      <c r="E44" s="162"/>
      <c r="G44" s="1" t="s">
        <v>681</v>
      </c>
      <c r="H44" s="1" t="s">
        <v>682</v>
      </c>
      <c r="I44" s="162" t="s">
        <v>683</v>
      </c>
      <c r="J44" s="162" t="s">
        <v>684</v>
      </c>
    </row>
    <row r="45" customFormat="false" ht="12.75" hidden="false" customHeight="false" outlineLevel="0" collapsed="false">
      <c r="A45" s="291" t="s">
        <v>679</v>
      </c>
      <c r="B45" s="166" t="n">
        <f aca="false">+Rates!T32</f>
        <v>0.103816073492607</v>
      </c>
      <c r="C45" s="166" t="n">
        <f aca="false">+C46+B45</f>
        <v>0.159199815080222</v>
      </c>
      <c r="D45" s="166" t="n">
        <f aca="false">SUM(Rates!T27,Rates!T37,Rates!T32)</f>
        <v>0.266180708165613</v>
      </c>
      <c r="E45" s="166"/>
      <c r="F45" s="307" t="s">
        <v>685</v>
      </c>
      <c r="G45" s="166" t="n">
        <f aca="false">+Rates!AI17</f>
        <v>0.020361044176707</v>
      </c>
      <c r="H45" s="299" t="n">
        <f aca="false">0.0075+G45</f>
        <v>0.027861044176707</v>
      </c>
      <c r="I45" s="308" t="n">
        <f aca="false">+Rates!AI35</f>
        <v>0.0834059057933993</v>
      </c>
      <c r="J45" s="166" t="n">
        <f aca="false">+Rates!AI23</f>
        <v>0.132006385180586</v>
      </c>
    </row>
    <row r="46" customFormat="false" ht="12.75" hidden="false" customHeight="false" outlineLevel="0" collapsed="false">
      <c r="A46" s="291" t="s">
        <v>680</v>
      </c>
      <c r="B46" s="166"/>
      <c r="C46" s="166" t="n">
        <f aca="false">+Rates!T37</f>
        <v>0.0553837415876147</v>
      </c>
      <c r="D46" s="166" t="n">
        <f aca="false">+Rates!T37+Rates!T27</f>
        <v>0.162364634673006</v>
      </c>
      <c r="E46" s="166"/>
      <c r="F46" s="1" t="n">
        <v>1</v>
      </c>
      <c r="J46" s="1" t="n">
        <f aca="false">SUM(Rates!AI29)</f>
        <v>0.129206385180586</v>
      </c>
    </row>
    <row r="47" customFormat="false" ht="12.75" hidden="false" customHeight="false" outlineLevel="0" collapsed="false">
      <c r="A47" s="291" t="s">
        <v>686</v>
      </c>
      <c r="B47" s="166"/>
      <c r="C47" s="166"/>
      <c r="D47" s="166" t="n">
        <f aca="false">+Rates!T27</f>
        <v>0.106980893085391</v>
      </c>
      <c r="E47" s="166"/>
      <c r="F47" s="166"/>
      <c r="G47" s="166"/>
    </row>
    <row r="48" customFormat="false" ht="12.75" hidden="false" customHeight="false" outlineLevel="0" collapsed="false">
      <c r="A48" s="309"/>
      <c r="B48" s="166" t="s">
        <v>687</v>
      </c>
      <c r="C48" s="166"/>
      <c r="D48" s="166"/>
      <c r="E48" s="166"/>
      <c r="F48" s="166"/>
      <c r="G48" s="166"/>
    </row>
    <row r="50" customFormat="false" ht="13.5" hidden="false" customHeight="false" outlineLevel="0" collapsed="false">
      <c r="F50" s="177"/>
    </row>
    <row r="51" customFormat="false" ht="13.5" hidden="false" customHeight="false" outlineLevel="0" collapsed="false">
      <c r="A51" s="310" t="s">
        <v>688</v>
      </c>
      <c r="B51" s="311"/>
      <c r="C51" s="311"/>
      <c r="D51" s="311"/>
      <c r="E51" s="312"/>
      <c r="F51" s="177"/>
      <c r="G51" s="177"/>
      <c r="H51" s="177"/>
      <c r="I51" s="177"/>
    </row>
    <row r="52" customFormat="false" ht="12.75" hidden="false" customHeight="false" outlineLevel="0" collapsed="false">
      <c r="A52" s="305" t="s">
        <v>689</v>
      </c>
      <c r="B52" s="304" t="n">
        <f aca="false">+Rates!B6</f>
        <v>2.61</v>
      </c>
      <c r="D52" s="307" t="s">
        <v>690</v>
      </c>
      <c r="E52" s="304" t="n">
        <f aca="false">Rates!T3</f>
        <v>2.78</v>
      </c>
      <c r="F52" s="177"/>
    </row>
    <row r="53" customFormat="false" ht="12.75" hidden="false" customHeight="false" outlineLevel="0" collapsed="false">
      <c r="A53" s="162" t="s">
        <v>691</v>
      </c>
      <c r="B53" s="313" t="n">
        <f aca="false">+Rates!B5</f>
        <v>2.6</v>
      </c>
      <c r="C53" s="162"/>
      <c r="D53" s="291" t="s">
        <v>692</v>
      </c>
      <c r="E53" s="304" t="n">
        <f aca="false">Rates!T4</f>
        <v>2.85</v>
      </c>
      <c r="F53" s="177"/>
    </row>
    <row r="54" customFormat="false" ht="12.75" hidden="false" customHeight="false" outlineLevel="0" collapsed="false">
      <c r="A54" s="162" t="s">
        <v>693</v>
      </c>
      <c r="B54" s="304" t="n">
        <f aca="false">Rates!B4</f>
        <v>2.62</v>
      </c>
      <c r="C54" s="166"/>
      <c r="D54" s="292" t="s">
        <v>694</v>
      </c>
      <c r="E54" s="304" t="n">
        <f aca="false">+Rates!AI3</f>
        <v>2.555</v>
      </c>
    </row>
    <row r="55" customFormat="false" ht="12.75" hidden="false" customHeight="false" outlineLevel="0" collapsed="false">
      <c r="A55" s="305" t="s">
        <v>695</v>
      </c>
      <c r="B55" s="304" t="n">
        <f aca="false">Rates!B3</f>
        <v>2.58</v>
      </c>
      <c r="C55" s="166"/>
      <c r="D55" s="1" t="s">
        <v>696</v>
      </c>
      <c r="E55" s="304" t="n">
        <f aca="false">+Rates!H4</f>
        <v>2.65</v>
      </c>
    </row>
    <row r="56" customFormat="false" ht="12.75" hidden="false" customHeight="false" outlineLevel="0" collapsed="false">
      <c r="A56" s="305" t="s">
        <v>697</v>
      </c>
      <c r="B56" s="304" t="n">
        <f aca="false">Rates!B7</f>
        <v>7.4</v>
      </c>
      <c r="C56" s="166"/>
      <c r="D56" s="307" t="s">
        <v>698</v>
      </c>
      <c r="E56" s="304" t="n">
        <f aca="false">+Rates!H5</f>
        <v>2.95</v>
      </c>
    </row>
    <row r="57" customFormat="false" ht="12.75" hidden="false" customHeight="false" outlineLevel="0" collapsed="false">
      <c r="A57" s="162" t="s">
        <v>699</v>
      </c>
      <c r="B57" s="304" t="n">
        <f aca="false">Rates!K5</f>
        <v>2.85</v>
      </c>
      <c r="D57" s="292" t="s">
        <v>700</v>
      </c>
      <c r="E57" s="304" t="n">
        <f aca="false">Rates!Z3</f>
        <v>3.1</v>
      </c>
    </row>
    <row r="58" customFormat="false" ht="12.75" hidden="false" customHeight="false" outlineLevel="0" collapsed="false">
      <c r="A58" s="162" t="s">
        <v>701</v>
      </c>
      <c r="B58" s="304" t="n">
        <f aca="false">Rates!K4</f>
        <v>2.76</v>
      </c>
      <c r="D58" s="292" t="s">
        <v>40</v>
      </c>
      <c r="E58" s="304" t="n">
        <f aca="false">Rates!W3</f>
        <v>4.25</v>
      </c>
    </row>
    <row r="59" customFormat="false" ht="12.75" hidden="false" customHeight="false" outlineLevel="0" collapsed="false">
      <c r="A59" s="305" t="s">
        <v>702</v>
      </c>
      <c r="B59" s="304" t="n">
        <f aca="false">Rates!K3</f>
        <v>3</v>
      </c>
      <c r="E59" s="304"/>
    </row>
    <row r="60" customFormat="false" ht="12.75" hidden="false" customHeight="false" outlineLevel="0" collapsed="false">
      <c r="A60" s="305" t="s">
        <v>671</v>
      </c>
      <c r="B60" s="304" t="n">
        <f aca="false">Rates!K6</f>
        <v>2.9</v>
      </c>
      <c r="E60" s="304"/>
    </row>
    <row r="61" customFormat="false" ht="12.75" hidden="false" customHeight="false" outlineLevel="0" collapsed="false">
      <c r="A61" s="305" t="s">
        <v>189</v>
      </c>
      <c r="B61" s="304" t="n">
        <f aca="false">Rates!K7</f>
        <v>5.25</v>
      </c>
      <c r="E61" s="3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&amp;C&amp;14January Rates using current Gas Daily</oddHeader>
    <oddFooter>&amp;L&amp;D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73"/>
  <sheetViews>
    <sheetView showFormulas="false" showGridLines="true" showRowColHeaders="true" showZeros="true" rightToLeft="false" tabSelected="false" showOutlineSymbols="true" defaultGridColor="true" view="normal" topLeftCell="A92" colorId="64" zoomScale="100" zoomScaleNormal="100" zoomScalePageLayoutView="100" workbookViewId="0">
      <selection pane="topLeft" activeCell="E96" activeCellId="0" sqref="E9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36" width="10.85"/>
    <col collapsed="false" customWidth="true" hidden="false" outlineLevel="0" max="3" min="3" style="25" width="2.84"/>
    <col collapsed="false" customWidth="true" hidden="false" outlineLevel="0" max="5" min="4" style="136" width="10.85"/>
    <col collapsed="false" customWidth="true" hidden="false" outlineLevel="0" max="6" min="6" style="25" width="2.84"/>
    <col collapsed="false" customWidth="true" hidden="false" outlineLevel="0" max="8" min="7" style="136" width="9.14"/>
    <col collapsed="false" customWidth="true" hidden="false" outlineLevel="0" max="9" min="9" style="25" width="3.42"/>
  </cols>
  <sheetData>
    <row r="2" customFormat="false" ht="12.75" hidden="false" customHeight="false" outlineLevel="0" collapsed="false">
      <c r="A2" s="314" t="s">
        <v>1</v>
      </c>
      <c r="B2" s="314"/>
      <c r="C2" s="314"/>
      <c r="D2" s="314" t="s">
        <v>1</v>
      </c>
      <c r="E2" s="315"/>
      <c r="F2" s="137"/>
      <c r="H2" s="146" t="s">
        <v>703</v>
      </c>
    </row>
    <row r="3" customFormat="false" ht="12.75" hidden="false" customHeight="false" outlineLevel="0" collapsed="false">
      <c r="A3" s="316" t="s">
        <v>344</v>
      </c>
      <c r="B3" s="317" t="n">
        <f aca="false">+Rates!H3</f>
        <v>2.48</v>
      </c>
      <c r="C3" s="137"/>
      <c r="D3" s="157" t="s">
        <v>345</v>
      </c>
      <c r="E3" s="158" t="n">
        <v>2.5</v>
      </c>
      <c r="F3" s="137"/>
      <c r="G3" s="164" t="s">
        <v>349</v>
      </c>
      <c r="H3" s="160" t="n">
        <f aca="false">+Rates!AI3</f>
        <v>2.555</v>
      </c>
    </row>
    <row r="4" customFormat="false" ht="12.75" hidden="false" customHeight="false" outlineLevel="0" collapsed="false">
      <c r="A4" s="316" t="s">
        <v>353</v>
      </c>
      <c r="B4" s="318" t="n">
        <f aca="false">+Rates!H4</f>
        <v>2.65</v>
      </c>
      <c r="C4" s="137"/>
      <c r="D4" s="157" t="s">
        <v>354</v>
      </c>
      <c r="E4" s="158" t="n">
        <v>2.165</v>
      </c>
      <c r="F4" s="137"/>
      <c r="G4" s="164" t="s">
        <v>356</v>
      </c>
    </row>
    <row r="5" customFormat="false" ht="12.75" hidden="false" customHeight="false" outlineLevel="0" collapsed="false">
      <c r="A5" s="316" t="s">
        <v>251</v>
      </c>
      <c r="B5" s="319" t="n">
        <f aca="false">+Rates!H5</f>
        <v>2.95</v>
      </c>
      <c r="C5" s="137"/>
      <c r="D5" s="157" t="s">
        <v>359</v>
      </c>
      <c r="E5" s="158" t="n">
        <v>2.14</v>
      </c>
      <c r="F5" s="137"/>
    </row>
    <row r="6" customFormat="false" ht="12.75" hidden="false" customHeight="false" outlineLevel="0" collapsed="false">
      <c r="A6" s="178"/>
      <c r="B6" s="178"/>
      <c r="C6" s="171"/>
      <c r="D6" s="316" t="s">
        <v>361</v>
      </c>
      <c r="E6" s="320" t="n">
        <v>2.6</v>
      </c>
      <c r="F6" s="171"/>
      <c r="G6" s="178"/>
      <c r="H6" s="178"/>
      <c r="I6" s="177"/>
    </row>
    <row r="7" customFormat="false" ht="12.75" hidden="false" customHeight="false" outlineLevel="0" collapsed="false">
      <c r="A7" s="321"/>
      <c r="B7" s="321"/>
      <c r="C7" s="181"/>
      <c r="D7" s="322" t="s">
        <v>189</v>
      </c>
      <c r="E7" s="323" t="n">
        <v>3.065</v>
      </c>
      <c r="F7" s="181"/>
      <c r="G7" s="188"/>
      <c r="H7" s="188"/>
      <c r="I7" s="129"/>
    </row>
    <row r="8" customFormat="false" ht="12.75" hidden="false" customHeight="false" outlineLevel="0" collapsed="false">
      <c r="A8" s="324" t="s">
        <v>704</v>
      </c>
      <c r="B8" s="321"/>
      <c r="C8" s="191"/>
      <c r="D8" s="316" t="s">
        <v>705</v>
      </c>
      <c r="E8" s="320"/>
      <c r="F8" s="137"/>
      <c r="G8" s="136" t="s">
        <v>368</v>
      </c>
    </row>
    <row r="9" customFormat="false" ht="12.75" hidden="false" customHeight="false" outlineLevel="0" collapsed="false">
      <c r="A9" s="321" t="s">
        <v>373</v>
      </c>
      <c r="B9" s="321"/>
      <c r="C9" s="192"/>
      <c r="D9" s="325" t="s">
        <v>374</v>
      </c>
      <c r="E9" s="320"/>
      <c r="F9" s="137"/>
      <c r="G9" s="136" t="s">
        <v>706</v>
      </c>
    </row>
    <row r="10" customFormat="false" ht="12.75" hidden="false" customHeight="false" outlineLevel="0" collapsed="false">
      <c r="A10" s="321" t="s">
        <v>383</v>
      </c>
      <c r="B10" s="321"/>
      <c r="C10" s="192"/>
      <c r="D10" s="326" t="s">
        <v>384</v>
      </c>
      <c r="E10" s="320"/>
      <c r="F10" s="137"/>
      <c r="G10" s="136" t="s">
        <v>389</v>
      </c>
    </row>
    <row r="11" customFormat="false" ht="12.75" hidden="false" customHeight="false" outlineLevel="0" collapsed="false">
      <c r="A11" s="325" t="s">
        <v>391</v>
      </c>
      <c r="B11" s="321"/>
      <c r="C11" s="192"/>
      <c r="D11" s="326" t="s">
        <v>707</v>
      </c>
      <c r="E11" s="320"/>
      <c r="F11" s="137"/>
      <c r="G11" s="136" t="s">
        <v>396</v>
      </c>
    </row>
    <row r="12" customFormat="false" ht="12.75" hidden="false" customHeight="false" outlineLevel="0" collapsed="false">
      <c r="A12" s="157"/>
      <c r="B12" s="327"/>
      <c r="C12" s="137"/>
      <c r="D12" s="157"/>
      <c r="E12" s="158"/>
      <c r="F12" s="137"/>
      <c r="G12" s="136" t="s">
        <v>399</v>
      </c>
    </row>
    <row r="13" customFormat="false" ht="12.75" hidden="false" customHeight="false" outlineLevel="0" collapsed="false">
      <c r="A13" s="212" t="s">
        <v>404</v>
      </c>
      <c r="B13" s="213" t="s">
        <v>405</v>
      </c>
      <c r="C13" s="197"/>
      <c r="D13" s="328" t="s">
        <v>406</v>
      </c>
      <c r="E13" s="329" t="s">
        <v>407</v>
      </c>
      <c r="F13" s="197"/>
      <c r="G13" s="136" t="s">
        <v>418</v>
      </c>
    </row>
    <row r="14" customFormat="false" ht="12.75" hidden="false" customHeight="false" outlineLevel="0" collapsed="false">
      <c r="A14" s="224" t="s">
        <v>425</v>
      </c>
      <c r="B14" s="225" t="n">
        <v>0.0439</v>
      </c>
      <c r="C14" s="203"/>
      <c r="D14" s="330" t="s">
        <v>425</v>
      </c>
      <c r="E14" s="225" t="n">
        <v>0.0178</v>
      </c>
      <c r="F14" s="203"/>
      <c r="G14" s="224" t="s">
        <v>425</v>
      </c>
      <c r="H14" s="225" t="n">
        <v>0.0059</v>
      </c>
    </row>
    <row r="15" customFormat="false" ht="12.75" hidden="false" customHeight="false" outlineLevel="0" collapsed="false">
      <c r="A15" s="224" t="s">
        <v>103</v>
      </c>
      <c r="B15" s="225" t="n">
        <f aca="false">0.0022+0.0075+0.0225</f>
        <v>0.0322</v>
      </c>
      <c r="C15" s="203"/>
      <c r="D15" s="330" t="s">
        <v>103</v>
      </c>
      <c r="E15" s="225" t="n">
        <f aca="false">0.0022+0.0075</f>
        <v>0.0097</v>
      </c>
      <c r="F15" s="203"/>
      <c r="G15" s="224" t="s">
        <v>103</v>
      </c>
      <c r="H15" s="225" t="n">
        <f aca="false">0.002+0.0022</f>
        <v>0.0042</v>
      </c>
    </row>
    <row r="16" customFormat="false" ht="12.75" hidden="false" customHeight="false" outlineLevel="0" collapsed="false">
      <c r="A16" s="224" t="s">
        <v>590</v>
      </c>
      <c r="B16" s="331" t="n">
        <f aca="false">(B3)/(1-0.0084)-B3</f>
        <v>0.021008471157725</v>
      </c>
      <c r="C16" s="226"/>
      <c r="D16" s="330" t="s">
        <v>708</v>
      </c>
      <c r="E16" s="233" t="n">
        <f aca="false">(E5)/(1-0.0235)-E5</f>
        <v>0.0515002560163849</v>
      </c>
      <c r="F16" s="226"/>
      <c r="G16" s="224" t="s">
        <v>709</v>
      </c>
      <c r="H16" s="233" t="n">
        <f aca="false">+H3/(1-0.0022)-H3</f>
        <v>0.00563339346562453</v>
      </c>
    </row>
    <row r="17" customFormat="false" ht="12.75" hidden="false" customHeight="false" outlineLevel="0" collapsed="false">
      <c r="A17" s="241"/>
      <c r="B17" s="242" t="n">
        <f aca="false">SUM(B14:B16)</f>
        <v>0.097108471157725</v>
      </c>
      <c r="C17" s="228"/>
      <c r="D17" s="330"/>
      <c r="E17" s="242" t="n">
        <f aca="false">SUM(E14:E16)</f>
        <v>0.0790002560163849</v>
      </c>
      <c r="F17" s="228"/>
      <c r="G17" s="241"/>
      <c r="H17" s="242" t="n">
        <f aca="false">SUM(H14:H16)</f>
        <v>0.0157333934656245</v>
      </c>
    </row>
    <row r="18" customFormat="false" ht="12.75" hidden="false" customHeight="false" outlineLevel="0" collapsed="false">
      <c r="A18" s="332" t="s">
        <v>404</v>
      </c>
      <c r="B18" s="333" t="s">
        <v>446</v>
      </c>
      <c r="C18" s="197"/>
      <c r="D18" s="328" t="s">
        <v>406</v>
      </c>
      <c r="E18" s="329" t="s">
        <v>447</v>
      </c>
      <c r="F18" s="197"/>
    </row>
    <row r="19" customFormat="false" ht="12.75" hidden="false" customHeight="false" outlineLevel="0" collapsed="false">
      <c r="A19" s="224" t="s">
        <v>425</v>
      </c>
      <c r="B19" s="225" t="n">
        <v>0.0669</v>
      </c>
      <c r="C19" s="203"/>
      <c r="D19" s="330" t="s">
        <v>425</v>
      </c>
      <c r="E19" s="225" t="n">
        <v>0.0187</v>
      </c>
      <c r="F19" s="203"/>
      <c r="G19" s="136" t="s">
        <v>455</v>
      </c>
    </row>
    <row r="20" customFormat="false" ht="12.75" hidden="false" customHeight="false" outlineLevel="0" collapsed="false">
      <c r="A20" s="224" t="s">
        <v>103</v>
      </c>
      <c r="B20" s="225" t="n">
        <f aca="false">0.0022+0.0075+0.0225</f>
        <v>0.0322</v>
      </c>
      <c r="C20" s="203"/>
      <c r="D20" s="330" t="s">
        <v>103</v>
      </c>
      <c r="E20" s="225" t="n">
        <f aca="false">0.0022</f>
        <v>0.0022</v>
      </c>
      <c r="F20" s="203"/>
      <c r="G20" s="224" t="s">
        <v>425</v>
      </c>
      <c r="H20" s="225" t="n">
        <v>0.0312</v>
      </c>
    </row>
    <row r="21" customFormat="false" ht="12.75" hidden="false" customHeight="false" outlineLevel="0" collapsed="false">
      <c r="A21" s="224" t="s">
        <v>710</v>
      </c>
      <c r="B21" s="331" t="n">
        <f aca="false">(B3)/(1-0.0244)-B3</f>
        <v>0.0620254202542023</v>
      </c>
      <c r="C21" s="226"/>
      <c r="D21" s="330" t="s">
        <v>711</v>
      </c>
      <c r="E21" s="233" t="n">
        <f aca="false">(E5)/(1-0.0252)-E5</f>
        <v>0.0553221173574068</v>
      </c>
      <c r="F21" s="226"/>
      <c r="G21" s="224" t="s">
        <v>103</v>
      </c>
      <c r="H21" s="225" t="n">
        <f aca="false">0.002+0.0075+0.0022</f>
        <v>0.0117</v>
      </c>
    </row>
    <row r="22" customFormat="false" ht="12.75" hidden="false" customHeight="false" outlineLevel="0" collapsed="false">
      <c r="A22" s="241"/>
      <c r="B22" s="242" t="n">
        <f aca="false">SUM(B19:B21)</f>
        <v>0.161125420254202</v>
      </c>
      <c r="C22" s="228"/>
      <c r="D22" s="330"/>
      <c r="E22" s="242" t="n">
        <f aca="false">SUM(E19:E21)</f>
        <v>0.0762221173574068</v>
      </c>
      <c r="F22" s="228"/>
      <c r="G22" s="224" t="s">
        <v>430</v>
      </c>
      <c r="H22" s="233" t="n">
        <f aca="false">+H3/(1-0.0268)-H3</f>
        <v>0.0703596383066176</v>
      </c>
    </row>
    <row r="23" customFormat="false" ht="12.75" hidden="false" customHeight="false" outlineLevel="0" collapsed="false">
      <c r="A23" s="332" t="s">
        <v>404</v>
      </c>
      <c r="B23" s="333" t="s">
        <v>470</v>
      </c>
      <c r="C23" s="228"/>
      <c r="D23" s="334" t="s">
        <v>406</v>
      </c>
      <c r="E23" s="335" t="s">
        <v>471</v>
      </c>
      <c r="F23" s="228"/>
      <c r="G23" s="241"/>
      <c r="H23" s="242" t="n">
        <f aca="false">SUM(H20:H22)</f>
        <v>0.113259638306618</v>
      </c>
    </row>
    <row r="24" customFormat="false" ht="12.75" hidden="false" customHeight="false" outlineLevel="0" collapsed="false">
      <c r="A24" s="224" t="s">
        <v>425</v>
      </c>
      <c r="B24" s="225" t="n">
        <v>0.088</v>
      </c>
      <c r="C24" s="254"/>
      <c r="D24" s="330" t="s">
        <v>425</v>
      </c>
      <c r="E24" s="225" t="n">
        <v>0.0236</v>
      </c>
      <c r="F24" s="254"/>
    </row>
    <row r="25" customFormat="false" ht="12.75" hidden="false" customHeight="false" outlineLevel="0" collapsed="false">
      <c r="A25" s="224" t="s">
        <v>103</v>
      </c>
      <c r="B25" s="225" t="n">
        <f aca="false">0.0022+0.0075</f>
        <v>0.0097</v>
      </c>
      <c r="C25" s="254"/>
      <c r="D25" s="330" t="s">
        <v>103</v>
      </c>
      <c r="E25" s="225" t="n">
        <f aca="false">0.0022+0.0075</f>
        <v>0.0097</v>
      </c>
      <c r="F25" s="254"/>
      <c r="G25" s="136" t="s">
        <v>477</v>
      </c>
    </row>
    <row r="26" customFormat="false" ht="12.75" hidden="false" customHeight="false" outlineLevel="0" collapsed="false">
      <c r="A26" s="224" t="s">
        <v>712</v>
      </c>
      <c r="B26" s="331" t="n">
        <f aca="false">(B3)/(1-0.0443)-B3</f>
        <v>0.114956576331485</v>
      </c>
      <c r="C26" s="226"/>
      <c r="D26" s="330" t="s">
        <v>713</v>
      </c>
      <c r="E26" s="233" t="n">
        <f aca="false">(E5)/(1-0.0342)-E5</f>
        <v>0.075779664526817</v>
      </c>
      <c r="F26" s="226"/>
      <c r="G26" s="224" t="s">
        <v>425</v>
      </c>
      <c r="H26" s="225" t="n">
        <v>0.0284</v>
      </c>
    </row>
    <row r="27" customFormat="false" ht="12.75" hidden="false" customHeight="false" outlineLevel="0" collapsed="false">
      <c r="A27" s="241"/>
      <c r="B27" s="242" t="n">
        <f aca="false">SUM(B24:B26)</f>
        <v>0.212656576331485</v>
      </c>
      <c r="C27" s="228"/>
      <c r="D27" s="330"/>
      <c r="E27" s="242" t="n">
        <f aca="false">SUM(E24:E26)</f>
        <v>0.109079664526817</v>
      </c>
      <c r="F27" s="228"/>
      <c r="G27" s="224" t="s">
        <v>103</v>
      </c>
      <c r="H27" s="225" t="n">
        <f aca="false">0.002+0.0075+0.0022</f>
        <v>0.0117</v>
      </c>
    </row>
    <row r="28" customFormat="false" ht="12.75" hidden="false" customHeight="false" outlineLevel="0" collapsed="false">
      <c r="A28" s="332" t="s">
        <v>404</v>
      </c>
      <c r="B28" s="336" t="s">
        <v>488</v>
      </c>
      <c r="C28" s="202"/>
      <c r="D28" s="328" t="s">
        <v>406</v>
      </c>
      <c r="E28" s="329" t="s">
        <v>489</v>
      </c>
      <c r="F28" s="202"/>
      <c r="G28" s="224" t="s">
        <v>430</v>
      </c>
      <c r="H28" s="233" t="n">
        <f aca="false">+H3/(1-0.0268)-H3</f>
        <v>0.0703596383066176</v>
      </c>
    </row>
    <row r="29" customFormat="false" ht="12.75" hidden="false" customHeight="false" outlineLevel="0" collapsed="false">
      <c r="A29" s="241" t="s">
        <v>425</v>
      </c>
      <c r="B29" s="225" t="n">
        <v>0.0978</v>
      </c>
      <c r="C29" s="203"/>
      <c r="D29" s="330" t="s">
        <v>425</v>
      </c>
      <c r="E29" s="225" t="n">
        <v>0.0692</v>
      </c>
      <c r="F29" s="203"/>
      <c r="G29" s="241"/>
      <c r="H29" s="242" t="n">
        <f aca="false">SUM(H26:H28)</f>
        <v>0.110459638306618</v>
      </c>
    </row>
    <row r="30" customFormat="false" ht="12.75" hidden="false" customHeight="false" outlineLevel="0" collapsed="false">
      <c r="A30" s="241" t="s">
        <v>103</v>
      </c>
      <c r="B30" s="225" t="n">
        <f aca="false">0.0022</f>
        <v>0.0022</v>
      </c>
      <c r="C30" s="203"/>
      <c r="D30" s="330" t="s">
        <v>103</v>
      </c>
      <c r="E30" s="225" t="n">
        <f aca="false">0.0022+0.0075</f>
        <v>0.0097</v>
      </c>
      <c r="F30" s="203"/>
    </row>
    <row r="31" customFormat="false" ht="12.75" hidden="false" customHeight="false" outlineLevel="0" collapsed="false">
      <c r="A31" s="241" t="s">
        <v>714</v>
      </c>
      <c r="B31" s="331" t="n">
        <f aca="false">(B3)/(1-0.0504)-B3</f>
        <v>0.131625947767481</v>
      </c>
      <c r="C31" s="226"/>
      <c r="D31" s="330" t="s">
        <v>715</v>
      </c>
      <c r="E31" s="233" t="n">
        <f aca="false">(E5)/(1-0.0564)-E5</f>
        <v>0.127910131411615</v>
      </c>
      <c r="F31" s="226"/>
      <c r="G31" s="136" t="s">
        <v>501</v>
      </c>
    </row>
    <row r="32" customFormat="false" ht="12.75" hidden="false" customHeight="false" outlineLevel="0" collapsed="false">
      <c r="A32" s="241"/>
      <c r="B32" s="242" t="n">
        <f aca="false">SUM(B29:B31)</f>
        <v>0.231625947767481</v>
      </c>
      <c r="C32" s="228"/>
      <c r="D32" s="330"/>
      <c r="E32" s="242" t="n">
        <f aca="false">SUM(E29:E31)</f>
        <v>0.206810131411615</v>
      </c>
      <c r="F32" s="228"/>
      <c r="G32" s="224" t="s">
        <v>425</v>
      </c>
      <c r="H32" s="225" t="n">
        <v>0.0161</v>
      </c>
    </row>
    <row r="33" customFormat="false" ht="12.75" hidden="false" customHeight="false" outlineLevel="0" collapsed="false">
      <c r="A33" s="332" t="s">
        <v>404</v>
      </c>
      <c r="B33" s="336" t="s">
        <v>505</v>
      </c>
      <c r="C33" s="202"/>
      <c r="D33" s="328" t="s">
        <v>406</v>
      </c>
      <c r="E33" s="329" t="s">
        <v>408</v>
      </c>
      <c r="F33" s="202"/>
      <c r="G33" s="224" t="s">
        <v>103</v>
      </c>
      <c r="H33" s="225" t="n">
        <f aca="false">0.002+0.0075+0.0022</f>
        <v>0.0117</v>
      </c>
    </row>
    <row r="34" customFormat="false" ht="12.75" hidden="false" customHeight="false" outlineLevel="0" collapsed="false">
      <c r="A34" s="241" t="s">
        <v>425</v>
      </c>
      <c r="B34" s="225" t="n">
        <v>0.1118</v>
      </c>
      <c r="C34" s="203"/>
      <c r="D34" s="330" t="s">
        <v>425</v>
      </c>
      <c r="E34" s="225" t="n">
        <v>0.087</v>
      </c>
      <c r="F34" s="203"/>
      <c r="G34" s="224" t="s">
        <v>716</v>
      </c>
      <c r="H34" s="233" t="n">
        <f aca="false">+H3/(1-0.0169)-H3</f>
        <v>0.0439217780490289</v>
      </c>
    </row>
    <row r="35" customFormat="false" ht="12.75" hidden="false" customHeight="false" outlineLevel="0" collapsed="false">
      <c r="A35" s="241" t="s">
        <v>103</v>
      </c>
      <c r="B35" s="225" t="n">
        <f aca="false">0.0022+0.0075</f>
        <v>0.0097</v>
      </c>
      <c r="C35" s="203"/>
      <c r="D35" s="330" t="s">
        <v>103</v>
      </c>
      <c r="E35" s="225" t="n">
        <f aca="false">0.0022+0.0075</f>
        <v>0.0097</v>
      </c>
      <c r="F35" s="203"/>
      <c r="G35" s="241"/>
      <c r="H35" s="242" t="n">
        <f aca="false">SUM(H32:H34)</f>
        <v>0.0717217780490289</v>
      </c>
    </row>
    <row r="36" customFormat="false" ht="12.75" hidden="false" customHeight="false" outlineLevel="0" collapsed="false">
      <c r="A36" s="241" t="s">
        <v>717</v>
      </c>
      <c r="B36" s="331" t="n">
        <f aca="false">(B3)/(1-0.058)-B3</f>
        <v>0.152696390658174</v>
      </c>
      <c r="C36" s="226"/>
      <c r="D36" s="330" t="s">
        <v>718</v>
      </c>
      <c r="E36" s="233" t="n">
        <f aca="false">(E5)/(1-0.0732)-E5</f>
        <v>0.169020284851101</v>
      </c>
      <c r="F36" s="226"/>
    </row>
    <row r="37" customFormat="false" ht="12.75" hidden="false" customHeight="false" outlineLevel="0" collapsed="false">
      <c r="A37" s="241"/>
      <c r="B37" s="242" t="n">
        <f aca="false">SUM(B34:B36)</f>
        <v>0.274196390658174</v>
      </c>
      <c r="C37" s="228"/>
      <c r="D37" s="330"/>
      <c r="E37" s="242" t="n">
        <f aca="false">SUM(E34:E36)</f>
        <v>0.265720284851101</v>
      </c>
      <c r="F37" s="228"/>
      <c r="G37" s="136" t="s">
        <v>515</v>
      </c>
    </row>
    <row r="38" customFormat="false" ht="12.75" hidden="false" customHeight="false" outlineLevel="0" collapsed="false">
      <c r="A38" s="332" t="s">
        <v>404</v>
      </c>
      <c r="B38" s="336" t="s">
        <v>519</v>
      </c>
      <c r="C38" s="202"/>
      <c r="D38" s="328" t="s">
        <v>406</v>
      </c>
      <c r="E38" s="329" t="s">
        <v>448</v>
      </c>
      <c r="F38" s="202"/>
      <c r="G38" s="224" t="s">
        <v>425</v>
      </c>
      <c r="H38" s="225" t="n">
        <v>0.0059</v>
      </c>
    </row>
    <row r="39" customFormat="false" ht="12.75" hidden="false" customHeight="false" outlineLevel="0" collapsed="false">
      <c r="A39" s="241" t="s">
        <v>425</v>
      </c>
      <c r="B39" s="225" t="n">
        <v>0.1231</v>
      </c>
      <c r="C39" s="203"/>
      <c r="D39" s="330" t="s">
        <v>425</v>
      </c>
      <c r="E39" s="225" t="n">
        <v>0.0994</v>
      </c>
      <c r="F39" s="203"/>
      <c r="G39" s="224" t="s">
        <v>103</v>
      </c>
      <c r="H39" s="225" t="n">
        <f aca="false">0.002+0.0075+0.0022</f>
        <v>0.0117</v>
      </c>
    </row>
    <row r="40" customFormat="false" ht="12.75" hidden="false" customHeight="false" outlineLevel="0" collapsed="false">
      <c r="A40" s="241" t="s">
        <v>103</v>
      </c>
      <c r="B40" s="225" t="n">
        <f aca="false">0.0022+0.0075</f>
        <v>0.0097</v>
      </c>
      <c r="C40" s="203"/>
      <c r="D40" s="330" t="s">
        <v>103</v>
      </c>
      <c r="E40" s="225" t="n">
        <f aca="false">0.0022+0.0075</f>
        <v>0.0097</v>
      </c>
      <c r="F40" s="203"/>
      <c r="G40" s="224" t="s">
        <v>441</v>
      </c>
      <c r="H40" s="233" t="n">
        <v>0</v>
      </c>
    </row>
    <row r="41" customFormat="false" ht="12.75" hidden="false" customHeight="false" outlineLevel="0" collapsed="false">
      <c r="A41" s="241" t="s">
        <v>719</v>
      </c>
      <c r="B41" s="331" t="n">
        <f aca="false">(B3)/(1-0.0672)-B3</f>
        <v>0.178662092624357</v>
      </c>
      <c r="C41" s="226"/>
      <c r="D41" s="330" t="s">
        <v>720</v>
      </c>
      <c r="E41" s="233" t="n">
        <f aca="false">(E5)/(1-0.0847)-E5</f>
        <v>0.198031246585819</v>
      </c>
      <c r="F41" s="226"/>
      <c r="G41" s="241"/>
      <c r="H41" s="242" t="n">
        <f aca="false">SUM(H38:H40)</f>
        <v>0.0176</v>
      </c>
    </row>
    <row r="42" customFormat="false" ht="12.75" hidden="false" customHeight="false" outlineLevel="0" collapsed="false">
      <c r="A42" s="241"/>
      <c r="B42" s="242" t="n">
        <f aca="false">SUM(B39:B41)</f>
        <v>0.311462092624357</v>
      </c>
      <c r="C42" s="228"/>
      <c r="D42" s="330"/>
      <c r="E42" s="242" t="n">
        <f aca="false">SUM(E39:E41)</f>
        <v>0.307131246585819</v>
      </c>
      <c r="F42" s="228"/>
    </row>
    <row r="43" customFormat="false" ht="12.75" hidden="false" customHeight="false" outlineLevel="0" collapsed="false">
      <c r="A43" s="332" t="s">
        <v>404</v>
      </c>
      <c r="B43" s="336" t="s">
        <v>529</v>
      </c>
      <c r="C43" s="202"/>
      <c r="D43" s="328" t="s">
        <v>406</v>
      </c>
      <c r="E43" s="329" t="s">
        <v>530</v>
      </c>
      <c r="F43" s="202"/>
    </row>
    <row r="44" customFormat="false" ht="12.75" hidden="false" customHeight="false" outlineLevel="0" collapsed="false">
      <c r="A44" s="241" t="s">
        <v>425</v>
      </c>
      <c r="B44" s="225" t="n">
        <v>0.1608</v>
      </c>
      <c r="C44" s="203"/>
      <c r="D44" s="330" t="s">
        <v>425</v>
      </c>
      <c r="E44" s="225" t="n">
        <v>0.0147</v>
      </c>
      <c r="F44" s="203"/>
    </row>
    <row r="45" customFormat="false" ht="12.75" hidden="false" customHeight="false" outlineLevel="0" collapsed="false">
      <c r="A45" s="241" t="s">
        <v>103</v>
      </c>
      <c r="B45" s="225" t="n">
        <f aca="false">0.0022+0.0075</f>
        <v>0.0097</v>
      </c>
      <c r="C45" s="203"/>
      <c r="D45" s="330" t="s">
        <v>103</v>
      </c>
      <c r="E45" s="225" t="n">
        <f aca="false">0.0022</f>
        <v>0.0022</v>
      </c>
      <c r="F45" s="203"/>
    </row>
    <row r="46" customFormat="false" ht="12.75" hidden="false" customHeight="false" outlineLevel="0" collapsed="false">
      <c r="A46" s="241" t="s">
        <v>721</v>
      </c>
      <c r="B46" s="331" t="n">
        <f aca="false">(B3)/(1-0.0742)-B3</f>
        <v>0.198764311946425</v>
      </c>
      <c r="C46" s="226"/>
      <c r="D46" s="330" t="s">
        <v>722</v>
      </c>
      <c r="E46" s="233" t="n">
        <f aca="false">(E4)/(1-0.0174)-E4</f>
        <v>0.0383380826378992</v>
      </c>
      <c r="F46" s="226"/>
    </row>
    <row r="47" customFormat="false" ht="12.75" hidden="false" customHeight="false" outlineLevel="0" collapsed="false">
      <c r="A47" s="241"/>
      <c r="B47" s="242" t="n">
        <f aca="false">SUM(B44:B46)</f>
        <v>0.369264311946425</v>
      </c>
      <c r="C47" s="228"/>
      <c r="D47" s="330"/>
      <c r="E47" s="242" t="n">
        <f aca="false">SUM(E44:E46)</f>
        <v>0.0552380826378992</v>
      </c>
      <c r="F47" s="228"/>
    </row>
    <row r="48" customFormat="false" ht="12.75" hidden="false" customHeight="false" outlineLevel="0" collapsed="false">
      <c r="A48" s="332" t="s">
        <v>404</v>
      </c>
      <c r="B48" s="333" t="s">
        <v>543</v>
      </c>
      <c r="C48" s="269"/>
      <c r="D48" s="328" t="s">
        <v>406</v>
      </c>
      <c r="E48" s="329" t="s">
        <v>544</v>
      </c>
      <c r="F48" s="269"/>
    </row>
    <row r="49" customFormat="false" ht="12.75" hidden="false" customHeight="false" outlineLevel="0" collapsed="false">
      <c r="A49" s="224" t="s">
        <v>425</v>
      </c>
      <c r="B49" s="225" t="n">
        <v>0.0286</v>
      </c>
      <c r="C49" s="203"/>
      <c r="D49" s="330" t="s">
        <v>425</v>
      </c>
      <c r="E49" s="225" t="n">
        <v>0.0195</v>
      </c>
      <c r="F49" s="203"/>
    </row>
    <row r="50" customFormat="false" ht="12.75" hidden="false" customHeight="false" outlineLevel="0" collapsed="false">
      <c r="A50" s="224" t="s">
        <v>103</v>
      </c>
      <c r="B50" s="225" t="n">
        <f aca="false">0.0022+0.0075+0.0225</f>
        <v>0.0322</v>
      </c>
      <c r="C50" s="203"/>
      <c r="D50" s="330" t="s">
        <v>103</v>
      </c>
      <c r="E50" s="225" t="n">
        <f aca="false">0.0022+0.0075</f>
        <v>0.0097</v>
      </c>
      <c r="F50" s="203"/>
    </row>
    <row r="51" customFormat="false" ht="12.75" hidden="false" customHeight="false" outlineLevel="0" collapsed="false">
      <c r="A51" s="224" t="s">
        <v>723</v>
      </c>
      <c r="B51" s="337" t="n">
        <f aca="false">(B4)/(1-0.0095)-B4</f>
        <v>0.0254164563351842</v>
      </c>
      <c r="C51" s="226"/>
      <c r="D51" s="330" t="s">
        <v>724</v>
      </c>
      <c r="E51" s="233" t="n">
        <f aca="false">(E4)/(1-0.0265)-E4</f>
        <v>0.0589342578325627</v>
      </c>
      <c r="F51" s="226"/>
    </row>
    <row r="52" customFormat="false" ht="12.75" hidden="false" customHeight="false" outlineLevel="0" collapsed="false">
      <c r="A52" s="241"/>
      <c r="B52" s="242" t="n">
        <f aca="false">SUM(B49:B51)</f>
        <v>0.0862164563351842</v>
      </c>
      <c r="C52" s="228"/>
      <c r="D52" s="330"/>
      <c r="E52" s="242" t="n">
        <f aca="false">SUM(E49:E51)</f>
        <v>0.0881342578325627</v>
      </c>
      <c r="F52" s="228"/>
    </row>
    <row r="53" customFormat="false" ht="12.75" hidden="false" customHeight="false" outlineLevel="0" collapsed="false">
      <c r="A53" s="332" t="s">
        <v>404</v>
      </c>
      <c r="B53" s="333" t="s">
        <v>402</v>
      </c>
      <c r="C53" s="269"/>
      <c r="D53" s="328" t="s">
        <v>406</v>
      </c>
      <c r="E53" s="329" t="s">
        <v>555</v>
      </c>
      <c r="F53" s="269"/>
    </row>
    <row r="54" customFormat="false" ht="12.75" hidden="false" customHeight="false" outlineLevel="0" collapsed="false">
      <c r="A54" s="224" t="s">
        <v>425</v>
      </c>
      <c r="B54" s="225" t="n">
        <v>0.0572</v>
      </c>
      <c r="C54" s="203"/>
      <c r="D54" s="330" t="s">
        <v>425</v>
      </c>
      <c r="E54" s="225" t="n">
        <v>0.0651</v>
      </c>
      <c r="F54" s="203"/>
    </row>
    <row r="55" customFormat="false" ht="12.75" hidden="false" customHeight="false" outlineLevel="0" collapsed="false">
      <c r="A55" s="224" t="s">
        <v>103</v>
      </c>
      <c r="B55" s="225" t="n">
        <f aca="false">0.0022+0.0075+0.0225</f>
        <v>0.0322</v>
      </c>
      <c r="C55" s="203"/>
      <c r="D55" s="330" t="s">
        <v>103</v>
      </c>
      <c r="E55" s="225" t="n">
        <f aca="false">0.0022+0.0075</f>
        <v>0.0097</v>
      </c>
      <c r="F55" s="203"/>
    </row>
    <row r="56" customFormat="false" ht="12.75" hidden="false" customHeight="false" outlineLevel="0" collapsed="false">
      <c r="A56" s="224" t="s">
        <v>725</v>
      </c>
      <c r="B56" s="337" t="n">
        <f aca="false">(B4)/(1-0.017)-B4</f>
        <v>0.045829094608342</v>
      </c>
      <c r="C56" s="226"/>
      <c r="D56" s="330" t="s">
        <v>726</v>
      </c>
      <c r="E56" s="233" t="n">
        <f aca="false">(E4)/(1-0.0487)-E4</f>
        <v>0.110833070535057</v>
      </c>
      <c r="F56" s="226"/>
    </row>
    <row r="57" customFormat="false" ht="12.75" hidden="false" customHeight="false" outlineLevel="0" collapsed="false">
      <c r="A57" s="241"/>
      <c r="B57" s="242" t="n">
        <f aca="false">SUM(B54:B56)</f>
        <v>0.135229094608342</v>
      </c>
      <c r="C57" s="228"/>
      <c r="D57" s="330"/>
      <c r="E57" s="242" t="n">
        <f aca="false">SUM(E54:E56)</f>
        <v>0.185633070535057</v>
      </c>
      <c r="F57" s="228"/>
    </row>
    <row r="58" customFormat="false" ht="12.75" hidden="false" customHeight="false" outlineLevel="0" collapsed="false">
      <c r="A58" s="332" t="s">
        <v>404</v>
      </c>
      <c r="B58" s="333" t="s">
        <v>444</v>
      </c>
      <c r="C58" s="202"/>
      <c r="D58" s="328" t="s">
        <v>406</v>
      </c>
      <c r="E58" s="329" t="s">
        <v>472</v>
      </c>
      <c r="F58" s="202"/>
    </row>
    <row r="59" customFormat="false" ht="12.75" hidden="false" customHeight="false" outlineLevel="0" collapsed="false">
      <c r="A59" s="224" t="s">
        <v>425</v>
      </c>
      <c r="B59" s="225" t="n">
        <v>0.0776</v>
      </c>
      <c r="C59" s="203"/>
      <c r="D59" s="330" t="s">
        <v>425</v>
      </c>
      <c r="E59" s="225" t="n">
        <v>0.0829</v>
      </c>
      <c r="F59" s="203"/>
    </row>
    <row r="60" customFormat="false" ht="12.75" hidden="false" customHeight="false" outlineLevel="0" collapsed="false">
      <c r="A60" s="224" t="s">
        <v>103</v>
      </c>
      <c r="B60" s="225" t="n">
        <f aca="false">0.0022+0.0075</f>
        <v>0.0097</v>
      </c>
      <c r="C60" s="203"/>
      <c r="D60" s="330" t="s">
        <v>103</v>
      </c>
      <c r="E60" s="225" t="n">
        <f aca="false">0.0022+0.0075</f>
        <v>0.0097</v>
      </c>
      <c r="F60" s="203"/>
    </row>
    <row r="61" customFormat="false" ht="12.75" hidden="false" customHeight="false" outlineLevel="0" collapsed="false">
      <c r="A61" s="224" t="s">
        <v>727</v>
      </c>
      <c r="B61" s="331" t="n">
        <f aca="false">(B4)/(1-0.0369)-B4</f>
        <v>0.101531512823175</v>
      </c>
      <c r="C61" s="226"/>
      <c r="D61" s="330" t="s">
        <v>728</v>
      </c>
      <c r="E61" s="233" t="n">
        <f aca="false">(E4)/(1-0.0655)-E4</f>
        <v>0.151746923488497</v>
      </c>
      <c r="F61" s="226"/>
    </row>
    <row r="62" customFormat="false" ht="12.75" hidden="false" customHeight="false" outlineLevel="0" collapsed="false">
      <c r="A62" s="241"/>
      <c r="B62" s="242" t="n">
        <f aca="false">SUM(B59:B61)</f>
        <v>0.188831512823175</v>
      </c>
      <c r="C62" s="228"/>
      <c r="D62" s="330"/>
      <c r="E62" s="242" t="n">
        <f aca="false">SUM(E59:E61)</f>
        <v>0.244346923488497</v>
      </c>
      <c r="F62" s="228"/>
    </row>
    <row r="63" customFormat="false" ht="12.75" hidden="false" customHeight="false" outlineLevel="0" collapsed="false">
      <c r="A63" s="332" t="s">
        <v>404</v>
      </c>
      <c r="B63" s="333" t="s">
        <v>468</v>
      </c>
      <c r="C63" s="202"/>
      <c r="D63" s="328" t="s">
        <v>406</v>
      </c>
      <c r="E63" s="329" t="s">
        <v>490</v>
      </c>
      <c r="F63" s="202"/>
    </row>
    <row r="64" customFormat="false" ht="12.75" hidden="false" customHeight="false" outlineLevel="0" collapsed="false">
      <c r="A64" s="224" t="s">
        <v>425</v>
      </c>
      <c r="B64" s="225" t="n">
        <v>0.0873</v>
      </c>
      <c r="C64" s="203"/>
      <c r="D64" s="330" t="s">
        <v>425</v>
      </c>
      <c r="E64" s="225" t="n">
        <v>0.0953</v>
      </c>
      <c r="F64" s="203"/>
    </row>
    <row r="65" customFormat="false" ht="12.75" hidden="false" customHeight="false" outlineLevel="0" collapsed="false">
      <c r="A65" s="224" t="s">
        <v>103</v>
      </c>
      <c r="B65" s="225" t="n">
        <f aca="false">0.0022</f>
        <v>0.0022</v>
      </c>
      <c r="C65" s="203"/>
      <c r="D65" s="330" t="s">
        <v>103</v>
      </c>
      <c r="E65" s="225" t="n">
        <f aca="false">0.0022+0.0075</f>
        <v>0.0097</v>
      </c>
      <c r="F65" s="203"/>
    </row>
    <row r="66" customFormat="false" ht="12.75" hidden="false" customHeight="false" outlineLevel="0" collapsed="false">
      <c r="A66" s="224" t="s">
        <v>604</v>
      </c>
      <c r="B66" s="233" t="n">
        <f aca="false">(B4)/(1-0.0429)-B4</f>
        <v>0.118780691672761</v>
      </c>
      <c r="C66" s="226"/>
      <c r="D66" s="330" t="s">
        <v>729</v>
      </c>
      <c r="E66" s="233" t="n">
        <f aca="false">(E4)/(1-0.077)-E4</f>
        <v>0.180612134344528</v>
      </c>
      <c r="F66" s="226"/>
    </row>
    <row r="67" customFormat="false" ht="12.75" hidden="false" customHeight="false" outlineLevel="0" collapsed="false">
      <c r="A67" s="241"/>
      <c r="B67" s="242" t="n">
        <f aca="false">SUM(B64:B66)</f>
        <v>0.208280691672761</v>
      </c>
      <c r="C67" s="228"/>
      <c r="D67" s="330"/>
      <c r="E67" s="242" t="n">
        <f aca="false">SUM(E64:E66)</f>
        <v>0.285612134344528</v>
      </c>
      <c r="F67" s="228"/>
    </row>
    <row r="68" customFormat="false" ht="12.75" hidden="false" customHeight="false" outlineLevel="0" collapsed="false">
      <c r="A68" s="332" t="s">
        <v>404</v>
      </c>
      <c r="B68" s="333" t="s">
        <v>486</v>
      </c>
      <c r="C68" s="197"/>
      <c r="D68" s="328" t="s">
        <v>406</v>
      </c>
      <c r="E68" s="329" t="s">
        <v>574</v>
      </c>
      <c r="F68" s="197"/>
    </row>
    <row r="69" customFormat="false" ht="12.75" hidden="false" customHeight="false" outlineLevel="0" collapsed="false">
      <c r="A69" s="224" t="s">
        <v>425</v>
      </c>
      <c r="B69" s="225" t="n">
        <v>0.1015</v>
      </c>
      <c r="C69" s="203"/>
      <c r="D69" s="330" t="s">
        <v>425</v>
      </c>
      <c r="E69" s="225" t="n">
        <v>0.0236</v>
      </c>
      <c r="F69" s="203"/>
    </row>
    <row r="70" customFormat="false" ht="12.75" hidden="false" customHeight="false" outlineLevel="0" collapsed="false">
      <c r="A70" s="224" t="s">
        <v>103</v>
      </c>
      <c r="B70" s="225" t="n">
        <f aca="false">0.0022+0.0075</f>
        <v>0.0097</v>
      </c>
      <c r="C70" s="203"/>
      <c r="D70" s="330" t="s">
        <v>103</v>
      </c>
      <c r="E70" s="225" t="n">
        <f aca="false">0.0022+0.0075</f>
        <v>0.0097</v>
      </c>
      <c r="F70" s="203"/>
    </row>
    <row r="71" customFormat="false" ht="12.75" hidden="false" customHeight="false" outlineLevel="0" collapsed="false">
      <c r="A71" s="224" t="s">
        <v>730</v>
      </c>
      <c r="B71" s="337" t="n">
        <f aca="false">(B4)/(1-0.0506)-B4</f>
        <v>0.141236570465557</v>
      </c>
      <c r="C71" s="226"/>
      <c r="D71" s="330" t="s">
        <v>708</v>
      </c>
      <c r="E71" s="233" t="n">
        <f aca="false">(E3)/(1-0.0235)-E3</f>
        <v>0.0601638504864313</v>
      </c>
      <c r="F71" s="226"/>
    </row>
    <row r="72" customFormat="false" ht="12.75" hidden="false" customHeight="false" outlineLevel="0" collapsed="false">
      <c r="A72" s="241"/>
      <c r="B72" s="242" t="n">
        <f aca="false">SUM(B69:B71)</f>
        <v>0.252436570465557</v>
      </c>
      <c r="C72" s="228"/>
      <c r="D72" s="330"/>
      <c r="E72" s="242" t="n">
        <f aca="false">SUM(E69:E71)</f>
        <v>0.0934638504864312</v>
      </c>
      <c r="F72" s="228"/>
    </row>
    <row r="73" customFormat="false" ht="12.75" hidden="false" customHeight="false" outlineLevel="0" collapsed="false">
      <c r="A73" s="332" t="s">
        <v>404</v>
      </c>
      <c r="B73" s="333" t="s">
        <v>503</v>
      </c>
      <c r="C73" s="197"/>
      <c r="D73" s="328" t="s">
        <v>406</v>
      </c>
      <c r="E73" s="329" t="s">
        <v>580</v>
      </c>
      <c r="F73" s="197"/>
    </row>
    <row r="74" customFormat="false" ht="12.75" hidden="false" customHeight="false" outlineLevel="0" collapsed="false">
      <c r="A74" s="224" t="s">
        <v>425</v>
      </c>
      <c r="B74" s="225" t="n">
        <v>0.1126</v>
      </c>
      <c r="C74" s="203"/>
      <c r="D74" s="330" t="s">
        <v>425</v>
      </c>
      <c r="E74" s="225" t="n">
        <v>0.0195</v>
      </c>
      <c r="F74" s="203"/>
    </row>
    <row r="75" customFormat="false" ht="12.75" hidden="false" customHeight="false" outlineLevel="0" collapsed="false">
      <c r="A75" s="224" t="s">
        <v>103</v>
      </c>
      <c r="B75" s="225" t="n">
        <f aca="false">0.0022+0.0075</f>
        <v>0.0097</v>
      </c>
      <c r="C75" s="203"/>
      <c r="D75" s="330" t="s">
        <v>103</v>
      </c>
      <c r="E75" s="225" t="n">
        <f aca="false">0.0022</f>
        <v>0.0022</v>
      </c>
      <c r="F75" s="203"/>
    </row>
    <row r="76" customFormat="false" ht="12.75" hidden="false" customHeight="false" outlineLevel="0" collapsed="false">
      <c r="A76" s="224" t="s">
        <v>731</v>
      </c>
      <c r="B76" s="337" t="n">
        <f aca="false">(B4)/(1-0.0597)-B4</f>
        <v>0.168249494842072</v>
      </c>
      <c r="C76" s="226"/>
      <c r="D76" s="330" t="s">
        <v>732</v>
      </c>
      <c r="E76" s="233" t="n">
        <f aca="false">(E3)/(1-0.0231)-E3</f>
        <v>0.0591155696591259</v>
      </c>
      <c r="F76" s="226"/>
    </row>
    <row r="77" customFormat="false" ht="12.75" hidden="false" customHeight="false" outlineLevel="0" collapsed="false">
      <c r="A77" s="241"/>
      <c r="B77" s="242" t="n">
        <f aca="false">SUM(B74:B76)</f>
        <v>0.290549494842072</v>
      </c>
      <c r="C77" s="228"/>
      <c r="D77" s="330"/>
      <c r="E77" s="242" t="n">
        <f aca="false">SUM(E74:E76)</f>
        <v>0.0808155696591259</v>
      </c>
      <c r="F77" s="228"/>
    </row>
    <row r="78" customFormat="false" ht="12.75" hidden="false" customHeight="false" outlineLevel="0" collapsed="false">
      <c r="A78" s="332" t="s">
        <v>404</v>
      </c>
      <c r="B78" s="333" t="s">
        <v>517</v>
      </c>
      <c r="C78" s="197"/>
      <c r="D78" s="328" t="s">
        <v>406</v>
      </c>
      <c r="E78" s="329" t="s">
        <v>586</v>
      </c>
      <c r="F78" s="197"/>
    </row>
    <row r="79" customFormat="false" ht="12.75" hidden="false" customHeight="false" outlineLevel="0" collapsed="false">
      <c r="A79" s="224" t="s">
        <v>425</v>
      </c>
      <c r="B79" s="225" t="n">
        <v>0.1504</v>
      </c>
      <c r="C79" s="203"/>
      <c r="D79" s="330" t="s">
        <v>425</v>
      </c>
      <c r="E79" s="225" t="n">
        <v>0.0177</v>
      </c>
      <c r="F79" s="203"/>
    </row>
    <row r="80" customFormat="false" ht="12.75" hidden="false" customHeight="false" outlineLevel="0" collapsed="false">
      <c r="A80" s="224" t="s">
        <v>103</v>
      </c>
      <c r="B80" s="225" t="n">
        <f aca="false">0.0022+0.0075</f>
        <v>0.0097</v>
      </c>
      <c r="C80" s="203"/>
      <c r="D80" s="330" t="s">
        <v>103</v>
      </c>
      <c r="E80" s="225" t="n">
        <f aca="false">0.0022+0.0075</f>
        <v>0.0097</v>
      </c>
      <c r="F80" s="203"/>
    </row>
    <row r="81" customFormat="false" ht="12.75" hidden="false" customHeight="false" outlineLevel="0" collapsed="false">
      <c r="A81" s="224" t="s">
        <v>733</v>
      </c>
      <c r="B81" s="331" t="n">
        <f aca="false">(B4)/(1-0.0667)-B4</f>
        <v>0.189387120968606</v>
      </c>
      <c r="C81" s="226"/>
      <c r="D81" s="330" t="s">
        <v>732</v>
      </c>
      <c r="E81" s="233" t="n">
        <f aca="false">(E3)/(1-0.0231)-E3</f>
        <v>0.0591155696591259</v>
      </c>
      <c r="F81" s="226"/>
    </row>
    <row r="82" customFormat="false" ht="12.75" hidden="false" customHeight="false" outlineLevel="0" collapsed="false">
      <c r="A82" s="241"/>
      <c r="B82" s="242" t="n">
        <f aca="false">SUM(B79:B81)</f>
        <v>0.349487120968606</v>
      </c>
      <c r="C82" s="228"/>
      <c r="D82" s="330"/>
      <c r="E82" s="242" t="n">
        <f aca="false">SUM(E79:E81)</f>
        <v>0.0865155696591259</v>
      </c>
      <c r="F82" s="228"/>
    </row>
    <row r="83" customFormat="false" ht="12.75" hidden="false" customHeight="false" outlineLevel="0" collapsed="false">
      <c r="A83" s="332" t="s">
        <v>404</v>
      </c>
      <c r="B83" s="333" t="s">
        <v>553</v>
      </c>
      <c r="C83" s="197"/>
      <c r="D83" s="328" t="s">
        <v>406</v>
      </c>
      <c r="E83" s="329" t="s">
        <v>592</v>
      </c>
      <c r="F83" s="197"/>
    </row>
    <row r="84" customFormat="false" ht="12.75" hidden="false" customHeight="false" outlineLevel="0" collapsed="false">
      <c r="A84" s="224" t="s">
        <v>425</v>
      </c>
      <c r="B84" s="225" t="n">
        <v>0.0783</v>
      </c>
      <c r="C84" s="203"/>
      <c r="D84" s="330" t="s">
        <v>425</v>
      </c>
      <c r="E84" s="225" t="n">
        <v>0.0177</v>
      </c>
      <c r="F84" s="203"/>
    </row>
    <row r="85" customFormat="false" ht="12.75" hidden="false" customHeight="false" outlineLevel="0" collapsed="false">
      <c r="A85" s="224" t="s">
        <v>103</v>
      </c>
      <c r="B85" s="225" t="n">
        <f aca="false">0.0022+0.0075</f>
        <v>0.0097</v>
      </c>
      <c r="C85" s="203"/>
      <c r="D85" s="330" t="s">
        <v>103</v>
      </c>
      <c r="E85" s="225" t="n">
        <f aca="false">0.0022+0.0075</f>
        <v>0.0097</v>
      </c>
      <c r="F85" s="203"/>
    </row>
    <row r="86" customFormat="false" ht="12.75" hidden="false" customHeight="false" outlineLevel="0" collapsed="false">
      <c r="A86" s="224" t="s">
        <v>734</v>
      </c>
      <c r="B86" s="331" t="n">
        <f aca="false">(B4)/(1-0.0358)-B4</f>
        <v>0.0983924496992326</v>
      </c>
      <c r="C86" s="226"/>
      <c r="D86" s="330" t="s">
        <v>735</v>
      </c>
      <c r="E86" s="233" t="n">
        <f aca="false">(E4)/(1-0.0232)-E4</f>
        <v>0.0514209664209666</v>
      </c>
      <c r="F86" s="226"/>
    </row>
    <row r="87" customFormat="false" ht="12.75" hidden="false" customHeight="false" outlineLevel="0" collapsed="false">
      <c r="A87" s="241"/>
      <c r="B87" s="242" t="n">
        <f aca="false">SUM(B84:B86)</f>
        <v>0.186392449699233</v>
      </c>
      <c r="C87" s="228"/>
      <c r="D87" s="330"/>
      <c r="E87" s="242" t="n">
        <f aca="false">SUM(E84:E86)</f>
        <v>0.0788209664209666</v>
      </c>
      <c r="F87" s="228"/>
    </row>
    <row r="88" customFormat="false" ht="12.75" hidden="false" customHeight="false" outlineLevel="0" collapsed="false">
      <c r="A88" s="332" t="s">
        <v>404</v>
      </c>
      <c r="B88" s="333" t="s">
        <v>596</v>
      </c>
      <c r="C88" s="197"/>
      <c r="D88" s="328" t="s">
        <v>406</v>
      </c>
      <c r="E88" s="329" t="s">
        <v>597</v>
      </c>
      <c r="F88" s="197"/>
    </row>
    <row r="89" customFormat="false" ht="12.75" hidden="false" customHeight="false" outlineLevel="0" collapsed="false">
      <c r="A89" s="224" t="s">
        <v>425</v>
      </c>
      <c r="B89" s="225" t="n">
        <f aca="false">0.0511-0.0022-0.0088</f>
        <v>0.0401</v>
      </c>
      <c r="C89" s="203"/>
      <c r="D89" s="330" t="s">
        <v>425</v>
      </c>
      <c r="E89" s="225" t="n">
        <v>0.0177</v>
      </c>
      <c r="F89" s="203"/>
    </row>
    <row r="90" customFormat="false" ht="12.75" hidden="false" customHeight="false" outlineLevel="0" collapsed="false">
      <c r="A90" s="224" t="s">
        <v>103</v>
      </c>
      <c r="B90" s="225" t="n">
        <f aca="false">0.0022+0.0075</f>
        <v>0.0097</v>
      </c>
      <c r="C90" s="203"/>
      <c r="D90" s="330" t="s">
        <v>103</v>
      </c>
      <c r="E90" s="225" t="n">
        <f aca="false">0.0022+0.0075</f>
        <v>0.0097</v>
      </c>
      <c r="F90" s="203"/>
    </row>
    <row r="91" customFormat="false" ht="12.75" hidden="false" customHeight="false" outlineLevel="0" collapsed="false">
      <c r="A91" s="224" t="s">
        <v>550</v>
      </c>
      <c r="B91" s="233" t="n">
        <f aca="false">(B5)/(1-0.0101)-B5</f>
        <v>0.0300989998989798</v>
      </c>
      <c r="C91" s="226"/>
      <c r="D91" s="330" t="s">
        <v>732</v>
      </c>
      <c r="E91" s="233" t="n">
        <f aca="false">(E3)/(1-0.0231)-E3</f>
        <v>0.0591155696591259</v>
      </c>
      <c r="F91" s="226"/>
    </row>
    <row r="92" customFormat="false" ht="12.75" hidden="false" customHeight="false" outlineLevel="0" collapsed="false">
      <c r="A92" s="241"/>
      <c r="B92" s="242" t="n">
        <f aca="false">SUM(B89:B91)</f>
        <v>0.0798989998989798</v>
      </c>
      <c r="C92" s="228"/>
      <c r="D92" s="330"/>
      <c r="E92" s="242" t="n">
        <f aca="false">SUM(E89:E91)</f>
        <v>0.0865155696591259</v>
      </c>
      <c r="F92" s="228"/>
    </row>
    <row r="93" customFormat="false" ht="12.75" hidden="false" customHeight="false" outlineLevel="0" collapsed="false">
      <c r="A93" s="332" t="s">
        <v>404</v>
      </c>
      <c r="B93" s="333" t="s">
        <v>602</v>
      </c>
      <c r="C93" s="228"/>
      <c r="D93" s="328" t="s">
        <v>406</v>
      </c>
      <c r="E93" s="329" t="s">
        <v>603</v>
      </c>
      <c r="F93" s="228"/>
    </row>
    <row r="94" customFormat="false" ht="12.75" hidden="false" customHeight="false" outlineLevel="0" collapsed="false">
      <c r="A94" s="224" t="s">
        <v>425</v>
      </c>
      <c r="B94" s="225" t="n">
        <f aca="false">0.0945-0.0022-0.0088</f>
        <v>0.0835</v>
      </c>
      <c r="C94" s="254"/>
      <c r="D94" s="330" t="s">
        <v>425</v>
      </c>
      <c r="E94" s="225" t="n">
        <v>0.0633</v>
      </c>
      <c r="F94" s="254"/>
    </row>
    <row r="95" customFormat="false" ht="12.75" hidden="false" customHeight="false" outlineLevel="0" collapsed="false">
      <c r="A95" s="224" t="s">
        <v>103</v>
      </c>
      <c r="B95" s="225" t="n">
        <f aca="false">0.0022+0.0075</f>
        <v>0.0097</v>
      </c>
      <c r="C95" s="254" t="s">
        <v>1</v>
      </c>
      <c r="D95" s="330" t="s">
        <v>103</v>
      </c>
      <c r="E95" s="225" t="n">
        <f aca="false">0.0022+0.0075</f>
        <v>0.0097</v>
      </c>
      <c r="F95" s="254"/>
    </row>
    <row r="96" customFormat="false" ht="12.75" hidden="false" customHeight="false" outlineLevel="0" collapsed="false">
      <c r="A96" s="224" t="s">
        <v>736</v>
      </c>
      <c r="B96" s="233" t="n">
        <f aca="false">(B5)/(1-0.0192)-B5</f>
        <v>0.0577487765089724</v>
      </c>
      <c r="C96" s="226"/>
      <c r="D96" s="330" t="s">
        <v>737</v>
      </c>
      <c r="E96" s="233" t="n">
        <f aca="false">(E3)/(1-0.0453)-E3</f>
        <v>0.11862365140882</v>
      </c>
      <c r="F96" s="226"/>
    </row>
    <row r="97" customFormat="false" ht="12.75" hidden="false" customHeight="false" outlineLevel="0" collapsed="false">
      <c r="A97" s="241"/>
      <c r="B97" s="242" t="n">
        <f aca="false">SUM(B94:B96)</f>
        <v>0.150948776508972</v>
      </c>
      <c r="C97" s="228"/>
      <c r="D97" s="330"/>
      <c r="E97" s="242" t="n">
        <f aca="false">SUM(E94:E96)</f>
        <v>0.19162365140882</v>
      </c>
      <c r="F97" s="228"/>
    </row>
    <row r="98" customFormat="false" ht="12.75" hidden="false" customHeight="false" outlineLevel="0" collapsed="false">
      <c r="A98" s="332" t="s">
        <v>404</v>
      </c>
      <c r="B98" s="336" t="s">
        <v>608</v>
      </c>
      <c r="C98" s="197"/>
      <c r="D98" s="328" t="s">
        <v>406</v>
      </c>
      <c r="E98" s="329" t="s">
        <v>506</v>
      </c>
      <c r="F98" s="197"/>
    </row>
    <row r="99" customFormat="false" ht="12.75" hidden="false" customHeight="false" outlineLevel="0" collapsed="false">
      <c r="A99" s="241" t="s">
        <v>425</v>
      </c>
      <c r="B99" s="225" t="n">
        <v>0.0427</v>
      </c>
      <c r="C99" s="203"/>
      <c r="D99" s="330" t="s">
        <v>425</v>
      </c>
      <c r="E99" s="225" t="n">
        <v>0.0811</v>
      </c>
      <c r="F99" s="203"/>
    </row>
    <row r="100" customFormat="false" ht="12.75" hidden="false" customHeight="false" outlineLevel="0" collapsed="false">
      <c r="A100" s="241" t="s">
        <v>103</v>
      </c>
      <c r="B100" s="225" t="n">
        <f aca="false">0.0022+0.0075</f>
        <v>0.0097</v>
      </c>
      <c r="C100" s="203"/>
      <c r="D100" s="330" t="s">
        <v>103</v>
      </c>
      <c r="E100" s="225" t="n">
        <f aca="false">0.0022+0.0075</f>
        <v>0.0097</v>
      </c>
      <c r="F100" s="203"/>
    </row>
    <row r="101" customFormat="false" ht="12.75" hidden="false" customHeight="false" outlineLevel="0" collapsed="false">
      <c r="A101" s="241" t="s">
        <v>738</v>
      </c>
      <c r="B101" s="233" t="n">
        <f aca="false">(+B5)/(1-0.0117)-B5</f>
        <v>0.0349236061924518</v>
      </c>
      <c r="C101" s="203"/>
      <c r="D101" s="330" t="s">
        <v>739</v>
      </c>
      <c r="E101" s="233" t="n">
        <f aca="false">(E3)/(1-0.0621)-E3</f>
        <v>0.165529374133703</v>
      </c>
      <c r="F101" s="203"/>
    </row>
    <row r="102" customFormat="false" ht="12.75" hidden="false" customHeight="false" outlineLevel="0" collapsed="false">
      <c r="A102" s="241"/>
      <c r="B102" s="242" t="n">
        <f aca="false">SUM(B99:B101)</f>
        <v>0.0873236061924518</v>
      </c>
      <c r="C102" s="226"/>
      <c r="D102" s="330"/>
      <c r="E102" s="242" t="n">
        <f aca="false">SUM(E99:E101)</f>
        <v>0.256329374133703</v>
      </c>
      <c r="F102" s="226"/>
    </row>
    <row r="103" customFormat="false" ht="12.75" hidden="false" customHeight="false" outlineLevel="0" collapsed="false">
      <c r="A103" s="332" t="s">
        <v>404</v>
      </c>
      <c r="B103" s="336" t="s">
        <v>610</v>
      </c>
      <c r="C103" s="228"/>
      <c r="D103" s="328" t="s">
        <v>406</v>
      </c>
      <c r="E103" s="329" t="s">
        <v>520</v>
      </c>
      <c r="F103" s="228"/>
    </row>
    <row r="104" customFormat="false" ht="12.75" hidden="false" customHeight="false" outlineLevel="0" collapsed="false">
      <c r="A104" s="241" t="s">
        <v>425</v>
      </c>
      <c r="B104" s="225" t="n">
        <v>0.0766</v>
      </c>
      <c r="D104" s="330" t="s">
        <v>425</v>
      </c>
      <c r="E104" s="225" t="n">
        <v>0.0935</v>
      </c>
    </row>
    <row r="105" customFormat="false" ht="12.75" hidden="false" customHeight="false" outlineLevel="0" collapsed="false">
      <c r="A105" s="241" t="s">
        <v>103</v>
      </c>
      <c r="B105" s="225" t="n">
        <f aca="false">0.0022+0.0075</f>
        <v>0.0097</v>
      </c>
      <c r="C105" s="197"/>
      <c r="D105" s="330" t="s">
        <v>103</v>
      </c>
      <c r="E105" s="225" t="n">
        <f aca="false">0.0022+0.0075</f>
        <v>0.0097</v>
      </c>
      <c r="F105" s="197"/>
    </row>
    <row r="106" customFormat="false" ht="12.75" hidden="false" customHeight="false" outlineLevel="0" collapsed="false">
      <c r="A106" s="241" t="s">
        <v>740</v>
      </c>
      <c r="B106" s="233" t="n">
        <f aca="false">(+B5)/(1-0.0186)-B5</f>
        <v>0.0559099245975134</v>
      </c>
      <c r="C106" s="203"/>
      <c r="D106" s="330" t="s">
        <v>741</v>
      </c>
      <c r="E106" s="233" t="n">
        <f aca="false">(E3)/(1-0.0736)-E3</f>
        <v>0.198618307426598</v>
      </c>
      <c r="F106" s="203"/>
    </row>
    <row r="107" customFormat="false" ht="12.75" hidden="false" customHeight="false" outlineLevel="0" collapsed="false">
      <c r="A107" s="241"/>
      <c r="B107" s="242" t="n">
        <f aca="false">SUM(B104:B106)</f>
        <v>0.142209924597513</v>
      </c>
      <c r="C107" s="203"/>
      <c r="D107" s="330"/>
      <c r="E107" s="242" t="n">
        <f aca="false">SUM(E104:E106)</f>
        <v>0.301818307426598</v>
      </c>
      <c r="F107" s="203"/>
    </row>
    <row r="108" customFormat="false" ht="12.75" hidden="false" customHeight="false" outlineLevel="0" collapsed="false">
      <c r="A108" s="332" t="s">
        <v>404</v>
      </c>
      <c r="B108" s="333" t="s">
        <v>614</v>
      </c>
      <c r="C108" s="226"/>
      <c r="D108" s="328" t="s">
        <v>406</v>
      </c>
      <c r="E108" s="329" t="s">
        <v>615</v>
      </c>
      <c r="F108" s="226"/>
    </row>
    <row r="109" customFormat="false" ht="12.75" hidden="false" customHeight="false" outlineLevel="0" collapsed="false">
      <c r="A109" s="224" t="s">
        <v>425</v>
      </c>
      <c r="B109" s="225" t="n">
        <v>0.0459</v>
      </c>
      <c r="C109" s="228"/>
      <c r="D109" s="330" t="s">
        <v>425</v>
      </c>
      <c r="E109" s="225" t="n">
        <v>0.0456</v>
      </c>
      <c r="F109" s="228"/>
    </row>
    <row r="110" customFormat="false" ht="12.75" hidden="false" customHeight="false" outlineLevel="0" collapsed="false">
      <c r="A110" s="224" t="s">
        <v>103</v>
      </c>
      <c r="B110" s="225" t="n">
        <f aca="false">0.0022+0.0075</f>
        <v>0.0097</v>
      </c>
      <c r="C110" s="197"/>
      <c r="D110" s="330" t="s">
        <v>103</v>
      </c>
      <c r="E110" s="225" t="n">
        <f aca="false">0.0022+0.0075</f>
        <v>0.0097</v>
      </c>
      <c r="F110" s="197"/>
    </row>
    <row r="111" customFormat="false" ht="12.75" hidden="false" customHeight="false" outlineLevel="0" collapsed="false">
      <c r="A111" s="224" t="s">
        <v>742</v>
      </c>
      <c r="B111" s="233" t="n">
        <f aca="false">(+B5)/(1-0.0107)-B5</f>
        <v>0.0319063984635601</v>
      </c>
      <c r="C111" s="203"/>
      <c r="D111" s="330" t="s">
        <v>743</v>
      </c>
      <c r="E111" s="233" t="n">
        <f aca="false">(E6)/(1-0.0222)-(E6)</f>
        <v>0.0590304765800775</v>
      </c>
      <c r="F111" s="203"/>
    </row>
    <row r="112" customFormat="false" ht="12.75" hidden="false" customHeight="false" outlineLevel="0" collapsed="false">
      <c r="A112" s="241"/>
      <c r="B112" s="242" t="n">
        <f aca="false">SUM(B109:B111)</f>
        <v>0.0875063984635602</v>
      </c>
      <c r="C112" s="203"/>
      <c r="D112" s="330"/>
      <c r="E112" s="242" t="n">
        <f aca="false">SUM(E109:E111)</f>
        <v>0.114330476580078</v>
      </c>
      <c r="F112" s="203"/>
    </row>
    <row r="113" customFormat="false" ht="12.75" hidden="false" customHeight="false" outlineLevel="0" collapsed="false">
      <c r="A113" s="332" t="s">
        <v>404</v>
      </c>
      <c r="B113" s="333" t="s">
        <v>620</v>
      </c>
      <c r="C113" s="226"/>
      <c r="D113" s="328" t="s">
        <v>406</v>
      </c>
      <c r="E113" s="329" t="s">
        <v>531</v>
      </c>
      <c r="F113" s="226"/>
    </row>
    <row r="114" customFormat="false" ht="12.75" hidden="false" customHeight="false" outlineLevel="0" collapsed="false">
      <c r="A114" s="224" t="s">
        <v>425</v>
      </c>
      <c r="B114" s="225" t="n">
        <v>0.1618</v>
      </c>
      <c r="C114" s="228"/>
      <c r="D114" s="330" t="s">
        <v>425</v>
      </c>
      <c r="E114" s="225" t="n">
        <v>0.0634</v>
      </c>
      <c r="F114" s="228"/>
    </row>
    <row r="115" customFormat="false" ht="12.75" hidden="false" customHeight="false" outlineLevel="0" collapsed="false">
      <c r="A115" s="224" t="s">
        <v>103</v>
      </c>
      <c r="B115" s="225" t="n">
        <f aca="false">0.0022+0+0.0225+0.0075</f>
        <v>0.0322</v>
      </c>
      <c r="D115" s="330" t="s">
        <v>103</v>
      </c>
      <c r="E115" s="225" t="n">
        <f aca="false">0.0022+0.0075</f>
        <v>0.0097</v>
      </c>
    </row>
    <row r="116" customFormat="false" ht="12.75" hidden="false" customHeight="false" outlineLevel="0" collapsed="false">
      <c r="A116" s="224" t="s">
        <v>723</v>
      </c>
      <c r="B116" s="331" t="n">
        <f aca="false">(B4)/(1-0.095)-B4</f>
        <v>0.27817679558011</v>
      </c>
      <c r="D116" s="330" t="s">
        <v>581</v>
      </c>
      <c r="E116" s="233" t="n">
        <f aca="false">(E6)/(1-0.039)-(E6)</f>
        <v>0.105515088449532</v>
      </c>
    </row>
    <row r="117" customFormat="false" ht="12.75" hidden="false" customHeight="false" outlineLevel="0" collapsed="false">
      <c r="A117" s="241"/>
      <c r="B117" s="242" t="n">
        <f aca="false">SUM(B114:B116)</f>
        <v>0.47217679558011</v>
      </c>
      <c r="D117" s="330"/>
      <c r="E117" s="242" t="n">
        <f aca="false">SUM(E114:E116)</f>
        <v>0.178615088449532</v>
      </c>
    </row>
    <row r="118" customFormat="false" ht="12.75" hidden="false" customHeight="false" outlineLevel="0" collapsed="false">
      <c r="A118" s="332" t="s">
        <v>404</v>
      </c>
      <c r="B118" s="333" t="s">
        <v>621</v>
      </c>
      <c r="D118" s="328" t="s">
        <v>406</v>
      </c>
      <c r="E118" s="329" t="s">
        <v>545</v>
      </c>
    </row>
    <row r="119" customFormat="false" ht="12.75" hidden="false" customHeight="false" outlineLevel="0" collapsed="false">
      <c r="A119" s="224" t="s">
        <v>425</v>
      </c>
      <c r="B119" s="225" t="n">
        <v>0.3288</v>
      </c>
      <c r="D119" s="330" t="s">
        <v>425</v>
      </c>
      <c r="E119" s="225" t="n">
        <v>0.0758</v>
      </c>
    </row>
    <row r="120" customFormat="false" ht="12.75" hidden="false" customHeight="false" outlineLevel="0" collapsed="false">
      <c r="A120" s="224" t="s">
        <v>103</v>
      </c>
      <c r="B120" s="225" t="n">
        <f aca="false">0.0022+0+0.0225+0.0075</f>
        <v>0.0322</v>
      </c>
      <c r="D120" s="330" t="s">
        <v>103</v>
      </c>
      <c r="E120" s="225" t="n">
        <f aca="false">0.0022+0.0075</f>
        <v>0.0097</v>
      </c>
    </row>
    <row r="121" customFormat="false" ht="12.75" hidden="false" customHeight="false" outlineLevel="0" collapsed="false">
      <c r="A121" s="224" t="s">
        <v>710</v>
      </c>
      <c r="B121" s="331" t="n">
        <f aca="false">(B3)/(1-0.0244)-B3</f>
        <v>0.0620254202542023</v>
      </c>
      <c r="D121" s="330" t="s">
        <v>744</v>
      </c>
      <c r="E121" s="233" t="n">
        <f aca="false">(E6)/(1-0.0505)-(E6)</f>
        <v>0.138283307003686</v>
      </c>
    </row>
    <row r="122" customFormat="false" ht="12.75" hidden="false" customHeight="false" outlineLevel="0" collapsed="false">
      <c r="A122" s="241"/>
      <c r="B122" s="242" t="n">
        <f aca="false">SUM(B119:B121)</f>
        <v>0.423025420254202</v>
      </c>
      <c r="D122" s="330"/>
      <c r="E122" s="242" t="n">
        <f aca="false">SUM(E119:E121)</f>
        <v>0.223783307003686</v>
      </c>
    </row>
    <row r="123" customFormat="false" ht="12.75" hidden="false" customHeight="false" outlineLevel="0" collapsed="false">
      <c r="A123" s="332" t="s">
        <v>404</v>
      </c>
      <c r="B123" s="333" t="s">
        <v>624</v>
      </c>
      <c r="D123" s="328" t="s">
        <v>406</v>
      </c>
      <c r="E123" s="242" t="s">
        <v>625</v>
      </c>
    </row>
    <row r="124" customFormat="false" ht="12.75" hidden="false" customHeight="false" outlineLevel="0" collapsed="false">
      <c r="A124" s="224" t="s">
        <v>425</v>
      </c>
      <c r="B124" s="225" t="n">
        <v>0.3786</v>
      </c>
      <c r="D124" s="330" t="s">
        <v>425</v>
      </c>
      <c r="E124" s="338" t="n">
        <v>0.0548</v>
      </c>
    </row>
    <row r="125" customFormat="false" ht="12.75" hidden="false" customHeight="false" outlineLevel="0" collapsed="false">
      <c r="A125" s="224" t="s">
        <v>103</v>
      </c>
      <c r="B125" s="225" t="n">
        <f aca="false">0.0022+0+0.0225+0.0075</f>
        <v>0.0322</v>
      </c>
      <c r="D125" s="330" t="s">
        <v>103</v>
      </c>
      <c r="E125" s="225" t="n">
        <f aca="false">0.0022</f>
        <v>0.0022</v>
      </c>
    </row>
    <row r="126" customFormat="false" ht="12.75" hidden="false" customHeight="false" outlineLevel="0" collapsed="false">
      <c r="A126" s="224" t="s">
        <v>727</v>
      </c>
      <c r="B126" s="331" t="n">
        <f aca="false">(B4)/(1-0.0369)-B4</f>
        <v>0.101531512823175</v>
      </c>
      <c r="D126" s="330" t="s">
        <v>745</v>
      </c>
      <c r="E126" s="233" t="n">
        <f aca="false">(E6)/(1-0.0308)-E6</f>
        <v>0.0826248452331821</v>
      </c>
    </row>
    <row r="127" customFormat="false" ht="12.75" hidden="false" customHeight="false" outlineLevel="0" collapsed="false">
      <c r="A127" s="241"/>
      <c r="B127" s="242" t="n">
        <f aca="false">SUM(B124:B126)</f>
        <v>0.512331512823175</v>
      </c>
      <c r="D127" s="330"/>
      <c r="E127" s="242" t="n">
        <f aca="false">SUM(E124:E126)</f>
        <v>0.139624845233182</v>
      </c>
    </row>
    <row r="128" customFormat="false" ht="12.75" hidden="false" customHeight="false" outlineLevel="0" collapsed="false">
      <c r="A128" s="224" t="s">
        <v>1</v>
      </c>
      <c r="B128" s="225" t="s">
        <v>1</v>
      </c>
      <c r="D128" s="328" t="s">
        <v>406</v>
      </c>
      <c r="E128" s="242" t="s">
        <v>556</v>
      </c>
    </row>
    <row r="129" customFormat="false" ht="12.75" hidden="false" customHeight="false" outlineLevel="0" collapsed="false">
      <c r="A129" s="332" t="s">
        <v>404</v>
      </c>
      <c r="B129" s="336" t="s">
        <v>628</v>
      </c>
      <c r="D129" s="330" t="s">
        <v>425</v>
      </c>
      <c r="E129" s="338" t="n">
        <v>0.0672</v>
      </c>
    </row>
    <row r="130" customFormat="false" ht="12.75" hidden="false" customHeight="false" outlineLevel="0" collapsed="false">
      <c r="A130" s="241" t="s">
        <v>425</v>
      </c>
      <c r="B130" s="225" t="n">
        <v>0.1826</v>
      </c>
      <c r="D130" s="330" t="s">
        <v>103</v>
      </c>
      <c r="E130" s="225" t="n">
        <f aca="false">0.0022+0.0075</f>
        <v>0.0097</v>
      </c>
    </row>
    <row r="131" customFormat="false" ht="12.75" hidden="false" customHeight="false" outlineLevel="0" collapsed="false">
      <c r="A131" s="241" t="s">
        <v>103</v>
      </c>
      <c r="B131" s="225" t="n">
        <f aca="false">0.0022+0.0075</f>
        <v>0.0097</v>
      </c>
      <c r="D131" s="330" t="s">
        <v>746</v>
      </c>
      <c r="E131" s="233" t="n">
        <f aca="false">(E6)/(1-0.0423)-E6</f>
        <v>0.114837631826251</v>
      </c>
    </row>
    <row r="132" customFormat="false" ht="12.75" hidden="false" customHeight="false" outlineLevel="0" collapsed="false">
      <c r="A132" s="241" t="s">
        <v>738</v>
      </c>
      <c r="B132" s="233" t="n">
        <f aca="false">(B5)/(1-0.0117)-B5</f>
        <v>0.0349236061924518</v>
      </c>
      <c r="D132" s="330"/>
      <c r="E132" s="242" t="n">
        <f aca="false">SUM(E129:E131)</f>
        <v>0.191737631826251</v>
      </c>
    </row>
    <row r="133" customFormat="false" ht="12.75" hidden="false" customHeight="false" outlineLevel="0" collapsed="false">
      <c r="A133" s="241"/>
      <c r="B133" s="242" t="n">
        <f aca="false">SUM(B130:B132)</f>
        <v>0.227223606192452</v>
      </c>
      <c r="D133" s="328" t="s">
        <v>406</v>
      </c>
      <c r="E133" s="242" t="s">
        <v>564</v>
      </c>
    </row>
    <row r="134" customFormat="false" ht="12.75" hidden="false" customHeight="false" outlineLevel="0" collapsed="false">
      <c r="D134" s="330" t="s">
        <v>425</v>
      </c>
      <c r="E134" s="338" t="n">
        <v>0.0491</v>
      </c>
    </row>
    <row r="135" customFormat="false" ht="12.75" hidden="false" customHeight="false" outlineLevel="0" collapsed="false">
      <c r="A135" s="224" t="s">
        <v>1</v>
      </c>
      <c r="B135" s="225" t="s">
        <v>1</v>
      </c>
      <c r="D135" s="330" t="s">
        <v>103</v>
      </c>
      <c r="E135" s="225" t="n">
        <f aca="false">0.0022+0.0075</f>
        <v>0.0097</v>
      </c>
    </row>
    <row r="136" customFormat="false" ht="12.75" hidden="false" customHeight="false" outlineLevel="0" collapsed="false">
      <c r="A136" s="224" t="s">
        <v>1</v>
      </c>
      <c r="B136" s="225" t="s">
        <v>1</v>
      </c>
      <c r="D136" s="330" t="s">
        <v>747</v>
      </c>
      <c r="E136" s="233" t="n">
        <f aca="false">(2.25)/(1-0.0255)-2.25</f>
        <v>0.0588763468445355</v>
      </c>
    </row>
    <row r="137" customFormat="false" ht="12.75" hidden="false" customHeight="false" outlineLevel="0" collapsed="false">
      <c r="D137" s="339"/>
      <c r="E137" s="340" t="n">
        <f aca="false">SUM(E134:E136)</f>
        <v>0.117676346844535</v>
      </c>
    </row>
    <row r="138" customFormat="false" ht="12.75" hidden="false" customHeight="false" outlineLevel="0" collapsed="false">
      <c r="D138" s="341"/>
      <c r="E138" s="341"/>
    </row>
    <row r="139" customFormat="false" ht="12.75" hidden="false" customHeight="false" outlineLevel="0" collapsed="false">
      <c r="D139" s="341"/>
      <c r="E139" s="341"/>
    </row>
    <row r="140" customFormat="false" ht="12.75" hidden="false" customHeight="false" outlineLevel="0" collapsed="false">
      <c r="D140" s="342"/>
      <c r="E140" s="342"/>
    </row>
    <row r="141" customFormat="false" ht="12.75" hidden="false" customHeight="false" outlineLevel="0" collapsed="false">
      <c r="D141" s="343"/>
      <c r="E141" s="343"/>
    </row>
    <row r="142" customFormat="false" ht="12.75" hidden="false" customHeight="false" outlineLevel="0" collapsed="false">
      <c r="D142" s="344"/>
      <c r="E142" s="344"/>
    </row>
    <row r="143" customFormat="false" ht="12.75" hidden="false" customHeight="false" outlineLevel="0" collapsed="false">
      <c r="D143" s="341"/>
      <c r="E143" s="341"/>
    </row>
    <row r="144" customFormat="false" ht="12.75" hidden="false" customHeight="false" outlineLevel="0" collapsed="false">
      <c r="D144" s="341"/>
      <c r="E144" s="341"/>
    </row>
    <row r="145" customFormat="false" ht="12.75" hidden="false" customHeight="false" outlineLevel="0" collapsed="false">
      <c r="D145" s="342"/>
      <c r="E145" s="342"/>
    </row>
    <row r="146" customFormat="false" ht="12.75" hidden="false" customHeight="false" outlineLevel="0" collapsed="false">
      <c r="D146" s="343"/>
      <c r="E146" s="343"/>
    </row>
    <row r="147" customFormat="false" ht="12.75" hidden="false" customHeight="false" outlineLevel="0" collapsed="false">
      <c r="D147" s="344"/>
      <c r="E147" s="344"/>
    </row>
    <row r="148" customFormat="false" ht="12.75" hidden="false" customHeight="false" outlineLevel="0" collapsed="false">
      <c r="D148" s="341"/>
      <c r="E148" s="341"/>
    </row>
    <row r="149" customFormat="false" ht="12.75" hidden="false" customHeight="false" outlineLevel="0" collapsed="false">
      <c r="D149" s="341"/>
      <c r="E149" s="341"/>
    </row>
    <row r="150" customFormat="false" ht="12.75" hidden="false" customHeight="false" outlineLevel="0" collapsed="false">
      <c r="D150" s="342"/>
      <c r="E150" s="342"/>
    </row>
    <row r="151" customFormat="false" ht="12.75" hidden="false" customHeight="false" outlineLevel="0" collapsed="false">
      <c r="D151" s="343"/>
      <c r="E151" s="343"/>
    </row>
    <row r="152" customFormat="false" ht="12.75" hidden="false" customHeight="false" outlineLevel="0" collapsed="false">
      <c r="D152" s="343"/>
      <c r="E152" s="343"/>
    </row>
    <row r="153" customFormat="false" ht="12.75" hidden="false" customHeight="false" outlineLevel="0" collapsed="false">
      <c r="D153" s="345"/>
      <c r="E153" s="345"/>
    </row>
    <row r="154" customFormat="false" ht="12.75" hidden="false" customHeight="false" outlineLevel="0" collapsed="false">
      <c r="D154" s="345"/>
      <c r="E154" s="345"/>
    </row>
    <row r="155" customFormat="false" ht="12.75" hidden="false" customHeight="false" outlineLevel="0" collapsed="false">
      <c r="D155" s="345"/>
      <c r="E155" s="345"/>
    </row>
    <row r="156" customFormat="false" ht="12.75" hidden="false" customHeight="false" outlineLevel="0" collapsed="false">
      <c r="D156" s="342"/>
      <c r="E156" s="342"/>
    </row>
    <row r="157" customFormat="false" ht="12.75" hidden="false" customHeight="false" outlineLevel="0" collapsed="false">
      <c r="D157" s="343"/>
      <c r="E157" s="343"/>
    </row>
    <row r="158" customFormat="false" ht="12.75" hidden="false" customHeight="false" outlineLevel="0" collapsed="false">
      <c r="D158" s="344"/>
      <c r="E158" s="344"/>
    </row>
    <row r="159" customFormat="false" ht="12.75" hidden="false" customHeight="false" outlineLevel="0" collapsed="false">
      <c r="D159" s="341"/>
      <c r="E159" s="341"/>
    </row>
    <row r="160" customFormat="false" ht="12.75" hidden="false" customHeight="false" outlineLevel="0" collapsed="false">
      <c r="D160" s="341"/>
      <c r="E160" s="341"/>
    </row>
    <row r="161" customFormat="false" ht="12.75" hidden="false" customHeight="false" outlineLevel="0" collapsed="false">
      <c r="D161" s="342"/>
      <c r="E161" s="342"/>
    </row>
    <row r="162" customFormat="false" ht="12.75" hidden="false" customHeight="false" outlineLevel="0" collapsed="false">
      <c r="D162" s="343"/>
      <c r="E162" s="343"/>
    </row>
    <row r="164" customFormat="false" ht="12.75" hidden="false" customHeight="false" outlineLevel="0" collapsed="false">
      <c r="D164" s="344"/>
      <c r="E164" s="344"/>
    </row>
    <row r="165" customFormat="false" ht="12.75" hidden="false" customHeight="false" outlineLevel="0" collapsed="false">
      <c r="D165" s="341"/>
      <c r="E165" s="341"/>
    </row>
    <row r="166" customFormat="false" ht="12.75" hidden="false" customHeight="false" outlineLevel="0" collapsed="false">
      <c r="D166" s="341"/>
      <c r="E166" s="341"/>
    </row>
    <row r="167" customFormat="false" ht="12.75" hidden="false" customHeight="false" outlineLevel="0" collapsed="false">
      <c r="D167" s="342"/>
      <c r="E167" s="342"/>
    </row>
    <row r="168" customFormat="false" ht="12.75" hidden="false" customHeight="false" outlineLevel="0" collapsed="false">
      <c r="D168" s="343"/>
      <c r="E168" s="343"/>
    </row>
    <row r="169" customFormat="false" ht="12.75" hidden="false" customHeight="false" outlineLevel="0" collapsed="false">
      <c r="D169" s="344"/>
      <c r="E169" s="344"/>
    </row>
    <row r="170" customFormat="false" ht="12.75" hidden="false" customHeight="false" outlineLevel="0" collapsed="false">
      <c r="D170" s="341"/>
      <c r="E170" s="341"/>
    </row>
    <row r="171" customFormat="false" ht="12.75" hidden="false" customHeight="false" outlineLevel="0" collapsed="false">
      <c r="D171" s="341"/>
      <c r="E171" s="341"/>
    </row>
    <row r="172" customFormat="false" ht="12.75" hidden="false" customHeight="false" outlineLevel="0" collapsed="false">
      <c r="D172" s="342"/>
      <c r="E172" s="342"/>
    </row>
    <row r="173" customFormat="false" ht="12.75" hidden="false" customHeight="false" outlineLevel="0" collapsed="false">
      <c r="D173" s="343"/>
      <c r="E173" s="343"/>
    </row>
  </sheetData>
  <mergeCells count="1"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67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F17" activeCellId="0" sqref="F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85"/>
    <col collapsed="false" customWidth="true" hidden="false" outlineLevel="0" max="6" min="6" style="0" width="11.85"/>
  </cols>
  <sheetData>
    <row r="1" customFormat="false" ht="12.75" hidden="false" customHeight="false" outlineLevel="0" collapsed="false">
      <c r="A1" s="346" t="s">
        <v>129</v>
      </c>
      <c r="C1" s="346"/>
    </row>
    <row r="3" customFormat="false" ht="12.75" hidden="false" customHeight="false" outlineLevel="0" collapsed="false">
      <c r="B3" s="0" t="s">
        <v>5</v>
      </c>
      <c r="G3" s="347"/>
    </row>
    <row r="5" customFormat="false" ht="12.75" hidden="false" customHeight="false" outlineLevel="0" collapsed="false">
      <c r="B5" s="0" t="s">
        <v>748</v>
      </c>
    </row>
    <row r="7" customFormat="false" ht="12.75" hidden="false" customHeight="false" outlineLevel="0" collapsed="false">
      <c r="C7" s="0" t="s">
        <v>749</v>
      </c>
    </row>
    <row r="8" customFormat="false" ht="12.75" hidden="false" customHeight="false" outlineLevel="0" collapsed="false">
      <c r="D8" s="0" t="s">
        <v>750</v>
      </c>
      <c r="E8" s="0" t="s">
        <v>751</v>
      </c>
      <c r="F8" s="199" t="n">
        <v>3.88</v>
      </c>
    </row>
    <row r="9" customFormat="false" ht="12.75" hidden="false" customHeight="false" outlineLevel="0" collapsed="false">
      <c r="D9" s="0" t="s">
        <v>749</v>
      </c>
      <c r="F9" s="348" t="n">
        <v>0.0333</v>
      </c>
    </row>
    <row r="10" customFormat="false" ht="12.75" hidden="false" customHeight="false" outlineLevel="0" collapsed="false">
      <c r="D10" s="0" t="s">
        <v>752</v>
      </c>
      <c r="F10" s="349" t="n">
        <v>0.0474045</v>
      </c>
      <c r="G10" s="0" t="s">
        <v>753</v>
      </c>
    </row>
    <row r="11" customFormat="false" ht="12.75" hidden="false" customHeight="false" outlineLevel="0" collapsed="false">
      <c r="D11" s="0" t="s">
        <v>754</v>
      </c>
      <c r="F11" s="250" t="n">
        <f aca="false">+F8/(1-F10)-F8</f>
        <v>0.193082436354151</v>
      </c>
    </row>
    <row r="12" customFormat="false" ht="13.5" hidden="false" customHeight="false" outlineLevel="0" collapsed="false">
      <c r="D12" s="0" t="s">
        <v>755</v>
      </c>
      <c r="F12" s="252" t="n">
        <f aca="false">+F11+F9</f>
        <v>0.226382436354151</v>
      </c>
    </row>
    <row r="13" customFormat="false" ht="13.5" hidden="false" customHeight="false" outlineLevel="0" collapsed="false"/>
    <row r="14" customFormat="false" ht="12.75" hidden="false" customHeight="false" outlineLevel="0" collapsed="false">
      <c r="C14" s="0" t="s">
        <v>756</v>
      </c>
    </row>
    <row r="15" customFormat="false" ht="12.75" hidden="false" customHeight="false" outlineLevel="0" collapsed="false">
      <c r="D15" s="0" t="s">
        <v>750</v>
      </c>
      <c r="E15" s="0" t="s">
        <v>751</v>
      </c>
      <c r="F15" s="199" t="n">
        <v>3.88</v>
      </c>
    </row>
    <row r="16" customFormat="false" ht="12.75" hidden="false" customHeight="false" outlineLevel="0" collapsed="false">
      <c r="D16" s="0" t="s">
        <v>756</v>
      </c>
      <c r="F16" s="348" t="n">
        <v>0.0325</v>
      </c>
    </row>
    <row r="17" customFormat="false" ht="12.75" hidden="false" customHeight="false" outlineLevel="0" collapsed="false">
      <c r="D17" s="0" t="s">
        <v>757</v>
      </c>
      <c r="F17" s="349" t="n">
        <v>0</v>
      </c>
    </row>
    <row r="18" customFormat="false" ht="12.75" hidden="false" customHeight="false" outlineLevel="0" collapsed="false">
      <c r="D18" s="0" t="s">
        <v>754</v>
      </c>
      <c r="F18" s="250" t="n">
        <f aca="false">+F15/(1-F17)-F15</f>
        <v>0</v>
      </c>
    </row>
    <row r="19" customFormat="false" ht="13.5" hidden="false" customHeight="false" outlineLevel="0" collapsed="false">
      <c r="D19" s="0" t="s">
        <v>755</v>
      </c>
      <c r="F19" s="252" t="n">
        <f aca="false">+F18+F16</f>
        <v>0.0325</v>
      </c>
    </row>
    <row r="20" customFormat="false" ht="13.5" hidden="false" customHeight="false" outlineLevel="0" collapsed="false"/>
    <row r="22" customFormat="false" ht="12.75" hidden="false" customHeight="false" outlineLevel="0" collapsed="false">
      <c r="B22" s="0" t="s">
        <v>758</v>
      </c>
    </row>
    <row r="24" customFormat="false" ht="12.75" hidden="false" customHeight="false" outlineLevel="0" collapsed="false">
      <c r="C24" s="0" t="s">
        <v>749</v>
      </c>
    </row>
    <row r="25" customFormat="false" ht="12.75" hidden="false" customHeight="false" outlineLevel="0" collapsed="false">
      <c r="D25" s="0" t="s">
        <v>750</v>
      </c>
      <c r="E25" s="0" t="s">
        <v>751</v>
      </c>
      <c r="F25" s="199" t="n">
        <v>2.2</v>
      </c>
    </row>
    <row r="26" customFormat="false" ht="12.75" hidden="false" customHeight="false" outlineLevel="0" collapsed="false">
      <c r="D26" s="0" t="s">
        <v>749</v>
      </c>
      <c r="F26" s="348" t="n">
        <v>0.0054</v>
      </c>
    </row>
    <row r="27" customFormat="false" ht="12.75" hidden="false" customHeight="false" outlineLevel="0" collapsed="false">
      <c r="D27" s="0" t="s">
        <v>752</v>
      </c>
      <c r="F27" s="349" t="n">
        <v>0.0198</v>
      </c>
    </row>
    <row r="28" customFormat="false" ht="12.75" hidden="false" customHeight="false" outlineLevel="0" collapsed="false">
      <c r="D28" s="0" t="s">
        <v>754</v>
      </c>
      <c r="F28" s="250" t="n">
        <f aca="false">+F25/(1-F27)-F25</f>
        <v>0.0444399102224038</v>
      </c>
    </row>
    <row r="29" customFormat="false" ht="13.5" hidden="false" customHeight="false" outlineLevel="0" collapsed="false">
      <c r="D29" s="0" t="s">
        <v>755</v>
      </c>
      <c r="F29" s="252" t="n">
        <f aca="false">+F28+F26</f>
        <v>0.0498399102224038</v>
      </c>
    </row>
    <row r="30" customFormat="false" ht="13.5" hidden="false" customHeight="false" outlineLevel="0" collapsed="false"/>
    <row r="31" customFormat="false" ht="12.75" hidden="false" customHeight="false" outlineLevel="0" collapsed="false">
      <c r="C31" s="0" t="s">
        <v>756</v>
      </c>
    </row>
    <row r="32" customFormat="false" ht="12.75" hidden="false" customHeight="false" outlineLevel="0" collapsed="false">
      <c r="D32" s="0" t="s">
        <v>750</v>
      </c>
      <c r="E32" s="0" t="s">
        <v>751</v>
      </c>
      <c r="F32" s="199" t="n">
        <v>1.95</v>
      </c>
    </row>
    <row r="33" customFormat="false" ht="12.75" hidden="false" customHeight="false" outlineLevel="0" collapsed="false">
      <c r="D33" s="0" t="s">
        <v>756</v>
      </c>
      <c r="F33" s="348" t="n">
        <v>0.0054</v>
      </c>
    </row>
    <row r="34" customFormat="false" ht="12.75" hidden="false" customHeight="false" outlineLevel="0" collapsed="false">
      <c r="D34" s="0" t="s">
        <v>757</v>
      </c>
      <c r="F34" s="349" t="n">
        <v>0</v>
      </c>
    </row>
    <row r="35" customFormat="false" ht="12.75" hidden="false" customHeight="false" outlineLevel="0" collapsed="false">
      <c r="D35" s="0" t="s">
        <v>754</v>
      </c>
      <c r="F35" s="250" t="n">
        <f aca="false">+F32/(1-F34)-F32</f>
        <v>0</v>
      </c>
    </row>
    <row r="36" customFormat="false" ht="13.5" hidden="false" customHeight="false" outlineLevel="0" collapsed="false">
      <c r="D36" s="0" t="s">
        <v>755</v>
      </c>
      <c r="F36" s="252" t="n">
        <f aca="false">+F35+F33</f>
        <v>0.0054</v>
      </c>
    </row>
    <row r="37" customFormat="false" ht="13.5" hidden="false" customHeight="false" outlineLevel="0" collapsed="false"/>
    <row r="39" customFormat="false" ht="12.75" hidden="false" customHeight="false" outlineLevel="0" collapsed="false">
      <c r="B39" s="0" t="s">
        <v>759</v>
      </c>
    </row>
    <row r="41" customFormat="false" ht="12.75" hidden="false" customHeight="false" outlineLevel="0" collapsed="false">
      <c r="C41" s="0" t="s">
        <v>749</v>
      </c>
    </row>
    <row r="42" customFormat="false" ht="12.75" hidden="false" customHeight="false" outlineLevel="0" collapsed="false">
      <c r="D42" s="0" t="s">
        <v>750</v>
      </c>
      <c r="E42" s="0" t="s">
        <v>751</v>
      </c>
      <c r="F42" s="199" t="n">
        <v>2.2</v>
      </c>
    </row>
    <row r="43" customFormat="false" ht="12.75" hidden="false" customHeight="false" outlineLevel="0" collapsed="false">
      <c r="D43" s="0" t="s">
        <v>749</v>
      </c>
      <c r="F43" s="348" t="n">
        <v>0.0219</v>
      </c>
    </row>
    <row r="44" customFormat="false" ht="12.75" hidden="false" customHeight="false" outlineLevel="0" collapsed="false">
      <c r="D44" s="0" t="s">
        <v>752</v>
      </c>
      <c r="F44" s="349" t="n">
        <v>0.02375</v>
      </c>
      <c r="G44" s="0" t="s">
        <v>760</v>
      </c>
    </row>
    <row r="45" customFormat="false" ht="12.75" hidden="false" customHeight="false" outlineLevel="0" collapsed="false">
      <c r="D45" s="0" t="s">
        <v>754</v>
      </c>
      <c r="F45" s="250" t="n">
        <f aca="false">+F42/(1-F44)-F42</f>
        <v>0.0535211267605633</v>
      </c>
    </row>
    <row r="46" customFormat="false" ht="13.5" hidden="false" customHeight="false" outlineLevel="0" collapsed="false">
      <c r="D46" s="0" t="s">
        <v>755</v>
      </c>
      <c r="F46" s="252" t="n">
        <f aca="false">+F45+F43</f>
        <v>0.0754211267605633</v>
      </c>
    </row>
    <row r="47" customFormat="false" ht="13.5" hidden="false" customHeight="false" outlineLevel="0" collapsed="false"/>
    <row r="48" customFormat="false" ht="12.75" hidden="false" customHeight="false" outlineLevel="0" collapsed="false">
      <c r="C48" s="0" t="s">
        <v>756</v>
      </c>
    </row>
    <row r="49" customFormat="false" ht="12.75" hidden="false" customHeight="false" outlineLevel="0" collapsed="false">
      <c r="D49" s="0" t="s">
        <v>750</v>
      </c>
      <c r="E49" s="0" t="s">
        <v>751</v>
      </c>
      <c r="F49" s="199" t="n">
        <v>1.95</v>
      </c>
    </row>
    <row r="50" customFormat="false" ht="12.75" hidden="false" customHeight="false" outlineLevel="0" collapsed="false">
      <c r="D50" s="0" t="s">
        <v>756</v>
      </c>
      <c r="F50" s="348" t="n">
        <v>0.0209</v>
      </c>
    </row>
    <row r="51" customFormat="false" ht="12.75" hidden="false" customHeight="false" outlineLevel="0" collapsed="false">
      <c r="D51" s="0" t="s">
        <v>757</v>
      </c>
      <c r="F51" s="349" t="n">
        <v>0.0047</v>
      </c>
    </row>
    <row r="52" customFormat="false" ht="12.75" hidden="false" customHeight="false" outlineLevel="0" collapsed="false">
      <c r="D52" s="0" t="s">
        <v>754</v>
      </c>
      <c r="F52" s="250" t="n">
        <f aca="false">+F49/(1-F51)-F49</f>
        <v>0.00920827891088116</v>
      </c>
    </row>
    <row r="53" customFormat="false" ht="13.5" hidden="false" customHeight="false" outlineLevel="0" collapsed="false">
      <c r="D53" s="0" t="s">
        <v>755</v>
      </c>
      <c r="F53" s="252" t="n">
        <f aca="false">+F52+F50</f>
        <v>0.0301082789108812</v>
      </c>
    </row>
    <row r="54" customFormat="false" ht="13.5" hidden="false" customHeight="false" outlineLevel="0" collapsed="false"/>
    <row r="55" customFormat="false" ht="12.75" hidden="false" customHeight="false" outlineLevel="0" collapsed="false">
      <c r="B55" s="0" t="s">
        <v>761</v>
      </c>
    </row>
    <row r="57" customFormat="false" ht="12.75" hidden="false" customHeight="false" outlineLevel="0" collapsed="false">
      <c r="C57" s="0" t="s">
        <v>749</v>
      </c>
    </row>
    <row r="58" customFormat="false" ht="12.75" hidden="false" customHeight="false" outlineLevel="0" collapsed="false">
      <c r="D58" s="0" t="s">
        <v>750</v>
      </c>
      <c r="E58" s="0" t="s">
        <v>751</v>
      </c>
      <c r="F58" s="199" t="n">
        <v>2.2</v>
      </c>
    </row>
    <row r="59" customFormat="false" ht="12.75" hidden="false" customHeight="false" outlineLevel="0" collapsed="false">
      <c r="D59" s="0" t="s">
        <v>749</v>
      </c>
      <c r="F59" s="348" t="n">
        <v>0.0334</v>
      </c>
      <c r="G59" s="0" t="s">
        <v>762</v>
      </c>
    </row>
    <row r="60" customFormat="false" ht="12.75" hidden="false" customHeight="false" outlineLevel="0" collapsed="false">
      <c r="D60" s="0" t="s">
        <v>763</v>
      </c>
      <c r="F60" s="348" t="n">
        <v>0.0727</v>
      </c>
      <c r="G60" s="0" t="s">
        <v>764</v>
      </c>
    </row>
    <row r="61" customFormat="false" ht="12.75" hidden="false" customHeight="false" outlineLevel="0" collapsed="false">
      <c r="D61" s="0" t="s">
        <v>752</v>
      </c>
      <c r="F61" s="349" t="n">
        <v>0</v>
      </c>
    </row>
    <row r="62" customFormat="false" ht="12.75" hidden="false" customHeight="false" outlineLevel="0" collapsed="false">
      <c r="D62" s="0" t="s">
        <v>754</v>
      </c>
      <c r="F62" s="250" t="n">
        <f aca="false">+F58/(1-F61)-F58</f>
        <v>0</v>
      </c>
    </row>
    <row r="63" customFormat="false" ht="13.5" hidden="false" customHeight="false" outlineLevel="0" collapsed="false">
      <c r="D63" s="0" t="s">
        <v>755</v>
      </c>
      <c r="F63" s="252" t="n">
        <f aca="false">SUM(F59:F60,F62)</f>
        <v>0.1061</v>
      </c>
    </row>
    <row r="64" customFormat="false" ht="13.5" hidden="false" customHeight="false" outlineLevel="0" collapsed="false"/>
    <row r="65" customFormat="false" ht="12.75" hidden="false" customHeight="false" outlineLevel="0" collapsed="false">
      <c r="C65" s="0" t="s">
        <v>756</v>
      </c>
    </row>
    <row r="66" customFormat="false" ht="12.75" hidden="false" customHeight="false" outlineLevel="0" collapsed="false">
      <c r="D66" s="0" t="s">
        <v>750</v>
      </c>
      <c r="E66" s="0" t="s">
        <v>751</v>
      </c>
      <c r="F66" s="199" t="n">
        <v>1.95</v>
      </c>
    </row>
    <row r="67" customFormat="false" ht="12.75" hidden="false" customHeight="false" outlineLevel="0" collapsed="false">
      <c r="D67" s="0" t="s">
        <v>763</v>
      </c>
      <c r="F67" s="348" t="n">
        <v>0.0727</v>
      </c>
      <c r="G67" s="0" t="s">
        <v>765</v>
      </c>
    </row>
    <row r="68" customFormat="false" ht="12.75" hidden="false" customHeight="false" outlineLevel="0" collapsed="false">
      <c r="D68" s="0" t="s">
        <v>756</v>
      </c>
      <c r="F68" s="348" t="n">
        <v>0.0264</v>
      </c>
      <c r="G68" s="0" t="s">
        <v>766</v>
      </c>
    </row>
    <row r="69" customFormat="false" ht="12.75" hidden="false" customHeight="false" outlineLevel="0" collapsed="false">
      <c r="D69" s="0" t="s">
        <v>757</v>
      </c>
      <c r="F69" s="349" t="n">
        <v>0</v>
      </c>
    </row>
    <row r="70" customFormat="false" ht="12.75" hidden="false" customHeight="false" outlineLevel="0" collapsed="false">
      <c r="D70" s="0" t="s">
        <v>754</v>
      </c>
      <c r="F70" s="250" t="n">
        <f aca="false">+F66/(1-F69)-F66</f>
        <v>0</v>
      </c>
    </row>
    <row r="71" customFormat="false" ht="13.5" hidden="false" customHeight="false" outlineLevel="0" collapsed="false">
      <c r="D71" s="0" t="s">
        <v>755</v>
      </c>
      <c r="F71" s="252" t="n">
        <f aca="false">SUM(F67:F68,F70)</f>
        <v>0.0991</v>
      </c>
    </row>
    <row r="72" customFormat="false" ht="13.5" hidden="false" customHeight="false" outlineLevel="0" collapsed="false"/>
    <row r="74" customFormat="false" ht="12.75" hidden="false" customHeight="false" outlineLevel="0" collapsed="false">
      <c r="B74" s="346" t="s">
        <v>767</v>
      </c>
    </row>
    <row r="76" customFormat="false" ht="12.75" hidden="false" customHeight="false" outlineLevel="0" collapsed="false">
      <c r="D76" s="0" t="s">
        <v>750</v>
      </c>
      <c r="E76" s="0" t="s">
        <v>751</v>
      </c>
      <c r="F76" s="199" t="n">
        <v>2.8</v>
      </c>
    </row>
    <row r="77" customFormat="false" ht="12.75" hidden="false" customHeight="false" outlineLevel="0" collapsed="false">
      <c r="D77" s="0" t="s">
        <v>426</v>
      </c>
      <c r="F77" s="348" t="n">
        <v>0.0057</v>
      </c>
    </row>
    <row r="78" customFormat="false" ht="12.75" hidden="false" customHeight="false" outlineLevel="0" collapsed="false">
      <c r="D78" s="0" t="s">
        <v>768</v>
      </c>
      <c r="F78" s="348" t="n">
        <f aca="false">0.0022+0.0075</f>
        <v>0.0097</v>
      </c>
      <c r="G78" s="0" t="s">
        <v>769</v>
      </c>
    </row>
    <row r="79" customFormat="false" ht="12.75" hidden="false" customHeight="false" outlineLevel="0" collapsed="false">
      <c r="D79" s="0" t="s">
        <v>377</v>
      </c>
      <c r="F79" s="349" t="n">
        <v>0.0072</v>
      </c>
    </row>
    <row r="80" customFormat="false" ht="12.75" hidden="false" customHeight="false" outlineLevel="0" collapsed="false">
      <c r="D80" s="0" t="s">
        <v>754</v>
      </c>
      <c r="F80" s="250" t="n">
        <f aca="false">+F76/(1-F79)-F76</f>
        <v>0.0203062046736502</v>
      </c>
    </row>
    <row r="81" customFormat="false" ht="13.5" hidden="false" customHeight="false" outlineLevel="0" collapsed="false">
      <c r="D81" s="0" t="s">
        <v>755</v>
      </c>
      <c r="F81" s="252" t="n">
        <f aca="false">SUM(F80,F78,F77)</f>
        <v>0.0357062046736502</v>
      </c>
    </row>
    <row r="82" customFormat="false" ht="13.5" hidden="false" customHeight="false" outlineLevel="0" collapsed="false"/>
    <row r="96" customFormat="false" ht="12.75" hidden="false" customHeight="false" outlineLevel="0" collapsed="false">
      <c r="A96" s="346" t="s">
        <v>41</v>
      </c>
    </row>
    <row r="98" customFormat="false" ht="12.75" hidden="false" customHeight="false" outlineLevel="0" collapsed="false">
      <c r="B98" s="0" t="s">
        <v>5</v>
      </c>
    </row>
    <row r="100" customFormat="false" ht="12.75" hidden="false" customHeight="false" outlineLevel="0" collapsed="false">
      <c r="B100" s="0" t="s">
        <v>770</v>
      </c>
    </row>
    <row r="101" customFormat="false" ht="12.75" hidden="false" customHeight="false" outlineLevel="0" collapsed="false">
      <c r="C101" s="0" t="s">
        <v>749</v>
      </c>
    </row>
    <row r="102" customFormat="false" ht="12.75" hidden="false" customHeight="false" outlineLevel="0" collapsed="false">
      <c r="D102" s="0" t="s">
        <v>750</v>
      </c>
      <c r="E102" s="0" t="s">
        <v>771</v>
      </c>
      <c r="F102" s="199" t="n">
        <f aca="false">0.18+2.27</f>
        <v>2.45</v>
      </c>
    </row>
    <row r="103" customFormat="false" ht="12.75" hidden="false" customHeight="false" outlineLevel="0" collapsed="false">
      <c r="D103" s="0" t="s">
        <v>749</v>
      </c>
      <c r="F103" s="348" t="n">
        <v>0.0162</v>
      </c>
    </row>
    <row r="104" customFormat="false" ht="12.75" hidden="false" customHeight="false" outlineLevel="0" collapsed="false">
      <c r="D104" s="0" t="s">
        <v>752</v>
      </c>
      <c r="F104" s="349" t="n">
        <v>0.0278</v>
      </c>
    </row>
    <row r="105" customFormat="false" ht="12.75" hidden="false" customHeight="false" outlineLevel="0" collapsed="false">
      <c r="D105" s="0" t="s">
        <v>754</v>
      </c>
      <c r="F105" s="250" t="n">
        <f aca="false">+F102/(1-F104)-F102</f>
        <v>0.0700576013166017</v>
      </c>
    </row>
    <row r="106" customFormat="false" ht="13.5" hidden="false" customHeight="false" outlineLevel="0" collapsed="false">
      <c r="D106" s="0" t="s">
        <v>755</v>
      </c>
      <c r="F106" s="252" t="n">
        <f aca="false">+F105+F103</f>
        <v>0.0862576013166017</v>
      </c>
    </row>
    <row r="107" customFormat="false" ht="13.5" hidden="false" customHeight="false" outlineLevel="0" collapsed="false"/>
    <row r="108" customFormat="false" ht="12.75" hidden="false" customHeight="false" outlineLevel="0" collapsed="false">
      <c r="C108" s="0" t="s">
        <v>756</v>
      </c>
    </row>
    <row r="109" customFormat="false" ht="12.75" hidden="false" customHeight="false" outlineLevel="0" collapsed="false">
      <c r="D109" s="0" t="s">
        <v>750</v>
      </c>
      <c r="E109" s="0" t="s">
        <v>771</v>
      </c>
      <c r="F109" s="199" t="n">
        <v>1.95</v>
      </c>
    </row>
    <row r="110" customFormat="false" ht="12.75" hidden="false" customHeight="false" outlineLevel="0" collapsed="false">
      <c r="D110" s="0" t="s">
        <v>756</v>
      </c>
      <c r="F110" s="348" t="n">
        <v>0.0147</v>
      </c>
    </row>
    <row r="111" customFormat="false" ht="12.75" hidden="false" customHeight="false" outlineLevel="0" collapsed="false">
      <c r="D111" s="0" t="s">
        <v>772</v>
      </c>
      <c r="F111" s="348" t="n">
        <v>-0.0006</v>
      </c>
    </row>
    <row r="112" customFormat="false" ht="12.75" hidden="false" customHeight="false" outlineLevel="0" collapsed="false">
      <c r="D112" s="0" t="s">
        <v>757</v>
      </c>
      <c r="F112" s="349" t="n">
        <v>0</v>
      </c>
    </row>
    <row r="113" customFormat="false" ht="12.75" hidden="false" customHeight="false" outlineLevel="0" collapsed="false">
      <c r="D113" s="0" t="s">
        <v>754</v>
      </c>
      <c r="F113" s="250" t="n">
        <f aca="false">+F109/(1-F112)-F109</f>
        <v>0</v>
      </c>
    </row>
    <row r="114" customFormat="false" ht="13.5" hidden="false" customHeight="false" outlineLevel="0" collapsed="false">
      <c r="D114" s="0" t="s">
        <v>755</v>
      </c>
      <c r="F114" s="252" t="n">
        <f aca="false">SUM(F110:F111,F113)</f>
        <v>0.0141</v>
      </c>
    </row>
    <row r="115" customFormat="false" ht="13.5" hidden="false" customHeight="false" outlineLevel="0" collapsed="false"/>
    <row r="116" customFormat="false" ht="12.75" hidden="false" customHeight="false" outlineLevel="0" collapsed="false">
      <c r="C116" s="0" t="s">
        <v>773</v>
      </c>
    </row>
    <row r="117" customFormat="false" ht="12.75" hidden="false" customHeight="false" outlineLevel="0" collapsed="false">
      <c r="C117" s="0" t="s">
        <v>774</v>
      </c>
    </row>
    <row r="121" customFormat="false" ht="12.75" hidden="false" customHeight="false" outlineLevel="0" collapsed="false">
      <c r="B121" s="346" t="s">
        <v>126</v>
      </c>
    </row>
    <row r="123" customFormat="false" ht="12.75" hidden="false" customHeight="false" outlineLevel="0" collapsed="false">
      <c r="B123" s="0" t="s">
        <v>5</v>
      </c>
    </row>
    <row r="125" customFormat="false" ht="12.75" hidden="false" customHeight="false" outlineLevel="0" collapsed="false">
      <c r="B125" s="0" t="s">
        <v>775</v>
      </c>
    </row>
    <row r="126" customFormat="false" ht="12.75" hidden="false" customHeight="false" outlineLevel="0" collapsed="false">
      <c r="C126" s="0" t="s">
        <v>749</v>
      </c>
    </row>
    <row r="127" customFormat="false" ht="12.75" hidden="false" customHeight="false" outlineLevel="0" collapsed="false">
      <c r="D127" s="0" t="s">
        <v>750</v>
      </c>
      <c r="E127" s="0" t="s">
        <v>771</v>
      </c>
      <c r="F127" s="199" t="n">
        <v>2.48</v>
      </c>
    </row>
    <row r="128" customFormat="false" ht="12.75" hidden="false" customHeight="false" outlineLevel="0" collapsed="false">
      <c r="D128" s="0" t="s">
        <v>749</v>
      </c>
      <c r="F128" s="348" t="n">
        <v>0.0089</v>
      </c>
    </row>
    <row r="129" customFormat="false" ht="12.75" hidden="false" customHeight="false" outlineLevel="0" collapsed="false">
      <c r="D129" s="0" t="s">
        <v>752</v>
      </c>
      <c r="F129" s="349" t="n">
        <v>0.0065</v>
      </c>
    </row>
    <row r="130" customFormat="false" ht="12.75" hidden="false" customHeight="false" outlineLevel="0" collapsed="false">
      <c r="D130" s="0" t="s">
        <v>754</v>
      </c>
      <c r="F130" s="250" t="n">
        <f aca="false">+F127/(1-F129)-F127</f>
        <v>0.0162254655259182</v>
      </c>
    </row>
    <row r="131" customFormat="false" ht="13.5" hidden="false" customHeight="false" outlineLevel="0" collapsed="false">
      <c r="D131" s="0" t="s">
        <v>755</v>
      </c>
      <c r="F131" s="252" t="n">
        <f aca="false">+F130+F128</f>
        <v>0.0251254655259182</v>
      </c>
    </row>
    <row r="132" customFormat="false" ht="13.5" hidden="false" customHeight="false" outlineLevel="0" collapsed="false"/>
    <row r="133" customFormat="false" ht="12.75" hidden="false" customHeight="false" outlineLevel="0" collapsed="false">
      <c r="B133" s="0" t="s">
        <v>776</v>
      </c>
    </row>
    <row r="134" customFormat="false" ht="12.75" hidden="false" customHeight="false" outlineLevel="0" collapsed="false">
      <c r="C134" s="0" t="s">
        <v>749</v>
      </c>
    </row>
    <row r="135" customFormat="false" ht="12.75" hidden="false" customHeight="false" outlineLevel="0" collapsed="false">
      <c r="D135" s="0" t="s">
        <v>750</v>
      </c>
      <c r="E135" s="0" t="s">
        <v>771</v>
      </c>
      <c r="F135" s="199" t="n">
        <v>2.48</v>
      </c>
    </row>
    <row r="136" customFormat="false" ht="12.75" hidden="false" customHeight="false" outlineLevel="0" collapsed="false">
      <c r="D136" s="0" t="s">
        <v>777</v>
      </c>
      <c r="F136" s="348" t="n">
        <v>0.0079</v>
      </c>
    </row>
    <row r="137" customFormat="false" ht="12.75" hidden="false" customHeight="false" outlineLevel="0" collapsed="false">
      <c r="D137" s="0" t="s">
        <v>427</v>
      </c>
      <c r="F137" s="348" t="n">
        <v>0.0022</v>
      </c>
    </row>
    <row r="138" customFormat="false" ht="12.75" hidden="false" customHeight="false" outlineLevel="0" collapsed="false">
      <c r="D138" s="0" t="s">
        <v>752</v>
      </c>
      <c r="F138" s="349" t="n">
        <v>0.0325</v>
      </c>
    </row>
    <row r="139" customFormat="false" ht="12.75" hidden="false" customHeight="false" outlineLevel="0" collapsed="false">
      <c r="D139" s="0" t="s">
        <v>754</v>
      </c>
      <c r="F139" s="350" t="n">
        <f aca="false">+F135/(1-F138)-F135</f>
        <v>0.0833074935400515</v>
      </c>
    </row>
    <row r="140" customFormat="false" ht="13.5" hidden="false" customHeight="false" outlineLevel="0" collapsed="false">
      <c r="D140" s="0" t="s">
        <v>755</v>
      </c>
      <c r="F140" s="252" t="n">
        <f aca="false">SUM(F136:F137,F139)</f>
        <v>0.0934074935400515</v>
      </c>
    </row>
    <row r="141" customFormat="false" ht="13.5" hidden="false" customHeight="false" outlineLevel="0" collapsed="false">
      <c r="F141" s="199"/>
    </row>
    <row r="142" customFormat="false" ht="12.75" hidden="false" customHeight="false" outlineLevel="0" collapsed="false">
      <c r="F142" s="199"/>
    </row>
    <row r="143" customFormat="false" ht="12.75" hidden="false" customHeight="false" outlineLevel="0" collapsed="false">
      <c r="B143" s="0" t="s">
        <v>775</v>
      </c>
    </row>
    <row r="144" customFormat="false" ht="12.75" hidden="false" customHeight="false" outlineLevel="0" collapsed="false">
      <c r="C144" s="0" t="s">
        <v>756</v>
      </c>
    </row>
    <row r="145" customFormat="false" ht="12.75" hidden="false" customHeight="false" outlineLevel="0" collapsed="false">
      <c r="D145" s="0" t="s">
        <v>750</v>
      </c>
      <c r="E145" s="0" t="s">
        <v>771</v>
      </c>
      <c r="F145" s="199" t="n">
        <v>1.95</v>
      </c>
    </row>
    <row r="146" customFormat="false" ht="12.75" hidden="false" customHeight="false" outlineLevel="0" collapsed="false">
      <c r="D146" s="0" t="s">
        <v>756</v>
      </c>
      <c r="F146" s="348" t="n">
        <v>0.0089</v>
      </c>
    </row>
    <row r="147" customFormat="false" ht="12.75" hidden="false" customHeight="false" outlineLevel="0" collapsed="false">
      <c r="D147" s="0" t="s">
        <v>757</v>
      </c>
      <c r="F147" s="349" t="n">
        <v>0</v>
      </c>
    </row>
    <row r="148" customFormat="false" ht="12.75" hidden="false" customHeight="false" outlineLevel="0" collapsed="false">
      <c r="D148" s="0" t="s">
        <v>754</v>
      </c>
      <c r="F148" s="250" t="n">
        <f aca="false">+F145/(1-F147)-F145</f>
        <v>0</v>
      </c>
    </row>
    <row r="149" customFormat="false" ht="13.5" hidden="false" customHeight="false" outlineLevel="0" collapsed="false">
      <c r="D149" s="0" t="s">
        <v>755</v>
      </c>
      <c r="F149" s="252" t="n">
        <f aca="false">SUM(F146,F148)</f>
        <v>0.0089</v>
      </c>
    </row>
    <row r="150" customFormat="false" ht="13.5" hidden="false" customHeight="false" outlineLevel="0" collapsed="false"/>
    <row r="151" customFormat="false" ht="12.75" hidden="false" customHeight="false" outlineLevel="0" collapsed="false">
      <c r="B151" s="0" t="s">
        <v>776</v>
      </c>
    </row>
    <row r="152" customFormat="false" ht="12.75" hidden="false" customHeight="false" outlineLevel="0" collapsed="false">
      <c r="C152" s="0" t="s">
        <v>756</v>
      </c>
    </row>
    <row r="153" customFormat="false" ht="12.75" hidden="false" customHeight="false" outlineLevel="0" collapsed="false">
      <c r="D153" s="0" t="s">
        <v>750</v>
      </c>
      <c r="E153" s="0" t="s">
        <v>771</v>
      </c>
      <c r="F153" s="199" t="n">
        <v>2.48</v>
      </c>
    </row>
    <row r="154" customFormat="false" ht="12.75" hidden="false" customHeight="false" outlineLevel="0" collapsed="false">
      <c r="D154" s="0" t="s">
        <v>777</v>
      </c>
      <c r="F154" s="348" t="n">
        <v>0.0079</v>
      </c>
    </row>
    <row r="155" customFormat="false" ht="12.75" hidden="false" customHeight="false" outlineLevel="0" collapsed="false">
      <c r="D155" s="0" t="s">
        <v>427</v>
      </c>
      <c r="F155" s="348" t="n">
        <v>0.0022</v>
      </c>
    </row>
    <row r="156" customFormat="false" ht="12.75" hidden="false" customHeight="false" outlineLevel="0" collapsed="false">
      <c r="D156" s="0" t="s">
        <v>757</v>
      </c>
      <c r="F156" s="349" t="n">
        <v>0</v>
      </c>
    </row>
    <row r="157" customFormat="false" ht="12.75" hidden="false" customHeight="false" outlineLevel="0" collapsed="false">
      <c r="D157" s="0" t="s">
        <v>754</v>
      </c>
      <c r="F157" s="350" t="n">
        <f aca="false">+F153/(1-F156)-F153</f>
        <v>0</v>
      </c>
    </row>
    <row r="158" customFormat="false" ht="13.5" hidden="false" customHeight="false" outlineLevel="0" collapsed="false">
      <c r="D158" s="0" t="s">
        <v>755</v>
      </c>
      <c r="F158" s="252" t="n">
        <f aca="false">SUM(F154:F155,F157)</f>
        <v>0.0101</v>
      </c>
    </row>
    <row r="159" customFormat="false" ht="13.5" hidden="false" customHeight="false" outlineLevel="0" collapsed="false"/>
    <row r="161" customFormat="false" ht="12.75" hidden="false" customHeight="false" outlineLevel="0" collapsed="false">
      <c r="C161" s="351"/>
      <c r="D161" s="351"/>
      <c r="E161" s="351"/>
      <c r="F161" s="351"/>
      <c r="G161" s="351"/>
    </row>
    <row r="162" customFormat="false" ht="12.75" hidden="false" customHeight="false" outlineLevel="0" collapsed="false">
      <c r="C162" s="351"/>
      <c r="D162" s="351"/>
      <c r="E162" s="351"/>
      <c r="F162" s="199"/>
      <c r="G162" s="351"/>
    </row>
    <row r="163" customFormat="false" ht="12.75" hidden="false" customHeight="false" outlineLevel="0" collapsed="false">
      <c r="C163" s="351"/>
      <c r="D163" s="351"/>
      <c r="E163" s="351"/>
      <c r="F163" s="348"/>
      <c r="G163" s="351"/>
    </row>
    <row r="164" customFormat="false" ht="12.75" hidden="false" customHeight="false" outlineLevel="0" collapsed="false">
      <c r="C164" s="351"/>
      <c r="D164" s="351"/>
      <c r="E164" s="351"/>
      <c r="F164" s="349"/>
      <c r="G164" s="351"/>
    </row>
    <row r="165" customFormat="false" ht="12.75" hidden="false" customHeight="false" outlineLevel="0" collapsed="false">
      <c r="C165" s="351"/>
      <c r="D165" s="351"/>
      <c r="E165" s="351"/>
      <c r="F165" s="199"/>
      <c r="G165" s="351"/>
    </row>
    <row r="166" customFormat="false" ht="12.75" hidden="false" customHeight="false" outlineLevel="0" collapsed="false">
      <c r="C166" s="351"/>
      <c r="D166" s="351"/>
      <c r="E166" s="351"/>
      <c r="F166" s="199"/>
      <c r="G166" s="351"/>
    </row>
    <row r="167" customFormat="false" ht="12.75" hidden="false" customHeight="false" outlineLevel="0" collapsed="false">
      <c r="C167" s="351"/>
      <c r="D167" s="351"/>
      <c r="E167" s="351"/>
      <c r="F167" s="351"/>
      <c r="G167" s="3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L1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25" width="9.14"/>
    <col collapsed="false" customWidth="true" hidden="false" outlineLevel="0" max="6" min="6" style="25" width="11.13"/>
    <col collapsed="false" customWidth="false" hidden="false" outlineLevel="0" max="257" min="7" style="25" width="9.14"/>
  </cols>
  <sheetData>
    <row r="4" customFormat="false" ht="12.75" hidden="false" customHeight="false" outlineLevel="0" collapsed="false">
      <c r="A4" s="352" t="s">
        <v>778</v>
      </c>
      <c r="B4" s="352"/>
      <c r="C4" s="352"/>
      <c r="D4" s="352"/>
      <c r="E4" s="352"/>
      <c r="F4" s="352"/>
      <c r="G4" s="352"/>
      <c r="H4" s="352"/>
    </row>
    <row r="5" customFormat="false" ht="12.75" hidden="false" customHeight="false" outlineLevel="0" collapsed="false">
      <c r="A5" s="352"/>
      <c r="B5" s="352"/>
      <c r="C5" s="352"/>
      <c r="D5" s="352"/>
      <c r="E5" s="352"/>
      <c r="F5" s="352"/>
      <c r="G5" s="352"/>
      <c r="H5" s="352"/>
    </row>
    <row r="6" customFormat="false" ht="12.75" hidden="false" customHeight="false" outlineLevel="0" collapsed="false">
      <c r="A6" s="352" t="s">
        <v>23</v>
      </c>
      <c r="B6" s="352"/>
      <c r="C6" s="352"/>
      <c r="D6" s="352"/>
      <c r="E6" s="352"/>
      <c r="F6" s="352"/>
      <c r="G6" s="352"/>
      <c r="H6" s="352"/>
    </row>
    <row r="7" customFormat="false" ht="12.75" hidden="false" customHeight="false" outlineLevel="0" collapsed="false">
      <c r="A7" s="352"/>
      <c r="C7" s="352" t="s">
        <v>779</v>
      </c>
      <c r="D7" s="352" t="n">
        <f aca="false">(12/365)*'ECT Trans'!I1</f>
        <v>0.953424657534246</v>
      </c>
      <c r="E7" s="352" t="s">
        <v>780</v>
      </c>
      <c r="F7" s="352"/>
      <c r="G7" s="352"/>
      <c r="H7" s="352"/>
    </row>
    <row r="8" customFormat="false" ht="12.75" hidden="false" customHeight="false" outlineLevel="0" collapsed="false">
      <c r="A8" s="352"/>
      <c r="B8" s="352"/>
      <c r="C8" s="352"/>
      <c r="D8" s="352"/>
      <c r="E8" s="352"/>
      <c r="F8" s="352"/>
      <c r="G8" s="352"/>
      <c r="H8" s="352"/>
    </row>
    <row r="9" customFormat="false" ht="12.75" hidden="false" customHeight="false" outlineLevel="0" collapsed="false">
      <c r="A9" s="352"/>
      <c r="B9" s="352"/>
      <c r="C9" s="352"/>
      <c r="D9" s="352"/>
      <c r="E9" s="352"/>
      <c r="F9" s="352"/>
      <c r="G9" s="352"/>
      <c r="H9" s="352"/>
    </row>
    <row r="10" customFormat="false" ht="12.75" hidden="false" customHeight="false" outlineLevel="0" collapsed="false">
      <c r="A10" s="353" t="s">
        <v>781</v>
      </c>
      <c r="B10" s="353" t="n">
        <v>889108</v>
      </c>
      <c r="C10" s="353"/>
      <c r="D10" s="352"/>
      <c r="E10" s="352"/>
      <c r="F10" s="352"/>
      <c r="G10" s="352"/>
      <c r="H10" s="352"/>
    </row>
    <row r="11" customFormat="false" ht="12.75" hidden="false" customHeight="false" outlineLevel="0" collapsed="false">
      <c r="A11" s="353" t="s">
        <v>190</v>
      </c>
      <c r="B11" s="353" t="s">
        <v>237</v>
      </c>
      <c r="F11" s="352"/>
      <c r="G11" s="352"/>
      <c r="H11" s="352"/>
    </row>
    <row r="12" customFormat="false" ht="12.75" hidden="false" customHeight="false" outlineLevel="0" collapsed="false">
      <c r="A12" s="352"/>
      <c r="B12" s="352" t="s">
        <v>782</v>
      </c>
      <c r="C12" s="352" t="s">
        <v>783</v>
      </c>
      <c r="D12" s="352" t="s">
        <v>779</v>
      </c>
      <c r="E12" s="352" t="s">
        <v>784</v>
      </c>
      <c r="F12" s="352"/>
      <c r="G12" s="352"/>
    </row>
    <row r="13" customFormat="false" ht="12.75" hidden="false" customHeight="false" outlineLevel="0" collapsed="false">
      <c r="A13" s="352" t="s">
        <v>702</v>
      </c>
      <c r="B13" s="354" t="n">
        <v>3.41</v>
      </c>
      <c r="C13" s="352" t="n">
        <v>108</v>
      </c>
      <c r="D13" s="352" t="n">
        <f aca="false">+D$7</f>
        <v>0.953424657534246</v>
      </c>
      <c r="E13" s="355" t="n">
        <f aca="false">(+C13)*B13*D13</f>
        <v>351.127232876712</v>
      </c>
      <c r="F13" s="352"/>
      <c r="G13" s="352"/>
      <c r="I13" s="354"/>
      <c r="J13" s="352"/>
      <c r="K13" s="352"/>
      <c r="L13" s="355"/>
    </row>
    <row r="14" customFormat="false" ht="12.75" hidden="false" customHeight="false" outlineLevel="0" collapsed="false">
      <c r="A14" s="352" t="s">
        <v>785</v>
      </c>
      <c r="B14" s="354" t="n">
        <v>3.217</v>
      </c>
      <c r="C14" s="352" t="n">
        <v>29</v>
      </c>
      <c r="D14" s="352" t="n">
        <f aca="false">+D$7</f>
        <v>0.953424657534246</v>
      </c>
      <c r="E14" s="355" t="n">
        <f aca="false">(+C14)*B14*D14</f>
        <v>88.9478465753425</v>
      </c>
      <c r="F14" s="352"/>
      <c r="G14" s="352"/>
      <c r="I14" s="354"/>
      <c r="J14" s="352"/>
      <c r="K14" s="352"/>
      <c r="L14" s="355"/>
    </row>
    <row r="15" customFormat="false" ht="12.75" hidden="false" customHeight="false" outlineLevel="0" collapsed="false">
      <c r="A15" s="352" t="s">
        <v>699</v>
      </c>
      <c r="B15" s="354" t="n">
        <v>6.965</v>
      </c>
      <c r="C15" s="352" t="n">
        <v>46</v>
      </c>
      <c r="D15" s="352" t="n">
        <f aca="false">+D$7</f>
        <v>0.953424657534246</v>
      </c>
      <c r="E15" s="355" t="n">
        <f aca="false">(+C15)*B15*D15</f>
        <v>305.467726027397</v>
      </c>
      <c r="F15" s="352"/>
      <c r="G15" s="352"/>
      <c r="I15" s="354"/>
      <c r="J15" s="352"/>
      <c r="K15" s="352"/>
      <c r="L15" s="355"/>
    </row>
    <row r="16" customFormat="false" ht="12.75" hidden="false" customHeight="false" outlineLevel="0" collapsed="false">
      <c r="A16" s="352" t="s">
        <v>701</v>
      </c>
      <c r="B16" s="354" t="n">
        <v>2.922</v>
      </c>
      <c r="C16" s="352" t="n">
        <v>70</v>
      </c>
      <c r="D16" s="352" t="n">
        <f aca="false">+D$7</f>
        <v>0.953424657534246</v>
      </c>
      <c r="E16" s="355" t="n">
        <f aca="false">(+C16)*B16*D16</f>
        <v>195.013479452055</v>
      </c>
      <c r="F16" s="352"/>
      <c r="G16" s="352"/>
      <c r="I16" s="354"/>
      <c r="J16" s="352"/>
      <c r="K16" s="352"/>
      <c r="L16" s="355"/>
    </row>
    <row r="17" customFormat="false" ht="12.75" hidden="false" customHeight="false" outlineLevel="0" collapsed="false">
      <c r="A17" s="356" t="s">
        <v>786</v>
      </c>
      <c r="B17" s="354" t="n">
        <v>1.912</v>
      </c>
      <c r="C17" s="352" t="n">
        <v>170</v>
      </c>
      <c r="D17" s="352" t="n">
        <f aca="false">+D$7</f>
        <v>0.953424657534246</v>
      </c>
      <c r="E17" s="355" t="n">
        <f aca="false">(+C17)*B17*D17</f>
        <v>309.901150684931</v>
      </c>
      <c r="F17" s="352"/>
      <c r="G17" s="352"/>
      <c r="I17" s="354"/>
      <c r="J17" s="352"/>
      <c r="K17" s="352"/>
      <c r="L17" s="355"/>
    </row>
    <row r="18" customFormat="false" ht="12.75" hidden="false" customHeight="false" outlineLevel="0" collapsed="false">
      <c r="A18" s="352" t="s">
        <v>787</v>
      </c>
      <c r="B18" s="354" t="n">
        <v>3.942</v>
      </c>
      <c r="C18" s="352" t="n">
        <v>170</v>
      </c>
      <c r="D18" s="352" t="n">
        <f aca="false">+D$7</f>
        <v>0.953424657534246</v>
      </c>
      <c r="E18" s="355" t="n">
        <f aca="false">(+C18)*B18*D18</f>
        <v>638.928</v>
      </c>
      <c r="F18" s="352"/>
      <c r="G18" s="352"/>
      <c r="I18" s="354"/>
      <c r="J18" s="352"/>
      <c r="K18" s="352"/>
      <c r="L18" s="355"/>
    </row>
    <row r="19" customFormat="false" ht="12.75" hidden="false" customHeight="false" outlineLevel="0" collapsed="false">
      <c r="A19" s="352" t="s">
        <v>788</v>
      </c>
      <c r="B19" s="354" t="n">
        <v>2.691</v>
      </c>
      <c r="C19" s="352" t="n">
        <v>168</v>
      </c>
      <c r="D19" s="352" t="n">
        <f aca="false">+D$7</f>
        <v>0.953424657534246</v>
      </c>
      <c r="E19" s="355" t="n">
        <f aca="false">(+C19)*B19*D19</f>
        <v>431.031846575342</v>
      </c>
      <c r="F19" s="352"/>
      <c r="G19" s="352"/>
      <c r="I19" s="354"/>
      <c r="J19" s="352"/>
      <c r="K19" s="352"/>
      <c r="L19" s="355"/>
    </row>
    <row r="20" customFormat="false" ht="12.75" hidden="false" customHeight="false" outlineLevel="0" collapsed="false">
      <c r="A20" s="352" t="s">
        <v>789</v>
      </c>
      <c r="B20" s="354" t="n">
        <v>3.853</v>
      </c>
      <c r="C20" s="352" t="n">
        <v>170</v>
      </c>
      <c r="D20" s="352" t="n">
        <f aca="false">+D$7</f>
        <v>0.953424657534246</v>
      </c>
      <c r="E20" s="355" t="n">
        <f aca="false">(+C20)*B20*D20</f>
        <v>624.502684931507</v>
      </c>
      <c r="F20" s="352"/>
      <c r="G20" s="352"/>
      <c r="I20" s="354"/>
      <c r="J20" s="352"/>
      <c r="K20" s="352"/>
      <c r="L20" s="355"/>
    </row>
    <row r="21" customFormat="false" ht="12.75" hidden="false" customHeight="false" outlineLevel="0" collapsed="false">
      <c r="A21" s="352" t="s">
        <v>790</v>
      </c>
      <c r="B21" s="354" t="n">
        <v>5.3279</v>
      </c>
      <c r="C21" s="352" t="n">
        <v>170</v>
      </c>
      <c r="D21" s="352" t="n">
        <f aca="false">+D$7</f>
        <v>0.953424657534246</v>
      </c>
      <c r="E21" s="355" t="n">
        <f aca="false">(+C21)*B21*D21</f>
        <v>863.557709589041</v>
      </c>
      <c r="F21" s="352"/>
      <c r="G21" s="352"/>
      <c r="I21" s="354"/>
      <c r="J21" s="352"/>
      <c r="K21" s="352"/>
      <c r="L21" s="355"/>
    </row>
    <row r="22" customFormat="false" ht="13.5" hidden="false" customHeight="false" outlineLevel="0" collapsed="false">
      <c r="A22" s="352"/>
      <c r="B22" s="352"/>
      <c r="C22" s="352"/>
      <c r="D22" s="352"/>
      <c r="E22" s="357" t="n">
        <f aca="false">SUM(E13:E21)</f>
        <v>3808.47767671233</v>
      </c>
      <c r="F22" s="352"/>
      <c r="G22" s="352"/>
      <c r="L22" s="358"/>
    </row>
    <row r="23" customFormat="false" ht="13.5" hidden="false" customHeight="false" outlineLevel="0" collapsed="false">
      <c r="A23" s="352"/>
      <c r="B23" s="352"/>
      <c r="C23" s="352"/>
      <c r="D23" s="352" t="s">
        <v>791</v>
      </c>
      <c r="E23" s="352" t="n">
        <f aca="false">+C19</f>
        <v>168</v>
      </c>
      <c r="F23" s="352"/>
      <c r="G23" s="352"/>
    </row>
    <row r="24" customFormat="false" ht="12.75" hidden="false" customHeight="false" outlineLevel="0" collapsed="false">
      <c r="A24" s="352"/>
      <c r="B24" s="352"/>
      <c r="C24" s="352"/>
      <c r="D24" s="352" t="s">
        <v>82</v>
      </c>
      <c r="E24" s="359" t="n">
        <f aca="false">+'ECT Trans'!I1</f>
        <v>29</v>
      </c>
      <c r="F24" s="352"/>
      <c r="G24" s="352"/>
    </row>
    <row r="25" customFormat="false" ht="13.5" hidden="false" customHeight="false" outlineLevel="0" collapsed="false">
      <c r="A25" s="352"/>
      <c r="B25" s="352"/>
      <c r="C25" s="352"/>
      <c r="D25" s="352" t="s">
        <v>792</v>
      </c>
      <c r="E25" s="360" t="n">
        <f aca="false">ROUND(+E22/E23/E24,4)</f>
        <v>0.7817</v>
      </c>
      <c r="F25" s="352"/>
      <c r="G25" s="352"/>
      <c r="L25" s="361"/>
    </row>
    <row r="26" customFormat="false" ht="13.5" hidden="false" customHeight="false" outlineLevel="0" collapsed="false">
      <c r="A26" s="352"/>
      <c r="B26" s="352"/>
      <c r="C26" s="352"/>
      <c r="D26" s="352"/>
      <c r="E26" s="352"/>
      <c r="F26" s="352"/>
      <c r="G26" s="352"/>
      <c r="H26" s="352"/>
    </row>
    <row r="27" customFormat="false" ht="12.75" hidden="false" customHeight="false" outlineLevel="0" collapsed="false">
      <c r="A27" s="353" t="s">
        <v>781</v>
      </c>
      <c r="B27" s="353" t="n">
        <v>889088</v>
      </c>
      <c r="F27" s="352"/>
      <c r="G27" s="352"/>
      <c r="H27" s="352"/>
    </row>
    <row r="28" customFormat="false" ht="12.75" hidden="false" customHeight="false" outlineLevel="0" collapsed="false">
      <c r="A28" s="353" t="s">
        <v>793</v>
      </c>
      <c r="B28" s="353" t="s">
        <v>237</v>
      </c>
      <c r="C28" s="353" t="s">
        <v>794</v>
      </c>
      <c r="D28" s="353"/>
      <c r="E28" s="353"/>
      <c r="F28" s="352"/>
      <c r="G28" s="352"/>
      <c r="H28" s="352"/>
    </row>
    <row r="29" customFormat="false" ht="12.75" hidden="false" customHeight="false" outlineLevel="0" collapsed="false">
      <c r="A29" s="352"/>
      <c r="B29" s="352" t="s">
        <v>782</v>
      </c>
      <c r="C29" s="352" t="s">
        <v>795</v>
      </c>
      <c r="D29" s="352" t="s">
        <v>796</v>
      </c>
      <c r="E29" s="352" t="s">
        <v>779</v>
      </c>
      <c r="F29" s="352" t="s">
        <v>784</v>
      </c>
      <c r="G29" s="352"/>
      <c r="H29" s="352"/>
    </row>
    <row r="30" customFormat="false" ht="12.75" hidden="false" customHeight="false" outlineLevel="0" collapsed="false">
      <c r="A30" s="352" t="s">
        <v>702</v>
      </c>
      <c r="B30" s="354" t="n">
        <v>3.633</v>
      </c>
      <c r="C30" s="352" t="n">
        <v>62</v>
      </c>
      <c r="D30" s="352" t="n">
        <v>32</v>
      </c>
      <c r="E30" s="352" t="n">
        <f aca="false">+D$7</f>
        <v>0.953424657534246</v>
      </c>
      <c r="F30" s="355" t="n">
        <f aca="false">(+C30+D30)*B30*E30</f>
        <v>325.59642739726</v>
      </c>
      <c r="G30" s="352"/>
      <c r="H30" s="352"/>
    </row>
    <row r="31" customFormat="false" ht="12.75" hidden="false" customHeight="false" outlineLevel="0" collapsed="false">
      <c r="A31" s="352" t="s">
        <v>785</v>
      </c>
      <c r="B31" s="354" t="n">
        <v>3.44</v>
      </c>
      <c r="C31" s="352" t="n">
        <v>17</v>
      </c>
      <c r="D31" s="352" t="n">
        <v>8</v>
      </c>
      <c r="E31" s="352" t="n">
        <f aca="false">+D$7</f>
        <v>0.953424657534246</v>
      </c>
      <c r="F31" s="355" t="n">
        <f aca="false">(+C31+D31)*B31*E31</f>
        <v>81.9945205479452</v>
      </c>
      <c r="G31" s="352"/>
      <c r="H31" s="352"/>
    </row>
    <row r="32" customFormat="false" ht="12.75" hidden="false" customHeight="false" outlineLevel="0" collapsed="false">
      <c r="A32" s="352" t="s">
        <v>699</v>
      </c>
      <c r="B32" s="354" t="n">
        <v>7.188</v>
      </c>
      <c r="C32" s="352" t="n">
        <v>28</v>
      </c>
      <c r="D32" s="352" t="n">
        <v>14</v>
      </c>
      <c r="E32" s="352" t="n">
        <f aca="false">+D$7</f>
        <v>0.953424657534246</v>
      </c>
      <c r="F32" s="355" t="n">
        <f aca="false">(+C32+D32)*B32*E32</f>
        <v>287.835090410959</v>
      </c>
      <c r="G32" s="352"/>
      <c r="H32" s="352"/>
    </row>
    <row r="33" customFormat="false" ht="12.75" hidden="false" customHeight="false" outlineLevel="0" collapsed="false">
      <c r="A33" s="352" t="s">
        <v>701</v>
      </c>
      <c r="B33" s="354" t="n">
        <v>3.145</v>
      </c>
      <c r="C33" s="352" t="n">
        <v>41</v>
      </c>
      <c r="D33" s="352" t="n">
        <v>21</v>
      </c>
      <c r="E33" s="352" t="n">
        <f aca="false">+D$7</f>
        <v>0.953424657534246</v>
      </c>
      <c r="F33" s="355" t="n">
        <f aca="false">(+C33+D33)*B33*E33</f>
        <v>185.908273972603</v>
      </c>
      <c r="G33" s="352"/>
      <c r="H33" s="352"/>
    </row>
    <row r="34" customFormat="false" ht="12.75" hidden="false" customHeight="false" outlineLevel="0" collapsed="false">
      <c r="A34" s="356" t="s">
        <v>786</v>
      </c>
      <c r="B34" s="354" t="n">
        <v>1.912</v>
      </c>
      <c r="C34" s="352" t="n">
        <v>102</v>
      </c>
      <c r="D34" s="352" t="n">
        <v>52</v>
      </c>
      <c r="E34" s="352" t="n">
        <f aca="false">+D$7</f>
        <v>0.953424657534246</v>
      </c>
      <c r="F34" s="355" t="n">
        <f aca="false">(+C34+D34)*B34*E34</f>
        <v>280.733983561644</v>
      </c>
      <c r="G34" s="352"/>
      <c r="H34" s="352"/>
    </row>
    <row r="35" customFormat="false" ht="12.75" hidden="false" customHeight="false" outlineLevel="0" collapsed="false">
      <c r="A35" s="352" t="s">
        <v>787</v>
      </c>
      <c r="B35" s="354" t="n">
        <v>3.942</v>
      </c>
      <c r="C35" s="352" t="n">
        <v>102</v>
      </c>
      <c r="D35" s="352" t="n">
        <v>51</v>
      </c>
      <c r="E35" s="352" t="n">
        <f aca="false">+D$7</f>
        <v>0.953424657534246</v>
      </c>
      <c r="F35" s="355" t="n">
        <f aca="false">(+C35+D35)*B35*E35</f>
        <v>575.0352</v>
      </c>
      <c r="G35" s="352"/>
      <c r="H35" s="352"/>
    </row>
    <row r="36" customFormat="false" ht="12.75" hidden="false" customHeight="false" outlineLevel="0" collapsed="false">
      <c r="A36" s="352" t="s">
        <v>788</v>
      </c>
      <c r="B36" s="354" t="n">
        <v>2.691</v>
      </c>
      <c r="C36" s="352" t="n">
        <v>100</v>
      </c>
      <c r="D36" s="352" t="n">
        <v>51</v>
      </c>
      <c r="E36" s="352" t="n">
        <f aca="false">+D$7</f>
        <v>0.953424657534246</v>
      </c>
      <c r="F36" s="355" t="n">
        <f aca="false">(+C36+D36)*B36*E36</f>
        <v>387.415528767123</v>
      </c>
      <c r="G36" s="352"/>
      <c r="H36" s="352"/>
    </row>
    <row r="37" customFormat="false" ht="12.75" hidden="false" customHeight="false" outlineLevel="0" collapsed="false">
      <c r="A37" s="352" t="s">
        <v>789</v>
      </c>
      <c r="B37" s="354" t="n">
        <v>4.076</v>
      </c>
      <c r="C37" s="352" t="n">
        <v>102</v>
      </c>
      <c r="D37" s="352" t="n">
        <v>52</v>
      </c>
      <c r="E37" s="352" t="n">
        <f aca="false">+D$7</f>
        <v>0.953424657534246</v>
      </c>
      <c r="F37" s="355" t="n">
        <f aca="false">(+C37+D37)*B37*E37</f>
        <v>598.468471232877</v>
      </c>
      <c r="G37" s="352"/>
      <c r="H37" s="352"/>
    </row>
    <row r="38" customFormat="false" ht="13.5" hidden="false" customHeight="false" outlineLevel="0" collapsed="false">
      <c r="A38" s="352"/>
      <c r="B38" s="352"/>
      <c r="C38" s="352"/>
      <c r="E38" s="352"/>
      <c r="F38" s="357" t="n">
        <f aca="false">SUM(F30:F37)</f>
        <v>2722.98749589041</v>
      </c>
      <c r="G38" s="352"/>
      <c r="H38" s="352"/>
    </row>
    <row r="39" customFormat="false" ht="13.5" hidden="false" customHeight="false" outlineLevel="0" collapsed="false">
      <c r="A39" s="352"/>
      <c r="B39" s="352"/>
      <c r="C39" s="352"/>
      <c r="E39" s="352" t="s">
        <v>791</v>
      </c>
      <c r="F39" s="352" t="n">
        <f aca="false">+D37+C37</f>
        <v>154</v>
      </c>
      <c r="G39" s="352"/>
      <c r="H39" s="352"/>
    </row>
    <row r="40" customFormat="false" ht="12.75" hidden="false" customHeight="false" outlineLevel="0" collapsed="false">
      <c r="A40" s="352"/>
      <c r="B40" s="352"/>
      <c r="C40" s="352"/>
      <c r="E40" s="352" t="s">
        <v>82</v>
      </c>
      <c r="F40" s="359" t="e">
        <f aca="false">+#REF!</f>
        <v>#REF!</v>
      </c>
      <c r="G40" s="352"/>
      <c r="H40" s="352"/>
    </row>
    <row r="41" customFormat="false" ht="13.5" hidden="false" customHeight="false" outlineLevel="0" collapsed="false">
      <c r="A41" s="352"/>
      <c r="B41" s="352"/>
      <c r="C41" s="352"/>
      <c r="E41" s="352" t="s">
        <v>792</v>
      </c>
      <c r="F41" s="360" t="e">
        <f aca="false">ROUND(+F38/F39/F40,4)</f>
        <v>#REF!</v>
      </c>
      <c r="G41" s="352"/>
      <c r="H41" s="352"/>
    </row>
    <row r="42" customFormat="false" ht="13.5" hidden="false" customHeight="false" outlineLevel="0" collapsed="false">
      <c r="A42" s="352"/>
      <c r="B42" s="352"/>
      <c r="C42" s="352"/>
      <c r="D42" s="352"/>
      <c r="E42" s="352"/>
      <c r="F42" s="352"/>
      <c r="G42" s="352"/>
      <c r="H42" s="352"/>
    </row>
    <row r="43" customFormat="false" ht="12.75" hidden="false" customHeight="false" outlineLevel="0" collapsed="false">
      <c r="A43" s="352"/>
      <c r="B43" s="352"/>
      <c r="C43" s="352"/>
      <c r="D43" s="352"/>
      <c r="E43" s="352"/>
      <c r="F43" s="352"/>
      <c r="G43" s="352"/>
      <c r="H43" s="352"/>
    </row>
    <row r="44" customFormat="false" ht="12.75" hidden="false" customHeight="false" outlineLevel="0" collapsed="false">
      <c r="A44" s="353" t="s">
        <v>781</v>
      </c>
      <c r="B44" s="353" t="n">
        <v>889110</v>
      </c>
      <c r="F44" s="352"/>
      <c r="G44" s="352"/>
      <c r="H44" s="352"/>
    </row>
    <row r="45" customFormat="false" ht="12.75" hidden="false" customHeight="false" outlineLevel="0" collapsed="false">
      <c r="A45" s="353" t="s">
        <v>190</v>
      </c>
      <c r="B45" s="353" t="s">
        <v>237</v>
      </c>
      <c r="C45" s="353"/>
      <c r="D45" s="353"/>
      <c r="E45" s="353"/>
      <c r="F45" s="352"/>
      <c r="G45" s="352"/>
      <c r="H45" s="352"/>
    </row>
    <row r="46" customFormat="false" ht="12.75" hidden="false" customHeight="false" outlineLevel="0" collapsed="false">
      <c r="A46" s="352"/>
      <c r="B46" s="352" t="s">
        <v>782</v>
      </c>
      <c r="C46" s="352" t="s">
        <v>797</v>
      </c>
      <c r="D46" s="352" t="s">
        <v>798</v>
      </c>
      <c r="E46" s="352" t="s">
        <v>779</v>
      </c>
      <c r="F46" s="352" t="s">
        <v>784</v>
      </c>
      <c r="G46" s="352"/>
      <c r="H46" s="352"/>
    </row>
    <row r="47" customFormat="false" ht="12.75" hidden="false" customHeight="false" outlineLevel="0" collapsed="false">
      <c r="A47" s="352" t="s">
        <v>702</v>
      </c>
      <c r="B47" s="354" t="n">
        <v>3.41</v>
      </c>
      <c r="C47" s="352" t="n">
        <v>13</v>
      </c>
      <c r="D47" s="352" t="n">
        <v>0</v>
      </c>
      <c r="E47" s="352" t="n">
        <f aca="false">+D$7</f>
        <v>0.953424657534246</v>
      </c>
      <c r="F47" s="355" t="n">
        <f aca="false">(+C47+D47)*B47*E47</f>
        <v>42.2653150684931</v>
      </c>
      <c r="G47" s="352"/>
      <c r="H47" s="352"/>
    </row>
    <row r="48" customFormat="false" ht="12.75" hidden="false" customHeight="false" outlineLevel="0" collapsed="false">
      <c r="A48" s="352" t="s">
        <v>785</v>
      </c>
      <c r="B48" s="354" t="n">
        <v>3.217</v>
      </c>
      <c r="C48" s="352" t="n">
        <v>4</v>
      </c>
      <c r="D48" s="352" t="n">
        <v>0</v>
      </c>
      <c r="E48" s="352" t="n">
        <f aca="false">+D$7</f>
        <v>0.953424657534246</v>
      </c>
      <c r="F48" s="355" t="n">
        <f aca="false">(+C48+D48)*B48*E48</f>
        <v>12.2686684931507</v>
      </c>
      <c r="G48" s="352"/>
      <c r="H48" s="352"/>
    </row>
    <row r="49" customFormat="false" ht="12.75" hidden="false" customHeight="false" outlineLevel="0" collapsed="false">
      <c r="A49" s="352" t="s">
        <v>699</v>
      </c>
      <c r="B49" s="354" t="n">
        <v>6.965</v>
      </c>
      <c r="C49" s="352" t="n">
        <v>6</v>
      </c>
      <c r="D49" s="352" t="n">
        <v>0</v>
      </c>
      <c r="E49" s="352" t="n">
        <f aca="false">+D$7</f>
        <v>0.953424657534246</v>
      </c>
      <c r="F49" s="355" t="n">
        <f aca="false">(+C49+D49)*B49*E49</f>
        <v>39.8436164383562</v>
      </c>
      <c r="G49" s="352"/>
      <c r="H49" s="352"/>
    </row>
    <row r="50" customFormat="false" ht="12.75" hidden="false" customHeight="false" outlineLevel="0" collapsed="false">
      <c r="A50" s="352" t="s">
        <v>701</v>
      </c>
      <c r="B50" s="354" t="n">
        <v>2.922</v>
      </c>
      <c r="C50" s="352" t="n">
        <v>9</v>
      </c>
      <c r="D50" s="352" t="n">
        <v>0</v>
      </c>
      <c r="E50" s="352" t="n">
        <f aca="false">+D$7</f>
        <v>0.953424657534246</v>
      </c>
      <c r="F50" s="355" t="n">
        <f aca="false">(+C50+D50)*B50*E50</f>
        <v>25.0731616438356</v>
      </c>
      <c r="G50" s="352"/>
      <c r="H50" s="352"/>
    </row>
    <row r="51" customFormat="false" ht="12.75" hidden="false" customHeight="false" outlineLevel="0" collapsed="false">
      <c r="A51" s="356" t="s">
        <v>786</v>
      </c>
      <c r="B51" s="354" t="n">
        <v>1.912</v>
      </c>
      <c r="C51" s="352" t="n">
        <v>21</v>
      </c>
      <c r="D51" s="352" t="n">
        <v>0</v>
      </c>
      <c r="E51" s="352" t="n">
        <f aca="false">+D$7</f>
        <v>0.953424657534246</v>
      </c>
      <c r="F51" s="355" t="n">
        <f aca="false">(+C51+D51)*B51*E51</f>
        <v>38.2819068493151</v>
      </c>
      <c r="G51" s="352"/>
      <c r="H51" s="352"/>
    </row>
    <row r="52" customFormat="false" ht="12.75" hidden="false" customHeight="false" outlineLevel="0" collapsed="false">
      <c r="A52" s="352" t="s">
        <v>787</v>
      </c>
      <c r="B52" s="354" t="n">
        <v>3.942</v>
      </c>
      <c r="C52" s="352" t="n">
        <v>21</v>
      </c>
      <c r="D52" s="352" t="n">
        <v>0</v>
      </c>
      <c r="E52" s="352" t="n">
        <f aca="false">+D$7</f>
        <v>0.953424657534246</v>
      </c>
      <c r="F52" s="355" t="n">
        <f aca="false">(+C52+D52)*B52*E52</f>
        <v>78.9264</v>
      </c>
      <c r="G52" s="352"/>
      <c r="H52" s="352"/>
    </row>
    <row r="53" customFormat="false" ht="12.75" hidden="false" customHeight="false" outlineLevel="0" collapsed="false">
      <c r="A53" s="352" t="s">
        <v>799</v>
      </c>
      <c r="B53" s="354" t="n">
        <v>3.796</v>
      </c>
      <c r="C53" s="352" t="n">
        <v>21</v>
      </c>
      <c r="D53" s="352" t="n">
        <v>0</v>
      </c>
      <c r="E53" s="352" t="n">
        <f aca="false">+D$7</f>
        <v>0.953424657534246</v>
      </c>
      <c r="F53" s="355" t="n">
        <f aca="false">(+C53+D53)*B53*E53</f>
        <v>76.0032</v>
      </c>
      <c r="G53" s="352"/>
      <c r="H53" s="352"/>
    </row>
    <row r="54" customFormat="false" ht="13.5" hidden="false" customHeight="false" outlineLevel="0" collapsed="false">
      <c r="A54" s="352"/>
      <c r="B54" s="352"/>
      <c r="C54" s="352"/>
      <c r="E54" s="352"/>
      <c r="F54" s="357" t="n">
        <f aca="false">SUM(F47:F53)</f>
        <v>312.662268493151</v>
      </c>
      <c r="G54" s="352"/>
      <c r="H54" s="352"/>
    </row>
    <row r="55" customFormat="false" ht="13.5" hidden="false" customHeight="false" outlineLevel="0" collapsed="false">
      <c r="A55" s="352"/>
      <c r="B55" s="352"/>
      <c r="C55" s="352"/>
      <c r="E55" s="352" t="s">
        <v>791</v>
      </c>
      <c r="F55" s="352" t="n">
        <f aca="false">+C52+D52</f>
        <v>21</v>
      </c>
      <c r="G55" s="352"/>
      <c r="H55" s="352"/>
    </row>
    <row r="56" customFormat="false" ht="12.75" hidden="false" customHeight="false" outlineLevel="0" collapsed="false">
      <c r="A56" s="352"/>
      <c r="B56" s="352"/>
      <c r="C56" s="352"/>
      <c r="E56" s="352" t="s">
        <v>82</v>
      </c>
      <c r="F56" s="359" t="n">
        <f aca="false">+'ECT Trans'!I1</f>
        <v>29</v>
      </c>
      <c r="G56" s="352"/>
      <c r="H56" s="352"/>
    </row>
    <row r="57" customFormat="false" ht="13.5" hidden="false" customHeight="false" outlineLevel="0" collapsed="false">
      <c r="A57" s="352"/>
      <c r="B57" s="352"/>
      <c r="C57" s="352"/>
      <c r="E57" s="352" t="s">
        <v>792</v>
      </c>
      <c r="F57" s="360" t="n">
        <f aca="false">ROUND(+F54/F55/F56,4)</f>
        <v>0.5134</v>
      </c>
      <c r="G57" s="352"/>
      <c r="H57" s="352"/>
    </row>
    <row r="58" customFormat="false" ht="13.5" hidden="false" customHeight="false" outlineLevel="0" collapsed="false">
      <c r="A58" s="352"/>
      <c r="B58" s="352"/>
      <c r="C58" s="352"/>
      <c r="D58" s="352"/>
      <c r="E58" s="352"/>
      <c r="F58" s="352"/>
      <c r="G58" s="352"/>
      <c r="H58" s="352"/>
    </row>
    <row r="59" customFormat="false" ht="12.75" hidden="false" customHeight="false" outlineLevel="0" collapsed="false">
      <c r="A59" s="352"/>
      <c r="B59" s="352"/>
      <c r="C59" s="352"/>
      <c r="D59" s="352"/>
      <c r="E59" s="352"/>
      <c r="F59" s="352"/>
      <c r="G59" s="352"/>
      <c r="H59" s="352"/>
    </row>
    <row r="60" customFormat="false" ht="12.75" hidden="false" customHeight="false" outlineLevel="0" collapsed="false">
      <c r="A60" s="353" t="s">
        <v>781</v>
      </c>
      <c r="B60" s="353" t="n">
        <v>889111</v>
      </c>
      <c r="F60" s="352"/>
      <c r="G60" s="352"/>
      <c r="H60" s="352"/>
    </row>
    <row r="61" customFormat="false" ht="12.75" hidden="false" customHeight="false" outlineLevel="0" collapsed="false">
      <c r="A61" s="353" t="s">
        <v>793</v>
      </c>
      <c r="B61" s="353" t="s">
        <v>237</v>
      </c>
      <c r="C61" s="353"/>
      <c r="D61" s="353"/>
      <c r="E61" s="353"/>
      <c r="F61" s="352"/>
      <c r="G61" s="352"/>
      <c r="H61" s="352"/>
    </row>
    <row r="62" customFormat="false" ht="12.75" hidden="false" customHeight="false" outlineLevel="0" collapsed="false">
      <c r="A62" s="352"/>
      <c r="B62" s="352" t="s">
        <v>782</v>
      </c>
      <c r="C62" s="352" t="s">
        <v>800</v>
      </c>
      <c r="D62" s="352" t="s">
        <v>798</v>
      </c>
      <c r="E62" s="352" t="s">
        <v>779</v>
      </c>
      <c r="F62" s="352" t="s">
        <v>784</v>
      </c>
      <c r="G62" s="352"/>
      <c r="H62" s="352"/>
    </row>
    <row r="63" customFormat="false" ht="12.75" hidden="false" customHeight="false" outlineLevel="0" collapsed="false">
      <c r="A63" s="352" t="s">
        <v>702</v>
      </c>
      <c r="B63" s="354" t="n">
        <v>3.637</v>
      </c>
      <c r="C63" s="352" t="n">
        <v>88</v>
      </c>
      <c r="D63" s="352" t="n">
        <v>0</v>
      </c>
      <c r="E63" s="352" t="n">
        <f aca="false">+D$7</f>
        <v>0.953424657534246</v>
      </c>
      <c r="F63" s="355" t="n">
        <f aca="false">(+C63+D63)*B63*E63</f>
        <v>305.149282191781</v>
      </c>
      <c r="G63" s="352"/>
      <c r="H63" s="352"/>
    </row>
    <row r="64" customFormat="false" ht="12.75" hidden="false" customHeight="false" outlineLevel="0" collapsed="false">
      <c r="A64" s="352" t="s">
        <v>785</v>
      </c>
      <c r="B64" s="354" t="n">
        <v>3.444</v>
      </c>
      <c r="C64" s="352" t="n">
        <v>24</v>
      </c>
      <c r="D64" s="352" t="n">
        <v>0</v>
      </c>
      <c r="E64" s="352" t="n">
        <f aca="false">+D$7</f>
        <v>0.953424657534246</v>
      </c>
      <c r="F64" s="355" t="n">
        <f aca="false">(+C64+D64)*B64*E64</f>
        <v>78.8062684931507</v>
      </c>
      <c r="G64" s="352"/>
      <c r="H64" s="352"/>
    </row>
    <row r="65" customFormat="false" ht="12.75" hidden="false" customHeight="false" outlineLevel="0" collapsed="false">
      <c r="A65" s="352" t="s">
        <v>699</v>
      </c>
      <c r="B65" s="354" t="n">
        <v>7.192</v>
      </c>
      <c r="C65" s="352" t="n">
        <v>39</v>
      </c>
      <c r="D65" s="352" t="n">
        <v>0</v>
      </c>
      <c r="E65" s="352" t="n">
        <f aca="false">+D$7</f>
        <v>0.953424657534246</v>
      </c>
      <c r="F65" s="355" t="n">
        <f aca="false">(+C65+D65)*B65*E65</f>
        <v>267.424175342466</v>
      </c>
      <c r="G65" s="352"/>
      <c r="H65" s="352"/>
    </row>
    <row r="66" customFormat="false" ht="12.75" hidden="false" customHeight="false" outlineLevel="0" collapsed="false">
      <c r="A66" s="352" t="s">
        <v>701</v>
      </c>
      <c r="B66" s="354" t="n">
        <v>3.156</v>
      </c>
      <c r="C66" s="352" t="n">
        <v>58</v>
      </c>
      <c r="D66" s="352" t="n">
        <v>0</v>
      </c>
      <c r="E66" s="352" t="n">
        <f aca="false">+D$7</f>
        <v>0.953424657534246</v>
      </c>
      <c r="F66" s="355" t="n">
        <f aca="false">(+C66+D66)*B66*E66</f>
        <v>174.522476712329</v>
      </c>
      <c r="G66" s="352"/>
      <c r="H66" s="352"/>
    </row>
    <row r="67" customFormat="false" ht="12.75" hidden="false" customHeight="false" outlineLevel="0" collapsed="false">
      <c r="A67" s="356" t="s">
        <v>786</v>
      </c>
      <c r="B67" s="354" t="n">
        <v>1.912</v>
      </c>
      <c r="C67" s="352" t="n">
        <v>141</v>
      </c>
      <c r="D67" s="352" t="n">
        <v>0</v>
      </c>
      <c r="E67" s="352" t="n">
        <f aca="false">+D$7</f>
        <v>0.953424657534246</v>
      </c>
      <c r="F67" s="355" t="n">
        <f aca="false">(+C67+D67)*B67*E67</f>
        <v>257.035660273973</v>
      </c>
      <c r="G67" s="352"/>
      <c r="H67" s="352"/>
    </row>
    <row r="68" customFormat="false" ht="12.75" hidden="false" customHeight="false" outlineLevel="0" collapsed="false">
      <c r="A68" s="352" t="s">
        <v>787</v>
      </c>
      <c r="B68" s="354" t="n">
        <v>3.942</v>
      </c>
      <c r="C68" s="352" t="n">
        <v>141</v>
      </c>
      <c r="D68" s="352" t="n">
        <v>0</v>
      </c>
      <c r="E68" s="352" t="n">
        <f aca="false">+D$7</f>
        <v>0.953424657534246</v>
      </c>
      <c r="F68" s="355" t="n">
        <f aca="false">(+C68+D68)*B68*E68</f>
        <v>529.9344</v>
      </c>
      <c r="G68" s="352"/>
      <c r="H68" s="352"/>
    </row>
    <row r="69" customFormat="false" ht="12.75" hidden="false" customHeight="false" outlineLevel="0" collapsed="false">
      <c r="A69" s="352" t="s">
        <v>788</v>
      </c>
      <c r="B69" s="354" t="n">
        <v>2.691</v>
      </c>
      <c r="C69" s="352" t="n">
        <v>138</v>
      </c>
      <c r="D69" s="352" t="n">
        <v>0</v>
      </c>
      <c r="E69" s="352" t="n">
        <f aca="false">+D$7</f>
        <v>0.953424657534246</v>
      </c>
      <c r="F69" s="355" t="n">
        <f aca="false">(+C69+D69)*B69*E69</f>
        <v>354.061873972603</v>
      </c>
      <c r="G69" s="352"/>
      <c r="H69" s="352"/>
    </row>
    <row r="70" customFormat="false" ht="12.75" hidden="false" customHeight="false" outlineLevel="0" collapsed="false">
      <c r="A70" s="352" t="s">
        <v>789</v>
      </c>
      <c r="B70" s="354" t="n">
        <v>4.066</v>
      </c>
      <c r="C70" s="352" t="n">
        <v>141</v>
      </c>
      <c r="D70" s="352" t="n">
        <v>0</v>
      </c>
      <c r="E70" s="352" t="n">
        <f aca="false">+D$7</f>
        <v>0.953424657534246</v>
      </c>
      <c r="F70" s="355" t="n">
        <f aca="false">(+C70+D70)*B70*E70</f>
        <v>546.604076712329</v>
      </c>
      <c r="G70" s="352"/>
      <c r="H70" s="352"/>
    </row>
    <row r="71" customFormat="false" ht="13.5" hidden="false" customHeight="false" outlineLevel="0" collapsed="false">
      <c r="A71" s="352"/>
      <c r="B71" s="352"/>
      <c r="C71" s="352"/>
      <c r="E71" s="352"/>
      <c r="F71" s="357" t="n">
        <f aca="false">SUM(F63:F70)</f>
        <v>2513.53821369863</v>
      </c>
      <c r="G71" s="352"/>
      <c r="H71" s="352"/>
    </row>
    <row r="72" customFormat="false" ht="13.5" hidden="false" customHeight="false" outlineLevel="0" collapsed="false">
      <c r="A72" s="352"/>
      <c r="B72" s="352"/>
      <c r="C72" s="352"/>
      <c r="E72" s="352" t="s">
        <v>791</v>
      </c>
      <c r="F72" s="352" t="n">
        <f aca="false">+C69+D69</f>
        <v>138</v>
      </c>
      <c r="G72" s="352"/>
      <c r="H72" s="352"/>
    </row>
    <row r="73" customFormat="false" ht="12.75" hidden="false" customHeight="false" outlineLevel="0" collapsed="false">
      <c r="A73" s="352"/>
      <c r="B73" s="352"/>
      <c r="C73" s="352"/>
      <c r="E73" s="352" t="s">
        <v>82</v>
      </c>
      <c r="F73" s="359" t="n">
        <f aca="false">+'ECT Trans'!I1</f>
        <v>29</v>
      </c>
      <c r="G73" s="352"/>
      <c r="H73" s="352"/>
    </row>
    <row r="74" customFormat="false" ht="13.5" hidden="false" customHeight="false" outlineLevel="0" collapsed="false">
      <c r="A74" s="352"/>
      <c r="B74" s="352"/>
      <c r="C74" s="352"/>
      <c r="E74" s="352" t="s">
        <v>792</v>
      </c>
      <c r="F74" s="360" t="n">
        <f aca="false">ROUND(+F71/F72/F73,4)</f>
        <v>0.6281</v>
      </c>
      <c r="G74" s="352"/>
      <c r="H74" s="352"/>
    </row>
    <row r="75" customFormat="false" ht="13.5" hidden="false" customHeight="false" outlineLevel="0" collapsed="false">
      <c r="A75" s="352"/>
      <c r="C75" s="352"/>
      <c r="D75" s="352"/>
      <c r="E75" s="352"/>
      <c r="F75" s="352"/>
      <c r="G75" s="352"/>
      <c r="H75" s="352"/>
      <c r="L75" s="73"/>
    </row>
    <row r="76" customFormat="false" ht="12.75" hidden="false" customHeight="false" outlineLevel="0" collapsed="false">
      <c r="A76" s="353" t="s">
        <v>781</v>
      </c>
      <c r="B76" s="353" t="n">
        <v>889112</v>
      </c>
      <c r="F76" s="352"/>
      <c r="G76" s="352"/>
      <c r="H76" s="352"/>
    </row>
    <row r="77" customFormat="false" ht="12.75" hidden="false" customHeight="false" outlineLevel="0" collapsed="false">
      <c r="A77" s="353" t="s">
        <v>190</v>
      </c>
      <c r="B77" s="353" t="s">
        <v>237</v>
      </c>
      <c r="C77" s="353"/>
      <c r="D77" s="353"/>
      <c r="E77" s="353"/>
      <c r="F77" s="352"/>
      <c r="G77" s="352"/>
      <c r="H77" s="352"/>
    </row>
    <row r="78" customFormat="false" ht="12.75" hidden="false" customHeight="false" outlineLevel="0" collapsed="false">
      <c r="A78" s="352"/>
      <c r="B78" s="352" t="s">
        <v>782</v>
      </c>
      <c r="C78" s="352" t="s">
        <v>801</v>
      </c>
      <c r="D78" s="352" t="s">
        <v>779</v>
      </c>
      <c r="E78" s="352" t="s">
        <v>784</v>
      </c>
      <c r="F78" s="352"/>
      <c r="G78" s="352"/>
    </row>
    <row r="79" customFormat="false" ht="12.75" hidden="false" customHeight="false" outlineLevel="0" collapsed="false">
      <c r="A79" s="352" t="s">
        <v>702</v>
      </c>
      <c r="B79" s="354" t="n">
        <v>3.41</v>
      </c>
      <c r="C79" s="352" t="n">
        <v>224</v>
      </c>
      <c r="D79" s="352" t="n">
        <f aca="false">+D$7</f>
        <v>0.953424657534246</v>
      </c>
      <c r="E79" s="355" t="n">
        <f aca="false">(+C79)*B79*D79</f>
        <v>728.263890410959</v>
      </c>
      <c r="F79" s="352"/>
      <c r="G79" s="352"/>
    </row>
    <row r="80" customFormat="false" ht="12.75" hidden="false" customHeight="false" outlineLevel="0" collapsed="false">
      <c r="A80" s="352" t="s">
        <v>785</v>
      </c>
      <c r="B80" s="354" t="n">
        <v>3.217</v>
      </c>
      <c r="C80" s="352" t="n">
        <v>60</v>
      </c>
      <c r="D80" s="352" t="n">
        <f aca="false">+D$7</f>
        <v>0.953424657534246</v>
      </c>
      <c r="E80" s="355" t="n">
        <f aca="false">(+C80)*B80*D80</f>
        <v>184.03002739726</v>
      </c>
      <c r="F80" s="352"/>
      <c r="G80" s="352"/>
    </row>
    <row r="81" customFormat="false" ht="12.75" hidden="false" customHeight="false" outlineLevel="0" collapsed="false">
      <c r="A81" s="352" t="s">
        <v>699</v>
      </c>
      <c r="B81" s="354" t="n">
        <v>6.965</v>
      </c>
      <c r="C81" s="352" t="n">
        <v>98</v>
      </c>
      <c r="D81" s="352" t="n">
        <f aca="false">+D$7</f>
        <v>0.953424657534246</v>
      </c>
      <c r="E81" s="355" t="n">
        <f aca="false">(+C81)*B81*D81</f>
        <v>650.779068493151</v>
      </c>
      <c r="F81" s="352"/>
      <c r="G81" s="352"/>
    </row>
    <row r="82" customFormat="false" ht="12.75" hidden="false" customHeight="false" outlineLevel="0" collapsed="false">
      <c r="A82" s="352" t="s">
        <v>701</v>
      </c>
      <c r="B82" s="354" t="n">
        <v>2.922</v>
      </c>
      <c r="C82" s="352" t="n">
        <v>145</v>
      </c>
      <c r="D82" s="352" t="n">
        <f aca="false">+D$7</f>
        <v>0.953424657534246</v>
      </c>
      <c r="E82" s="355" t="n">
        <f aca="false">(+C82)*B82*D82</f>
        <v>403.956493150685</v>
      </c>
      <c r="F82" s="352"/>
      <c r="G82" s="352"/>
    </row>
    <row r="83" customFormat="false" ht="12.75" hidden="false" customHeight="false" outlineLevel="0" collapsed="false">
      <c r="A83" s="356" t="s">
        <v>786</v>
      </c>
      <c r="B83" s="354" t="n">
        <v>1.912</v>
      </c>
      <c r="C83" s="352" t="n">
        <v>361</v>
      </c>
      <c r="D83" s="352" t="n">
        <f aca="false">+D$7</f>
        <v>0.953424657534246</v>
      </c>
      <c r="E83" s="355" t="n">
        <f aca="false">(+C83)*B83*D83</f>
        <v>658.084208219178</v>
      </c>
      <c r="F83" s="352"/>
      <c r="G83" s="352"/>
    </row>
    <row r="84" customFormat="false" ht="12.75" hidden="false" customHeight="false" outlineLevel="0" collapsed="false">
      <c r="A84" s="352" t="s">
        <v>787</v>
      </c>
      <c r="B84" s="354" t="n">
        <v>3.942</v>
      </c>
      <c r="C84" s="352" t="n">
        <v>358</v>
      </c>
      <c r="D84" s="352" t="n">
        <f aca="false">+D$7</f>
        <v>0.953424657534246</v>
      </c>
      <c r="E84" s="355" t="n">
        <f aca="false">(+C84)*B84*D84</f>
        <v>1345.5072</v>
      </c>
      <c r="F84" s="352"/>
      <c r="G84" s="352"/>
    </row>
    <row r="85" customFormat="false" ht="12.75" hidden="false" customHeight="false" outlineLevel="0" collapsed="false">
      <c r="A85" s="352" t="s">
        <v>788</v>
      </c>
      <c r="B85" s="354" t="n">
        <v>2.691</v>
      </c>
      <c r="C85" s="352" t="n">
        <v>352</v>
      </c>
      <c r="D85" s="352" t="n">
        <f aca="false">+D$7</f>
        <v>0.953424657534246</v>
      </c>
      <c r="E85" s="355" t="n">
        <f aca="false">(+C85)*B85*D85</f>
        <v>903.114345205479</v>
      </c>
      <c r="F85" s="352"/>
      <c r="G85" s="352"/>
    </row>
    <row r="86" customFormat="false" ht="12.75" hidden="false" customHeight="false" outlineLevel="0" collapsed="false">
      <c r="A86" s="352" t="s">
        <v>789</v>
      </c>
      <c r="B86" s="354" t="n">
        <v>3.853</v>
      </c>
      <c r="C86" s="352" t="n">
        <v>361</v>
      </c>
      <c r="D86" s="352" t="n">
        <f aca="false">+D$7</f>
        <v>0.953424657534246</v>
      </c>
      <c r="E86" s="355" t="n">
        <f aca="false">(+C86)*B86*D86</f>
        <v>1326.14981917808</v>
      </c>
      <c r="F86" s="352"/>
      <c r="G86" s="352"/>
    </row>
    <row r="87" customFormat="false" ht="13.5" hidden="false" customHeight="false" outlineLevel="0" collapsed="false">
      <c r="A87" s="352"/>
      <c r="B87" s="352"/>
      <c r="C87" s="352"/>
      <c r="D87" s="352"/>
      <c r="E87" s="357" t="n">
        <f aca="false">SUM(E79:E86)</f>
        <v>6199.88505205479</v>
      </c>
      <c r="F87" s="352"/>
      <c r="G87" s="352"/>
    </row>
    <row r="88" customFormat="false" ht="13.5" hidden="false" customHeight="false" outlineLevel="0" collapsed="false">
      <c r="A88" s="352"/>
      <c r="B88" s="352"/>
      <c r="C88" s="352"/>
      <c r="D88" s="352" t="s">
        <v>791</v>
      </c>
      <c r="E88" s="352" t="n">
        <f aca="false">+C85</f>
        <v>352</v>
      </c>
      <c r="F88" s="352"/>
      <c r="G88" s="352"/>
    </row>
    <row r="89" customFormat="false" ht="12.75" hidden="false" customHeight="false" outlineLevel="0" collapsed="false">
      <c r="A89" s="352"/>
      <c r="B89" s="352"/>
      <c r="C89" s="352"/>
      <c r="D89" s="352" t="s">
        <v>82</v>
      </c>
      <c r="E89" s="359" t="n">
        <f aca="false">+'ECT Trans'!I1</f>
        <v>29</v>
      </c>
      <c r="F89" s="352"/>
      <c r="G89" s="352"/>
    </row>
    <row r="90" customFormat="false" ht="13.5" hidden="false" customHeight="false" outlineLevel="0" collapsed="false">
      <c r="A90" s="352"/>
      <c r="B90" s="352"/>
      <c r="C90" s="352"/>
      <c r="D90" s="352" t="s">
        <v>792</v>
      </c>
      <c r="E90" s="360" t="n">
        <f aca="false">ROUND(+E87/E88/E89,4)</f>
        <v>0.6074</v>
      </c>
      <c r="F90" s="352"/>
      <c r="G90" s="352"/>
    </row>
    <row r="91" customFormat="false" ht="13.5" hidden="false" customHeight="false" outlineLevel="0" collapsed="false">
      <c r="A91" s="352"/>
      <c r="B91" s="352"/>
      <c r="C91" s="352"/>
      <c r="D91" s="352"/>
      <c r="E91" s="352"/>
      <c r="F91" s="352"/>
      <c r="G91" s="352"/>
      <c r="H91" s="352"/>
    </row>
    <row r="92" customFormat="false" ht="12.75" hidden="false" customHeight="false" outlineLevel="0" collapsed="false">
      <c r="A92" s="353" t="s">
        <v>781</v>
      </c>
      <c r="B92" s="353" t="n">
        <v>889090</v>
      </c>
      <c r="F92" s="352"/>
      <c r="G92" s="352"/>
      <c r="H92" s="352"/>
    </row>
    <row r="93" customFormat="false" ht="12.75" hidden="false" customHeight="false" outlineLevel="0" collapsed="false">
      <c r="A93" s="353" t="s">
        <v>190</v>
      </c>
      <c r="B93" s="353" t="s">
        <v>237</v>
      </c>
      <c r="C93" s="353"/>
      <c r="D93" s="353"/>
      <c r="E93" s="353"/>
      <c r="F93" s="352"/>
      <c r="G93" s="352"/>
      <c r="H93" s="352"/>
    </row>
    <row r="94" customFormat="false" ht="12.75" hidden="false" customHeight="false" outlineLevel="0" collapsed="false">
      <c r="A94" s="352"/>
      <c r="B94" s="352" t="s">
        <v>782</v>
      </c>
      <c r="C94" s="352" t="s">
        <v>802</v>
      </c>
      <c r="D94" s="352" t="s">
        <v>803</v>
      </c>
      <c r="E94" s="352" t="s">
        <v>779</v>
      </c>
      <c r="F94" s="352" t="s">
        <v>784</v>
      </c>
      <c r="G94" s="352"/>
      <c r="H94" s="352"/>
    </row>
    <row r="95" customFormat="false" ht="12.75" hidden="false" customHeight="false" outlineLevel="0" collapsed="false">
      <c r="A95" s="352" t="s">
        <v>702</v>
      </c>
      <c r="B95" s="354" t="n">
        <v>3.41</v>
      </c>
      <c r="C95" s="352" t="n">
        <v>9</v>
      </c>
      <c r="D95" s="352" t="n">
        <v>4</v>
      </c>
      <c r="E95" s="352" t="n">
        <f aca="false">+D$7</f>
        <v>0.953424657534246</v>
      </c>
      <c r="F95" s="355" t="n">
        <f aca="false">(+C95+D95)*B95*E95</f>
        <v>42.2653150684931</v>
      </c>
      <c r="G95" s="352"/>
      <c r="H95" s="352"/>
    </row>
    <row r="96" customFormat="false" ht="12.75" hidden="false" customHeight="false" outlineLevel="0" collapsed="false">
      <c r="A96" s="352" t="s">
        <v>785</v>
      </c>
      <c r="B96" s="354" t="n">
        <v>3.217</v>
      </c>
      <c r="C96" s="352" t="n">
        <v>2</v>
      </c>
      <c r="D96" s="352" t="n">
        <v>1</v>
      </c>
      <c r="E96" s="352" t="n">
        <f aca="false">+D$7</f>
        <v>0.953424657534246</v>
      </c>
      <c r="F96" s="355" t="n">
        <f aca="false">(+C96+D96)*B96*E96</f>
        <v>9.20150136986301</v>
      </c>
      <c r="G96" s="352"/>
      <c r="H96" s="352"/>
    </row>
    <row r="97" customFormat="false" ht="12.75" hidden="false" customHeight="false" outlineLevel="0" collapsed="false">
      <c r="A97" s="352" t="s">
        <v>699</v>
      </c>
      <c r="B97" s="354" t="n">
        <v>6.965</v>
      </c>
      <c r="C97" s="352" t="n">
        <v>3</v>
      </c>
      <c r="D97" s="352" t="n">
        <v>2</v>
      </c>
      <c r="E97" s="352" t="n">
        <f aca="false">+D$7</f>
        <v>0.953424657534246</v>
      </c>
      <c r="F97" s="355" t="n">
        <f aca="false">(+C97+D97)*B97*E97</f>
        <v>33.2030136986301</v>
      </c>
      <c r="G97" s="352"/>
      <c r="H97" s="352"/>
    </row>
    <row r="98" customFormat="false" ht="12.75" hidden="false" customHeight="false" outlineLevel="0" collapsed="false">
      <c r="A98" s="352" t="s">
        <v>701</v>
      </c>
      <c r="B98" s="354" t="n">
        <v>2.922</v>
      </c>
      <c r="C98" s="352" t="n">
        <v>5</v>
      </c>
      <c r="D98" s="352" t="n">
        <v>2</v>
      </c>
      <c r="E98" s="352" t="n">
        <f aca="false">+D$7</f>
        <v>0.953424657534246</v>
      </c>
      <c r="F98" s="355" t="n">
        <f aca="false">(+C98+D98)*B98*E98</f>
        <v>19.5013479452055</v>
      </c>
      <c r="G98" s="352"/>
      <c r="H98" s="352"/>
    </row>
    <row r="99" customFormat="false" ht="12.75" hidden="false" customHeight="false" outlineLevel="0" collapsed="false">
      <c r="A99" s="356" t="s">
        <v>786</v>
      </c>
      <c r="B99" s="354" t="n">
        <v>1.912</v>
      </c>
      <c r="C99" s="352" t="n">
        <v>16</v>
      </c>
      <c r="D99" s="352" t="n">
        <v>7</v>
      </c>
      <c r="E99" s="352" t="n">
        <f aca="false">+D$7</f>
        <v>0.953424657534246</v>
      </c>
      <c r="F99" s="355" t="n">
        <f aca="false">(+C99+D99)*B99*E99</f>
        <v>41.927802739726</v>
      </c>
      <c r="G99" s="352"/>
      <c r="H99" s="352"/>
    </row>
    <row r="100" customFormat="false" ht="12.75" hidden="false" customHeight="false" outlineLevel="0" collapsed="false">
      <c r="A100" s="352" t="s">
        <v>787</v>
      </c>
      <c r="B100" s="354" t="n">
        <v>3.942</v>
      </c>
      <c r="C100" s="352" t="n">
        <v>16</v>
      </c>
      <c r="D100" s="352" t="n">
        <v>7</v>
      </c>
      <c r="E100" s="352" t="n">
        <f aca="false">+D$7</f>
        <v>0.953424657534246</v>
      </c>
      <c r="F100" s="355" t="n">
        <f aca="false">(+C100+D100)*B100*E100</f>
        <v>86.4432</v>
      </c>
      <c r="G100" s="352"/>
      <c r="H100" s="352"/>
    </row>
    <row r="101" customFormat="false" ht="12.75" hidden="false" customHeight="false" outlineLevel="0" collapsed="false">
      <c r="A101" s="352" t="s">
        <v>799</v>
      </c>
      <c r="B101" s="354" t="n">
        <v>3.796</v>
      </c>
      <c r="C101" s="352" t="n">
        <v>16</v>
      </c>
      <c r="D101" s="352" t="n">
        <v>7</v>
      </c>
      <c r="E101" s="352" t="n">
        <f aca="false">+D$7</f>
        <v>0.953424657534246</v>
      </c>
      <c r="F101" s="355" t="n">
        <f aca="false">(+C101+D101)*B101*E101</f>
        <v>83.2416</v>
      </c>
      <c r="G101" s="352"/>
      <c r="H101" s="352"/>
    </row>
    <row r="102" customFormat="false" ht="13.5" hidden="false" customHeight="false" outlineLevel="0" collapsed="false">
      <c r="A102" s="352"/>
      <c r="B102" s="354"/>
      <c r="C102" s="352"/>
      <c r="E102" s="352"/>
      <c r="F102" s="357" t="n">
        <f aca="false">SUM(F95:F101)</f>
        <v>315.783780821918</v>
      </c>
      <c r="G102" s="352"/>
      <c r="H102" s="352"/>
    </row>
    <row r="103" customFormat="false" ht="13.5" hidden="false" customHeight="false" outlineLevel="0" collapsed="false">
      <c r="A103" s="352"/>
      <c r="B103" s="352"/>
      <c r="C103" s="352"/>
      <c r="E103" s="352" t="s">
        <v>804</v>
      </c>
      <c r="F103" s="352" t="n">
        <f aca="false">+C101+D101</f>
        <v>23</v>
      </c>
      <c r="G103" s="352"/>
      <c r="H103" s="352"/>
    </row>
    <row r="104" customFormat="false" ht="12.75" hidden="false" customHeight="false" outlineLevel="0" collapsed="false">
      <c r="A104" s="352"/>
      <c r="B104" s="352"/>
      <c r="C104" s="352"/>
      <c r="E104" s="352" t="s">
        <v>82</v>
      </c>
      <c r="F104" s="359" t="n">
        <f aca="false">+'ECT Trans'!I1</f>
        <v>29</v>
      </c>
      <c r="G104" s="352"/>
      <c r="H104" s="352"/>
    </row>
    <row r="105" customFormat="false" ht="13.5" hidden="false" customHeight="false" outlineLevel="0" collapsed="false">
      <c r="A105" s="352"/>
      <c r="B105" s="352"/>
      <c r="C105" s="352"/>
      <c r="E105" s="352" t="s">
        <v>792</v>
      </c>
      <c r="F105" s="362" t="n">
        <f aca="false">ROUND(+F102/F103/F104,4)</f>
        <v>0.4734</v>
      </c>
      <c r="G105" s="352"/>
      <c r="H105" s="352"/>
    </row>
    <row r="106" customFormat="false" ht="13.5" hidden="false" customHeight="false" outlineLevel="0" collapsed="false">
      <c r="A106" s="352"/>
      <c r="B106" s="352"/>
      <c r="C106" s="352"/>
      <c r="D106" s="352"/>
      <c r="E106" s="363"/>
      <c r="F106" s="352"/>
      <c r="G106" s="352"/>
      <c r="H106" s="352"/>
    </row>
    <row r="107" customFormat="false" ht="12.75" hidden="false" customHeight="false" outlineLevel="0" collapsed="false">
      <c r="A107" s="352"/>
      <c r="B107" s="352"/>
      <c r="C107" s="352"/>
      <c r="D107" s="352"/>
      <c r="E107" s="363"/>
      <c r="F107" s="352"/>
      <c r="G107" s="352"/>
      <c r="H107" s="352"/>
    </row>
    <row r="108" customFormat="false" ht="12.75" hidden="false" customHeight="false" outlineLevel="0" collapsed="false">
      <c r="A108" s="352"/>
      <c r="B108" s="352"/>
      <c r="C108" s="352"/>
      <c r="D108" s="352"/>
      <c r="E108" s="363"/>
      <c r="F108" s="352"/>
      <c r="G108" s="352"/>
      <c r="H108" s="352"/>
    </row>
    <row r="109" customFormat="false" ht="12.75" hidden="false" customHeight="false" outlineLevel="0" collapsed="false">
      <c r="A109" s="353" t="s">
        <v>781</v>
      </c>
      <c r="B109" s="353" t="n">
        <v>888476</v>
      </c>
      <c r="F109" s="352"/>
      <c r="G109" s="352"/>
      <c r="H109" s="352"/>
    </row>
    <row r="110" customFormat="false" ht="12.75" hidden="false" customHeight="false" outlineLevel="0" collapsed="false">
      <c r="A110" s="353" t="s">
        <v>190</v>
      </c>
      <c r="B110" s="353" t="s">
        <v>805</v>
      </c>
      <c r="C110" s="353"/>
      <c r="D110" s="353"/>
      <c r="E110" s="353"/>
      <c r="F110" s="352"/>
      <c r="G110" s="352"/>
      <c r="H110" s="352"/>
    </row>
    <row r="111" customFormat="false" ht="12.75" hidden="false" customHeight="false" outlineLevel="0" collapsed="false">
      <c r="A111" s="352"/>
      <c r="B111" s="352" t="s">
        <v>782</v>
      </c>
      <c r="C111" s="352" t="s">
        <v>783</v>
      </c>
      <c r="D111" s="352"/>
      <c r="E111" s="352" t="s">
        <v>779</v>
      </c>
      <c r="F111" s="352" t="s">
        <v>784</v>
      </c>
      <c r="G111" s="352"/>
      <c r="H111" s="352"/>
    </row>
    <row r="112" customFormat="false" ht="12.75" hidden="false" customHeight="false" outlineLevel="0" collapsed="false">
      <c r="A112" s="352" t="s">
        <v>702</v>
      </c>
      <c r="B112" s="354" t="n">
        <v>3.414</v>
      </c>
      <c r="C112" s="352" t="n">
        <v>24</v>
      </c>
      <c r="D112" s="352"/>
      <c r="E112" s="352" t="n">
        <f aca="false">+D$7</f>
        <v>0.953424657534246</v>
      </c>
      <c r="F112" s="355" t="n">
        <f aca="false">(+C112+D112)*B112*E112</f>
        <v>78.119802739726</v>
      </c>
      <c r="G112" s="352"/>
      <c r="H112" s="352"/>
    </row>
    <row r="113" customFormat="false" ht="12.75" hidden="false" customHeight="false" outlineLevel="0" collapsed="false">
      <c r="A113" s="352" t="s">
        <v>785</v>
      </c>
      <c r="B113" s="354" t="n">
        <v>3.221</v>
      </c>
      <c r="C113" s="352" t="n">
        <v>2</v>
      </c>
      <c r="D113" s="352"/>
      <c r="E113" s="352" t="n">
        <f aca="false">+D$7</f>
        <v>0.953424657534246</v>
      </c>
      <c r="F113" s="355" t="n">
        <f aca="false">(+C113+D113)*B113*E113</f>
        <v>6.14196164383562</v>
      </c>
      <c r="G113" s="364"/>
      <c r="H113" s="352"/>
    </row>
    <row r="114" customFormat="false" ht="12.75" hidden="false" customHeight="false" outlineLevel="0" collapsed="false">
      <c r="A114" s="352" t="s">
        <v>699</v>
      </c>
      <c r="B114" s="354" t="n">
        <v>6.969</v>
      </c>
      <c r="C114" s="352" t="n">
        <v>10</v>
      </c>
      <c r="D114" s="352"/>
      <c r="E114" s="352" t="n">
        <f aca="false">+D$7</f>
        <v>0.953424657534246</v>
      </c>
      <c r="F114" s="355" t="n">
        <f aca="false">(+C114+D114)*B114*E114</f>
        <v>66.4441643835616</v>
      </c>
      <c r="G114" s="365"/>
      <c r="H114" s="352"/>
    </row>
    <row r="115" customFormat="false" ht="12.75" hidden="false" customHeight="false" outlineLevel="0" collapsed="false">
      <c r="A115" s="352" t="s">
        <v>701</v>
      </c>
      <c r="B115" s="354" t="n">
        <v>2.933</v>
      </c>
      <c r="C115" s="352" t="n">
        <v>17</v>
      </c>
      <c r="D115" s="352"/>
      <c r="E115" s="352" t="n">
        <f aca="false">+D$7</f>
        <v>0.953424657534246</v>
      </c>
      <c r="F115" s="355" t="n">
        <f aca="false">(+C115+D115)*B115*E115</f>
        <v>47.5387068493151</v>
      </c>
      <c r="G115" s="365"/>
      <c r="H115" s="352"/>
    </row>
    <row r="116" customFormat="false" ht="12.75" hidden="false" customHeight="false" outlineLevel="0" collapsed="false">
      <c r="A116" s="356" t="s">
        <v>786</v>
      </c>
      <c r="B116" s="354" t="n">
        <v>1.891</v>
      </c>
      <c r="C116" s="352" t="n">
        <v>31</v>
      </c>
      <c r="D116" s="352"/>
      <c r="E116" s="352" t="n">
        <f aca="false">+D$7</f>
        <v>0.953424657534246</v>
      </c>
      <c r="F116" s="355" t="n">
        <f aca="false">(+C116+D116)*B116*E116</f>
        <v>55.8907068493151</v>
      </c>
      <c r="G116" s="366"/>
      <c r="H116" s="352"/>
    </row>
    <row r="117" customFormat="false" ht="12.75" hidden="false" customHeight="false" outlineLevel="0" collapsed="false">
      <c r="A117" s="352" t="s">
        <v>787</v>
      </c>
      <c r="B117" s="354" t="n">
        <v>3.9</v>
      </c>
      <c r="C117" s="352" t="n">
        <v>31</v>
      </c>
      <c r="D117" s="352"/>
      <c r="E117" s="352" t="n">
        <f aca="false">+D$7</f>
        <v>0.953424657534246</v>
      </c>
      <c r="F117" s="355" t="n">
        <f aca="false">(+C117+D117)*B117*E117</f>
        <v>115.26904109589</v>
      </c>
      <c r="G117" s="365"/>
      <c r="H117" s="352"/>
    </row>
    <row r="118" customFormat="false" ht="12.75" hidden="false" customHeight="false" outlineLevel="0" collapsed="false">
      <c r="A118" s="352" t="s">
        <v>799</v>
      </c>
      <c r="B118" s="354" t="n">
        <v>3.789</v>
      </c>
      <c r="C118" s="352" t="n">
        <v>31</v>
      </c>
      <c r="D118" s="352"/>
      <c r="E118" s="352" t="n">
        <f aca="false">+D$7</f>
        <v>0.953424657534246</v>
      </c>
      <c r="F118" s="355" t="n">
        <f aca="false">(+C118+D118)*B118*E118</f>
        <v>111.988306849315</v>
      </c>
      <c r="G118" s="361"/>
      <c r="H118" s="352"/>
    </row>
    <row r="119" customFormat="false" ht="13.5" hidden="false" customHeight="false" outlineLevel="0" collapsed="false">
      <c r="A119" s="352"/>
      <c r="B119" s="354"/>
      <c r="C119" s="352"/>
      <c r="E119" s="352"/>
      <c r="F119" s="357" t="n">
        <f aca="false">SUM(F112:F118)</f>
        <v>481.392690410959</v>
      </c>
      <c r="G119" s="361"/>
      <c r="H119" s="352"/>
    </row>
    <row r="120" customFormat="false" ht="13.5" hidden="false" customHeight="false" outlineLevel="0" collapsed="false">
      <c r="A120" s="352"/>
      <c r="B120" s="352"/>
      <c r="C120" s="352"/>
      <c r="E120" s="352" t="s">
        <v>804</v>
      </c>
      <c r="F120" s="352" t="n">
        <f aca="false">+C118+D118</f>
        <v>31</v>
      </c>
      <c r="G120" s="73"/>
    </row>
    <row r="121" customFormat="false" ht="12.75" hidden="false" customHeight="false" outlineLevel="0" collapsed="false">
      <c r="A121" s="352"/>
      <c r="B121" s="352"/>
      <c r="C121" s="352"/>
      <c r="E121" s="352" t="s">
        <v>82</v>
      </c>
      <c r="F121" s="359" t="n">
        <f aca="false">+'ECT Trans'!I1</f>
        <v>29</v>
      </c>
    </row>
    <row r="122" customFormat="false" ht="13.5" hidden="false" customHeight="false" outlineLevel="0" collapsed="false">
      <c r="A122" s="352"/>
      <c r="B122" s="352"/>
      <c r="C122" s="352"/>
      <c r="E122" s="352" t="s">
        <v>792</v>
      </c>
      <c r="F122" s="362" t="n">
        <f aca="false">ROUND(+F119/F120/F121,4)</f>
        <v>0.5355</v>
      </c>
    </row>
    <row r="123" customFormat="false" ht="13.5" hidden="false" customHeight="false" outlineLevel="0" collapsed="false"/>
    <row r="124" customFormat="false" ht="12.75" hidden="false" customHeight="false" outlineLevel="0" collapsed="false">
      <c r="A124" s="353" t="s">
        <v>781</v>
      </c>
      <c r="B124" s="353"/>
      <c r="F124" s="352"/>
    </row>
    <row r="125" customFormat="false" ht="12.75" hidden="false" customHeight="false" outlineLevel="0" collapsed="false">
      <c r="A125" s="353" t="s">
        <v>793</v>
      </c>
      <c r="B125" s="353"/>
      <c r="D125" s="353"/>
      <c r="E125" s="353"/>
      <c r="F125" s="352"/>
    </row>
    <row r="126" customFormat="false" ht="12.75" hidden="false" customHeight="false" outlineLevel="0" collapsed="false">
      <c r="A126" s="352"/>
      <c r="B126" s="352" t="s">
        <v>782</v>
      </c>
      <c r="C126" s="352" t="s">
        <v>801</v>
      </c>
      <c r="D126" s="352" t="s">
        <v>779</v>
      </c>
      <c r="E126" s="352" t="s">
        <v>784</v>
      </c>
    </row>
    <row r="127" customFormat="false" ht="12.75" hidden="false" customHeight="false" outlineLevel="0" collapsed="false">
      <c r="A127" s="352" t="s">
        <v>702</v>
      </c>
      <c r="B127" s="354" t="n">
        <v>3.633</v>
      </c>
      <c r="C127" s="352" t="n">
        <v>62</v>
      </c>
      <c r="D127" s="352" t="n">
        <f aca="false">+D$7</f>
        <v>0.953424657534246</v>
      </c>
      <c r="E127" s="355" t="n">
        <f aca="false">(+C127)*B127*D127</f>
        <v>214.755090410959</v>
      </c>
    </row>
    <row r="128" customFormat="false" ht="12.75" hidden="false" customHeight="false" outlineLevel="0" collapsed="false">
      <c r="A128" s="352" t="s">
        <v>785</v>
      </c>
      <c r="B128" s="354" t="n">
        <v>3.44</v>
      </c>
      <c r="C128" s="352" t="n">
        <v>17</v>
      </c>
      <c r="D128" s="352" t="n">
        <f aca="false">+D$7</f>
        <v>0.953424657534246</v>
      </c>
      <c r="E128" s="355" t="n">
        <f aca="false">(+C128)*B128*D128</f>
        <v>55.7562739726027</v>
      </c>
    </row>
    <row r="129" customFormat="false" ht="12.75" hidden="false" customHeight="false" outlineLevel="0" collapsed="false">
      <c r="A129" s="352" t="s">
        <v>699</v>
      </c>
      <c r="B129" s="354" t="n">
        <v>7.188</v>
      </c>
      <c r="C129" s="352" t="n">
        <v>28</v>
      </c>
      <c r="D129" s="352" t="n">
        <f aca="false">+D$7</f>
        <v>0.953424657534246</v>
      </c>
      <c r="E129" s="355" t="n">
        <f aca="false">(+C129)*B129*D129</f>
        <v>191.890060273973</v>
      </c>
    </row>
    <row r="130" customFormat="false" ht="12.75" hidden="false" customHeight="false" outlineLevel="0" collapsed="false">
      <c r="A130" s="352" t="s">
        <v>701</v>
      </c>
      <c r="B130" s="354" t="n">
        <v>3.145</v>
      </c>
      <c r="C130" s="352" t="n">
        <v>41</v>
      </c>
      <c r="D130" s="352" t="n">
        <f aca="false">+D$7</f>
        <v>0.953424657534246</v>
      </c>
      <c r="E130" s="355" t="n">
        <f aca="false">(+C130)*B130*D130</f>
        <v>122.939342465753</v>
      </c>
    </row>
    <row r="131" customFormat="false" ht="12.75" hidden="false" customHeight="false" outlineLevel="0" collapsed="false">
      <c r="A131" s="356" t="s">
        <v>786</v>
      </c>
      <c r="B131" s="354" t="n">
        <v>1.912</v>
      </c>
      <c r="C131" s="352" t="n">
        <v>102</v>
      </c>
      <c r="D131" s="352" t="n">
        <f aca="false">+D$7</f>
        <v>0.953424657534246</v>
      </c>
      <c r="E131" s="355" t="n">
        <f aca="false">(+C131)*B131*D131</f>
        <v>185.940690410959</v>
      </c>
    </row>
    <row r="132" customFormat="false" ht="12.75" hidden="false" customHeight="false" outlineLevel="0" collapsed="false">
      <c r="A132" s="352" t="s">
        <v>787</v>
      </c>
      <c r="B132" s="354" t="n">
        <v>3.942</v>
      </c>
      <c r="C132" s="352" t="n">
        <v>102</v>
      </c>
      <c r="D132" s="352" t="n">
        <f aca="false">+D$7</f>
        <v>0.953424657534246</v>
      </c>
      <c r="E132" s="355" t="n">
        <f aca="false">(+C132)*B132*D132</f>
        <v>383.3568</v>
      </c>
    </row>
    <row r="133" customFormat="false" ht="12.75" hidden="false" customHeight="false" outlineLevel="0" collapsed="false">
      <c r="A133" s="352" t="s">
        <v>788</v>
      </c>
      <c r="B133" s="354" t="n">
        <v>2.691</v>
      </c>
      <c r="C133" s="352" t="n">
        <v>100</v>
      </c>
      <c r="D133" s="352" t="n">
        <f aca="false">+D$7</f>
        <v>0.953424657534246</v>
      </c>
      <c r="E133" s="355" t="n">
        <f aca="false">(+C133)*B133*D133</f>
        <v>256.566575342466</v>
      </c>
    </row>
    <row r="134" customFormat="false" ht="12.75" hidden="false" customHeight="false" outlineLevel="0" collapsed="false">
      <c r="A134" s="352" t="s">
        <v>789</v>
      </c>
      <c r="B134" s="354" t="n">
        <v>4.076</v>
      </c>
      <c r="C134" s="352" t="n">
        <v>102</v>
      </c>
      <c r="D134" s="352" t="n">
        <f aca="false">+D$7</f>
        <v>0.953424657534246</v>
      </c>
      <c r="E134" s="355" t="n">
        <f aca="false">(+C134)*B134*D134</f>
        <v>396.388208219178</v>
      </c>
    </row>
    <row r="135" customFormat="false" ht="13.5" hidden="false" customHeight="false" outlineLevel="0" collapsed="false">
      <c r="A135" s="352"/>
      <c r="B135" s="352"/>
      <c r="C135" s="352"/>
      <c r="D135" s="352"/>
      <c r="E135" s="357" t="n">
        <f aca="false">SUM(E127:E134)</f>
        <v>1807.59304109589</v>
      </c>
    </row>
    <row r="136" customFormat="false" ht="13.5" hidden="false" customHeight="false" outlineLevel="0" collapsed="false">
      <c r="A136" s="352"/>
      <c r="B136" s="352"/>
      <c r="C136" s="352"/>
      <c r="D136" s="352" t="s">
        <v>791</v>
      </c>
      <c r="E136" s="352" t="e">
        <f aca="false">+#REF!+C134</f>
        <v>#REF!</v>
      </c>
    </row>
    <row r="137" customFormat="false" ht="12.75" hidden="false" customHeight="false" outlineLevel="0" collapsed="false">
      <c r="A137" s="352"/>
      <c r="B137" s="352"/>
      <c r="C137" s="352"/>
      <c r="D137" s="352" t="s">
        <v>82</v>
      </c>
      <c r="E137" s="359" t="e">
        <f aca="false">+#REF!</f>
        <v>#REF!</v>
      </c>
    </row>
    <row r="138" customFormat="false" ht="13.5" hidden="false" customHeight="false" outlineLevel="0" collapsed="false">
      <c r="A138" s="352"/>
      <c r="B138" s="352"/>
      <c r="C138" s="352"/>
      <c r="D138" s="352" t="s">
        <v>792</v>
      </c>
      <c r="E138" s="360" t="e">
        <f aca="false">ROUND(+E135/E136/E137,4)</f>
        <v>#REF!</v>
      </c>
    </row>
    <row r="13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judy townsend</cp:lastModifiedBy>
  <cp:lastPrinted>2000-01-24T10:50:36Z</cp:lastPrinted>
  <cp:revision>0</cp:revision>
  <dc:subject/>
  <dc:title/>
</cp:coreProperties>
</file>