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Deals" sheetId="1" state="visible" r:id="rId3"/>
    <sheet name="Spot wENA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</sheets>
  <definedNames>
    <definedName function="false" hidden="false" localSheetId="4" name="_xlnm.Print_Area" vbProcedure="false">'NEW Retail East'!$A$1:$AC$84</definedName>
    <definedName function="false" hidden="false" localSheetId="5" name="_xlnm.Print_Area" vbProcedure="false">'New Retail Mrkt'!$A$7:$V$68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Dominion at A06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7</xdr:col>
                <xdr:colOff>13</xdr:colOff>
                <xdr:row>8</xdr:row>
                <xdr:rowOff>12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Broad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</xdr:row>
                <xdr:rowOff>7</xdr:rowOff>
              </xdr:from>
              <xdr:to>
                <xdr:col>10</xdr:col>
                <xdr:colOff>11</xdr:colOff>
                <xdr:row>8</xdr:row>
                <xdr:rowOff>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Delmont.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4</xdr:row>
                <xdr:rowOff>11</xdr:rowOff>
              </xdr:from>
              <xdr:to>
                <xdr:col>11</xdr:col>
                <xdr:colOff>94</xdr:colOff>
                <xdr:row>8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 at F4 - Monclova.  In Sitara, ENA is getting gas from the Central Desk at Nx1 + .1275, ENA will buy gas from New Power at IF + .0125 (deal 533305) and sell the gas to New Power at NX1 + .1275 (deal 533306).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7</xdr:rowOff>
              </xdr:from>
              <xdr:to>
                <xdr:col>18</xdr:col>
                <xdr:colOff>22</xdr:colOff>
                <xdr:row>10</xdr:row>
                <xdr:rowOff>11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1857 at A06 from dick Jenkins at IF + .20
Deals 521753 (sale at IF +  .20) with deal 521780 (purchase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</xdr:row>
                <xdr:rowOff>7</xdr:rowOff>
              </xdr:from>
              <xdr:to>
                <xdr:col>22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FOM gas back at IF flat. Bookout dDeal 509454 (purchase at IF flat) with deal 522203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5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purchased 15,000 day from Dick 2nd-31st, at $6.89
This is entered at the pool as a buy/sale, deals 514122 and 514126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9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Porter sold ENA 5000 day at 7.61.  I created a purchase deal (533319 at $7.61) to bookout with deal 533317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13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purchased 35,000 from Jeff at $8.40 (deal 525128) and bookout with deal 525121 (sale at IF + $.0125)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17</xdr:col>
                <xdr:colOff>55</xdr:colOff>
                <xdr:row>8</xdr:row>
                <xdr:rowOff>5</xdr:rowOff>
              </xdr:to>
            </anchor>
          </commentPr>
        </mc:Choice>
        <mc:Fallback/>
      </mc:AlternateContent>
    </commen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Desk.  I created a purchase deal (#547910) at IF + .0125, and the volumes will be included in the citygate deal.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</xdr:row>
                <xdr:rowOff>7</xdr:rowOff>
              </xdr:from>
              <xdr:to>
                <xdr:col>27</xdr:col>
                <xdr:colOff>3</xdr:colOff>
                <xdr:row>10</xdr:row>
                <xdr:rowOff>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<sst xmlns="http://schemas.openxmlformats.org/spreadsheetml/2006/main" count="1622" uniqueCount="310">
  <si>
    <t xml:space="preserve">Dominion</t>
  </si>
  <si>
    <t xml:space="preserve">EES</t>
  </si>
  <si>
    <t xml:space="preserve">Central Desk</t>
  </si>
  <si>
    <t xml:space="preserve">ENA</t>
  </si>
  <si>
    <t xml:space="preserve">Total</t>
  </si>
  <si>
    <t xml:space="preserve">Net</t>
  </si>
  <si>
    <t xml:space="preserve">Price</t>
  </si>
  <si>
    <t xml:space="preserve">Amount</t>
  </si>
  <si>
    <t xml:space="preserve">N/A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</si>
  <si>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</si>
  <si>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</si>
  <si>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</si>
  <si>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</si>
  <si>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</si>
  <si>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</si>
  <si>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502957 less Storage</t>
  </si>
  <si>
    <t xml:space="preserve">IF On</t>
  </si>
  <si>
    <t xml:space="preserve">523459 / 523444</t>
  </si>
  <si>
    <t xml:space="preserve">Deal 502957</t>
  </si>
  <si>
    <t xml:space="preserve">Deal</t>
  </si>
  <si>
    <t xml:space="preserve">Storage</t>
  </si>
  <si>
    <t xml:space="preserve">CES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</si>
  <si>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</si>
  <si>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</si>
  <si>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</si>
  <si>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</si>
  <si>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</si>
  <si>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</si>
  <si>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502957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</si>
  <si>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</si>
  <si>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</si>
  <si>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</si>
  <si>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</si>
  <si>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</si>
  <si>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</si>
  <si>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</si>
  <si>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</si>
  <si>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</si>
  <si>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Overtake / (undertakes)</t>
  </si>
  <si>
    <t xml:space="preserve">-15956????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</si>
  <si>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</si>
  <si>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</si>
  <si>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</si>
  <si>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</si>
  <si>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</si>
  <si>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</si>
  <si>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</si>
  <si>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</si>
  <si>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</si>
  <si>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</si>
  <si>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CGLF</t>
  </si>
  <si>
    <t xml:space="preserve">FT-1</t>
  </si>
  <si>
    <t xml:space="preserve">Volume</t>
  </si>
  <si>
    <t xml:space="preserve">Deal 503445 (bookout with deal 380570)</t>
  </si>
  <si>
    <t xml:space="preserve">Deals 503451 at CGLF IF +.2623, and 503453 priced at IF + $.0075</t>
  </si>
  <si>
    <t xml:space="preserve">Deal 227081, 227113</t>
  </si>
  <si>
    <t xml:space="preserve">Note:  New Power purchased gas from ENA at CGLF Mainline (deal 503445).  ENA will buy this gas back at the CGLF Onshore Index plus $.06,</t>
  </si>
  <si>
    <t xml:space="preserve">and sell the gas back to New Power at CGAS pool at CGLFOnshore Index +$.06 + variable cost from Mainline to Leach, deal 503451,</t>
  </si>
  <si>
    <t xml:space="preserve">ENA will buy the CGAS Pool gas back at the FOM price for CGAS.</t>
  </si>
  <si>
    <t xml:space="preserve">Texas Eastern M3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</si>
  <si>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</si>
  <si>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</si>
  <si>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Transco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</si>
  <si>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</si>
  <si>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</si>
  <si>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</si>
  <si>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</si>
  <si>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</si>
  <si>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</si>
  <si>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</si>
  <si>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</si>
  <si>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</si>
  <si>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</si>
  <si>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</si>
  <si>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</si>
  <si>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</si>
  <si>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</si>
  <si>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</si>
  <si>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</si>
  <si>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</si>
  <si>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</si>
  <si>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</si>
  <si>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</si>
  <si>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</si>
  <si>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</si>
  <si>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</si>
  <si>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</si>
  <si>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New Power East Desk Transportation Capacity for December,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</si>
  <si>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</si>
  <si>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</si>
  <si>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</si>
  <si>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</si>
  <si>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</si>
  <si>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</si>
  <si>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</si>
  <si>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</si>
  <si>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</si>
  <si>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</si>
  <si>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</si>
  <si>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</si>
  <si>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</si>
  <si>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</si>
  <si>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</si>
  <si>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</si>
  <si>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</si>
  <si>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</si>
  <si>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</si>
  <si>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</si>
  <si>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</si>
  <si>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</si>
  <si>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</si>
  <si>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</si>
  <si>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</si>
  <si>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</si>
  <si>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</si>
  <si>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</si>
  <si>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</si>
  <si>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</si>
  <si>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</si>
  <si>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</si>
  <si>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#27775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</si>
  <si>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</si>
  <si>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</si>
  <si>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</si>
  <si>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</si>
  <si>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</si>
  <si>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</si>
  <si>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</si>
  <si>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</si>
  <si>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</si>
  <si>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</si>
  <si>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</si>
  <si>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</si>
  <si>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</si>
  <si>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</si>
  <si>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</si>
  <si>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</si>
  <si>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</si>
  <si>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</si>
  <si>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</si>
  <si>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</si>
  <si>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</si>
  <si>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</si>
  <si>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</si>
  <si>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</si>
  <si>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</si>
  <si>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2000002528</t>
  </si>
  <si>
    <t xml:space="preserve">2000001890</t>
  </si>
  <si>
    <t xml:space="preserve">2000002594</t>
  </si>
  <si>
    <t xml:space="preserve">SGA</t>
  </si>
  <si>
    <t xml:space="preserve">FSGA25</t>
  </si>
  <si>
    <t xml:space="preserve">2000002551</t>
  </si>
  <si>
    <t xml:space="preserve">2000002550</t>
  </si>
  <si>
    <t xml:space="preserve">Atlanta</t>
  </si>
  <si>
    <t xml:space="preserve">St 30</t>
  </si>
  <si>
    <t xml:space="preserve">6484 Atlanta</t>
  </si>
  <si>
    <t xml:space="preserve">FT -R</t>
  </si>
  <si>
    <t xml:space="preserve">#022236</t>
  </si>
  <si>
    <t xml:space="preserve">St 45</t>
  </si>
  <si>
    <t xml:space="preserve">#022141</t>
  </si>
  <si>
    <t xml:space="preserve">*</t>
  </si>
  <si>
    <t xml:space="preserve">#022140</t>
  </si>
  <si>
    <t xml:space="preserve">#22237</t>
  </si>
  <si>
    <t xml:space="preserve">#022144</t>
  </si>
  <si>
    <t xml:space="preserve">6971 St 85</t>
  </si>
  <si>
    <t xml:space="preserve">FTCHR</t>
  </si>
  <si>
    <t xml:space="preserve">#022147</t>
  </si>
  <si>
    <t xml:space="preserve">#022148</t>
  </si>
  <si>
    <t xml:space="preserve">#022145</t>
  </si>
  <si>
    <t xml:space="preserve">WSR Capacity</t>
  </si>
  <si>
    <t xml:space="preserve">WSR</t>
  </si>
  <si>
    <t xml:space="preserve">#022103</t>
  </si>
  <si>
    <t xml:space="preserve">WSR Demand</t>
  </si>
  <si>
    <t xml:space="preserve">#022079</t>
  </si>
  <si>
    <t xml:space="preserve">ESR Capacity</t>
  </si>
  <si>
    <t xml:space="preserve">ESR</t>
  </si>
  <si>
    <t xml:space="preserve">#022102</t>
  </si>
  <si>
    <t xml:space="preserve">ESR Demand</t>
  </si>
  <si>
    <t xml:space="preserve">#022078</t>
  </si>
  <si>
    <t xml:space="preserve">Z4 Holmsville</t>
  </si>
  <si>
    <t xml:space="preserve">7c</t>
  </si>
  <si>
    <t xml:space="preserve">#022263</t>
  </si>
  <si>
    <t xml:space="preserve">Sta 85</t>
  </si>
  <si>
    <t xml:space="preserve">FTSCR</t>
  </si>
  <si>
    <t xml:space="preserve">#022143</t>
  </si>
  <si>
    <t xml:space="preserve">#022142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</si>
  <si>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</si>
  <si>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</si>
  <si>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</si>
  <si>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</si>
  <si>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</si>
  <si>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</si>
  <si>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</si>
  <si>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Ashland</t>
  </si>
  <si>
    <t xml:space="preserve">Coh 7-9</t>
  </si>
  <si>
    <t xml:space="preserve">#30962</t>
  </si>
  <si>
    <t xml:space="preserve">#23652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</si>
  <si>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</si>
  <si>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</si>
  <si>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</si>
  <si>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</si>
  <si>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</si>
  <si>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</si>
  <si>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</si>
  <si>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</si>
  <si>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</si>
  <si>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</si>
  <si>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</si>
  <si>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CPA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</si>
  <si>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</si>
  <si>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</si>
  <si>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</si>
  <si>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</si>
  <si>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</si>
  <si>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</si>
  <si>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</si>
  <si>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</si>
  <si>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</si>
  <si>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</si>
  <si>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</si>
  <si>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</si>
  <si>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</si>
  <si>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</si>
  <si>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</si>
  <si>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</si>
  <si>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</si>
  <si>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</si>
  <si>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</si>
  <si>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</si>
  <si>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</si>
  <si>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</si>
  <si>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</si>
  <si>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</si>
  <si>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</si>
  <si>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</si>
  <si>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</si>
  <si>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</si>
  <si>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</si>
  <si>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</si>
  <si>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</si>
  <si>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</si>
  <si>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</si>
  <si>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</si>
  <si>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</si>
  <si>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</si>
  <si>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</si>
  <si>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</si>
  <si>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</si>
  <si>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</si>
  <si>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</si>
  <si>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</si>
  <si>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</si>
  <si>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</si>
  <si>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</si>
  <si>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</si>
  <si>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</si>
  <si>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</si>
  <si>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</si>
  <si>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</si>
  <si>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</si>
  <si>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</si>
  <si>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</si>
  <si>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</si>
  <si>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</si>
  <si>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</si>
  <si>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</si>
  <si>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</si>
  <si>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</si>
  <si>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</si>
  <si>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</si>
  <si>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</si>
  <si>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</si>
  <si>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</si>
  <si>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</si>
  <si>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</si>
  <si>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</si>
  <si>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</si>
  <si>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</si>
  <si>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</si>
  <si>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</si>
  <si>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</si>
  <si>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Deal 523459</t>
  </si>
  <si>
    <t xml:space="preserve">Sched Fee Deal 523459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</si>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</sst>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0.000%"/>
    <numFmt numFmtId="176" formatCode="0.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2.99"/>
    <col collapsed="false" customWidth="true" hidden="false" outlineLevel="0" max="4" min="3" style="3" width="12.99"/>
    <col collapsed="false" customWidth="true" hidden="false" outlineLevel="0" max="5" min="5" style="2" width="4.28"/>
    <col collapsed="false" customWidth="true" hidden="false" outlineLevel="0" max="6" min="6" style="2" width="12.99"/>
    <col collapsed="false" customWidth="true" hidden="false" outlineLevel="0" max="8" min="7" style="3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0" width="4.14"/>
    <col collapsed="false" customWidth="true" hidden="false" outlineLevel="0" max="24" min="24" style="4" width="9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B4" s="2" t="s">
        <v>0</v>
      </c>
      <c r="F4" s="2" t="s">
        <v>1</v>
      </c>
      <c r="J4" s="2" t="s">
        <v>1</v>
      </c>
      <c r="N4" s="2" t="s">
        <v>2</v>
      </c>
      <c r="R4" s="2" t="s">
        <v>3</v>
      </c>
      <c r="W4" s="0" t="s">
        <v>4</v>
      </c>
      <c r="X4" s="4" t="s">
        <v>5</v>
      </c>
    </row>
    <row r="5" customFormat="false" ht="12.75" hidden="false" customHeight="false" outlineLevel="0" collapsed="false">
      <c r="A5" s="5"/>
      <c r="B5" s="6" t="n">
        <v>521336</v>
      </c>
      <c r="C5" s="3" t="s">
        <v>6</v>
      </c>
      <c r="D5" s="3" t="s">
        <v>7</v>
      </c>
      <c r="F5" s="6" t="n">
        <v>521342</v>
      </c>
      <c r="G5" s="3" t="s">
        <v>6</v>
      </c>
      <c r="H5" s="3" t="s">
        <v>7</v>
      </c>
      <c r="J5" s="6" t="n">
        <v>521345</v>
      </c>
      <c r="K5" s="3" t="s">
        <v>6</v>
      </c>
      <c r="L5" s="3" t="s">
        <v>7</v>
      </c>
      <c r="N5" s="6" t="n">
        <v>509431</v>
      </c>
      <c r="O5" s="3" t="s">
        <v>6</v>
      </c>
      <c r="P5" s="3" t="s">
        <v>7</v>
      </c>
      <c r="R5" s="2" t="s">
        <v>8</v>
      </c>
      <c r="S5" s="3" t="s">
        <v>6</v>
      </c>
      <c r="T5" s="3" t="s">
        <v>7</v>
      </c>
      <c r="W5" s="0" t="s">
        <v>9</v>
      </c>
      <c r="X5" s="4" t="s">
        <v>10</v>
      </c>
    </row>
    <row r="6" customFormat="false" ht="12.75" hidden="false" customHeight="false" outlineLevel="0" collapsed="false">
      <c r="A6" s="5" t="n">
        <v>1</v>
      </c>
      <c r="B6" s="2" t="n">
        <v>1252</v>
      </c>
      <c r="C6" s="3" t="n">
        <f aca="false">6.27+0.0125</f>
        <v>6.2825</v>
      </c>
      <c r="D6" s="7" t="n">
        <f aca="false">+B6*C6</f>
        <v>7865.69</v>
      </c>
      <c r="F6" s="2" t="n">
        <v>4099</v>
      </c>
      <c r="G6" s="3" t="n">
        <f aca="false">6.27+0.0125</f>
        <v>6.2825</v>
      </c>
      <c r="H6" s="7" t="n">
        <f aca="false">+F6*G6</f>
        <v>25751.9675</v>
      </c>
      <c r="J6" s="2" t="n">
        <v>3674</v>
      </c>
      <c r="K6" s="3" t="n">
        <f aca="false">6.27+0.0125</f>
        <v>6.2825</v>
      </c>
      <c r="L6" s="7" t="n">
        <f aca="false">+J6*K6</f>
        <v>23081.905</v>
      </c>
      <c r="N6" s="2" t="n">
        <v>688</v>
      </c>
      <c r="O6" s="3" t="n">
        <v>6.02</v>
      </c>
      <c r="P6" s="7" t="n">
        <f aca="false">+N6*O6</f>
        <v>4141.76</v>
      </c>
      <c r="R6" s="2" t="n">
        <v>1857</v>
      </c>
      <c r="S6" s="3" t="n">
        <v>0</v>
      </c>
      <c r="T6" s="7" t="n">
        <f aca="false">+R6*S6</f>
        <v>0</v>
      </c>
      <c r="W6" s="2" t="n">
        <f aca="false">SUM(B6,F6,J6,N6,R6)</f>
        <v>11570</v>
      </c>
      <c r="X6" s="4" t="n">
        <f aca="false">ROUND(+W6*(1-0.02184),0)-1</f>
        <v>11316</v>
      </c>
    </row>
    <row r="7" customFormat="false" ht="12.75" hidden="false" customHeight="false" outlineLevel="0" collapsed="false">
      <c r="A7" s="5" t="n">
        <f aca="false">+A6+1</f>
        <v>2</v>
      </c>
      <c r="B7" s="2" t="n">
        <f aca="false">+B6</f>
        <v>1252</v>
      </c>
      <c r="C7" s="3" t="n">
        <f aca="false">+C6</f>
        <v>6.2825</v>
      </c>
      <c r="D7" s="7" t="n">
        <f aca="false">+B7*C7</f>
        <v>7865.69</v>
      </c>
      <c r="F7" s="2" t="n">
        <f aca="false">+F6</f>
        <v>4099</v>
      </c>
      <c r="G7" s="3" t="n">
        <f aca="false">+G6</f>
        <v>6.2825</v>
      </c>
      <c r="H7" s="7" t="n">
        <f aca="false">+F7*G7</f>
        <v>25751.9675</v>
      </c>
      <c r="J7" s="2" t="n">
        <f aca="false">+J6</f>
        <v>3674</v>
      </c>
      <c r="K7" s="3" t="n">
        <f aca="false">+K6</f>
        <v>6.2825</v>
      </c>
      <c r="L7" s="7" t="n">
        <f aca="false">+J7*K7</f>
        <v>23081.905</v>
      </c>
      <c r="N7" s="2" t="n">
        <f aca="false">+N6</f>
        <v>688</v>
      </c>
      <c r="O7" s="3" t="n">
        <f aca="false">+O6</f>
        <v>6.02</v>
      </c>
      <c r="P7" s="7" t="n">
        <f aca="false">+N7*O7</f>
        <v>4141.76</v>
      </c>
      <c r="R7" s="2" t="n">
        <f aca="false">+R6</f>
        <v>1857</v>
      </c>
      <c r="S7" s="3" t="n">
        <f aca="false">+S6</f>
        <v>0</v>
      </c>
      <c r="T7" s="7" t="n">
        <f aca="false">+R7*S7</f>
        <v>0</v>
      </c>
      <c r="W7" s="2" t="n">
        <f aca="false">SUM(B7,F7,J7,N7,R7)</f>
        <v>11570</v>
      </c>
      <c r="X7" s="4" t="n">
        <f aca="false">ROUND(+W7*(1-0.02184),0)-1</f>
        <v>11316</v>
      </c>
    </row>
    <row r="8" customFormat="false" ht="12.75" hidden="false" customHeight="false" outlineLevel="0" collapsed="false">
      <c r="A8" s="5" t="n">
        <f aca="false">+A7+1</f>
        <v>3</v>
      </c>
      <c r="B8" s="2" t="n">
        <f aca="false">+B7</f>
        <v>1252</v>
      </c>
      <c r="C8" s="3" t="n">
        <f aca="false">+C7</f>
        <v>6.2825</v>
      </c>
      <c r="D8" s="7" t="n">
        <f aca="false">+B8*C8</f>
        <v>7865.69</v>
      </c>
      <c r="F8" s="2" t="n">
        <f aca="false">+F7</f>
        <v>4099</v>
      </c>
      <c r="G8" s="3" t="n">
        <f aca="false">+G7</f>
        <v>6.2825</v>
      </c>
      <c r="H8" s="7" t="n">
        <f aca="false">+F8*G8</f>
        <v>25751.9675</v>
      </c>
      <c r="J8" s="2" t="n">
        <f aca="false">+J7</f>
        <v>3674</v>
      </c>
      <c r="K8" s="3" t="n">
        <f aca="false">+K7</f>
        <v>6.2825</v>
      </c>
      <c r="L8" s="7" t="n">
        <f aca="false">+J8*K8</f>
        <v>23081.905</v>
      </c>
      <c r="N8" s="2" t="n">
        <f aca="false">+N7</f>
        <v>688</v>
      </c>
      <c r="O8" s="3" t="n">
        <f aca="false">+O7</f>
        <v>6.02</v>
      </c>
      <c r="P8" s="7" t="n">
        <f aca="false">+N8*O8</f>
        <v>4141.76</v>
      </c>
      <c r="R8" s="2" t="n">
        <f aca="false">+R7</f>
        <v>1857</v>
      </c>
      <c r="S8" s="3" t="n">
        <f aca="false">+S7</f>
        <v>0</v>
      </c>
      <c r="T8" s="7" t="n">
        <f aca="false">+R8*S8</f>
        <v>0</v>
      </c>
      <c r="W8" s="2" t="n">
        <f aca="false">SUM(B8,F8,J8,N8,R8)</f>
        <v>11570</v>
      </c>
      <c r="X8" s="4" t="n">
        <f aca="false">ROUND(+W8*(1-0.02184),0)-1</f>
        <v>11316</v>
      </c>
    </row>
    <row r="9" customFormat="false" ht="12.75" hidden="false" customHeight="false" outlineLevel="0" collapsed="false">
      <c r="A9" s="5" t="n">
        <f aca="false">+A8+1</f>
        <v>4</v>
      </c>
      <c r="B9" s="2" t="n">
        <f aca="false">+B8</f>
        <v>1252</v>
      </c>
      <c r="C9" s="3" t="n">
        <f aca="false">+C8</f>
        <v>6.2825</v>
      </c>
      <c r="D9" s="7" t="n">
        <f aca="false">+B9*C9</f>
        <v>7865.69</v>
      </c>
      <c r="F9" s="2" t="n">
        <f aca="false">+F8</f>
        <v>4099</v>
      </c>
      <c r="G9" s="3" t="n">
        <f aca="false">+G8</f>
        <v>6.2825</v>
      </c>
      <c r="H9" s="7" t="n">
        <f aca="false">+F9*G9</f>
        <v>25751.9675</v>
      </c>
      <c r="J9" s="2" t="n">
        <f aca="false">+J8</f>
        <v>3674</v>
      </c>
      <c r="K9" s="3" t="n">
        <f aca="false">+K8</f>
        <v>6.2825</v>
      </c>
      <c r="L9" s="7" t="n">
        <f aca="false">+J9*K9</f>
        <v>23081.905</v>
      </c>
      <c r="N9" s="2" t="n">
        <f aca="false">+N8</f>
        <v>688</v>
      </c>
      <c r="O9" s="3" t="n">
        <f aca="false">+O8</f>
        <v>6.02</v>
      </c>
      <c r="P9" s="7" t="n">
        <f aca="false">+N9*O9</f>
        <v>4141.76</v>
      </c>
      <c r="R9" s="2" t="n">
        <f aca="false">+R8</f>
        <v>1857</v>
      </c>
      <c r="S9" s="3" t="n">
        <f aca="false">+S8</f>
        <v>0</v>
      </c>
      <c r="T9" s="7" t="n">
        <f aca="false">+R9*S9</f>
        <v>0</v>
      </c>
      <c r="W9" s="2" t="n">
        <f aca="false">SUM(B9,F9,J9,N9,R9)</f>
        <v>11570</v>
      </c>
      <c r="X9" s="4" t="n">
        <f aca="false">ROUND(+W9*(1-0.02184),0)-1</f>
        <v>11316</v>
      </c>
    </row>
    <row r="10" customFormat="false" ht="12.75" hidden="false" customHeight="false" outlineLevel="0" collapsed="false">
      <c r="A10" s="5" t="n">
        <f aca="false">+A9+1</f>
        <v>5</v>
      </c>
      <c r="B10" s="2" t="n">
        <f aca="false">+B9</f>
        <v>1252</v>
      </c>
      <c r="C10" s="3" t="n">
        <f aca="false">+C9</f>
        <v>6.2825</v>
      </c>
      <c r="D10" s="7" t="n">
        <f aca="false">+B10*C10</f>
        <v>7865.69</v>
      </c>
      <c r="F10" s="2" t="n">
        <f aca="false">+F9</f>
        <v>4099</v>
      </c>
      <c r="G10" s="3" t="n">
        <f aca="false">+G9</f>
        <v>6.2825</v>
      </c>
      <c r="H10" s="7" t="n">
        <f aca="false">+F10*G10</f>
        <v>25751.9675</v>
      </c>
      <c r="J10" s="2" t="n">
        <f aca="false">+J9</f>
        <v>3674</v>
      </c>
      <c r="K10" s="3" t="n">
        <f aca="false">+K9</f>
        <v>6.2825</v>
      </c>
      <c r="L10" s="7" t="n">
        <f aca="false">+J10*K10</f>
        <v>23081.905</v>
      </c>
      <c r="N10" s="2" t="n">
        <f aca="false">+N9</f>
        <v>688</v>
      </c>
      <c r="O10" s="3" t="n">
        <f aca="false">+O9</f>
        <v>6.02</v>
      </c>
      <c r="P10" s="7" t="n">
        <f aca="false">+N10*O10</f>
        <v>4141.76</v>
      </c>
      <c r="R10" s="2" t="n">
        <f aca="false">+R9</f>
        <v>1857</v>
      </c>
      <c r="S10" s="3" t="n">
        <f aca="false">+S9</f>
        <v>0</v>
      </c>
      <c r="T10" s="7" t="n">
        <f aca="false">+R10*S10</f>
        <v>0</v>
      </c>
      <c r="W10" s="2" t="n">
        <f aca="false">SUM(B10,F10,J10,N10,R10)</f>
        <v>11570</v>
      </c>
      <c r="X10" s="4" t="n">
        <f aca="false">ROUND(+W10*(1-0.02184),0)-1</f>
        <v>11316</v>
      </c>
    </row>
    <row r="11" customFormat="false" ht="12.75" hidden="false" customHeight="false" outlineLevel="0" collapsed="false">
      <c r="A11" s="5" t="n">
        <f aca="false">+A10+1</f>
        <v>6</v>
      </c>
      <c r="B11" s="2" t="n">
        <f aca="false">+B10</f>
        <v>1252</v>
      </c>
      <c r="C11" s="3" t="n">
        <f aca="false">+C10</f>
        <v>6.2825</v>
      </c>
      <c r="D11" s="7" t="n">
        <f aca="false">+B11*C11</f>
        <v>7865.69</v>
      </c>
      <c r="F11" s="2" t="n">
        <f aca="false">+F10</f>
        <v>4099</v>
      </c>
      <c r="G11" s="3" t="n">
        <f aca="false">+G10</f>
        <v>6.2825</v>
      </c>
      <c r="H11" s="7" t="n">
        <f aca="false">+F11*G11</f>
        <v>25751.9675</v>
      </c>
      <c r="J11" s="2" t="n">
        <f aca="false">+J10</f>
        <v>3674</v>
      </c>
      <c r="K11" s="3" t="n">
        <f aca="false">+K10</f>
        <v>6.2825</v>
      </c>
      <c r="L11" s="7" t="n">
        <f aca="false">+J11*K11</f>
        <v>23081.905</v>
      </c>
      <c r="N11" s="2" t="n">
        <f aca="false">+N10</f>
        <v>688</v>
      </c>
      <c r="O11" s="3" t="n">
        <f aca="false">+O10</f>
        <v>6.02</v>
      </c>
      <c r="P11" s="7" t="n">
        <f aca="false">+N11*O11</f>
        <v>4141.76</v>
      </c>
      <c r="R11" s="2" t="n">
        <f aca="false">+R10</f>
        <v>1857</v>
      </c>
      <c r="S11" s="3" t="n">
        <f aca="false">+S10</f>
        <v>0</v>
      </c>
      <c r="T11" s="7" t="n">
        <f aca="false">+R11*S11</f>
        <v>0</v>
      </c>
      <c r="W11" s="2" t="n">
        <f aca="false">SUM(B11,F11,J11,N11,R11)</f>
        <v>11570</v>
      </c>
      <c r="X11" s="4" t="n">
        <f aca="false">ROUND(+W11*(1-0.02184),0)-1</f>
        <v>11316</v>
      </c>
    </row>
    <row r="12" customFormat="false" ht="12.75" hidden="false" customHeight="false" outlineLevel="0" collapsed="false">
      <c r="A12" s="5" t="n">
        <f aca="false">+A11+1</f>
        <v>7</v>
      </c>
      <c r="B12" s="2" t="n">
        <f aca="false">+B11</f>
        <v>1252</v>
      </c>
      <c r="C12" s="3" t="n">
        <f aca="false">+C11</f>
        <v>6.2825</v>
      </c>
      <c r="D12" s="7" t="n">
        <f aca="false">+B12*C12</f>
        <v>7865.69</v>
      </c>
      <c r="F12" s="2" t="n">
        <f aca="false">+F11</f>
        <v>4099</v>
      </c>
      <c r="G12" s="3" t="n">
        <f aca="false">+G11</f>
        <v>6.2825</v>
      </c>
      <c r="H12" s="7" t="n">
        <f aca="false">+F12*G12</f>
        <v>25751.9675</v>
      </c>
      <c r="J12" s="2" t="n">
        <f aca="false">+J11</f>
        <v>3674</v>
      </c>
      <c r="K12" s="3" t="n">
        <f aca="false">+K11</f>
        <v>6.2825</v>
      </c>
      <c r="L12" s="7" t="n">
        <f aca="false">+J12*K12</f>
        <v>23081.905</v>
      </c>
      <c r="N12" s="2" t="n">
        <f aca="false">+N11</f>
        <v>688</v>
      </c>
      <c r="O12" s="3" t="n">
        <f aca="false">+O11</f>
        <v>6.02</v>
      </c>
      <c r="P12" s="7" t="n">
        <f aca="false">+N12*O12</f>
        <v>4141.76</v>
      </c>
      <c r="R12" s="2" t="n">
        <f aca="false">+R11</f>
        <v>1857</v>
      </c>
      <c r="S12" s="3" t="n">
        <f aca="false">+S11</f>
        <v>0</v>
      </c>
      <c r="T12" s="7" t="n">
        <f aca="false">+R12*S12</f>
        <v>0</v>
      </c>
      <c r="W12" s="2" t="n">
        <f aca="false">SUM(B12,F12,J12,N12,R12)</f>
        <v>11570</v>
      </c>
      <c r="X12" s="4" t="n">
        <f aca="false">ROUND(+W12*(1-0.02184),0)-1</f>
        <v>11316</v>
      </c>
    </row>
    <row r="13" customFormat="false" ht="12.75" hidden="false" customHeight="false" outlineLevel="0" collapsed="false">
      <c r="A13" s="5" t="n">
        <f aca="false">+A12+1</f>
        <v>8</v>
      </c>
      <c r="B13" s="2" t="n">
        <f aca="false">+B12</f>
        <v>1252</v>
      </c>
      <c r="C13" s="3" t="n">
        <f aca="false">+C12</f>
        <v>6.2825</v>
      </c>
      <c r="D13" s="7" t="n">
        <f aca="false">+B13*C13</f>
        <v>7865.69</v>
      </c>
      <c r="F13" s="2" t="n">
        <f aca="false">+F12</f>
        <v>4099</v>
      </c>
      <c r="G13" s="3" t="n">
        <f aca="false">+G12</f>
        <v>6.2825</v>
      </c>
      <c r="H13" s="7" t="n">
        <f aca="false">+F13*G13</f>
        <v>25751.9675</v>
      </c>
      <c r="J13" s="2" t="n">
        <f aca="false">+J12</f>
        <v>3674</v>
      </c>
      <c r="K13" s="3" t="n">
        <f aca="false">+K12</f>
        <v>6.2825</v>
      </c>
      <c r="L13" s="7" t="n">
        <f aca="false">+J13*K13</f>
        <v>23081.905</v>
      </c>
      <c r="N13" s="2" t="n">
        <f aca="false">+N12</f>
        <v>688</v>
      </c>
      <c r="O13" s="3" t="n">
        <f aca="false">+O12</f>
        <v>6.02</v>
      </c>
      <c r="P13" s="7" t="n">
        <f aca="false">+N13*O13</f>
        <v>4141.76</v>
      </c>
      <c r="R13" s="2" t="n">
        <f aca="false">+R12</f>
        <v>1857</v>
      </c>
      <c r="S13" s="3" t="n">
        <f aca="false">+S12</f>
        <v>0</v>
      </c>
      <c r="T13" s="7" t="n">
        <f aca="false">+R13*S13</f>
        <v>0</v>
      </c>
      <c r="W13" s="2" t="n">
        <f aca="false">SUM(B13,F13,J13,N13,R13)</f>
        <v>11570</v>
      </c>
      <c r="X13" s="4" t="n">
        <f aca="false">ROUND(+W13*(1-0.02184),0)-1</f>
        <v>11316</v>
      </c>
    </row>
    <row r="14" customFormat="false" ht="12.75" hidden="false" customHeight="false" outlineLevel="0" collapsed="false">
      <c r="A14" s="5" t="n">
        <f aca="false">+A13+1</f>
        <v>9</v>
      </c>
      <c r="B14" s="2" t="n">
        <f aca="false">+B13</f>
        <v>1252</v>
      </c>
      <c r="C14" s="3" t="n">
        <f aca="false">+C13</f>
        <v>6.2825</v>
      </c>
      <c r="D14" s="7" t="n">
        <f aca="false">+B14*C14</f>
        <v>7865.69</v>
      </c>
      <c r="F14" s="2" t="n">
        <f aca="false">+F13</f>
        <v>4099</v>
      </c>
      <c r="G14" s="3" t="n">
        <f aca="false">+G13</f>
        <v>6.2825</v>
      </c>
      <c r="H14" s="7" t="n">
        <f aca="false">+F14*G14</f>
        <v>25751.9675</v>
      </c>
      <c r="J14" s="2" t="n">
        <f aca="false">+J13</f>
        <v>3674</v>
      </c>
      <c r="K14" s="3" t="n">
        <f aca="false">+K13</f>
        <v>6.2825</v>
      </c>
      <c r="L14" s="7" t="n">
        <f aca="false">+J14*K14</f>
        <v>23081.905</v>
      </c>
      <c r="N14" s="2" t="n">
        <f aca="false">+N13</f>
        <v>688</v>
      </c>
      <c r="O14" s="3" t="n">
        <f aca="false">+O13</f>
        <v>6.02</v>
      </c>
      <c r="P14" s="7" t="n">
        <f aca="false">+N14*O14</f>
        <v>4141.76</v>
      </c>
      <c r="R14" s="2" t="n">
        <f aca="false">+R13</f>
        <v>1857</v>
      </c>
      <c r="S14" s="3" t="n">
        <f aca="false">+S13</f>
        <v>0</v>
      </c>
      <c r="T14" s="7" t="n">
        <f aca="false">+R14*S14</f>
        <v>0</v>
      </c>
      <c r="W14" s="2" t="n">
        <f aca="false">SUM(B14,F14,J14,N14,R14)</f>
        <v>11570</v>
      </c>
      <c r="X14" s="4" t="n">
        <f aca="false">ROUND(+W14*(1-0.02184),0)-1</f>
        <v>11316</v>
      </c>
    </row>
    <row r="15" customFormat="false" ht="12.75" hidden="false" customHeight="false" outlineLevel="0" collapsed="false">
      <c r="A15" s="5" t="n">
        <f aca="false">+A14+1</f>
        <v>10</v>
      </c>
      <c r="B15" s="2" t="n">
        <f aca="false">+B14</f>
        <v>1252</v>
      </c>
      <c r="C15" s="3" t="n">
        <f aca="false">+C14</f>
        <v>6.2825</v>
      </c>
      <c r="D15" s="7" t="n">
        <f aca="false">+B15*C15</f>
        <v>7865.69</v>
      </c>
      <c r="F15" s="2" t="n">
        <f aca="false">+F14</f>
        <v>4099</v>
      </c>
      <c r="G15" s="3" t="n">
        <f aca="false">+G14</f>
        <v>6.2825</v>
      </c>
      <c r="H15" s="7" t="n">
        <f aca="false">+F15*G15</f>
        <v>25751.9675</v>
      </c>
      <c r="J15" s="2" t="n">
        <f aca="false">+J14</f>
        <v>3674</v>
      </c>
      <c r="K15" s="3" t="n">
        <f aca="false">+K14</f>
        <v>6.2825</v>
      </c>
      <c r="L15" s="7" t="n">
        <f aca="false">+J15*K15</f>
        <v>23081.905</v>
      </c>
      <c r="N15" s="2" t="n">
        <f aca="false">+N14</f>
        <v>688</v>
      </c>
      <c r="O15" s="3" t="n">
        <f aca="false">+O14</f>
        <v>6.02</v>
      </c>
      <c r="P15" s="7" t="n">
        <f aca="false">+N15*O15</f>
        <v>4141.76</v>
      </c>
      <c r="R15" s="2" t="n">
        <f aca="false">+R14</f>
        <v>1857</v>
      </c>
      <c r="S15" s="3" t="n">
        <f aca="false">+S14</f>
        <v>0</v>
      </c>
      <c r="T15" s="7" t="n">
        <f aca="false">+R15*S15</f>
        <v>0</v>
      </c>
      <c r="W15" s="2" t="n">
        <f aca="false">SUM(B15,F15,J15,N15,R15)</f>
        <v>11570</v>
      </c>
      <c r="X15" s="4" t="n">
        <f aca="false">ROUND(+W15*(1-0.02184),0)-1</f>
        <v>11316</v>
      </c>
    </row>
    <row r="16" customFormat="false" ht="12.75" hidden="false" customHeight="false" outlineLevel="0" collapsed="false">
      <c r="A16" s="5" t="n">
        <f aca="false">+A15+1</f>
        <v>11</v>
      </c>
      <c r="B16" s="2" t="n">
        <f aca="false">+B15</f>
        <v>1252</v>
      </c>
      <c r="C16" s="3" t="n">
        <f aca="false">+C15</f>
        <v>6.2825</v>
      </c>
      <c r="D16" s="7" t="n">
        <f aca="false">+B16*C16</f>
        <v>7865.69</v>
      </c>
      <c r="F16" s="2" t="n">
        <f aca="false">+F15</f>
        <v>4099</v>
      </c>
      <c r="G16" s="3" t="n">
        <f aca="false">+G15</f>
        <v>6.2825</v>
      </c>
      <c r="H16" s="7" t="n">
        <f aca="false">+F16*G16</f>
        <v>25751.9675</v>
      </c>
      <c r="J16" s="2" t="n">
        <f aca="false">+J15</f>
        <v>3674</v>
      </c>
      <c r="K16" s="3" t="n">
        <f aca="false">+K15</f>
        <v>6.2825</v>
      </c>
      <c r="L16" s="7" t="n">
        <f aca="false">+J16*K16</f>
        <v>23081.905</v>
      </c>
      <c r="N16" s="2" t="n">
        <f aca="false">+N15</f>
        <v>688</v>
      </c>
      <c r="O16" s="3" t="n">
        <f aca="false">+O15</f>
        <v>6.02</v>
      </c>
      <c r="P16" s="7" t="n">
        <f aca="false">+N16*O16</f>
        <v>4141.76</v>
      </c>
      <c r="R16" s="2" t="n">
        <f aca="false">+R15</f>
        <v>1857</v>
      </c>
      <c r="S16" s="3" t="n">
        <f aca="false">+S15</f>
        <v>0</v>
      </c>
      <c r="T16" s="7" t="n">
        <f aca="false">+R16*S16</f>
        <v>0</v>
      </c>
      <c r="W16" s="2" t="n">
        <f aca="false">SUM(B16,F16,J16,N16,R16)</f>
        <v>11570</v>
      </c>
      <c r="X16" s="4" t="n">
        <f aca="false">ROUND(+W16*(1-0.02184),0)-1</f>
        <v>11316</v>
      </c>
    </row>
    <row r="17" customFormat="false" ht="12.75" hidden="false" customHeight="false" outlineLevel="0" collapsed="false">
      <c r="A17" s="5" t="n">
        <f aca="false">+A16+1</f>
        <v>12</v>
      </c>
      <c r="B17" s="2" t="n">
        <f aca="false">+B16</f>
        <v>1252</v>
      </c>
      <c r="C17" s="3" t="n">
        <f aca="false">+C16</f>
        <v>6.2825</v>
      </c>
      <c r="D17" s="7" t="n">
        <f aca="false">+B17*C17</f>
        <v>7865.69</v>
      </c>
      <c r="F17" s="2" t="n">
        <f aca="false">+F16</f>
        <v>4099</v>
      </c>
      <c r="G17" s="3" t="n">
        <f aca="false">+G16</f>
        <v>6.2825</v>
      </c>
      <c r="H17" s="7" t="n">
        <f aca="false">+F17*G17</f>
        <v>25751.9675</v>
      </c>
      <c r="J17" s="2" t="n">
        <f aca="false">+J16</f>
        <v>3674</v>
      </c>
      <c r="K17" s="3" t="n">
        <f aca="false">+K16</f>
        <v>6.2825</v>
      </c>
      <c r="L17" s="7" t="n">
        <f aca="false">+J17*K17</f>
        <v>23081.905</v>
      </c>
      <c r="N17" s="2" t="n">
        <f aca="false">+N16</f>
        <v>688</v>
      </c>
      <c r="O17" s="3" t="n">
        <f aca="false">+O16</f>
        <v>6.02</v>
      </c>
      <c r="P17" s="7" t="n">
        <f aca="false">+N17*O17</f>
        <v>4141.76</v>
      </c>
      <c r="R17" s="2" t="n">
        <f aca="false">+R16</f>
        <v>1857</v>
      </c>
      <c r="S17" s="3" t="n">
        <f aca="false">+S16</f>
        <v>0</v>
      </c>
      <c r="T17" s="7" t="n">
        <f aca="false">+R17*S17</f>
        <v>0</v>
      </c>
      <c r="W17" s="2" t="n">
        <f aca="false">SUM(B17,F17,J17,N17,R17)</f>
        <v>11570</v>
      </c>
      <c r="X17" s="4" t="n">
        <f aca="false">ROUND(+W17*(1-0.02184),0)-1</f>
        <v>11316</v>
      </c>
    </row>
    <row r="18" customFormat="false" ht="12.75" hidden="false" customHeight="false" outlineLevel="0" collapsed="false">
      <c r="A18" s="5" t="n">
        <f aca="false">+A17+1</f>
        <v>13</v>
      </c>
      <c r="B18" s="2" t="n">
        <f aca="false">+B17</f>
        <v>1252</v>
      </c>
      <c r="C18" s="3" t="n">
        <f aca="false">+C17</f>
        <v>6.2825</v>
      </c>
      <c r="D18" s="7" t="n">
        <f aca="false">+B18*C18</f>
        <v>7865.69</v>
      </c>
      <c r="F18" s="2" t="n">
        <f aca="false">+F17</f>
        <v>4099</v>
      </c>
      <c r="G18" s="3" t="n">
        <f aca="false">+G17</f>
        <v>6.2825</v>
      </c>
      <c r="H18" s="7" t="n">
        <f aca="false">+F18*G18</f>
        <v>25751.9675</v>
      </c>
      <c r="J18" s="2" t="n">
        <f aca="false">+J17</f>
        <v>3674</v>
      </c>
      <c r="K18" s="3" t="n">
        <f aca="false">+K17</f>
        <v>6.2825</v>
      </c>
      <c r="L18" s="7" t="n">
        <f aca="false">+J18*K18</f>
        <v>23081.905</v>
      </c>
      <c r="N18" s="2" t="n">
        <f aca="false">+N17</f>
        <v>688</v>
      </c>
      <c r="O18" s="3" t="n">
        <f aca="false">+O17</f>
        <v>6.02</v>
      </c>
      <c r="P18" s="7" t="n">
        <f aca="false">+N18*O18</f>
        <v>4141.76</v>
      </c>
      <c r="R18" s="2" t="n">
        <f aca="false">+R17</f>
        <v>1857</v>
      </c>
      <c r="S18" s="3" t="n">
        <f aca="false">+S17</f>
        <v>0</v>
      </c>
      <c r="T18" s="7" t="n">
        <f aca="false">+R18*S18</f>
        <v>0</v>
      </c>
      <c r="W18" s="2" t="n">
        <f aca="false">SUM(B18,F18,J18,N18,R18)</f>
        <v>11570</v>
      </c>
      <c r="X18" s="4" t="n">
        <f aca="false">ROUND(+W18*(1-0.02184),0)-1</f>
        <v>11316</v>
      </c>
    </row>
    <row r="19" customFormat="false" ht="12.75" hidden="false" customHeight="false" outlineLevel="0" collapsed="false">
      <c r="A19" s="5" t="n">
        <f aca="false">+A18+1</f>
        <v>14</v>
      </c>
      <c r="B19" s="2" t="n">
        <f aca="false">+B18</f>
        <v>1252</v>
      </c>
      <c r="C19" s="3" t="n">
        <f aca="false">+C18</f>
        <v>6.2825</v>
      </c>
      <c r="D19" s="7" t="n">
        <f aca="false">+B19*C19</f>
        <v>7865.69</v>
      </c>
      <c r="F19" s="2" t="n">
        <f aca="false">+F18</f>
        <v>4099</v>
      </c>
      <c r="G19" s="3" t="n">
        <f aca="false">+G18</f>
        <v>6.2825</v>
      </c>
      <c r="H19" s="7" t="n">
        <f aca="false">+F19*G19</f>
        <v>25751.9675</v>
      </c>
      <c r="J19" s="2" t="n">
        <f aca="false">+J18</f>
        <v>3674</v>
      </c>
      <c r="K19" s="3" t="n">
        <f aca="false">+K18</f>
        <v>6.2825</v>
      </c>
      <c r="L19" s="7" t="n">
        <f aca="false">+J19*K19</f>
        <v>23081.905</v>
      </c>
      <c r="N19" s="2" t="n">
        <f aca="false">+N18</f>
        <v>688</v>
      </c>
      <c r="O19" s="3" t="n">
        <f aca="false">+O18</f>
        <v>6.02</v>
      </c>
      <c r="P19" s="7" t="n">
        <f aca="false">+N19*O19</f>
        <v>4141.76</v>
      </c>
      <c r="R19" s="2" t="n">
        <f aca="false">+R18</f>
        <v>1857</v>
      </c>
      <c r="S19" s="3" t="n">
        <f aca="false">+S18</f>
        <v>0</v>
      </c>
      <c r="T19" s="7" t="n">
        <f aca="false">+R19*S19</f>
        <v>0</v>
      </c>
      <c r="W19" s="2" t="n">
        <f aca="false">SUM(B19,F19,J19,N19,R19)</f>
        <v>11570</v>
      </c>
      <c r="X19" s="4" t="n">
        <f aca="false">ROUND(+W19*(1-0.02184),0)-1</f>
        <v>11316</v>
      </c>
    </row>
    <row r="20" customFormat="false" ht="12.75" hidden="false" customHeight="false" outlineLevel="0" collapsed="false">
      <c r="A20" s="5" t="n">
        <f aca="false">+A19+1</f>
        <v>15</v>
      </c>
      <c r="B20" s="2" t="n">
        <f aca="false">+B19</f>
        <v>1252</v>
      </c>
      <c r="C20" s="3" t="n">
        <f aca="false">+C19</f>
        <v>6.2825</v>
      </c>
      <c r="D20" s="7" t="n">
        <f aca="false">+B20*C20</f>
        <v>7865.69</v>
      </c>
      <c r="F20" s="2" t="n">
        <f aca="false">+F19</f>
        <v>4099</v>
      </c>
      <c r="G20" s="3" t="n">
        <f aca="false">+G19</f>
        <v>6.2825</v>
      </c>
      <c r="H20" s="7" t="n">
        <f aca="false">+F20*G20</f>
        <v>25751.9675</v>
      </c>
      <c r="J20" s="2" t="n">
        <f aca="false">+J19</f>
        <v>3674</v>
      </c>
      <c r="K20" s="3" t="n">
        <f aca="false">+K19</f>
        <v>6.2825</v>
      </c>
      <c r="L20" s="7" t="n">
        <f aca="false">+J20*K20</f>
        <v>23081.905</v>
      </c>
      <c r="N20" s="2" t="n">
        <f aca="false">+N19</f>
        <v>688</v>
      </c>
      <c r="O20" s="3" t="n">
        <f aca="false">+O19</f>
        <v>6.02</v>
      </c>
      <c r="P20" s="7" t="n">
        <f aca="false">+N20*O20</f>
        <v>4141.76</v>
      </c>
      <c r="R20" s="2" t="n">
        <f aca="false">+R19</f>
        <v>1857</v>
      </c>
      <c r="S20" s="3" t="n">
        <f aca="false">+S19</f>
        <v>0</v>
      </c>
      <c r="T20" s="7" t="n">
        <f aca="false">+R20*S20</f>
        <v>0</v>
      </c>
      <c r="W20" s="2" t="n">
        <f aca="false">SUM(B20,F20,J20,N20,R20)</f>
        <v>11570</v>
      </c>
      <c r="X20" s="4" t="n">
        <f aca="false">ROUND(+W20*(1-0.02184),0)-1</f>
        <v>11316</v>
      </c>
    </row>
    <row r="21" customFormat="false" ht="12.75" hidden="false" customHeight="false" outlineLevel="0" collapsed="false">
      <c r="A21" s="5" t="n">
        <f aca="false">+A20+1</f>
        <v>16</v>
      </c>
      <c r="B21" s="2" t="n">
        <f aca="false">+B20</f>
        <v>1252</v>
      </c>
      <c r="C21" s="3" t="n">
        <f aca="false">+C20</f>
        <v>6.2825</v>
      </c>
      <c r="D21" s="7" t="n">
        <f aca="false">+B21*C21</f>
        <v>7865.69</v>
      </c>
      <c r="F21" s="2" t="n">
        <f aca="false">+F20</f>
        <v>4099</v>
      </c>
      <c r="G21" s="3" t="n">
        <f aca="false">+G20</f>
        <v>6.2825</v>
      </c>
      <c r="H21" s="7" t="n">
        <f aca="false">+F21*G21</f>
        <v>25751.9675</v>
      </c>
      <c r="J21" s="2" t="n">
        <f aca="false">+J20</f>
        <v>3674</v>
      </c>
      <c r="K21" s="3" t="n">
        <f aca="false">+K20</f>
        <v>6.2825</v>
      </c>
      <c r="L21" s="7" t="n">
        <f aca="false">+J21*K21</f>
        <v>23081.905</v>
      </c>
      <c r="N21" s="2" t="n">
        <f aca="false">+N20</f>
        <v>688</v>
      </c>
      <c r="O21" s="3" t="n">
        <f aca="false">+O20</f>
        <v>6.02</v>
      </c>
      <c r="P21" s="7" t="n">
        <f aca="false">+N21*O21</f>
        <v>4141.76</v>
      </c>
      <c r="R21" s="2" t="n">
        <f aca="false">+R20</f>
        <v>1857</v>
      </c>
      <c r="S21" s="3" t="n">
        <f aca="false">+S20</f>
        <v>0</v>
      </c>
      <c r="T21" s="7" t="n">
        <f aca="false">+R21*S21</f>
        <v>0</v>
      </c>
      <c r="W21" s="2" t="n">
        <f aca="false">SUM(B21,F21,J21,N21,R21)</f>
        <v>11570</v>
      </c>
      <c r="X21" s="4" t="n">
        <f aca="false">ROUND(+W21*(1-0.02184),0)-1</f>
        <v>11316</v>
      </c>
    </row>
    <row r="22" customFormat="false" ht="12.75" hidden="false" customHeight="false" outlineLevel="0" collapsed="false">
      <c r="A22" s="5" t="n">
        <f aca="false">+A21+1</f>
        <v>17</v>
      </c>
      <c r="B22" s="2" t="n">
        <f aca="false">+B21</f>
        <v>1252</v>
      </c>
      <c r="C22" s="3" t="n">
        <f aca="false">+C21</f>
        <v>6.2825</v>
      </c>
      <c r="D22" s="7" t="n">
        <f aca="false">+B22*C22</f>
        <v>7865.69</v>
      </c>
      <c r="F22" s="2" t="n">
        <f aca="false">+F21</f>
        <v>4099</v>
      </c>
      <c r="G22" s="3" t="n">
        <f aca="false">+G21</f>
        <v>6.2825</v>
      </c>
      <c r="H22" s="7" t="n">
        <f aca="false">+F22*G22</f>
        <v>25751.9675</v>
      </c>
      <c r="J22" s="2" t="n">
        <f aca="false">+J21</f>
        <v>3674</v>
      </c>
      <c r="K22" s="3" t="n">
        <f aca="false">+K21</f>
        <v>6.2825</v>
      </c>
      <c r="L22" s="7" t="n">
        <f aca="false">+J22*K22</f>
        <v>23081.905</v>
      </c>
      <c r="N22" s="2" t="n">
        <f aca="false">+N21</f>
        <v>688</v>
      </c>
      <c r="O22" s="3" t="n">
        <f aca="false">+O21</f>
        <v>6.02</v>
      </c>
      <c r="P22" s="7" t="n">
        <f aca="false">+N22*O22</f>
        <v>4141.76</v>
      </c>
      <c r="R22" s="2" t="n">
        <f aca="false">+R21</f>
        <v>1857</v>
      </c>
      <c r="S22" s="3" t="n">
        <f aca="false">+S21</f>
        <v>0</v>
      </c>
      <c r="T22" s="7" t="n">
        <f aca="false">+R22*S22</f>
        <v>0</v>
      </c>
      <c r="W22" s="2" t="n">
        <f aca="false">SUM(B22,F22,J22,N22,R22)</f>
        <v>11570</v>
      </c>
      <c r="X22" s="4" t="n">
        <f aca="false">ROUND(+W22*(1-0.02184),0)-1</f>
        <v>11316</v>
      </c>
    </row>
    <row r="23" customFormat="false" ht="12.75" hidden="false" customHeight="false" outlineLevel="0" collapsed="false">
      <c r="A23" s="5" t="n">
        <f aca="false">+A22+1</f>
        <v>18</v>
      </c>
      <c r="B23" s="2" t="n">
        <f aca="false">+B22</f>
        <v>1252</v>
      </c>
      <c r="C23" s="3" t="n">
        <f aca="false">+C22</f>
        <v>6.2825</v>
      </c>
      <c r="D23" s="7" t="n">
        <f aca="false">+B23*C23</f>
        <v>7865.69</v>
      </c>
      <c r="F23" s="2" t="n">
        <f aca="false">+F22</f>
        <v>4099</v>
      </c>
      <c r="G23" s="3" t="n">
        <f aca="false">+G22</f>
        <v>6.2825</v>
      </c>
      <c r="H23" s="7" t="n">
        <f aca="false">+F23*G23</f>
        <v>25751.9675</v>
      </c>
      <c r="J23" s="2" t="n">
        <f aca="false">+J22</f>
        <v>3674</v>
      </c>
      <c r="K23" s="3" t="n">
        <f aca="false">+K22</f>
        <v>6.2825</v>
      </c>
      <c r="L23" s="7" t="n">
        <f aca="false">+J23*K23</f>
        <v>23081.905</v>
      </c>
      <c r="N23" s="2" t="n">
        <f aca="false">+N22</f>
        <v>688</v>
      </c>
      <c r="O23" s="3" t="n">
        <f aca="false">+O22</f>
        <v>6.02</v>
      </c>
      <c r="P23" s="7" t="n">
        <f aca="false">+N23*O23</f>
        <v>4141.76</v>
      </c>
      <c r="R23" s="2" t="n">
        <f aca="false">+R22</f>
        <v>1857</v>
      </c>
      <c r="S23" s="3" t="n">
        <f aca="false">+S22</f>
        <v>0</v>
      </c>
      <c r="T23" s="7" t="n">
        <f aca="false">+R23*S23</f>
        <v>0</v>
      </c>
      <c r="W23" s="2" t="n">
        <f aca="false">SUM(B23,F23,J23,N23,R23)</f>
        <v>11570</v>
      </c>
      <c r="X23" s="4" t="n">
        <f aca="false">ROUND(+W23*(1-0.02184),0)-1</f>
        <v>11316</v>
      </c>
    </row>
    <row r="24" customFormat="false" ht="12.75" hidden="false" customHeight="false" outlineLevel="0" collapsed="false">
      <c r="A24" s="5" t="n">
        <f aca="false">+A23+1</f>
        <v>19</v>
      </c>
      <c r="B24" s="2" t="n">
        <f aca="false">+B23</f>
        <v>1252</v>
      </c>
      <c r="C24" s="3" t="n">
        <f aca="false">+C23</f>
        <v>6.2825</v>
      </c>
      <c r="D24" s="7" t="n">
        <f aca="false">+B24*C24</f>
        <v>7865.69</v>
      </c>
      <c r="F24" s="2" t="n">
        <f aca="false">+F23</f>
        <v>4099</v>
      </c>
      <c r="G24" s="3" t="n">
        <f aca="false">+G23</f>
        <v>6.2825</v>
      </c>
      <c r="H24" s="7" t="n">
        <f aca="false">+F24*G24</f>
        <v>25751.9675</v>
      </c>
      <c r="J24" s="2" t="n">
        <f aca="false">+J23</f>
        <v>3674</v>
      </c>
      <c r="K24" s="3" t="n">
        <f aca="false">+K23</f>
        <v>6.2825</v>
      </c>
      <c r="L24" s="7" t="n">
        <f aca="false">+J24*K24</f>
        <v>23081.905</v>
      </c>
      <c r="N24" s="2" t="n">
        <f aca="false">+N23</f>
        <v>688</v>
      </c>
      <c r="O24" s="3" t="n">
        <f aca="false">+O23</f>
        <v>6.02</v>
      </c>
      <c r="P24" s="7" t="n">
        <f aca="false">+N24*O24</f>
        <v>4141.76</v>
      </c>
      <c r="R24" s="2" t="n">
        <f aca="false">+R23</f>
        <v>1857</v>
      </c>
      <c r="S24" s="3" t="n">
        <f aca="false">+S23</f>
        <v>0</v>
      </c>
      <c r="T24" s="7" t="n">
        <f aca="false">+R24*S24</f>
        <v>0</v>
      </c>
      <c r="W24" s="2" t="n">
        <f aca="false">SUM(B24,F24,J24,N24,R24)</f>
        <v>11570</v>
      </c>
      <c r="X24" s="4" t="n">
        <f aca="false">ROUND(+W24*(1-0.02184),0)-1</f>
        <v>11316</v>
      </c>
    </row>
    <row r="25" customFormat="false" ht="12.75" hidden="false" customHeight="false" outlineLevel="0" collapsed="false">
      <c r="A25" s="5" t="n">
        <f aca="false">+A24+1</f>
        <v>20</v>
      </c>
      <c r="B25" s="2" t="n">
        <f aca="false">+B24</f>
        <v>1252</v>
      </c>
      <c r="C25" s="3" t="n">
        <f aca="false">+C24</f>
        <v>6.2825</v>
      </c>
      <c r="D25" s="7" t="n">
        <f aca="false">+B25*C25</f>
        <v>7865.69</v>
      </c>
      <c r="F25" s="2" t="n">
        <f aca="false">+F24</f>
        <v>4099</v>
      </c>
      <c r="G25" s="3" t="n">
        <f aca="false">+G24</f>
        <v>6.2825</v>
      </c>
      <c r="H25" s="7" t="n">
        <f aca="false">+F25*G25</f>
        <v>25751.9675</v>
      </c>
      <c r="J25" s="2" t="n">
        <f aca="false">+J24</f>
        <v>3674</v>
      </c>
      <c r="K25" s="3" t="n">
        <f aca="false">+K24</f>
        <v>6.2825</v>
      </c>
      <c r="L25" s="7" t="n">
        <f aca="false">+J25*K25</f>
        <v>23081.905</v>
      </c>
      <c r="N25" s="2" t="n">
        <f aca="false">+N24</f>
        <v>688</v>
      </c>
      <c r="O25" s="3" t="n">
        <f aca="false">+O24</f>
        <v>6.02</v>
      </c>
      <c r="P25" s="7" t="n">
        <f aca="false">+N25*O25</f>
        <v>4141.76</v>
      </c>
      <c r="R25" s="2" t="n">
        <f aca="false">+R24</f>
        <v>1857</v>
      </c>
      <c r="S25" s="3" t="n">
        <f aca="false">+S24</f>
        <v>0</v>
      </c>
      <c r="T25" s="7" t="n">
        <f aca="false">+R25*S25</f>
        <v>0</v>
      </c>
      <c r="W25" s="2" t="n">
        <f aca="false">SUM(B25,F25,J25,N25,R25)</f>
        <v>11570</v>
      </c>
      <c r="X25" s="4" t="n">
        <f aca="false">ROUND(+W25*(1-0.02184),0)-1</f>
        <v>11316</v>
      </c>
    </row>
    <row r="26" customFormat="false" ht="12.75" hidden="false" customHeight="false" outlineLevel="0" collapsed="false">
      <c r="A26" s="5" t="n">
        <f aca="false">+A25+1</f>
        <v>21</v>
      </c>
      <c r="B26" s="2" t="n">
        <f aca="false">+B25</f>
        <v>1252</v>
      </c>
      <c r="C26" s="3" t="n">
        <f aca="false">+C25</f>
        <v>6.2825</v>
      </c>
      <c r="D26" s="7" t="n">
        <f aca="false">+B26*C26</f>
        <v>7865.69</v>
      </c>
      <c r="F26" s="2" t="n">
        <f aca="false">+F25</f>
        <v>4099</v>
      </c>
      <c r="G26" s="3" t="n">
        <f aca="false">+G25</f>
        <v>6.2825</v>
      </c>
      <c r="H26" s="7" t="n">
        <f aca="false">+F26*G26</f>
        <v>25751.9675</v>
      </c>
      <c r="J26" s="2" t="n">
        <f aca="false">+J25</f>
        <v>3674</v>
      </c>
      <c r="K26" s="3" t="n">
        <f aca="false">+K25</f>
        <v>6.2825</v>
      </c>
      <c r="L26" s="7" t="n">
        <f aca="false">+J26*K26</f>
        <v>23081.905</v>
      </c>
      <c r="N26" s="2" t="n">
        <f aca="false">+N25</f>
        <v>688</v>
      </c>
      <c r="O26" s="3" t="n">
        <f aca="false">+O25</f>
        <v>6.02</v>
      </c>
      <c r="P26" s="7" t="n">
        <f aca="false">+N26*O26</f>
        <v>4141.76</v>
      </c>
      <c r="R26" s="2" t="n">
        <f aca="false">+R25</f>
        <v>1857</v>
      </c>
      <c r="S26" s="3" t="n">
        <f aca="false">+S25</f>
        <v>0</v>
      </c>
      <c r="T26" s="7" t="n">
        <f aca="false">+R26*S26</f>
        <v>0</v>
      </c>
      <c r="W26" s="2" t="n">
        <f aca="false">SUM(B26,F26,J26,N26,R26)</f>
        <v>11570</v>
      </c>
      <c r="X26" s="4" t="n">
        <f aca="false">ROUND(+W26*(1-0.02184),0)-1</f>
        <v>11316</v>
      </c>
    </row>
    <row r="27" customFormat="false" ht="12.75" hidden="false" customHeight="false" outlineLevel="0" collapsed="false">
      <c r="A27" s="5" t="n">
        <f aca="false">+A26+1</f>
        <v>22</v>
      </c>
      <c r="B27" s="2" t="n">
        <f aca="false">+B26</f>
        <v>1252</v>
      </c>
      <c r="C27" s="3" t="n">
        <f aca="false">+C26</f>
        <v>6.2825</v>
      </c>
      <c r="D27" s="7" t="n">
        <f aca="false">+B27*C27</f>
        <v>7865.69</v>
      </c>
      <c r="F27" s="2" t="n">
        <f aca="false">+F26</f>
        <v>4099</v>
      </c>
      <c r="G27" s="3" t="n">
        <f aca="false">+G26</f>
        <v>6.2825</v>
      </c>
      <c r="H27" s="7" t="n">
        <f aca="false">+F27*G27</f>
        <v>25751.9675</v>
      </c>
      <c r="J27" s="2" t="n">
        <f aca="false">+J26</f>
        <v>3674</v>
      </c>
      <c r="K27" s="3" t="n">
        <f aca="false">+K26</f>
        <v>6.2825</v>
      </c>
      <c r="L27" s="7" t="n">
        <f aca="false">+J27*K27</f>
        <v>23081.905</v>
      </c>
      <c r="N27" s="2" t="n">
        <f aca="false">+N26</f>
        <v>688</v>
      </c>
      <c r="O27" s="3" t="n">
        <f aca="false">+O26</f>
        <v>6.02</v>
      </c>
      <c r="P27" s="7" t="n">
        <f aca="false">+N27*O27</f>
        <v>4141.76</v>
      </c>
      <c r="R27" s="2" t="n">
        <f aca="false">+R26</f>
        <v>1857</v>
      </c>
      <c r="S27" s="3" t="n">
        <f aca="false">+S26</f>
        <v>0</v>
      </c>
      <c r="T27" s="7" t="n">
        <f aca="false">+R27*S27</f>
        <v>0</v>
      </c>
      <c r="W27" s="2" t="n">
        <f aca="false">SUM(B27,F27,J27,N27,R27)</f>
        <v>11570</v>
      </c>
      <c r="X27" s="4" t="n">
        <f aca="false">ROUND(+W27*(1-0.02184),0)-1</f>
        <v>11316</v>
      </c>
    </row>
    <row r="28" customFormat="false" ht="12.75" hidden="false" customHeight="false" outlineLevel="0" collapsed="false">
      <c r="A28" s="5" t="n">
        <f aca="false">+A27+1</f>
        <v>23</v>
      </c>
      <c r="B28" s="2" t="n">
        <f aca="false">+B27</f>
        <v>1252</v>
      </c>
      <c r="C28" s="3" t="n">
        <f aca="false">+C27</f>
        <v>6.2825</v>
      </c>
      <c r="D28" s="7" t="n">
        <f aca="false">+B28*C28</f>
        <v>7865.69</v>
      </c>
      <c r="F28" s="2" t="n">
        <f aca="false">+F27</f>
        <v>4099</v>
      </c>
      <c r="G28" s="3" t="n">
        <f aca="false">+G27</f>
        <v>6.2825</v>
      </c>
      <c r="H28" s="7" t="n">
        <f aca="false">+F28*G28</f>
        <v>25751.9675</v>
      </c>
      <c r="J28" s="2" t="n">
        <f aca="false">+J27</f>
        <v>3674</v>
      </c>
      <c r="K28" s="3" t="n">
        <f aca="false">+K27</f>
        <v>6.2825</v>
      </c>
      <c r="L28" s="7" t="n">
        <f aca="false">+J28*K28</f>
        <v>23081.905</v>
      </c>
      <c r="N28" s="2" t="n">
        <f aca="false">+N27</f>
        <v>688</v>
      </c>
      <c r="O28" s="3" t="n">
        <f aca="false">+O27</f>
        <v>6.02</v>
      </c>
      <c r="P28" s="7" t="n">
        <f aca="false">+N28*O28</f>
        <v>4141.76</v>
      </c>
      <c r="R28" s="2" t="n">
        <f aca="false">+R27</f>
        <v>1857</v>
      </c>
      <c r="S28" s="3" t="n">
        <f aca="false">+S27</f>
        <v>0</v>
      </c>
      <c r="T28" s="7" t="n">
        <f aca="false">+R28*S28</f>
        <v>0</v>
      </c>
      <c r="W28" s="2" t="n">
        <f aca="false">SUM(B28,F28,J28,N28,R28)</f>
        <v>11570</v>
      </c>
      <c r="X28" s="4" t="n">
        <f aca="false">ROUND(+W28*(1-0.02184),0)-1</f>
        <v>11316</v>
      </c>
    </row>
    <row r="29" customFormat="false" ht="12.75" hidden="false" customHeight="false" outlineLevel="0" collapsed="false">
      <c r="A29" s="5" t="n">
        <f aca="false">+A28+1</f>
        <v>24</v>
      </c>
      <c r="B29" s="2" t="n">
        <f aca="false">+B28</f>
        <v>1252</v>
      </c>
      <c r="C29" s="3" t="n">
        <f aca="false">+C28</f>
        <v>6.2825</v>
      </c>
      <c r="D29" s="7" t="n">
        <f aca="false">+B29*C29</f>
        <v>7865.69</v>
      </c>
      <c r="F29" s="2" t="n">
        <f aca="false">+F28</f>
        <v>4099</v>
      </c>
      <c r="G29" s="3" t="n">
        <f aca="false">+G28</f>
        <v>6.2825</v>
      </c>
      <c r="H29" s="7" t="n">
        <f aca="false">+F29*G29</f>
        <v>25751.9675</v>
      </c>
      <c r="J29" s="2" t="n">
        <f aca="false">+J28</f>
        <v>3674</v>
      </c>
      <c r="K29" s="3" t="n">
        <f aca="false">+K28</f>
        <v>6.2825</v>
      </c>
      <c r="L29" s="7" t="n">
        <f aca="false">+J29*K29</f>
        <v>23081.905</v>
      </c>
      <c r="N29" s="2" t="n">
        <f aca="false">+N28</f>
        <v>688</v>
      </c>
      <c r="O29" s="3" t="n">
        <f aca="false">+O28</f>
        <v>6.02</v>
      </c>
      <c r="P29" s="7" t="n">
        <f aca="false">+N29*O29</f>
        <v>4141.76</v>
      </c>
      <c r="R29" s="2" t="n">
        <f aca="false">+R28</f>
        <v>1857</v>
      </c>
      <c r="S29" s="3" t="n">
        <f aca="false">+S28</f>
        <v>0</v>
      </c>
      <c r="T29" s="7" t="n">
        <f aca="false">+R29*S29</f>
        <v>0</v>
      </c>
      <c r="W29" s="2" t="n">
        <f aca="false">SUM(B29,F29,J29,N29,R29)</f>
        <v>11570</v>
      </c>
      <c r="X29" s="4" t="n">
        <f aca="false">ROUND(+W29*(1-0.02184),0)-1</f>
        <v>11316</v>
      </c>
    </row>
    <row r="30" customFormat="false" ht="12.75" hidden="false" customHeight="false" outlineLevel="0" collapsed="false">
      <c r="A30" s="5" t="n">
        <f aca="false">+A29+1</f>
        <v>25</v>
      </c>
      <c r="B30" s="2" t="n">
        <f aca="false">+B29</f>
        <v>1252</v>
      </c>
      <c r="C30" s="3" t="n">
        <f aca="false">+C29</f>
        <v>6.2825</v>
      </c>
      <c r="D30" s="7" t="n">
        <f aca="false">+B30*C30</f>
        <v>7865.69</v>
      </c>
      <c r="F30" s="2" t="n">
        <f aca="false">+F29</f>
        <v>4099</v>
      </c>
      <c r="G30" s="3" t="n">
        <f aca="false">+G29</f>
        <v>6.2825</v>
      </c>
      <c r="H30" s="7" t="n">
        <f aca="false">+F30*G30</f>
        <v>25751.9675</v>
      </c>
      <c r="J30" s="2" t="n">
        <f aca="false">+J29</f>
        <v>3674</v>
      </c>
      <c r="K30" s="3" t="n">
        <f aca="false">+K29</f>
        <v>6.2825</v>
      </c>
      <c r="L30" s="7" t="n">
        <f aca="false">+J30*K30</f>
        <v>23081.905</v>
      </c>
      <c r="N30" s="2" t="n">
        <f aca="false">+N29</f>
        <v>688</v>
      </c>
      <c r="O30" s="3" t="n">
        <f aca="false">+O29</f>
        <v>6.02</v>
      </c>
      <c r="P30" s="7" t="n">
        <f aca="false">+N30*O30</f>
        <v>4141.76</v>
      </c>
      <c r="R30" s="2" t="n">
        <f aca="false">+R29</f>
        <v>1857</v>
      </c>
      <c r="S30" s="3" t="n">
        <f aca="false">+S29</f>
        <v>0</v>
      </c>
      <c r="T30" s="7" t="n">
        <f aca="false">+R30*S30</f>
        <v>0</v>
      </c>
      <c r="W30" s="2" t="n">
        <f aca="false">SUM(B30,F30,J30,N30,R30)</f>
        <v>11570</v>
      </c>
      <c r="X30" s="4" t="n">
        <f aca="false">ROUND(+W30*(1-0.02184),0)-1</f>
        <v>11316</v>
      </c>
    </row>
    <row r="31" customFormat="false" ht="12.75" hidden="false" customHeight="false" outlineLevel="0" collapsed="false">
      <c r="A31" s="5" t="n">
        <f aca="false">+A30+1</f>
        <v>26</v>
      </c>
      <c r="B31" s="2" t="n">
        <f aca="false">+B30</f>
        <v>1252</v>
      </c>
      <c r="C31" s="3" t="n">
        <f aca="false">+C30</f>
        <v>6.2825</v>
      </c>
      <c r="D31" s="7" t="n">
        <f aca="false">+B31*C31</f>
        <v>7865.69</v>
      </c>
      <c r="F31" s="2" t="n">
        <f aca="false">+F30</f>
        <v>4099</v>
      </c>
      <c r="G31" s="3" t="n">
        <f aca="false">+G30</f>
        <v>6.2825</v>
      </c>
      <c r="H31" s="7" t="n">
        <f aca="false">+F31*G31</f>
        <v>25751.9675</v>
      </c>
      <c r="J31" s="2" t="n">
        <f aca="false">+J30</f>
        <v>3674</v>
      </c>
      <c r="K31" s="3" t="n">
        <f aca="false">+K30</f>
        <v>6.2825</v>
      </c>
      <c r="L31" s="7" t="n">
        <f aca="false">+J31*K31</f>
        <v>23081.905</v>
      </c>
      <c r="N31" s="2" t="n">
        <f aca="false">+N30</f>
        <v>688</v>
      </c>
      <c r="O31" s="3" t="n">
        <f aca="false">+O30</f>
        <v>6.02</v>
      </c>
      <c r="P31" s="7" t="n">
        <f aca="false">+N31*O31</f>
        <v>4141.76</v>
      </c>
      <c r="R31" s="2" t="n">
        <f aca="false">+R30</f>
        <v>1857</v>
      </c>
      <c r="S31" s="3" t="n">
        <f aca="false">+S30</f>
        <v>0</v>
      </c>
      <c r="T31" s="7" t="n">
        <f aca="false">+R31*S31</f>
        <v>0</v>
      </c>
      <c r="W31" s="2" t="n">
        <f aca="false">SUM(B31,F31,J31,N31,R31)</f>
        <v>11570</v>
      </c>
      <c r="X31" s="4" t="n">
        <f aca="false">ROUND(+W31*(1-0.02184),0)-1</f>
        <v>11316</v>
      </c>
    </row>
    <row r="32" customFormat="false" ht="12.75" hidden="false" customHeight="false" outlineLevel="0" collapsed="false">
      <c r="A32" s="5" t="n">
        <f aca="false">+A31+1</f>
        <v>27</v>
      </c>
      <c r="B32" s="2" t="n">
        <f aca="false">+B31</f>
        <v>1252</v>
      </c>
      <c r="C32" s="3" t="n">
        <f aca="false">+C31</f>
        <v>6.2825</v>
      </c>
      <c r="D32" s="7" t="n">
        <f aca="false">+B32*C32</f>
        <v>7865.69</v>
      </c>
      <c r="F32" s="2" t="n">
        <f aca="false">+F31</f>
        <v>4099</v>
      </c>
      <c r="G32" s="3" t="n">
        <f aca="false">+G31</f>
        <v>6.2825</v>
      </c>
      <c r="H32" s="7" t="n">
        <f aca="false">+F32*G32</f>
        <v>25751.9675</v>
      </c>
      <c r="J32" s="2" t="n">
        <f aca="false">+J31</f>
        <v>3674</v>
      </c>
      <c r="K32" s="3" t="n">
        <f aca="false">+K31</f>
        <v>6.2825</v>
      </c>
      <c r="L32" s="7" t="n">
        <f aca="false">+J32*K32</f>
        <v>23081.905</v>
      </c>
      <c r="N32" s="2" t="n">
        <f aca="false">+N31</f>
        <v>688</v>
      </c>
      <c r="O32" s="3" t="n">
        <f aca="false">+O31</f>
        <v>6.02</v>
      </c>
      <c r="P32" s="7" t="n">
        <f aca="false">+N32*O32</f>
        <v>4141.76</v>
      </c>
      <c r="R32" s="2" t="n">
        <f aca="false">+R31</f>
        <v>1857</v>
      </c>
      <c r="S32" s="3" t="n">
        <f aca="false">+S31</f>
        <v>0</v>
      </c>
      <c r="T32" s="7" t="n">
        <f aca="false">+R32*S32</f>
        <v>0</v>
      </c>
      <c r="W32" s="2" t="n">
        <f aca="false">SUM(B32,F32,J32,N32,R32)</f>
        <v>11570</v>
      </c>
      <c r="X32" s="4" t="n">
        <f aca="false">ROUND(+W32*(1-0.02184),0)-1</f>
        <v>11316</v>
      </c>
    </row>
    <row r="33" customFormat="false" ht="12.75" hidden="false" customHeight="false" outlineLevel="0" collapsed="false">
      <c r="A33" s="5" t="n">
        <f aca="false">+A32+1</f>
        <v>28</v>
      </c>
      <c r="B33" s="2" t="n">
        <f aca="false">+B32</f>
        <v>1252</v>
      </c>
      <c r="C33" s="3" t="n">
        <f aca="false">+C32</f>
        <v>6.2825</v>
      </c>
      <c r="D33" s="7" t="n">
        <f aca="false">+B33*C33</f>
        <v>7865.69</v>
      </c>
      <c r="F33" s="2" t="n">
        <f aca="false">+F32</f>
        <v>4099</v>
      </c>
      <c r="G33" s="3" t="n">
        <f aca="false">+G32</f>
        <v>6.2825</v>
      </c>
      <c r="H33" s="7" t="n">
        <f aca="false">+F33*G33</f>
        <v>25751.9675</v>
      </c>
      <c r="J33" s="2" t="n">
        <f aca="false">+J32</f>
        <v>3674</v>
      </c>
      <c r="K33" s="3" t="n">
        <f aca="false">+K32</f>
        <v>6.2825</v>
      </c>
      <c r="L33" s="7" t="n">
        <f aca="false">+J33*K33</f>
        <v>23081.905</v>
      </c>
      <c r="N33" s="2" t="n">
        <f aca="false">+N32</f>
        <v>688</v>
      </c>
      <c r="O33" s="3" t="n">
        <f aca="false">+O32</f>
        <v>6.02</v>
      </c>
      <c r="P33" s="7" t="n">
        <f aca="false">+N33*O33</f>
        <v>4141.76</v>
      </c>
      <c r="R33" s="2" t="n">
        <f aca="false">+R32</f>
        <v>1857</v>
      </c>
      <c r="S33" s="3" t="n">
        <f aca="false">+S32</f>
        <v>0</v>
      </c>
      <c r="T33" s="7" t="n">
        <f aca="false">+R33*S33</f>
        <v>0</v>
      </c>
      <c r="W33" s="2" t="n">
        <f aca="false">SUM(B33,F33,J33,N33,R33)</f>
        <v>11570</v>
      </c>
      <c r="X33" s="4" t="n">
        <f aca="false">ROUND(+W33*(1-0.02184),0)-1</f>
        <v>11316</v>
      </c>
    </row>
    <row r="34" customFormat="false" ht="12.75" hidden="false" customHeight="false" outlineLevel="0" collapsed="false">
      <c r="A34" s="5" t="n">
        <f aca="false">+A33+1</f>
        <v>29</v>
      </c>
      <c r="B34" s="2" t="n">
        <f aca="false">+B33</f>
        <v>1252</v>
      </c>
      <c r="C34" s="3" t="n">
        <f aca="false">+C33</f>
        <v>6.2825</v>
      </c>
      <c r="D34" s="7" t="n">
        <f aca="false">+B34*C34</f>
        <v>7865.69</v>
      </c>
      <c r="F34" s="2" t="n">
        <f aca="false">+F33</f>
        <v>4099</v>
      </c>
      <c r="G34" s="3" t="n">
        <f aca="false">+G33</f>
        <v>6.2825</v>
      </c>
      <c r="H34" s="7" t="n">
        <f aca="false">+F34*G34</f>
        <v>25751.9675</v>
      </c>
      <c r="J34" s="2" t="n">
        <f aca="false">+J33</f>
        <v>3674</v>
      </c>
      <c r="K34" s="3" t="n">
        <f aca="false">+K33</f>
        <v>6.2825</v>
      </c>
      <c r="L34" s="7" t="n">
        <f aca="false">+J34*K34</f>
        <v>23081.905</v>
      </c>
      <c r="N34" s="2" t="n">
        <f aca="false">+N33</f>
        <v>688</v>
      </c>
      <c r="O34" s="3" t="n">
        <f aca="false">+O33</f>
        <v>6.02</v>
      </c>
      <c r="P34" s="7" t="n">
        <f aca="false">+N34*O34</f>
        <v>4141.76</v>
      </c>
      <c r="R34" s="2" t="n">
        <f aca="false">+R33</f>
        <v>1857</v>
      </c>
      <c r="S34" s="3" t="n">
        <f aca="false">+S33</f>
        <v>0</v>
      </c>
      <c r="T34" s="7" t="n">
        <f aca="false">+R34*S34</f>
        <v>0</v>
      </c>
      <c r="W34" s="2" t="n">
        <f aca="false">SUM(B34,F34,J34,N34,R34)</f>
        <v>11570</v>
      </c>
      <c r="X34" s="4" t="n">
        <f aca="false">ROUND(+W34*(1-0.02184),0)-1</f>
        <v>11316</v>
      </c>
    </row>
    <row r="35" customFormat="false" ht="12.75" hidden="false" customHeight="false" outlineLevel="0" collapsed="false">
      <c r="A35" s="5" t="n">
        <f aca="false">+A34+1</f>
        <v>30</v>
      </c>
      <c r="B35" s="2" t="n">
        <f aca="false">+B34</f>
        <v>1252</v>
      </c>
      <c r="C35" s="3" t="n">
        <f aca="false">+C34</f>
        <v>6.2825</v>
      </c>
      <c r="D35" s="7" t="n">
        <f aca="false">+B35*C35</f>
        <v>7865.69</v>
      </c>
      <c r="F35" s="2" t="n">
        <f aca="false">+F34</f>
        <v>4099</v>
      </c>
      <c r="G35" s="3" t="n">
        <f aca="false">+G34</f>
        <v>6.2825</v>
      </c>
      <c r="H35" s="7" t="n">
        <f aca="false">+F35*G35</f>
        <v>25751.9675</v>
      </c>
      <c r="J35" s="2" t="n">
        <f aca="false">+J34</f>
        <v>3674</v>
      </c>
      <c r="K35" s="3" t="n">
        <f aca="false">+K34</f>
        <v>6.2825</v>
      </c>
      <c r="L35" s="7" t="n">
        <f aca="false">+J35*K35</f>
        <v>23081.905</v>
      </c>
      <c r="N35" s="2" t="n">
        <f aca="false">+N34</f>
        <v>688</v>
      </c>
      <c r="O35" s="3" t="n">
        <f aca="false">+O34</f>
        <v>6.02</v>
      </c>
      <c r="P35" s="7" t="n">
        <f aca="false">+N35*O35</f>
        <v>4141.76</v>
      </c>
      <c r="R35" s="2" t="n">
        <f aca="false">+R34</f>
        <v>1857</v>
      </c>
      <c r="S35" s="3" t="n">
        <f aca="false">+S34</f>
        <v>0</v>
      </c>
      <c r="T35" s="7" t="n">
        <f aca="false">+R35*S35</f>
        <v>0</v>
      </c>
      <c r="W35" s="2" t="n">
        <f aca="false">SUM(B35,F35,J35,N35,R35)</f>
        <v>11570</v>
      </c>
      <c r="X35" s="4" t="n">
        <f aca="false">ROUND(+W35*(1-0.02184),0)-1</f>
        <v>11316</v>
      </c>
    </row>
    <row r="36" customFormat="false" ht="12.75" hidden="false" customHeight="false" outlineLevel="0" collapsed="false">
      <c r="A36" s="5" t="n">
        <f aca="false">+A35+1</f>
        <v>31</v>
      </c>
      <c r="B36" s="2" t="n">
        <f aca="false">+B35</f>
        <v>1252</v>
      </c>
      <c r="C36" s="3" t="n">
        <f aca="false">+C35</f>
        <v>6.2825</v>
      </c>
      <c r="D36" s="7" t="n">
        <f aca="false">+B36*C36</f>
        <v>7865.69</v>
      </c>
      <c r="F36" s="2" t="n">
        <f aca="false">+F35</f>
        <v>4099</v>
      </c>
      <c r="G36" s="3" t="n">
        <f aca="false">+G35</f>
        <v>6.2825</v>
      </c>
      <c r="H36" s="7" t="n">
        <f aca="false">+F36*G36</f>
        <v>25751.9675</v>
      </c>
      <c r="J36" s="2" t="n">
        <f aca="false">+J35</f>
        <v>3674</v>
      </c>
      <c r="K36" s="3" t="n">
        <f aca="false">+K35</f>
        <v>6.2825</v>
      </c>
      <c r="L36" s="7" t="n">
        <f aca="false">+J36*K36</f>
        <v>23081.905</v>
      </c>
      <c r="N36" s="2" t="n">
        <f aca="false">+N35</f>
        <v>688</v>
      </c>
      <c r="O36" s="3" t="n">
        <f aca="false">+O35</f>
        <v>6.02</v>
      </c>
      <c r="P36" s="7" t="n">
        <f aca="false">+N36*O36</f>
        <v>4141.76</v>
      </c>
      <c r="R36" s="2" t="n">
        <f aca="false">+R35</f>
        <v>1857</v>
      </c>
      <c r="S36" s="3" t="n">
        <f aca="false">+S35</f>
        <v>0</v>
      </c>
      <c r="T36" s="7" t="n">
        <f aca="false">+R36*S36</f>
        <v>0</v>
      </c>
      <c r="W36" s="2" t="n">
        <f aca="false">SUM(B36,F36,J36,N36,R36)</f>
        <v>11570</v>
      </c>
      <c r="X36" s="4" t="n">
        <f aca="false">ROUND(+W36*(1-0.02184),0)-1</f>
        <v>11316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P6" activePane="bottomRight" state="frozen"/>
      <selection pane="topLeft" activeCell="A1" activeCellId="0" sqref="A1"/>
      <selection pane="topRight" activeCell="P1" activeCellId="0" sqref="P1"/>
      <selection pane="bottomLeft" activeCell="A6" activeCellId="0" sqref="A6"/>
      <selection pane="bottomRight" activeCell="Z28" activeCellId="0" sqref="Z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8" width="12.99"/>
    <col collapsed="false" customWidth="true" hidden="false" outlineLevel="0" max="4" min="3" style="9" width="12.99"/>
    <col collapsed="false" customWidth="true" hidden="false" outlineLevel="0" max="5" min="5" style="2" width="4.28"/>
    <col collapsed="false" customWidth="true" hidden="false" outlineLevel="0" max="6" min="6" style="8" width="12.99"/>
    <col collapsed="false" customWidth="true" hidden="false" outlineLevel="0" max="8" min="7" style="9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2" width="12.99"/>
    <col collapsed="false" customWidth="true" hidden="false" outlineLevel="0" max="24" min="23" style="3" width="12.99"/>
    <col collapsed="false" customWidth="true" hidden="false" outlineLevel="0" max="25" min="25" style="0" width="4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Z4" s="0" t="s">
        <v>11</v>
      </c>
    </row>
    <row r="5" customFormat="false" ht="12.75" hidden="false" customHeight="false" outlineLevel="0" collapsed="false">
      <c r="A5" s="5"/>
      <c r="B5" s="8" t="s">
        <v>12</v>
      </c>
      <c r="C5" s="9" t="s">
        <v>6</v>
      </c>
      <c r="D5" s="9" t="s">
        <v>7</v>
      </c>
      <c r="F5" s="8" t="s">
        <v>12</v>
      </c>
      <c r="G5" s="9" t="s">
        <v>6</v>
      </c>
      <c r="H5" s="9" t="s">
        <v>7</v>
      </c>
      <c r="J5" s="8" t="s">
        <v>12</v>
      </c>
      <c r="K5" s="3" t="s">
        <v>6</v>
      </c>
      <c r="L5" s="3" t="s">
        <v>7</v>
      </c>
      <c r="O5" s="3" t="s">
        <v>6</v>
      </c>
      <c r="P5" s="3" t="s">
        <v>7</v>
      </c>
      <c r="S5" s="3" t="s">
        <v>6</v>
      </c>
      <c r="T5" s="3" t="s">
        <v>7</v>
      </c>
      <c r="W5" s="3" t="s">
        <v>6</v>
      </c>
      <c r="X5" s="3" t="s">
        <v>7</v>
      </c>
      <c r="Z5" s="0" t="s">
        <v>13</v>
      </c>
    </row>
    <row r="6" customFormat="false" ht="12.75" hidden="false" customHeight="false" outlineLevel="0" collapsed="false">
      <c r="A6" s="5" t="n">
        <v>1</v>
      </c>
      <c r="B6" s="8" t="n">
        <v>-11316</v>
      </c>
      <c r="C6" s="9" t="n">
        <v>6.27</v>
      </c>
      <c r="D6" s="10" t="n">
        <f aca="false">+B6*C6</f>
        <v>-70951.32</v>
      </c>
      <c r="F6" s="8" t="n">
        <v>0</v>
      </c>
      <c r="G6" s="9" t="n">
        <v>0</v>
      </c>
      <c r="H6" s="10" t="n">
        <f aca="false">+F6*G6</f>
        <v>0</v>
      </c>
      <c r="J6" s="2" t="n">
        <v>0</v>
      </c>
      <c r="K6" s="3" t="n">
        <v>0</v>
      </c>
      <c r="L6" s="7" t="n">
        <f aca="false">+J6*K6</f>
        <v>0</v>
      </c>
      <c r="N6" s="2" t="n">
        <v>0</v>
      </c>
      <c r="O6" s="3" t="n">
        <v>0</v>
      </c>
      <c r="P6" s="7" t="n">
        <f aca="false">+N6*O6</f>
        <v>0</v>
      </c>
      <c r="R6" s="2" t="n">
        <v>0</v>
      </c>
      <c r="S6" s="3" t="n">
        <v>0</v>
      </c>
      <c r="T6" s="7" t="n">
        <f aca="false">+R6*S6</f>
        <v>0</v>
      </c>
      <c r="V6" s="2" t="n">
        <v>0</v>
      </c>
      <c r="W6" s="3" t="n">
        <v>0</v>
      </c>
      <c r="X6" s="7" t="n">
        <f aca="false">+V6*W6</f>
        <v>0</v>
      </c>
      <c r="Z6" s="2" t="n">
        <f aca="false">SUM(B6,F6,J6,N6,R6,V6)</f>
        <v>-11316</v>
      </c>
    </row>
    <row r="7" customFormat="false" ht="12.75" hidden="false" customHeight="false" outlineLevel="0" collapsed="false">
      <c r="A7" s="5" t="n">
        <f aca="false">+A6+1</f>
        <v>2</v>
      </c>
      <c r="B7" s="8" t="n">
        <f aca="false">+B6</f>
        <v>-11316</v>
      </c>
      <c r="C7" s="9" t="n">
        <f aca="false">+C6</f>
        <v>6.27</v>
      </c>
      <c r="D7" s="10" t="n">
        <f aca="false">+B7*C7</f>
        <v>-70951.32</v>
      </c>
      <c r="F7" s="8" t="n">
        <v>15000</v>
      </c>
      <c r="G7" s="9" t="n">
        <v>6.89</v>
      </c>
      <c r="H7" s="10" t="n">
        <f aca="false">+F7*G7</f>
        <v>103350</v>
      </c>
      <c r="J7" s="2" t="n">
        <f aca="false">+J6</f>
        <v>0</v>
      </c>
      <c r="K7" s="3" t="n">
        <f aca="false">+K6</f>
        <v>0</v>
      </c>
      <c r="L7" s="7" t="n">
        <f aca="false">+J7*K7</f>
        <v>0</v>
      </c>
      <c r="N7" s="2" t="n">
        <f aca="false">+N6</f>
        <v>0</v>
      </c>
      <c r="O7" s="3" t="n">
        <f aca="false">+O6</f>
        <v>0</v>
      </c>
      <c r="P7" s="7" t="n">
        <f aca="false">+N7*O7</f>
        <v>0</v>
      </c>
      <c r="R7" s="2" t="n">
        <f aca="false">+R6</f>
        <v>0</v>
      </c>
      <c r="S7" s="3" t="n">
        <f aca="false">+S6</f>
        <v>0</v>
      </c>
      <c r="T7" s="7" t="n">
        <f aca="false">+R7*S7</f>
        <v>0</v>
      </c>
      <c r="V7" s="2" t="n">
        <f aca="false">+V6</f>
        <v>0</v>
      </c>
      <c r="W7" s="3" t="n">
        <f aca="false">+W6</f>
        <v>0</v>
      </c>
      <c r="X7" s="7" t="n">
        <f aca="false">+V7*W7</f>
        <v>0</v>
      </c>
      <c r="Z7" s="2" t="n">
        <f aca="false">SUM(B7,F7,J7,N7,R7,V7)</f>
        <v>3684</v>
      </c>
    </row>
    <row r="8" customFormat="false" ht="12.75" hidden="false" customHeight="false" outlineLevel="0" collapsed="false">
      <c r="A8" s="5" t="n">
        <f aca="false">+A7+1</f>
        <v>3</v>
      </c>
      <c r="B8" s="8" t="n">
        <f aca="false">+B7</f>
        <v>-11316</v>
      </c>
      <c r="C8" s="9" t="n">
        <f aca="false">+C7</f>
        <v>6.27</v>
      </c>
      <c r="D8" s="10" t="n">
        <f aca="false">+B8*C8</f>
        <v>-70951.32</v>
      </c>
      <c r="F8" s="8" t="n">
        <f aca="false">+F7</f>
        <v>15000</v>
      </c>
      <c r="G8" s="9" t="n">
        <f aca="false">+G7</f>
        <v>6.89</v>
      </c>
      <c r="H8" s="10" t="n">
        <f aca="false">+F8*G8</f>
        <v>103350</v>
      </c>
      <c r="J8" s="2" t="n">
        <f aca="false">+J7</f>
        <v>0</v>
      </c>
      <c r="K8" s="3" t="n">
        <f aca="false">+K7</f>
        <v>0</v>
      </c>
      <c r="L8" s="7" t="n">
        <f aca="false">+J8*K8</f>
        <v>0</v>
      </c>
      <c r="N8" s="2" t="n">
        <f aca="false">+N7</f>
        <v>0</v>
      </c>
      <c r="O8" s="3" t="n">
        <f aca="false">+O7</f>
        <v>0</v>
      </c>
      <c r="P8" s="7" t="n">
        <f aca="false">+N8*O8</f>
        <v>0</v>
      </c>
      <c r="R8" s="2" t="n">
        <f aca="false">+R7</f>
        <v>0</v>
      </c>
      <c r="S8" s="3" t="n">
        <f aca="false">+S7</f>
        <v>0</v>
      </c>
      <c r="T8" s="7" t="n">
        <f aca="false">+R8*S8</f>
        <v>0</v>
      </c>
      <c r="V8" s="2" t="n">
        <f aca="false">+V7</f>
        <v>0</v>
      </c>
      <c r="W8" s="3" t="n">
        <f aca="false">+W7</f>
        <v>0</v>
      </c>
      <c r="X8" s="7" t="n">
        <f aca="false">+V8*W8</f>
        <v>0</v>
      </c>
      <c r="Z8" s="2" t="n">
        <f aca="false">SUM(B8,F8,J8,N8,R8,V8)</f>
        <v>3684</v>
      </c>
    </row>
    <row r="9" customFormat="false" ht="12.75" hidden="false" customHeight="false" outlineLevel="0" collapsed="false">
      <c r="A9" s="5" t="n">
        <f aca="false">+A8+1</f>
        <v>4</v>
      </c>
      <c r="B9" s="8" t="n">
        <f aca="false">+B8</f>
        <v>-11316</v>
      </c>
      <c r="C9" s="9" t="n">
        <f aca="false">+C8</f>
        <v>6.27</v>
      </c>
      <c r="D9" s="10" t="n">
        <f aca="false">+B9*C9</f>
        <v>-70951.32</v>
      </c>
      <c r="F9" s="8" t="n">
        <f aca="false">+F8</f>
        <v>15000</v>
      </c>
      <c r="G9" s="9" t="n">
        <f aca="false">+G8</f>
        <v>6.89</v>
      </c>
      <c r="H9" s="10" t="n">
        <f aca="false">+F9*G9</f>
        <v>103350</v>
      </c>
      <c r="J9" s="2" t="n">
        <f aca="false">+J8</f>
        <v>0</v>
      </c>
      <c r="K9" s="3" t="n">
        <f aca="false">+K8</f>
        <v>0</v>
      </c>
      <c r="L9" s="7" t="n">
        <f aca="false">+J9*K9</f>
        <v>0</v>
      </c>
      <c r="N9" s="2" t="n">
        <f aca="false">+N8</f>
        <v>0</v>
      </c>
      <c r="O9" s="3" t="n">
        <f aca="false">+O8</f>
        <v>0</v>
      </c>
      <c r="P9" s="7" t="n">
        <f aca="false">+N9*O9</f>
        <v>0</v>
      </c>
      <c r="R9" s="2" t="n">
        <f aca="false">+R8</f>
        <v>0</v>
      </c>
      <c r="S9" s="3" t="n">
        <f aca="false">+S8</f>
        <v>0</v>
      </c>
      <c r="T9" s="7" t="n">
        <f aca="false">+R9*S9</f>
        <v>0</v>
      </c>
      <c r="V9" s="2" t="n">
        <f aca="false">+V8</f>
        <v>0</v>
      </c>
      <c r="W9" s="3" t="n">
        <f aca="false">+W8</f>
        <v>0</v>
      </c>
      <c r="X9" s="7" t="n">
        <f aca="false">+V9*W9</f>
        <v>0</v>
      </c>
      <c r="Z9" s="2" t="n">
        <f aca="false">SUM(B9,F9,J9,N9,R9,V9)</f>
        <v>3684</v>
      </c>
    </row>
    <row r="10" customFormat="false" ht="12.75" hidden="false" customHeight="false" outlineLevel="0" collapsed="false">
      <c r="A10" s="5" t="n">
        <f aca="false">+A9+1</f>
        <v>5</v>
      </c>
      <c r="B10" s="8" t="n">
        <f aca="false">+B9</f>
        <v>-11316</v>
      </c>
      <c r="C10" s="9" t="n">
        <f aca="false">+C9</f>
        <v>6.27</v>
      </c>
      <c r="D10" s="10" t="n">
        <f aca="false">+B10*C10</f>
        <v>-70951.32</v>
      </c>
      <c r="F10" s="8" t="n">
        <f aca="false">+F9</f>
        <v>15000</v>
      </c>
      <c r="G10" s="9" t="n">
        <f aca="false">+G9</f>
        <v>6.89</v>
      </c>
      <c r="H10" s="10" t="n">
        <f aca="false">+F10*G10</f>
        <v>103350</v>
      </c>
      <c r="J10" s="2" t="n">
        <v>-5000</v>
      </c>
      <c r="K10" s="3" t="n">
        <v>7.61</v>
      </c>
      <c r="L10" s="7" t="n">
        <f aca="false">+J10*K10</f>
        <v>-38050</v>
      </c>
      <c r="N10" s="2" t="n">
        <f aca="false">+N9</f>
        <v>0</v>
      </c>
      <c r="O10" s="3" t="n">
        <f aca="false">+O9</f>
        <v>0</v>
      </c>
      <c r="P10" s="7" t="n">
        <f aca="false">+N10*O10</f>
        <v>0</v>
      </c>
      <c r="R10" s="2" t="n">
        <f aca="false">+R9</f>
        <v>0</v>
      </c>
      <c r="S10" s="3" t="n">
        <f aca="false">+S9</f>
        <v>0</v>
      </c>
      <c r="T10" s="7" t="n">
        <f aca="false">+R10*S10</f>
        <v>0</v>
      </c>
      <c r="V10" s="2" t="n">
        <f aca="false">+V9</f>
        <v>0</v>
      </c>
      <c r="W10" s="3" t="n">
        <f aca="false">+W9</f>
        <v>0</v>
      </c>
      <c r="X10" s="7" t="n">
        <f aca="false">+V10*W10</f>
        <v>0</v>
      </c>
      <c r="Z10" s="2" t="n">
        <f aca="false">SUM(B10,F10,J10,N10,R10,V10)</f>
        <v>-1316</v>
      </c>
    </row>
    <row r="11" customFormat="false" ht="12.75" hidden="false" customHeight="false" outlineLevel="0" collapsed="false">
      <c r="A11" s="5" t="n">
        <f aca="false">+A10+1</f>
        <v>6</v>
      </c>
      <c r="B11" s="8" t="n">
        <f aca="false">+B10</f>
        <v>-11316</v>
      </c>
      <c r="C11" s="9" t="n">
        <f aca="false">+C10</f>
        <v>6.27</v>
      </c>
      <c r="D11" s="10" t="n">
        <f aca="false">+B11*C11</f>
        <v>-70951.32</v>
      </c>
      <c r="F11" s="8" t="n">
        <f aca="false">+F10</f>
        <v>15000</v>
      </c>
      <c r="G11" s="9" t="n">
        <f aca="false">+G10</f>
        <v>6.89</v>
      </c>
      <c r="H11" s="10" t="n">
        <f aca="false">+F11*G11</f>
        <v>103350</v>
      </c>
      <c r="J11" s="2" t="n">
        <f aca="false">+J10</f>
        <v>-5000</v>
      </c>
      <c r="K11" s="3" t="n">
        <f aca="false">+K10</f>
        <v>7.61</v>
      </c>
      <c r="L11" s="7" t="n">
        <f aca="false">+J11*K11</f>
        <v>-38050</v>
      </c>
      <c r="N11" s="2" t="n">
        <f aca="false">+N10</f>
        <v>0</v>
      </c>
      <c r="O11" s="3" t="n">
        <f aca="false">+O10</f>
        <v>0</v>
      </c>
      <c r="P11" s="7" t="n">
        <f aca="false">+N11*O11</f>
        <v>0</v>
      </c>
      <c r="R11" s="2" t="n">
        <f aca="false">+R10</f>
        <v>0</v>
      </c>
      <c r="S11" s="3" t="n">
        <f aca="false">+S10</f>
        <v>0</v>
      </c>
      <c r="T11" s="7" t="n">
        <f aca="false">+R11*S11</f>
        <v>0</v>
      </c>
      <c r="V11" s="2" t="n">
        <f aca="false">+V10</f>
        <v>0</v>
      </c>
      <c r="W11" s="3" t="n">
        <f aca="false">+W10</f>
        <v>0</v>
      </c>
      <c r="X11" s="7" t="n">
        <f aca="false">+V11*W11</f>
        <v>0</v>
      </c>
      <c r="Z11" s="2" t="n">
        <f aca="false">SUM(B11,F11,J11,N11,R11,V11)</f>
        <v>-1316</v>
      </c>
    </row>
    <row r="12" customFormat="false" ht="12.75" hidden="false" customHeight="false" outlineLevel="0" collapsed="false">
      <c r="A12" s="5" t="n">
        <f aca="false">+A11+1</f>
        <v>7</v>
      </c>
      <c r="B12" s="8" t="n">
        <f aca="false">+B11</f>
        <v>-11316</v>
      </c>
      <c r="C12" s="9" t="n">
        <f aca="false">+C11</f>
        <v>6.27</v>
      </c>
      <c r="D12" s="10" t="n">
        <f aca="false">+B12*C12</f>
        <v>-70951.32</v>
      </c>
      <c r="F12" s="8" t="n">
        <f aca="false">+F11</f>
        <v>15000</v>
      </c>
      <c r="G12" s="9" t="n">
        <f aca="false">+G11</f>
        <v>6.89</v>
      </c>
      <c r="H12" s="10" t="n">
        <f aca="false">+F12*G12</f>
        <v>103350</v>
      </c>
      <c r="J12" s="2" t="n">
        <f aca="false">+J11</f>
        <v>-5000</v>
      </c>
      <c r="K12" s="3" t="n">
        <f aca="false">+K11</f>
        <v>7.61</v>
      </c>
      <c r="L12" s="7" t="n">
        <f aca="false">+J12*K12</f>
        <v>-38050</v>
      </c>
      <c r="N12" s="2" t="n">
        <f aca="false">+N11</f>
        <v>0</v>
      </c>
      <c r="O12" s="3" t="n">
        <f aca="false">+O11</f>
        <v>0</v>
      </c>
      <c r="P12" s="7" t="n">
        <f aca="false">+N12*O12</f>
        <v>0</v>
      </c>
      <c r="R12" s="2" t="n">
        <f aca="false">+R11</f>
        <v>0</v>
      </c>
      <c r="S12" s="3" t="n">
        <f aca="false">+S11</f>
        <v>0</v>
      </c>
      <c r="T12" s="7" t="n">
        <f aca="false">+R12*S12</f>
        <v>0</v>
      </c>
      <c r="V12" s="2" t="n">
        <f aca="false">+V11</f>
        <v>0</v>
      </c>
      <c r="W12" s="3" t="n">
        <f aca="false">+W11</f>
        <v>0</v>
      </c>
      <c r="X12" s="7" t="n">
        <f aca="false">+V12*W12</f>
        <v>0</v>
      </c>
      <c r="Z12" s="2" t="n">
        <f aca="false">SUM(B12,F12,J12,N12,R12,V12)</f>
        <v>-1316</v>
      </c>
    </row>
    <row r="13" customFormat="false" ht="12.75" hidden="false" customHeight="false" outlineLevel="0" collapsed="false">
      <c r="A13" s="5" t="n">
        <f aca="false">+A12+1</f>
        <v>8</v>
      </c>
      <c r="B13" s="8" t="n">
        <f aca="false">+B12</f>
        <v>-11316</v>
      </c>
      <c r="C13" s="9" t="n">
        <f aca="false">+C12</f>
        <v>6.27</v>
      </c>
      <c r="D13" s="10" t="n">
        <f aca="false">+B13*C13</f>
        <v>-70951.32</v>
      </c>
      <c r="F13" s="8" t="n">
        <f aca="false">+F12</f>
        <v>15000</v>
      </c>
      <c r="G13" s="9" t="n">
        <f aca="false">+G12</f>
        <v>6.89</v>
      </c>
      <c r="H13" s="10" t="n">
        <f aca="false">+F13*G13</f>
        <v>103350</v>
      </c>
      <c r="J13" s="2" t="n">
        <f aca="false">+J12</f>
        <v>-5000</v>
      </c>
      <c r="K13" s="3" t="n">
        <f aca="false">+K12</f>
        <v>7.61</v>
      </c>
      <c r="L13" s="7" t="n">
        <f aca="false">+J13*K13</f>
        <v>-38050</v>
      </c>
      <c r="N13" s="2" t="n">
        <f aca="false">+N12</f>
        <v>0</v>
      </c>
      <c r="O13" s="3" t="n">
        <f aca="false">+O12</f>
        <v>0</v>
      </c>
      <c r="P13" s="7" t="n">
        <f aca="false">+N13*O13</f>
        <v>0</v>
      </c>
      <c r="R13" s="2" t="n">
        <f aca="false">+R12</f>
        <v>0</v>
      </c>
      <c r="S13" s="3" t="n">
        <f aca="false">+S12</f>
        <v>0</v>
      </c>
      <c r="T13" s="7" t="n">
        <f aca="false">+R13*S13</f>
        <v>0</v>
      </c>
      <c r="V13" s="2" t="n">
        <f aca="false">+V12</f>
        <v>0</v>
      </c>
      <c r="W13" s="3" t="n">
        <f aca="false">+W12</f>
        <v>0</v>
      </c>
      <c r="X13" s="7" t="n">
        <f aca="false">+V13*W13</f>
        <v>0</v>
      </c>
      <c r="Z13" s="2" t="n">
        <f aca="false">SUM(B13,F13,J13,N13,R13,V13)</f>
        <v>-1316</v>
      </c>
    </row>
    <row r="14" customFormat="false" ht="12.75" hidden="false" customHeight="false" outlineLevel="0" collapsed="false">
      <c r="A14" s="5" t="n">
        <f aca="false">+A13+1</f>
        <v>9</v>
      </c>
      <c r="B14" s="8" t="n">
        <f aca="false">+B13</f>
        <v>-11316</v>
      </c>
      <c r="C14" s="9" t="n">
        <f aca="false">+C13</f>
        <v>6.27</v>
      </c>
      <c r="D14" s="10" t="n">
        <f aca="false">+B14*C14</f>
        <v>-70951.32</v>
      </c>
      <c r="F14" s="8" t="n">
        <f aca="false">+F13</f>
        <v>15000</v>
      </c>
      <c r="G14" s="9" t="n">
        <f aca="false">+G13</f>
        <v>6.89</v>
      </c>
      <c r="H14" s="10" t="n">
        <f aca="false">+F14*G14</f>
        <v>103350</v>
      </c>
      <c r="J14" s="2" t="n">
        <f aca="false">+J13</f>
        <v>-5000</v>
      </c>
      <c r="K14" s="3" t="n">
        <f aca="false">+K13</f>
        <v>7.61</v>
      </c>
      <c r="L14" s="7" t="n">
        <f aca="false">+J14*K14</f>
        <v>-38050</v>
      </c>
      <c r="N14" s="2" t="n">
        <v>-35000</v>
      </c>
      <c r="O14" s="3" t="n">
        <v>8.4</v>
      </c>
      <c r="P14" s="7" t="n">
        <f aca="false">+N14*O14</f>
        <v>-294000</v>
      </c>
      <c r="R14" s="2" t="n">
        <f aca="false">+R13</f>
        <v>0</v>
      </c>
      <c r="S14" s="3" t="n">
        <f aca="false">+S13</f>
        <v>0</v>
      </c>
      <c r="T14" s="7" t="n">
        <f aca="false">+R14*S14</f>
        <v>0</v>
      </c>
      <c r="V14" s="2" t="n">
        <f aca="false">+V13</f>
        <v>0</v>
      </c>
      <c r="W14" s="3" t="n">
        <f aca="false">+W13</f>
        <v>0</v>
      </c>
      <c r="X14" s="7" t="n">
        <f aca="false">+V14*W14</f>
        <v>0</v>
      </c>
      <c r="Z14" s="2" t="n">
        <f aca="false">SUM(B14,F14,J14,N14,R14,V14)</f>
        <v>-36316</v>
      </c>
    </row>
    <row r="15" customFormat="false" ht="12.75" hidden="false" customHeight="false" outlineLevel="0" collapsed="false">
      <c r="A15" s="5" t="n">
        <f aca="false">+A14+1</f>
        <v>10</v>
      </c>
      <c r="B15" s="8" t="n">
        <f aca="false">+B14</f>
        <v>-11316</v>
      </c>
      <c r="C15" s="9" t="n">
        <f aca="false">+C14</f>
        <v>6.27</v>
      </c>
      <c r="D15" s="10" t="n">
        <f aca="false">+B15*C15</f>
        <v>-70951.32</v>
      </c>
      <c r="F15" s="8" t="n">
        <f aca="false">+F14</f>
        <v>15000</v>
      </c>
      <c r="G15" s="9" t="n">
        <f aca="false">+G14</f>
        <v>6.89</v>
      </c>
      <c r="H15" s="10" t="n">
        <f aca="false">+F15*G15</f>
        <v>103350</v>
      </c>
      <c r="J15" s="2" t="n">
        <f aca="false">+J14</f>
        <v>-5000</v>
      </c>
      <c r="K15" s="3" t="n">
        <f aca="false">+K14</f>
        <v>7.61</v>
      </c>
      <c r="L15" s="7" t="n">
        <f aca="false">+J15*K15</f>
        <v>-38050</v>
      </c>
      <c r="N15" s="2" t="n">
        <f aca="false">+N14</f>
        <v>-35000</v>
      </c>
      <c r="O15" s="3" t="n">
        <f aca="false">+O14</f>
        <v>8.4</v>
      </c>
      <c r="P15" s="7" t="n">
        <f aca="false">+N15*O15</f>
        <v>-294000</v>
      </c>
      <c r="R15" s="2" t="n">
        <f aca="false">+R14</f>
        <v>0</v>
      </c>
      <c r="S15" s="3" t="n">
        <f aca="false">+S14</f>
        <v>0</v>
      </c>
      <c r="T15" s="7" t="n">
        <f aca="false">+R15*S15</f>
        <v>0</v>
      </c>
      <c r="V15" s="2" t="n">
        <f aca="false">+V14</f>
        <v>0</v>
      </c>
      <c r="W15" s="3" t="n">
        <f aca="false">+W14</f>
        <v>0</v>
      </c>
      <c r="X15" s="7" t="n">
        <f aca="false">+V15*W15</f>
        <v>0</v>
      </c>
      <c r="Z15" s="2" t="n">
        <f aca="false">SUM(B15,F15,J15,N15,R15,V15)</f>
        <v>-36316</v>
      </c>
    </row>
    <row r="16" customFormat="false" ht="12.75" hidden="false" customHeight="false" outlineLevel="0" collapsed="false">
      <c r="A16" s="5" t="n">
        <f aca="false">+A15+1</f>
        <v>11</v>
      </c>
      <c r="B16" s="8" t="n">
        <f aca="false">+B15</f>
        <v>-11316</v>
      </c>
      <c r="C16" s="9" t="n">
        <f aca="false">+C15</f>
        <v>6.27</v>
      </c>
      <c r="D16" s="10" t="n">
        <f aca="false">+B16*C16</f>
        <v>-70951.32</v>
      </c>
      <c r="F16" s="8" t="n">
        <f aca="false">+F15</f>
        <v>15000</v>
      </c>
      <c r="G16" s="9" t="n">
        <f aca="false">+G15</f>
        <v>6.89</v>
      </c>
      <c r="H16" s="10" t="n">
        <f aca="false">+F16*G16</f>
        <v>103350</v>
      </c>
      <c r="J16" s="2" t="n">
        <f aca="false">+J15</f>
        <v>-5000</v>
      </c>
      <c r="K16" s="3" t="n">
        <f aca="false">+K15</f>
        <v>7.61</v>
      </c>
      <c r="L16" s="7" t="n">
        <f aca="false">+J16*K16</f>
        <v>-38050</v>
      </c>
      <c r="N16" s="2" t="n">
        <f aca="false">+N15</f>
        <v>-35000</v>
      </c>
      <c r="O16" s="3" t="n">
        <f aca="false">+O15</f>
        <v>8.4</v>
      </c>
      <c r="P16" s="7" t="n">
        <f aca="false">+N16*O16</f>
        <v>-294000</v>
      </c>
      <c r="R16" s="2" t="n">
        <f aca="false">+R15</f>
        <v>0</v>
      </c>
      <c r="S16" s="3" t="n">
        <f aca="false">+S15</f>
        <v>0</v>
      </c>
      <c r="T16" s="7" t="n">
        <f aca="false">+R16*S16</f>
        <v>0</v>
      </c>
      <c r="V16" s="2" t="n">
        <f aca="false">+V15</f>
        <v>0</v>
      </c>
      <c r="W16" s="3" t="n">
        <f aca="false">+W15</f>
        <v>0</v>
      </c>
      <c r="X16" s="7" t="n">
        <f aca="false">+V16*W16</f>
        <v>0</v>
      </c>
      <c r="Z16" s="2" t="n">
        <f aca="false">SUM(B16,F16,J16,N16,R16,V16)</f>
        <v>-36316</v>
      </c>
    </row>
    <row r="17" customFormat="false" ht="12.75" hidden="false" customHeight="false" outlineLevel="0" collapsed="false">
      <c r="A17" s="5" t="n">
        <f aca="false">+A16+1</f>
        <v>12</v>
      </c>
      <c r="B17" s="8" t="n">
        <f aca="false">+B16</f>
        <v>-11316</v>
      </c>
      <c r="C17" s="9" t="n">
        <f aca="false">+C16</f>
        <v>6.27</v>
      </c>
      <c r="D17" s="10" t="n">
        <f aca="false">+B17*C17</f>
        <v>-70951.32</v>
      </c>
      <c r="F17" s="8" t="n">
        <f aca="false">+F16</f>
        <v>15000</v>
      </c>
      <c r="G17" s="9" t="n">
        <f aca="false">+G16</f>
        <v>6.89</v>
      </c>
      <c r="H17" s="10" t="n">
        <f aca="false">+F17*G17</f>
        <v>103350</v>
      </c>
      <c r="J17" s="2" t="n">
        <f aca="false">+J16</f>
        <v>-5000</v>
      </c>
      <c r="K17" s="3" t="n">
        <f aca="false">+K16</f>
        <v>7.61</v>
      </c>
      <c r="L17" s="7" t="n">
        <f aca="false">+J17*K17</f>
        <v>-38050</v>
      </c>
      <c r="N17" s="2" t="n">
        <v>0</v>
      </c>
      <c r="O17" s="3" t="n">
        <v>0</v>
      </c>
      <c r="P17" s="7" t="n">
        <f aca="false">+N17*O17</f>
        <v>0</v>
      </c>
      <c r="R17" s="2" t="n">
        <f aca="false">+R16</f>
        <v>0</v>
      </c>
      <c r="S17" s="3" t="n">
        <f aca="false">+S16</f>
        <v>0</v>
      </c>
      <c r="T17" s="7" t="n">
        <f aca="false">+R17*S17</f>
        <v>0</v>
      </c>
      <c r="V17" s="2" t="n">
        <f aca="false">+V16</f>
        <v>0</v>
      </c>
      <c r="W17" s="3" t="n">
        <f aca="false">+W16</f>
        <v>0</v>
      </c>
      <c r="X17" s="7" t="n">
        <f aca="false">+V17*W17</f>
        <v>0</v>
      </c>
      <c r="Z17" s="2" t="n">
        <f aca="false">SUM(B17,F17,J17,N17,R17,V17)</f>
        <v>-1316</v>
      </c>
    </row>
    <row r="18" customFormat="false" ht="12.75" hidden="false" customHeight="false" outlineLevel="0" collapsed="false">
      <c r="A18" s="5" t="n">
        <f aca="false">+A17+1</f>
        <v>13</v>
      </c>
      <c r="B18" s="8" t="n">
        <f aca="false">+B17</f>
        <v>-11316</v>
      </c>
      <c r="C18" s="9" t="n">
        <f aca="false">+C17</f>
        <v>6.27</v>
      </c>
      <c r="D18" s="10" t="n">
        <f aca="false">+B18*C18</f>
        <v>-70951.32</v>
      </c>
      <c r="F18" s="8" t="n">
        <f aca="false">+F17</f>
        <v>15000</v>
      </c>
      <c r="G18" s="9" t="n">
        <f aca="false">+G17</f>
        <v>6.89</v>
      </c>
      <c r="H18" s="10" t="n">
        <f aca="false">+F18*G18</f>
        <v>103350</v>
      </c>
      <c r="J18" s="2" t="n">
        <f aca="false">+J17</f>
        <v>-5000</v>
      </c>
      <c r="K18" s="3" t="n">
        <f aca="false">+K17</f>
        <v>7.61</v>
      </c>
      <c r="L18" s="7" t="n">
        <f aca="false">+J18*K18</f>
        <v>-38050</v>
      </c>
      <c r="N18" s="2" t="n">
        <f aca="false">+N17</f>
        <v>0</v>
      </c>
      <c r="O18" s="3" t="n">
        <f aca="false">+O17</f>
        <v>0</v>
      </c>
      <c r="P18" s="7" t="n">
        <f aca="false">+N18*O18</f>
        <v>0</v>
      </c>
      <c r="R18" s="2" t="n">
        <f aca="false">+R17</f>
        <v>0</v>
      </c>
      <c r="S18" s="3" t="n">
        <f aca="false">+S17</f>
        <v>0</v>
      </c>
      <c r="T18" s="7" t="n">
        <f aca="false">+R18*S18</f>
        <v>0</v>
      </c>
      <c r="V18" s="2" t="n">
        <f aca="false">+V17</f>
        <v>0</v>
      </c>
      <c r="W18" s="3" t="n">
        <f aca="false">+W17</f>
        <v>0</v>
      </c>
      <c r="X18" s="7" t="n">
        <f aca="false">+V18*W18</f>
        <v>0</v>
      </c>
      <c r="Z18" s="2" t="n">
        <f aca="false">SUM(B18,F18,J18,N18,R18,V18)</f>
        <v>-1316</v>
      </c>
    </row>
    <row r="19" customFormat="false" ht="12.75" hidden="false" customHeight="false" outlineLevel="0" collapsed="false">
      <c r="A19" s="5" t="n">
        <f aca="false">+A18+1</f>
        <v>14</v>
      </c>
      <c r="B19" s="8" t="n">
        <f aca="false">+B18</f>
        <v>-11316</v>
      </c>
      <c r="C19" s="9" t="n">
        <f aca="false">+C18</f>
        <v>6.27</v>
      </c>
      <c r="D19" s="10" t="n">
        <f aca="false">+B19*C19</f>
        <v>-70951.32</v>
      </c>
      <c r="F19" s="8" t="n">
        <f aca="false">+F18</f>
        <v>15000</v>
      </c>
      <c r="G19" s="9" t="n">
        <f aca="false">+G18</f>
        <v>6.89</v>
      </c>
      <c r="H19" s="10" t="n">
        <f aca="false">+F19*G19</f>
        <v>103350</v>
      </c>
      <c r="J19" s="2" t="n">
        <f aca="false">+J18</f>
        <v>-5000</v>
      </c>
      <c r="K19" s="3" t="n">
        <f aca="false">+K18</f>
        <v>7.61</v>
      </c>
      <c r="L19" s="7" t="n">
        <f aca="false">+J19*K19</f>
        <v>-38050</v>
      </c>
      <c r="N19" s="2" t="n">
        <f aca="false">+N18</f>
        <v>0</v>
      </c>
      <c r="O19" s="3" t="n">
        <f aca="false">+O18</f>
        <v>0</v>
      </c>
      <c r="P19" s="7" t="n">
        <f aca="false">+N19*O19</f>
        <v>0</v>
      </c>
      <c r="R19" s="2" t="n">
        <f aca="false">+R18</f>
        <v>0</v>
      </c>
      <c r="S19" s="3" t="n">
        <f aca="false">+S18</f>
        <v>0</v>
      </c>
      <c r="T19" s="7" t="n">
        <f aca="false">+R19*S19</f>
        <v>0</v>
      </c>
      <c r="V19" s="2" t="n">
        <f aca="false">+V18</f>
        <v>0</v>
      </c>
      <c r="W19" s="3" t="n">
        <f aca="false">+W18</f>
        <v>0</v>
      </c>
      <c r="X19" s="7" t="n">
        <f aca="false">+V19*W19</f>
        <v>0</v>
      </c>
      <c r="Z19" s="2" t="n">
        <f aca="false">SUM(B19,F19,J19,N19,R19,V19)</f>
        <v>-1316</v>
      </c>
    </row>
    <row r="20" customFormat="false" ht="12.75" hidden="false" customHeight="false" outlineLevel="0" collapsed="false">
      <c r="A20" s="5" t="n">
        <f aca="false">+A19+1</f>
        <v>15</v>
      </c>
      <c r="B20" s="8" t="n">
        <f aca="false">+B19</f>
        <v>-11316</v>
      </c>
      <c r="C20" s="9" t="n">
        <f aca="false">+C19</f>
        <v>6.27</v>
      </c>
      <c r="D20" s="10" t="n">
        <f aca="false">+B20*C20</f>
        <v>-70951.32</v>
      </c>
      <c r="F20" s="8" t="n">
        <f aca="false">+F19</f>
        <v>15000</v>
      </c>
      <c r="G20" s="9" t="n">
        <f aca="false">+G19</f>
        <v>6.89</v>
      </c>
      <c r="H20" s="10" t="n">
        <f aca="false">+F20*G20</f>
        <v>103350</v>
      </c>
      <c r="J20" s="2" t="n">
        <f aca="false">+J19</f>
        <v>-5000</v>
      </c>
      <c r="K20" s="3" t="n">
        <f aca="false">+K19</f>
        <v>7.61</v>
      </c>
      <c r="L20" s="7" t="n">
        <f aca="false">+J20*K20</f>
        <v>-38050</v>
      </c>
      <c r="N20" s="2" t="n">
        <f aca="false">+N19</f>
        <v>0</v>
      </c>
      <c r="O20" s="3" t="n">
        <f aca="false">+O19</f>
        <v>0</v>
      </c>
      <c r="P20" s="7" t="n">
        <f aca="false">+N20*O20</f>
        <v>0</v>
      </c>
      <c r="R20" s="2" t="n">
        <f aca="false">+R19</f>
        <v>0</v>
      </c>
      <c r="S20" s="3" t="n">
        <f aca="false">+S19</f>
        <v>0</v>
      </c>
      <c r="T20" s="7" t="n">
        <f aca="false">+R20*S20</f>
        <v>0</v>
      </c>
      <c r="V20" s="2" t="n">
        <f aca="false">+V19</f>
        <v>0</v>
      </c>
      <c r="W20" s="3" t="n">
        <f aca="false">+W19</f>
        <v>0</v>
      </c>
      <c r="X20" s="7" t="n">
        <f aca="false">+V20*W20</f>
        <v>0</v>
      </c>
      <c r="Z20" s="2" t="n">
        <f aca="false">SUM(B20,F20,J20,N20,R20,V20)</f>
        <v>-1316</v>
      </c>
    </row>
    <row r="21" customFormat="false" ht="12.75" hidden="false" customHeight="false" outlineLevel="0" collapsed="false">
      <c r="A21" s="5" t="n">
        <f aca="false">+A20+1</f>
        <v>16</v>
      </c>
      <c r="B21" s="8" t="n">
        <f aca="false">+B20</f>
        <v>-11316</v>
      </c>
      <c r="C21" s="9" t="n">
        <f aca="false">+C20</f>
        <v>6.27</v>
      </c>
      <c r="D21" s="10" t="n">
        <f aca="false">+B21*C21</f>
        <v>-70951.32</v>
      </c>
      <c r="F21" s="8" t="n">
        <f aca="false">+F20</f>
        <v>15000</v>
      </c>
      <c r="G21" s="9" t="n">
        <f aca="false">+G20</f>
        <v>6.89</v>
      </c>
      <c r="H21" s="10" t="n">
        <f aca="false">+F21*G21</f>
        <v>103350</v>
      </c>
      <c r="J21" s="2" t="n">
        <f aca="false">+J20</f>
        <v>-5000</v>
      </c>
      <c r="K21" s="3" t="n">
        <f aca="false">+K20</f>
        <v>7.61</v>
      </c>
      <c r="L21" s="7" t="n">
        <f aca="false">+J21*K21</f>
        <v>-38050</v>
      </c>
      <c r="N21" s="2" t="n">
        <f aca="false">+N20</f>
        <v>0</v>
      </c>
      <c r="O21" s="3" t="n">
        <f aca="false">+O20</f>
        <v>0</v>
      </c>
      <c r="P21" s="7" t="n">
        <f aca="false">+N21*O21</f>
        <v>0</v>
      </c>
      <c r="R21" s="2" t="n">
        <f aca="false">+R20</f>
        <v>0</v>
      </c>
      <c r="S21" s="3" t="n">
        <f aca="false">+S20</f>
        <v>0</v>
      </c>
      <c r="T21" s="7" t="n">
        <f aca="false">+R21*S21</f>
        <v>0</v>
      </c>
      <c r="V21" s="2" t="n">
        <f aca="false">+V20</f>
        <v>0</v>
      </c>
      <c r="W21" s="3" t="n">
        <f aca="false">+W20</f>
        <v>0</v>
      </c>
      <c r="X21" s="7" t="n">
        <f aca="false">+V21*W21</f>
        <v>0</v>
      </c>
      <c r="Z21" s="2" t="n">
        <f aca="false">SUM(B21,F21,J21,N21,R21,V21)</f>
        <v>-1316</v>
      </c>
    </row>
    <row r="22" customFormat="false" ht="12.75" hidden="false" customHeight="false" outlineLevel="0" collapsed="false">
      <c r="A22" s="5" t="n">
        <f aca="false">+A21+1</f>
        <v>17</v>
      </c>
      <c r="B22" s="8" t="n">
        <f aca="false">+B21</f>
        <v>-11316</v>
      </c>
      <c r="C22" s="9" t="n">
        <f aca="false">+C21</f>
        <v>6.27</v>
      </c>
      <c r="D22" s="10" t="n">
        <f aca="false">+B22*C22</f>
        <v>-70951.32</v>
      </c>
      <c r="F22" s="8" t="n">
        <f aca="false">+F21</f>
        <v>15000</v>
      </c>
      <c r="G22" s="9" t="n">
        <f aca="false">+G21</f>
        <v>6.89</v>
      </c>
      <c r="H22" s="10" t="n">
        <f aca="false">+F22*G22</f>
        <v>103350</v>
      </c>
      <c r="J22" s="2" t="n">
        <f aca="false">+J21</f>
        <v>-5000</v>
      </c>
      <c r="K22" s="3" t="n">
        <f aca="false">+K21</f>
        <v>7.61</v>
      </c>
      <c r="L22" s="7" t="n">
        <f aca="false">+J22*K22</f>
        <v>-38050</v>
      </c>
      <c r="N22" s="2" t="n">
        <f aca="false">+N21</f>
        <v>0</v>
      </c>
      <c r="O22" s="3" t="n">
        <f aca="false">+O21</f>
        <v>0</v>
      </c>
      <c r="P22" s="7" t="n">
        <f aca="false">+N22*O22</f>
        <v>0</v>
      </c>
      <c r="R22" s="2" t="n">
        <f aca="false">+R21</f>
        <v>0</v>
      </c>
      <c r="S22" s="3" t="n">
        <f aca="false">+S21</f>
        <v>0</v>
      </c>
      <c r="T22" s="7" t="n">
        <f aca="false">+R22*S22</f>
        <v>0</v>
      </c>
      <c r="V22" s="2" t="n">
        <f aca="false">+V21</f>
        <v>0</v>
      </c>
      <c r="W22" s="3" t="n">
        <f aca="false">+W21</f>
        <v>0</v>
      </c>
      <c r="X22" s="7" t="n">
        <f aca="false">+V22*W22</f>
        <v>0</v>
      </c>
      <c r="Z22" s="2" t="n">
        <f aca="false">SUM(B22,F22,J22,N22,R22,V22)</f>
        <v>-1316</v>
      </c>
    </row>
    <row r="23" customFormat="false" ht="12.75" hidden="false" customHeight="false" outlineLevel="0" collapsed="false">
      <c r="A23" s="5" t="n">
        <f aca="false">+A22+1</f>
        <v>18</v>
      </c>
      <c r="B23" s="8" t="n">
        <f aca="false">+B22</f>
        <v>-11316</v>
      </c>
      <c r="C23" s="9" t="n">
        <f aca="false">+C22</f>
        <v>6.27</v>
      </c>
      <c r="D23" s="10" t="n">
        <f aca="false">+B23*C23</f>
        <v>-70951.32</v>
      </c>
      <c r="F23" s="8" t="n">
        <f aca="false">+F22</f>
        <v>15000</v>
      </c>
      <c r="G23" s="9" t="n">
        <f aca="false">+G22</f>
        <v>6.89</v>
      </c>
      <c r="H23" s="10" t="n">
        <f aca="false">+F23*G23</f>
        <v>103350</v>
      </c>
      <c r="J23" s="2" t="n">
        <f aca="false">+J22</f>
        <v>-5000</v>
      </c>
      <c r="K23" s="3" t="n">
        <f aca="false">+K22</f>
        <v>7.61</v>
      </c>
      <c r="L23" s="7" t="n">
        <f aca="false">+J23*K23</f>
        <v>-38050</v>
      </c>
      <c r="N23" s="2" t="n">
        <f aca="false">+N22</f>
        <v>0</v>
      </c>
      <c r="O23" s="3" t="n">
        <f aca="false">+O22</f>
        <v>0</v>
      </c>
      <c r="P23" s="7" t="n">
        <f aca="false">+N23*O23</f>
        <v>0</v>
      </c>
      <c r="R23" s="2" t="n">
        <f aca="false">+R22</f>
        <v>0</v>
      </c>
      <c r="S23" s="3" t="n">
        <f aca="false">+S22</f>
        <v>0</v>
      </c>
      <c r="T23" s="7" t="n">
        <f aca="false">+R23*S23</f>
        <v>0</v>
      </c>
      <c r="V23" s="2" t="n">
        <f aca="false">+V22</f>
        <v>0</v>
      </c>
      <c r="W23" s="3" t="n">
        <f aca="false">+W22</f>
        <v>0</v>
      </c>
      <c r="X23" s="7" t="n">
        <f aca="false">+V23*W23</f>
        <v>0</v>
      </c>
      <c r="Z23" s="2" t="n">
        <f aca="false">SUM(B23,F23,J23,N23,R23,V23)</f>
        <v>-1316</v>
      </c>
    </row>
    <row r="24" customFormat="false" ht="12.75" hidden="false" customHeight="false" outlineLevel="0" collapsed="false">
      <c r="A24" s="5" t="n">
        <f aca="false">+A23+1</f>
        <v>19</v>
      </c>
      <c r="B24" s="8" t="n">
        <f aca="false">+B23</f>
        <v>-11316</v>
      </c>
      <c r="C24" s="9" t="n">
        <f aca="false">+C23</f>
        <v>6.27</v>
      </c>
      <c r="D24" s="10" t="n">
        <f aca="false">+B24*C24</f>
        <v>-70951.32</v>
      </c>
      <c r="F24" s="8" t="n">
        <f aca="false">+F23</f>
        <v>15000</v>
      </c>
      <c r="G24" s="9" t="n">
        <f aca="false">+G23</f>
        <v>6.89</v>
      </c>
      <c r="H24" s="10" t="n">
        <f aca="false">+F24*G24</f>
        <v>103350</v>
      </c>
      <c r="J24" s="2" t="n">
        <f aca="false">+J23</f>
        <v>-5000</v>
      </c>
      <c r="K24" s="3" t="n">
        <f aca="false">+K23</f>
        <v>7.61</v>
      </c>
      <c r="L24" s="7" t="n">
        <f aca="false">+J24*K24</f>
        <v>-38050</v>
      </c>
      <c r="N24" s="2" t="n">
        <f aca="false">+N23</f>
        <v>0</v>
      </c>
      <c r="O24" s="3" t="n">
        <f aca="false">+O23</f>
        <v>0</v>
      </c>
      <c r="P24" s="7" t="n">
        <f aca="false">+N24*O24</f>
        <v>0</v>
      </c>
      <c r="R24" s="2" t="n">
        <f aca="false">+R23</f>
        <v>0</v>
      </c>
      <c r="S24" s="3" t="n">
        <f aca="false">+S23</f>
        <v>0</v>
      </c>
      <c r="T24" s="7" t="n">
        <f aca="false">+R24*S24</f>
        <v>0</v>
      </c>
      <c r="V24" s="2" t="n">
        <f aca="false">+V23</f>
        <v>0</v>
      </c>
      <c r="W24" s="3" t="n">
        <f aca="false">+W23</f>
        <v>0</v>
      </c>
      <c r="X24" s="7" t="n">
        <f aca="false">+V24*W24</f>
        <v>0</v>
      </c>
      <c r="Z24" s="2" t="n">
        <f aca="false">SUM(B24,F24,J24,N24,R24,V24)</f>
        <v>-1316</v>
      </c>
    </row>
    <row r="25" customFormat="false" ht="12.75" hidden="false" customHeight="false" outlineLevel="0" collapsed="false">
      <c r="A25" s="5" t="n">
        <f aca="false">+A24+1</f>
        <v>20</v>
      </c>
      <c r="B25" s="8" t="n">
        <f aca="false">+B24</f>
        <v>-11316</v>
      </c>
      <c r="C25" s="9" t="n">
        <f aca="false">+C24</f>
        <v>6.27</v>
      </c>
      <c r="D25" s="10" t="n">
        <f aca="false">+B25*C25</f>
        <v>-70951.32</v>
      </c>
      <c r="F25" s="8" t="n">
        <f aca="false">+F24</f>
        <v>15000</v>
      </c>
      <c r="G25" s="9" t="n">
        <f aca="false">+G24</f>
        <v>6.89</v>
      </c>
      <c r="H25" s="10" t="n">
        <f aca="false">+F25*G25</f>
        <v>103350</v>
      </c>
      <c r="J25" s="2" t="n">
        <f aca="false">+J24</f>
        <v>-5000</v>
      </c>
      <c r="K25" s="3" t="n">
        <f aca="false">+K24</f>
        <v>7.61</v>
      </c>
      <c r="L25" s="7" t="n">
        <f aca="false">+J25*K25</f>
        <v>-38050</v>
      </c>
      <c r="N25" s="2" t="n">
        <f aca="false">+N24</f>
        <v>0</v>
      </c>
      <c r="O25" s="3" t="n">
        <f aca="false">+O24</f>
        <v>0</v>
      </c>
      <c r="P25" s="7" t="n">
        <f aca="false">+N25*O25</f>
        <v>0</v>
      </c>
      <c r="R25" s="2" t="n">
        <v>10000</v>
      </c>
      <c r="S25" s="3" t="n">
        <v>9.15</v>
      </c>
      <c r="T25" s="7" t="n">
        <f aca="false">+R25*S25</f>
        <v>91500</v>
      </c>
      <c r="V25" s="2" t="n">
        <f aca="false">+V24</f>
        <v>0</v>
      </c>
      <c r="W25" s="3" t="n">
        <f aca="false">+W24</f>
        <v>0</v>
      </c>
      <c r="X25" s="7" t="n">
        <f aca="false">+V25*W25</f>
        <v>0</v>
      </c>
      <c r="Z25" s="2" t="n">
        <f aca="false">SUM(B25,F25,J25,N25,R25,V25)</f>
        <v>8684</v>
      </c>
    </row>
    <row r="26" customFormat="false" ht="12.75" hidden="false" customHeight="false" outlineLevel="0" collapsed="false">
      <c r="A26" s="5" t="n">
        <f aca="false">+A25+1</f>
        <v>21</v>
      </c>
      <c r="B26" s="8" t="n">
        <f aca="false">+B25</f>
        <v>-11316</v>
      </c>
      <c r="C26" s="9" t="n">
        <f aca="false">+C25</f>
        <v>6.27</v>
      </c>
      <c r="D26" s="10" t="n">
        <f aca="false">+B26*C26</f>
        <v>-70951.32</v>
      </c>
      <c r="F26" s="8" t="n">
        <f aca="false">+F25</f>
        <v>15000</v>
      </c>
      <c r="G26" s="9" t="n">
        <f aca="false">+G25</f>
        <v>6.89</v>
      </c>
      <c r="H26" s="10" t="n">
        <f aca="false">+F26*G26</f>
        <v>103350</v>
      </c>
      <c r="J26" s="2" t="n">
        <f aca="false">+J25</f>
        <v>-5000</v>
      </c>
      <c r="K26" s="3" t="n">
        <f aca="false">+K25</f>
        <v>7.61</v>
      </c>
      <c r="L26" s="7" t="n">
        <f aca="false">+J26*K26</f>
        <v>-38050</v>
      </c>
      <c r="N26" s="2" t="n">
        <f aca="false">+N25</f>
        <v>0</v>
      </c>
      <c r="O26" s="3" t="n">
        <f aca="false">+O25</f>
        <v>0</v>
      </c>
      <c r="P26" s="7" t="n">
        <f aca="false">+N26*O26</f>
        <v>0</v>
      </c>
      <c r="R26" s="2" t="n">
        <f aca="false">+R25</f>
        <v>10000</v>
      </c>
      <c r="S26" s="3" t="n">
        <f aca="false">+S25</f>
        <v>9.15</v>
      </c>
      <c r="T26" s="7" t="n">
        <f aca="false">+R26*S26</f>
        <v>91500</v>
      </c>
      <c r="V26" s="2" t="n">
        <f aca="false">+V25</f>
        <v>0</v>
      </c>
      <c r="W26" s="3" t="n">
        <f aca="false">+W25</f>
        <v>0</v>
      </c>
      <c r="X26" s="7" t="n">
        <f aca="false">+V26*W26</f>
        <v>0</v>
      </c>
      <c r="Z26" s="2" t="n">
        <f aca="false">SUM(B26,F26,J26,N26,R26,V26)</f>
        <v>8684</v>
      </c>
    </row>
    <row r="27" customFormat="false" ht="12.75" hidden="false" customHeight="false" outlineLevel="0" collapsed="false">
      <c r="A27" s="5" t="n">
        <f aca="false">+A26+1</f>
        <v>22</v>
      </c>
      <c r="B27" s="8" t="n">
        <f aca="false">+B26</f>
        <v>-11316</v>
      </c>
      <c r="C27" s="9" t="n">
        <f aca="false">+C26</f>
        <v>6.27</v>
      </c>
      <c r="D27" s="10" t="n">
        <f aca="false">+B27*C27</f>
        <v>-70951.32</v>
      </c>
      <c r="F27" s="8" t="n">
        <f aca="false">+F26</f>
        <v>15000</v>
      </c>
      <c r="G27" s="9" t="n">
        <f aca="false">+G26</f>
        <v>6.89</v>
      </c>
      <c r="H27" s="10" t="n">
        <f aca="false">+F27*G27</f>
        <v>103350</v>
      </c>
      <c r="J27" s="2" t="n">
        <f aca="false">+J26</f>
        <v>-5000</v>
      </c>
      <c r="K27" s="3" t="n">
        <f aca="false">+K26</f>
        <v>7.61</v>
      </c>
      <c r="L27" s="7" t="n">
        <f aca="false">+J27*K27</f>
        <v>-38050</v>
      </c>
      <c r="N27" s="2" t="n">
        <f aca="false">+N26</f>
        <v>0</v>
      </c>
      <c r="O27" s="3" t="n">
        <f aca="false">+O26</f>
        <v>0</v>
      </c>
      <c r="P27" s="7" t="n">
        <f aca="false">+N27*O27</f>
        <v>0</v>
      </c>
      <c r="R27" s="2" t="n">
        <f aca="false">+R26</f>
        <v>10000</v>
      </c>
      <c r="S27" s="3" t="n">
        <f aca="false">+S26</f>
        <v>9.15</v>
      </c>
      <c r="T27" s="7" t="n">
        <f aca="false">+R27*S27</f>
        <v>91500</v>
      </c>
      <c r="V27" s="2" t="n">
        <f aca="false">+V26</f>
        <v>0</v>
      </c>
      <c r="W27" s="3" t="n">
        <f aca="false">+W26</f>
        <v>0</v>
      </c>
      <c r="X27" s="7" t="n">
        <f aca="false">+V27*W27</f>
        <v>0</v>
      </c>
      <c r="Z27" s="2" t="n">
        <f aca="false">SUM(B27,F27,J27,N27,R27,V27)</f>
        <v>8684</v>
      </c>
    </row>
    <row r="28" customFormat="false" ht="12.75" hidden="false" customHeight="false" outlineLevel="0" collapsed="false">
      <c r="A28" s="5" t="n">
        <f aca="false">+A27+1</f>
        <v>23</v>
      </c>
      <c r="B28" s="8" t="n">
        <f aca="false">+B27</f>
        <v>-11316</v>
      </c>
      <c r="C28" s="9" t="n">
        <f aca="false">+C27</f>
        <v>6.27</v>
      </c>
      <c r="D28" s="10" t="n">
        <f aca="false">+B28*C28</f>
        <v>-70951.32</v>
      </c>
      <c r="F28" s="8" t="n">
        <f aca="false">+F27</f>
        <v>15000</v>
      </c>
      <c r="G28" s="9" t="n">
        <f aca="false">+G27</f>
        <v>6.89</v>
      </c>
      <c r="H28" s="10" t="n">
        <f aca="false">+F28*G28</f>
        <v>103350</v>
      </c>
      <c r="J28" s="2" t="n">
        <f aca="false">+J27</f>
        <v>-5000</v>
      </c>
      <c r="K28" s="3" t="n">
        <f aca="false">+K27</f>
        <v>7.61</v>
      </c>
      <c r="L28" s="7" t="n">
        <f aca="false">+J28*K28</f>
        <v>-38050</v>
      </c>
      <c r="N28" s="2" t="n">
        <f aca="false">+N27</f>
        <v>0</v>
      </c>
      <c r="O28" s="3" t="n">
        <f aca="false">+O27</f>
        <v>0</v>
      </c>
      <c r="P28" s="7" t="n">
        <f aca="false">+N28*O28</f>
        <v>0</v>
      </c>
      <c r="R28" s="2" t="n">
        <f aca="false">+R27</f>
        <v>10000</v>
      </c>
      <c r="S28" s="3" t="n">
        <f aca="false">+S27</f>
        <v>9.15</v>
      </c>
      <c r="T28" s="7" t="n">
        <f aca="false">+R28*S28</f>
        <v>91500</v>
      </c>
      <c r="V28" s="2" t="n">
        <v>420</v>
      </c>
      <c r="W28" s="3" t="n">
        <f aca="false">6.27+0.0125</f>
        <v>6.2825</v>
      </c>
      <c r="X28" s="7" t="n">
        <f aca="false">+V28*W28</f>
        <v>2638.65</v>
      </c>
      <c r="Z28" s="2" t="n">
        <f aca="false">SUM(B28,F28,J28,N28,R28,V28)</f>
        <v>9104</v>
      </c>
    </row>
    <row r="29" customFormat="false" ht="12.75" hidden="false" customHeight="false" outlineLevel="0" collapsed="false">
      <c r="A29" s="5" t="n">
        <f aca="false">+A28+1</f>
        <v>24</v>
      </c>
      <c r="B29" s="8" t="n">
        <f aca="false">+B28</f>
        <v>-11316</v>
      </c>
      <c r="C29" s="9" t="n">
        <f aca="false">+C28</f>
        <v>6.27</v>
      </c>
      <c r="D29" s="10" t="n">
        <f aca="false">+B29*C29</f>
        <v>-70951.32</v>
      </c>
      <c r="F29" s="8" t="n">
        <f aca="false">+F28</f>
        <v>15000</v>
      </c>
      <c r="G29" s="9" t="n">
        <f aca="false">+G28</f>
        <v>6.89</v>
      </c>
      <c r="H29" s="10" t="n">
        <f aca="false">+F29*G29</f>
        <v>103350</v>
      </c>
      <c r="J29" s="2" t="n">
        <f aca="false">+J28</f>
        <v>-5000</v>
      </c>
      <c r="K29" s="3" t="n">
        <f aca="false">+K28</f>
        <v>7.61</v>
      </c>
      <c r="L29" s="7" t="n">
        <f aca="false">+J29*K29</f>
        <v>-38050</v>
      </c>
      <c r="N29" s="2" t="n">
        <f aca="false">+N28</f>
        <v>0</v>
      </c>
      <c r="O29" s="3" t="n">
        <f aca="false">+O28</f>
        <v>0</v>
      </c>
      <c r="P29" s="7" t="n">
        <f aca="false">+N29*O29</f>
        <v>0</v>
      </c>
      <c r="R29" s="2" t="n">
        <f aca="false">+R28</f>
        <v>10000</v>
      </c>
      <c r="S29" s="3" t="n">
        <f aca="false">+S28</f>
        <v>9.15</v>
      </c>
      <c r="T29" s="7" t="n">
        <f aca="false">+R29*S29</f>
        <v>91500</v>
      </c>
      <c r="V29" s="2" t="n">
        <f aca="false">+V28</f>
        <v>420</v>
      </c>
      <c r="W29" s="3" t="n">
        <f aca="false">+W28</f>
        <v>6.2825</v>
      </c>
      <c r="X29" s="7" t="n">
        <f aca="false">+V29*W29</f>
        <v>2638.65</v>
      </c>
      <c r="Z29" s="2" t="n">
        <f aca="false">SUM(B29,F29,J29,N29,R29,V29)</f>
        <v>9104</v>
      </c>
    </row>
    <row r="30" customFormat="false" ht="12.75" hidden="false" customHeight="false" outlineLevel="0" collapsed="false">
      <c r="A30" s="5" t="n">
        <f aca="false">+A29+1</f>
        <v>25</v>
      </c>
      <c r="B30" s="8" t="n">
        <f aca="false">+B29</f>
        <v>-11316</v>
      </c>
      <c r="C30" s="9" t="n">
        <f aca="false">+C29</f>
        <v>6.27</v>
      </c>
      <c r="D30" s="10" t="n">
        <f aca="false">+B30*C30</f>
        <v>-70951.32</v>
      </c>
      <c r="F30" s="8" t="n">
        <f aca="false">+F29</f>
        <v>15000</v>
      </c>
      <c r="G30" s="9" t="n">
        <f aca="false">+G29</f>
        <v>6.89</v>
      </c>
      <c r="H30" s="10" t="n">
        <f aca="false">+F30*G30</f>
        <v>103350</v>
      </c>
      <c r="J30" s="2" t="n">
        <f aca="false">+J29</f>
        <v>-5000</v>
      </c>
      <c r="K30" s="3" t="n">
        <f aca="false">+K29</f>
        <v>7.61</v>
      </c>
      <c r="L30" s="7" t="n">
        <f aca="false">+J30*K30</f>
        <v>-38050</v>
      </c>
      <c r="N30" s="2" t="n">
        <f aca="false">+N29</f>
        <v>0</v>
      </c>
      <c r="O30" s="3" t="n">
        <f aca="false">+O29</f>
        <v>0</v>
      </c>
      <c r="P30" s="7" t="n">
        <f aca="false">+N30*O30</f>
        <v>0</v>
      </c>
      <c r="R30" s="2" t="n">
        <f aca="false">+R29</f>
        <v>10000</v>
      </c>
      <c r="S30" s="3" t="n">
        <f aca="false">+S29</f>
        <v>9.15</v>
      </c>
      <c r="T30" s="7" t="n">
        <f aca="false">+R30*S30</f>
        <v>91500</v>
      </c>
      <c r="V30" s="2" t="n">
        <f aca="false">+V29</f>
        <v>420</v>
      </c>
      <c r="W30" s="3" t="n">
        <f aca="false">+W29</f>
        <v>6.2825</v>
      </c>
      <c r="X30" s="7" t="n">
        <f aca="false">+V30*W30</f>
        <v>2638.65</v>
      </c>
      <c r="Z30" s="2" t="n">
        <f aca="false">SUM(B30,F30,J30,N30,R30,V30)</f>
        <v>9104</v>
      </c>
    </row>
    <row r="31" customFormat="false" ht="12.75" hidden="false" customHeight="false" outlineLevel="0" collapsed="false">
      <c r="A31" s="5" t="n">
        <f aca="false">+A30+1</f>
        <v>26</v>
      </c>
      <c r="B31" s="8" t="n">
        <f aca="false">+B30</f>
        <v>-11316</v>
      </c>
      <c r="C31" s="9" t="n">
        <f aca="false">+C30</f>
        <v>6.27</v>
      </c>
      <c r="D31" s="10" t="n">
        <f aca="false">+B31*C31</f>
        <v>-70951.32</v>
      </c>
      <c r="F31" s="8" t="n">
        <f aca="false">+F30</f>
        <v>15000</v>
      </c>
      <c r="G31" s="9" t="n">
        <f aca="false">+G30</f>
        <v>6.89</v>
      </c>
      <c r="H31" s="10" t="n">
        <f aca="false">+F31*G31</f>
        <v>103350</v>
      </c>
      <c r="J31" s="2" t="n">
        <f aca="false">+J30</f>
        <v>-5000</v>
      </c>
      <c r="K31" s="3" t="n">
        <f aca="false">+K30</f>
        <v>7.61</v>
      </c>
      <c r="L31" s="7" t="n">
        <f aca="false">+J31*K31</f>
        <v>-38050</v>
      </c>
      <c r="N31" s="2" t="n">
        <f aca="false">+N30</f>
        <v>0</v>
      </c>
      <c r="O31" s="3" t="n">
        <f aca="false">+O30</f>
        <v>0</v>
      </c>
      <c r="P31" s="7" t="n">
        <f aca="false">+N31*O31</f>
        <v>0</v>
      </c>
      <c r="R31" s="2" t="n">
        <f aca="false">+R30</f>
        <v>10000</v>
      </c>
      <c r="S31" s="3" t="n">
        <f aca="false">+S30</f>
        <v>9.15</v>
      </c>
      <c r="T31" s="7" t="n">
        <f aca="false">+R31*S31</f>
        <v>91500</v>
      </c>
      <c r="V31" s="2" t="n">
        <f aca="false">+V30</f>
        <v>420</v>
      </c>
      <c r="W31" s="3" t="n">
        <f aca="false">+W30</f>
        <v>6.2825</v>
      </c>
      <c r="X31" s="7" t="n">
        <f aca="false">+V31*W31</f>
        <v>2638.65</v>
      </c>
      <c r="Z31" s="2" t="n">
        <f aca="false">SUM(B31,F31,J31,N31,R31,V31)</f>
        <v>9104</v>
      </c>
    </row>
    <row r="32" customFormat="false" ht="12.75" hidden="false" customHeight="false" outlineLevel="0" collapsed="false">
      <c r="A32" s="5" t="n">
        <f aca="false">+A31+1</f>
        <v>27</v>
      </c>
      <c r="B32" s="8" t="n">
        <f aca="false">+B31</f>
        <v>-11316</v>
      </c>
      <c r="C32" s="9" t="n">
        <f aca="false">+C31</f>
        <v>6.27</v>
      </c>
      <c r="D32" s="10" t="n">
        <f aca="false">+B32*C32</f>
        <v>-70951.32</v>
      </c>
      <c r="F32" s="8" t="n">
        <f aca="false">+F31</f>
        <v>15000</v>
      </c>
      <c r="G32" s="9" t="n">
        <f aca="false">+G31</f>
        <v>6.89</v>
      </c>
      <c r="H32" s="10" t="n">
        <f aca="false">+F32*G32</f>
        <v>103350</v>
      </c>
      <c r="J32" s="2" t="n">
        <f aca="false">+J31</f>
        <v>-5000</v>
      </c>
      <c r="K32" s="3" t="n">
        <f aca="false">+K31</f>
        <v>7.61</v>
      </c>
      <c r="L32" s="7" t="n">
        <f aca="false">+J32*K32</f>
        <v>-38050</v>
      </c>
      <c r="N32" s="2" t="n">
        <f aca="false">+N31</f>
        <v>0</v>
      </c>
      <c r="O32" s="3" t="n">
        <f aca="false">+O31</f>
        <v>0</v>
      </c>
      <c r="P32" s="7" t="n">
        <f aca="false">+N32*O32</f>
        <v>0</v>
      </c>
      <c r="R32" s="2" t="n">
        <f aca="false">+R31</f>
        <v>10000</v>
      </c>
      <c r="S32" s="3" t="n">
        <f aca="false">+S31</f>
        <v>9.15</v>
      </c>
      <c r="T32" s="7" t="n">
        <f aca="false">+R32*S32</f>
        <v>91500</v>
      </c>
      <c r="V32" s="2" t="n">
        <f aca="false">+V31</f>
        <v>420</v>
      </c>
      <c r="W32" s="3" t="n">
        <f aca="false">+W31</f>
        <v>6.2825</v>
      </c>
      <c r="X32" s="7" t="n">
        <f aca="false">+V32*W32</f>
        <v>2638.65</v>
      </c>
      <c r="Z32" s="2" t="n">
        <f aca="false">SUM(B32,F32,J32,N32,R32,V32)</f>
        <v>9104</v>
      </c>
    </row>
    <row r="33" customFormat="false" ht="12.75" hidden="false" customHeight="false" outlineLevel="0" collapsed="false">
      <c r="A33" s="5" t="n">
        <f aca="false">+A32+1</f>
        <v>28</v>
      </c>
      <c r="B33" s="8" t="n">
        <f aca="false">+B32</f>
        <v>-11316</v>
      </c>
      <c r="C33" s="9" t="n">
        <f aca="false">+C32</f>
        <v>6.27</v>
      </c>
      <c r="D33" s="10" t="n">
        <f aca="false">+B33*C33</f>
        <v>-70951.32</v>
      </c>
      <c r="F33" s="8" t="n">
        <f aca="false">+F32</f>
        <v>15000</v>
      </c>
      <c r="G33" s="9" t="n">
        <f aca="false">+G32</f>
        <v>6.89</v>
      </c>
      <c r="H33" s="10" t="n">
        <f aca="false">+F33*G33</f>
        <v>103350</v>
      </c>
      <c r="J33" s="2" t="n">
        <f aca="false">+J32</f>
        <v>-5000</v>
      </c>
      <c r="K33" s="3" t="n">
        <f aca="false">+K32</f>
        <v>7.61</v>
      </c>
      <c r="L33" s="7" t="n">
        <f aca="false">+J33*K33</f>
        <v>-38050</v>
      </c>
      <c r="N33" s="2" t="n">
        <f aca="false">+N32</f>
        <v>0</v>
      </c>
      <c r="O33" s="3" t="n">
        <f aca="false">+O32</f>
        <v>0</v>
      </c>
      <c r="P33" s="7" t="n">
        <f aca="false">+N33*O33</f>
        <v>0</v>
      </c>
      <c r="R33" s="2" t="n">
        <f aca="false">+R32</f>
        <v>10000</v>
      </c>
      <c r="S33" s="3" t="n">
        <f aca="false">+S32</f>
        <v>9.15</v>
      </c>
      <c r="T33" s="7" t="n">
        <f aca="false">+R33*S33</f>
        <v>91500</v>
      </c>
      <c r="V33" s="2" t="n">
        <f aca="false">+V32</f>
        <v>420</v>
      </c>
      <c r="W33" s="3" t="n">
        <f aca="false">+W32</f>
        <v>6.2825</v>
      </c>
      <c r="X33" s="7" t="n">
        <f aca="false">+V33*W33</f>
        <v>2638.65</v>
      </c>
      <c r="Z33" s="2" t="n">
        <f aca="false">SUM(B33,F33,J33,N33,R33,V33)</f>
        <v>9104</v>
      </c>
    </row>
    <row r="34" customFormat="false" ht="12.75" hidden="false" customHeight="false" outlineLevel="0" collapsed="false">
      <c r="A34" s="5" t="n">
        <f aca="false">+A33+1</f>
        <v>29</v>
      </c>
      <c r="B34" s="8" t="n">
        <f aca="false">+B33</f>
        <v>-11316</v>
      </c>
      <c r="C34" s="9" t="n">
        <f aca="false">+C33</f>
        <v>6.27</v>
      </c>
      <c r="D34" s="10" t="n">
        <f aca="false">+B34*C34</f>
        <v>-70951.32</v>
      </c>
      <c r="F34" s="8" t="n">
        <f aca="false">+F33</f>
        <v>15000</v>
      </c>
      <c r="G34" s="9" t="n">
        <f aca="false">+G33</f>
        <v>6.89</v>
      </c>
      <c r="H34" s="10" t="n">
        <f aca="false">+F34*G34</f>
        <v>103350</v>
      </c>
      <c r="J34" s="2" t="n">
        <f aca="false">+J33</f>
        <v>-5000</v>
      </c>
      <c r="K34" s="3" t="n">
        <f aca="false">+K33</f>
        <v>7.61</v>
      </c>
      <c r="L34" s="7" t="n">
        <f aca="false">+J34*K34</f>
        <v>-38050</v>
      </c>
      <c r="N34" s="2" t="n">
        <f aca="false">+N33</f>
        <v>0</v>
      </c>
      <c r="O34" s="3" t="n">
        <f aca="false">+O33</f>
        <v>0</v>
      </c>
      <c r="P34" s="7" t="n">
        <f aca="false">+N34*O34</f>
        <v>0</v>
      </c>
      <c r="R34" s="2" t="n">
        <f aca="false">+R33</f>
        <v>10000</v>
      </c>
      <c r="S34" s="3" t="n">
        <f aca="false">+S33</f>
        <v>9.15</v>
      </c>
      <c r="T34" s="7" t="n">
        <f aca="false">+R34*S34</f>
        <v>91500</v>
      </c>
      <c r="V34" s="2" t="n">
        <f aca="false">+V33</f>
        <v>420</v>
      </c>
      <c r="W34" s="3" t="n">
        <f aca="false">+W33</f>
        <v>6.2825</v>
      </c>
      <c r="X34" s="7" t="n">
        <f aca="false">+V34*W34</f>
        <v>2638.65</v>
      </c>
      <c r="Z34" s="2" t="n">
        <f aca="false">SUM(B34,F34,J34,N34,R34,V34)</f>
        <v>9104</v>
      </c>
    </row>
    <row r="35" customFormat="false" ht="12.75" hidden="false" customHeight="false" outlineLevel="0" collapsed="false">
      <c r="A35" s="5" t="n">
        <f aca="false">+A34+1</f>
        <v>30</v>
      </c>
      <c r="B35" s="8" t="n">
        <f aca="false">+B34</f>
        <v>-11316</v>
      </c>
      <c r="C35" s="9" t="n">
        <f aca="false">+C34</f>
        <v>6.27</v>
      </c>
      <c r="D35" s="10" t="n">
        <f aca="false">+B35*C35</f>
        <v>-70951.32</v>
      </c>
      <c r="F35" s="8" t="n">
        <f aca="false">+F34</f>
        <v>15000</v>
      </c>
      <c r="G35" s="9" t="n">
        <f aca="false">+G34</f>
        <v>6.89</v>
      </c>
      <c r="H35" s="10" t="n">
        <f aca="false">+F35*G35</f>
        <v>103350</v>
      </c>
      <c r="J35" s="2" t="n">
        <f aca="false">+J34</f>
        <v>-5000</v>
      </c>
      <c r="K35" s="3" t="n">
        <f aca="false">+K34</f>
        <v>7.61</v>
      </c>
      <c r="L35" s="7" t="n">
        <f aca="false">+J35*K35</f>
        <v>-38050</v>
      </c>
      <c r="N35" s="2" t="n">
        <f aca="false">+N34</f>
        <v>0</v>
      </c>
      <c r="O35" s="3" t="n">
        <f aca="false">+O34</f>
        <v>0</v>
      </c>
      <c r="P35" s="7" t="n">
        <f aca="false">+N35*O35</f>
        <v>0</v>
      </c>
      <c r="R35" s="2" t="n">
        <f aca="false">+R34</f>
        <v>10000</v>
      </c>
      <c r="S35" s="3" t="n">
        <f aca="false">+S34</f>
        <v>9.15</v>
      </c>
      <c r="T35" s="7" t="n">
        <f aca="false">+R35*S35</f>
        <v>91500</v>
      </c>
      <c r="V35" s="2" t="n">
        <f aca="false">+V34</f>
        <v>420</v>
      </c>
      <c r="W35" s="3" t="n">
        <f aca="false">+W34</f>
        <v>6.2825</v>
      </c>
      <c r="X35" s="7" t="n">
        <f aca="false">+V35*W35</f>
        <v>2638.65</v>
      </c>
      <c r="Z35" s="2" t="n">
        <f aca="false">SUM(B35,F35,J35,N35,R35,V35)</f>
        <v>9104</v>
      </c>
    </row>
    <row r="36" customFormat="false" ht="12.75" hidden="false" customHeight="false" outlineLevel="0" collapsed="false">
      <c r="A36" s="5" t="n">
        <v>31</v>
      </c>
      <c r="B36" s="8" t="n">
        <f aca="false">+B35</f>
        <v>-11316</v>
      </c>
      <c r="C36" s="9" t="n">
        <f aca="false">+C35</f>
        <v>6.27</v>
      </c>
      <c r="D36" s="10" t="n">
        <f aca="false">+B36*C36</f>
        <v>-70951.32</v>
      </c>
      <c r="F36" s="8" t="n">
        <f aca="false">+F35</f>
        <v>15000</v>
      </c>
      <c r="G36" s="9" t="n">
        <f aca="false">+G35</f>
        <v>6.89</v>
      </c>
      <c r="H36" s="10" t="n">
        <f aca="false">+F36*G36</f>
        <v>103350</v>
      </c>
      <c r="J36" s="2" t="n">
        <f aca="false">+J35</f>
        <v>-5000</v>
      </c>
      <c r="K36" s="3" t="n">
        <f aca="false">+K35</f>
        <v>7.61</v>
      </c>
      <c r="L36" s="7" t="n">
        <f aca="false">+J36*K36</f>
        <v>-38050</v>
      </c>
      <c r="N36" s="2" t="n">
        <f aca="false">+N35</f>
        <v>0</v>
      </c>
      <c r="O36" s="3" t="n">
        <f aca="false">+O35</f>
        <v>0</v>
      </c>
      <c r="P36" s="7" t="n">
        <f aca="false">+N36*O36</f>
        <v>0</v>
      </c>
      <c r="R36" s="2" t="n">
        <f aca="false">+R35</f>
        <v>10000</v>
      </c>
      <c r="S36" s="3" t="n">
        <f aca="false">+S35</f>
        <v>9.15</v>
      </c>
      <c r="T36" s="7" t="n">
        <f aca="false">+R36*S36</f>
        <v>91500</v>
      </c>
      <c r="V36" s="2" t="n">
        <f aca="false">+V35</f>
        <v>420</v>
      </c>
      <c r="W36" s="3" t="n">
        <f aca="false">+W35</f>
        <v>6.2825</v>
      </c>
      <c r="X36" s="7" t="n">
        <f aca="false">+V36*W36</f>
        <v>2638.65</v>
      </c>
      <c r="Z36" s="2" t="n">
        <f aca="false">SUM(B36,F36,J36,N36,R36,V36)</f>
        <v>9104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N13" activePane="bottomRight" state="frozen"/>
      <selection pane="topLeft" activeCell="A1" activeCellId="0" sqref="A1"/>
      <selection pane="topRight" activeCell="N1" activeCellId="0" sqref="N1"/>
      <selection pane="bottomLeft" activeCell="A13" activeCellId="0" sqref="A13"/>
      <selection pane="bottomRight" activeCell="V3" activeCellId="0" sqref="V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3" min="2" style="1" width="10.99"/>
    <col collapsed="false" customWidth="true" hidden="false" outlineLevel="0" max="4" min="4" style="1" width="4.7"/>
    <col collapsed="false" customWidth="true" hidden="false" outlineLevel="0" max="5" min="5" style="1" width="12.85"/>
    <col collapsed="false" customWidth="true" hidden="false" outlineLevel="0" max="9" min="6" style="1" width="10.41"/>
    <col collapsed="false" customWidth="true" hidden="false" outlineLevel="0" max="10" min="10" style="1" width="3.28"/>
    <col collapsed="false" customWidth="true" hidden="false" outlineLevel="0" max="11" min="11" style="1" width="12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true" hidden="false" outlineLevel="0" max="15" min="14" style="1" width="12.85"/>
    <col collapsed="false" customWidth="true" hidden="false" outlineLevel="0" max="16" min="16" style="1" width="10.28"/>
    <col collapsed="false" customWidth="true" hidden="false" outlineLevel="0" max="17" min="17" style="1" width="3.56"/>
    <col collapsed="false" customWidth="true" hidden="false" outlineLevel="0" max="18" min="18" style="1" width="10.28"/>
    <col collapsed="false" customWidth="true" hidden="false" outlineLevel="0" max="19" min="19" style="1" width="3.56"/>
    <col collapsed="false" customWidth="true" hidden="false" outlineLevel="0" max="20" min="20" style="1" width="12.99"/>
    <col collapsed="false" customWidth="true" hidden="false" outlineLevel="0" max="21" min="21" style="1" width="3.56"/>
    <col collapsed="false" customWidth="true" hidden="false" outlineLevel="0" max="22" min="22" style="1" width="14.41"/>
    <col collapsed="false" customWidth="true" hidden="false" outlineLevel="0" max="23" min="23" style="1" width="3.56"/>
    <col collapsed="false" customWidth="true" hidden="false" outlineLevel="0" max="24" min="24" style="11" width="13.85"/>
    <col collapsed="false" customWidth="false" hidden="false" outlineLevel="0" max="257" min="25" style="1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2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 t="s">
        <v>10</v>
      </c>
      <c r="C3" s="5" t="s">
        <v>14</v>
      </c>
      <c r="D3" s="5"/>
      <c r="E3" s="13" t="n">
        <v>456379</v>
      </c>
      <c r="F3" s="5"/>
      <c r="G3" s="5"/>
      <c r="H3" s="5"/>
      <c r="I3" s="5"/>
      <c r="J3" s="5"/>
      <c r="K3" s="5" t="s">
        <v>15</v>
      </c>
      <c r="L3" s="5"/>
      <c r="M3" s="5"/>
      <c r="N3" s="5"/>
      <c r="O3" s="5"/>
      <c r="P3" s="5"/>
      <c r="Q3" s="5"/>
      <c r="R3" s="5" t="s">
        <v>16</v>
      </c>
      <c r="S3" s="5"/>
      <c r="T3" s="5"/>
      <c r="V3" s="5" t="s">
        <v>17</v>
      </c>
      <c r="X3" s="12"/>
      <c r="Y3" s="1" t="s">
        <v>18</v>
      </c>
    </row>
    <row r="4" customFormat="false" ht="12.75" hidden="false" customHeight="false" outlineLevel="0" collapsed="false">
      <c r="A4" s="5"/>
      <c r="B4" s="5" t="s">
        <v>19</v>
      </c>
      <c r="C4" s="5" t="s">
        <v>19</v>
      </c>
      <c r="D4" s="5"/>
      <c r="E4" s="14" t="s">
        <v>20</v>
      </c>
      <c r="F4" s="15" t="s">
        <v>20</v>
      </c>
      <c r="G4" s="5"/>
      <c r="H4" s="5" t="s">
        <v>21</v>
      </c>
      <c r="I4" s="5" t="s">
        <v>3</v>
      </c>
      <c r="J4" s="5"/>
      <c r="K4" s="5" t="s">
        <v>22</v>
      </c>
      <c r="L4" s="5"/>
      <c r="M4" s="5"/>
      <c r="N4" s="5"/>
      <c r="O4" s="5"/>
      <c r="P4" s="5" t="s">
        <v>23</v>
      </c>
      <c r="Q4" s="5"/>
      <c r="R4" s="5" t="s">
        <v>24</v>
      </c>
      <c r="S4" s="5"/>
      <c r="T4" s="5" t="s">
        <v>25</v>
      </c>
      <c r="V4" s="5" t="s">
        <v>26</v>
      </c>
      <c r="X4" s="12"/>
      <c r="Y4" s="1" t="s">
        <v>10</v>
      </c>
      <c r="AB4" s="1" t="s">
        <v>27</v>
      </c>
      <c r="AE4" s="1" t="s">
        <v>27</v>
      </c>
    </row>
    <row r="5" customFormat="false" ht="12.75" hidden="false" customHeight="false" outlineLevel="0" collapsed="false">
      <c r="A5" s="5"/>
      <c r="B5" s="5" t="s">
        <v>28</v>
      </c>
      <c r="C5" s="5" t="n">
        <v>546310</v>
      </c>
      <c r="D5" s="5"/>
      <c r="E5" s="16" t="s">
        <v>29</v>
      </c>
      <c r="F5" s="17" t="s">
        <v>5</v>
      </c>
      <c r="G5" s="5"/>
      <c r="H5" s="5" t="s">
        <v>30</v>
      </c>
      <c r="I5" s="5" t="s">
        <v>30</v>
      </c>
      <c r="J5" s="5"/>
      <c r="K5" s="5" t="s">
        <v>31</v>
      </c>
      <c r="L5" s="5"/>
      <c r="M5" s="5" t="s">
        <v>32</v>
      </c>
      <c r="N5" s="5" t="s">
        <v>33</v>
      </c>
      <c r="O5" s="5" t="s">
        <v>34</v>
      </c>
      <c r="P5" s="18" t="s">
        <v>32</v>
      </c>
      <c r="Q5" s="5"/>
      <c r="R5" s="18" t="n">
        <v>502957</v>
      </c>
      <c r="S5" s="5"/>
      <c r="T5" s="5" t="s">
        <v>35</v>
      </c>
      <c r="V5" s="5" t="s">
        <v>36</v>
      </c>
      <c r="X5" s="12" t="s">
        <v>37</v>
      </c>
      <c r="Y5" s="1" t="s">
        <v>6</v>
      </c>
      <c r="AB5" s="1" t="s">
        <v>38</v>
      </c>
      <c r="AE5" s="1" t="s">
        <v>20</v>
      </c>
    </row>
    <row r="6" customFormat="false" ht="12.75" hidden="false" customHeight="false" outlineLevel="0" collapsed="false">
      <c r="A6" s="19" t="n">
        <v>1</v>
      </c>
      <c r="B6" s="19" t="n">
        <v>68020</v>
      </c>
      <c r="C6" s="19" t="n">
        <v>0</v>
      </c>
      <c r="D6" s="19"/>
      <c r="E6" s="19" t="n">
        <v>28121</v>
      </c>
      <c r="F6" s="19" t="n">
        <f aca="false">ROUND(+E6*(1-0.02184),0)</f>
        <v>27507</v>
      </c>
      <c r="G6" s="19"/>
      <c r="H6" s="19" t="n">
        <v>140099</v>
      </c>
      <c r="I6" s="19" t="n">
        <f aca="false">IF(B6-H6&gt;0,+B6-H6,0)</f>
        <v>0</v>
      </c>
      <c r="J6" s="19"/>
      <c r="K6" s="19" t="n">
        <f aca="false">+B6+C6-F6</f>
        <v>40513</v>
      </c>
      <c r="L6" s="19"/>
      <c r="M6" s="19" t="n">
        <v>41858</v>
      </c>
      <c r="N6" s="19" t="n">
        <f aca="false">SUM('3rd Party Deals'!X6)</f>
        <v>11316</v>
      </c>
      <c r="O6" s="19" t="n">
        <f aca="false">SUM('Spot wENA'!Z6)</f>
        <v>-11316</v>
      </c>
      <c r="P6" s="19" t="n">
        <f aca="false">SUM(M6:O6)</f>
        <v>41858</v>
      </c>
      <c r="Q6" s="19"/>
      <c r="R6" s="19" t="n">
        <f aca="false">IF(T6&gt;0,+B6-T6,0)</f>
        <v>0</v>
      </c>
      <c r="S6" s="19"/>
      <c r="T6" s="19" t="n">
        <f aca="false">IF(K6-P6&gt;0,K6-P6,0)</f>
        <v>0</v>
      </c>
      <c r="U6" s="20"/>
      <c r="V6" s="21" t="n">
        <f aca="false">IF(P6-K6&gt;0,P6-K6,0)</f>
        <v>1345</v>
      </c>
      <c r="W6" s="20"/>
      <c r="X6" s="22" t="n">
        <v>6.58</v>
      </c>
      <c r="Y6" s="22" t="n">
        <f aca="false">ROUND((+X6+0.01)/(1-0.02184)+0.0227,2)</f>
        <v>6.76</v>
      </c>
      <c r="Z6" s="20"/>
      <c r="AA6" s="20"/>
      <c r="AB6" s="20" t="n">
        <v>-1371</v>
      </c>
      <c r="AC6" s="20"/>
      <c r="AD6" s="20"/>
      <c r="AE6" s="20" t="n">
        <v>27503</v>
      </c>
      <c r="AF6" s="20"/>
      <c r="AG6" s="20" t="n">
        <f aca="false">+F6-AE6</f>
        <v>4</v>
      </c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false" customHeight="false" outlineLevel="0" collapsed="false">
      <c r="A7" s="19" t="n">
        <f aca="false">+A6+1</f>
        <v>2</v>
      </c>
      <c r="B7" s="19" t="n">
        <v>82996</v>
      </c>
      <c r="C7" s="19" t="n">
        <f aca="false">+C6</f>
        <v>0</v>
      </c>
      <c r="D7" s="19"/>
      <c r="E7" s="19" t="n">
        <v>29355</v>
      </c>
      <c r="F7" s="19" t="n">
        <f aca="false">ROUND(+E7*(1-0.02184),0)</f>
        <v>28714</v>
      </c>
      <c r="G7" s="19"/>
      <c r="H7" s="19" t="n">
        <f aca="false">+H6</f>
        <v>140099</v>
      </c>
      <c r="I7" s="19" t="n">
        <f aca="false">IF(B7-H7&gt;0,+B7-H7,0)</f>
        <v>0</v>
      </c>
      <c r="J7" s="19"/>
      <c r="K7" s="19" t="n">
        <f aca="false">+B7+C7-F7</f>
        <v>54282</v>
      </c>
      <c r="L7" s="19"/>
      <c r="M7" s="19" t="n">
        <f aca="false">+M6</f>
        <v>41858</v>
      </c>
      <c r="N7" s="19" t="n">
        <f aca="false">SUM('3rd Party Deals'!X7)</f>
        <v>11316</v>
      </c>
      <c r="O7" s="19" t="n">
        <f aca="false">SUM('Spot wENA'!Z7)</f>
        <v>3684</v>
      </c>
      <c r="P7" s="19" t="n">
        <f aca="false">SUM(M7:O7)</f>
        <v>56858</v>
      </c>
      <c r="Q7" s="19"/>
      <c r="R7" s="19" t="n">
        <f aca="false">IF(T7&gt;0,+B7-T7,0)</f>
        <v>0</v>
      </c>
      <c r="S7" s="19"/>
      <c r="T7" s="19" t="n">
        <f aca="false">IF(K7-P7&gt;0,K7-P7,0)</f>
        <v>0</v>
      </c>
      <c r="U7" s="20"/>
      <c r="V7" s="19" t="n">
        <f aca="false">IF(P7-K7&gt;0,P7-K7,0)</f>
        <v>2576</v>
      </c>
      <c r="W7" s="20"/>
      <c r="X7" s="22" t="n">
        <v>6.865</v>
      </c>
      <c r="Y7" s="22" t="n">
        <f aca="false">ROUND((+X7+0.01)/(1-0.02184)+0.0227,2)</f>
        <v>7.05</v>
      </c>
      <c r="Z7" s="20"/>
      <c r="AA7" s="20"/>
      <c r="AB7" s="20" t="n">
        <v>-3128</v>
      </c>
      <c r="AC7" s="20"/>
      <c r="AD7" s="20"/>
      <c r="AE7" s="20" t="n">
        <v>29198</v>
      </c>
      <c r="AF7" s="20"/>
      <c r="AG7" s="20" t="n">
        <f aca="false">+F7-AE7</f>
        <v>-484</v>
      </c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19" t="n">
        <f aca="false">+A7+1</f>
        <v>3</v>
      </c>
      <c r="B8" s="19" t="n">
        <v>84480</v>
      </c>
      <c r="C8" s="19" t="n">
        <f aca="false">+C7</f>
        <v>0</v>
      </c>
      <c r="D8" s="19"/>
      <c r="E8" s="19" t="n">
        <v>30872</v>
      </c>
      <c r="F8" s="19" t="n">
        <f aca="false">ROUND(+E8*(1-0.02184),0)</f>
        <v>30198</v>
      </c>
      <c r="G8" s="19"/>
      <c r="H8" s="19" t="n">
        <f aca="false">+H7</f>
        <v>140099</v>
      </c>
      <c r="I8" s="19" t="n">
        <f aca="false">IF(B8-H8&gt;0,+B8-H8,0)</f>
        <v>0</v>
      </c>
      <c r="J8" s="19"/>
      <c r="K8" s="19" t="n">
        <f aca="false">+B8+C8-F8</f>
        <v>54282</v>
      </c>
      <c r="L8" s="19"/>
      <c r="M8" s="19" t="n">
        <f aca="false">+M7</f>
        <v>41858</v>
      </c>
      <c r="N8" s="19" t="n">
        <f aca="false">SUM('3rd Party Deals'!X8)</f>
        <v>11316</v>
      </c>
      <c r="O8" s="19" t="n">
        <f aca="false">SUM('Spot wENA'!Z8)</f>
        <v>3684</v>
      </c>
      <c r="P8" s="19" t="n">
        <f aca="false">SUM(M8:O8)</f>
        <v>56858</v>
      </c>
      <c r="Q8" s="19"/>
      <c r="R8" s="19" t="n">
        <f aca="false">IF(T8&gt;0,+B8-T8,0)</f>
        <v>0</v>
      </c>
      <c r="S8" s="19"/>
      <c r="T8" s="19" t="n">
        <f aca="false">IF(K8-P8&gt;0,K8-P8,0)</f>
        <v>0</v>
      </c>
      <c r="U8" s="20"/>
      <c r="V8" s="19" t="n">
        <f aca="false">IF(P8-K8&gt;0,P8-K8,0)</f>
        <v>2576</v>
      </c>
      <c r="W8" s="20"/>
      <c r="X8" s="22" t="n">
        <v>6.865</v>
      </c>
      <c r="Y8" s="22" t="n">
        <f aca="false">ROUND((+X8+0.01)/(1-0.02184)+0.0227,2)</f>
        <v>7.05</v>
      </c>
      <c r="Z8" s="20"/>
      <c r="AA8" s="20"/>
      <c r="AB8" s="20" t="n">
        <v>-3128</v>
      </c>
      <c r="AC8" s="20"/>
      <c r="AD8" s="20"/>
      <c r="AE8" s="20" t="n">
        <v>30682</v>
      </c>
      <c r="AF8" s="20"/>
      <c r="AG8" s="20" t="n">
        <f aca="false">+F8-AE8</f>
        <v>-484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0" collapsed="false">
      <c r="A9" s="19" t="n">
        <f aca="false">+A8+1</f>
        <v>4</v>
      </c>
      <c r="B9" s="19" t="n">
        <v>67441</v>
      </c>
      <c r="C9" s="19" t="n">
        <f aca="false">+C8</f>
        <v>0</v>
      </c>
      <c r="D9" s="19"/>
      <c r="E9" s="19" t="n">
        <v>22191</v>
      </c>
      <c r="F9" s="19" t="n">
        <f aca="false">ROUND(+E9*(1-0.02184),0)</f>
        <v>21706</v>
      </c>
      <c r="G9" s="19"/>
      <c r="H9" s="19" t="n">
        <f aca="false">+H8</f>
        <v>140099</v>
      </c>
      <c r="I9" s="19" t="n">
        <f aca="false">IF(B9-H9&gt;0,+B9-H9,0)</f>
        <v>0</v>
      </c>
      <c r="J9" s="19"/>
      <c r="K9" s="19" t="n">
        <f aca="false">+B9+C9-F9</f>
        <v>45735</v>
      </c>
      <c r="L9" s="19"/>
      <c r="M9" s="19" t="n">
        <f aca="false">+M8</f>
        <v>41858</v>
      </c>
      <c r="N9" s="19" t="n">
        <f aca="false">SUM('3rd Party Deals'!X9)</f>
        <v>11316</v>
      </c>
      <c r="O9" s="19" t="n">
        <f aca="false">SUM('Spot wENA'!Z9)</f>
        <v>3684</v>
      </c>
      <c r="P9" s="19" t="n">
        <f aca="false">SUM(M9:O9)</f>
        <v>56858</v>
      </c>
      <c r="Q9" s="19"/>
      <c r="R9" s="19" t="n">
        <f aca="false">IF(T9&gt;0,+B9-T9,0)</f>
        <v>0</v>
      </c>
      <c r="S9" s="19"/>
      <c r="T9" s="19" t="n">
        <f aca="false">IF(K9-P9&gt;0,K9-P9,0)</f>
        <v>0</v>
      </c>
      <c r="U9" s="20"/>
      <c r="V9" s="21" t="n">
        <f aca="false">IF(P9-K9&gt;0,P9-K9,0)</f>
        <v>11123</v>
      </c>
      <c r="W9" s="20"/>
      <c r="X9" s="22" t="n">
        <v>6.865</v>
      </c>
      <c r="Y9" s="22" t="n">
        <f aca="false">ROUND((+X9+0.01)/(1-0.02184)+0.0227,2)</f>
        <v>7.05</v>
      </c>
      <c r="Z9" s="20"/>
      <c r="AA9" s="20"/>
      <c r="AB9" s="20" t="n">
        <v>-11366</v>
      </c>
      <c r="AC9" s="20"/>
      <c r="AD9" s="20"/>
      <c r="AE9" s="20" t="n">
        <v>21701</v>
      </c>
      <c r="AF9" s="20"/>
      <c r="AG9" s="20" t="n">
        <f aca="false">+F9-AE9</f>
        <v>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19" t="n">
        <f aca="false">+A9+1</f>
        <v>5</v>
      </c>
      <c r="B10" s="19" t="n">
        <v>93346</v>
      </c>
      <c r="C10" s="19" t="n">
        <f aca="false">+C9</f>
        <v>0</v>
      </c>
      <c r="D10" s="19"/>
      <c r="E10" s="19" t="n">
        <v>38706</v>
      </c>
      <c r="F10" s="19" t="n">
        <f aca="false">ROUND(+E10*(1-0.02184),0)</f>
        <v>37861</v>
      </c>
      <c r="G10" s="19"/>
      <c r="H10" s="19" t="n">
        <f aca="false">+H9</f>
        <v>140099</v>
      </c>
      <c r="I10" s="19" t="n">
        <f aca="false">IF(B10-H10&gt;0,+B10-H10,0)</f>
        <v>0</v>
      </c>
      <c r="J10" s="19"/>
      <c r="K10" s="19" t="n">
        <f aca="false">+B10+C10-F10</f>
        <v>55485</v>
      </c>
      <c r="L10" s="19"/>
      <c r="M10" s="19" t="n">
        <f aca="false">+M9</f>
        <v>41858</v>
      </c>
      <c r="N10" s="19" t="n">
        <f aca="false">SUM('3rd Party Deals'!X10)</f>
        <v>11316</v>
      </c>
      <c r="O10" s="19" t="n">
        <f aca="false">SUM('Spot wENA'!Z10)</f>
        <v>-1316</v>
      </c>
      <c r="P10" s="19" t="n">
        <f aca="false">SUM(M10:O10)</f>
        <v>51858</v>
      </c>
      <c r="Q10" s="19"/>
      <c r="R10" s="19" t="n">
        <f aca="false">IF(T10&gt;0,+B10-T10,0)</f>
        <v>89719</v>
      </c>
      <c r="S10" s="19"/>
      <c r="T10" s="21" t="n">
        <f aca="false">IF(K10-P10&gt;0,K10-P10,0)</f>
        <v>3627</v>
      </c>
      <c r="U10" s="20"/>
      <c r="V10" s="19" t="n">
        <f aca="false">IF(P10-K10&gt;0,P10-K10,0)</f>
        <v>0</v>
      </c>
      <c r="W10" s="20"/>
      <c r="X10" s="22" t="n">
        <v>7.815</v>
      </c>
      <c r="Y10" s="22" t="n">
        <f aca="false">ROUND((+X10+0.01)/(1-0.02184)+0.0227,2)</f>
        <v>8.02</v>
      </c>
      <c r="Z10" s="20"/>
      <c r="AA10" s="20"/>
      <c r="AB10" s="20" t="n">
        <v>3710</v>
      </c>
      <c r="AC10" s="20"/>
      <c r="AD10" s="20"/>
      <c r="AE10" s="20" t="n">
        <v>37859</v>
      </c>
      <c r="AF10" s="20"/>
      <c r="AG10" s="20" t="n">
        <f aca="false">+F10-AE10</f>
        <v>2</v>
      </c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0" collapsed="false">
      <c r="A11" s="19" t="n">
        <f aca="false">+A10+1</f>
        <v>6</v>
      </c>
      <c r="B11" s="19" t="n">
        <v>88509</v>
      </c>
      <c r="C11" s="19" t="n">
        <f aca="false">+C10</f>
        <v>0</v>
      </c>
      <c r="D11" s="19"/>
      <c r="E11" s="19" t="n">
        <v>39619</v>
      </c>
      <c r="F11" s="19" t="n">
        <f aca="false">ROUND(+E11*(1-0.02184),0)</f>
        <v>38754</v>
      </c>
      <c r="G11" s="19"/>
      <c r="H11" s="19" t="n">
        <f aca="false">+H10</f>
        <v>140099</v>
      </c>
      <c r="I11" s="19" t="n">
        <f aca="false">IF(B11-H11&gt;0,+B11-H11,0)</f>
        <v>0</v>
      </c>
      <c r="J11" s="19"/>
      <c r="K11" s="19" t="n">
        <f aca="false">+B11+C11-F11</f>
        <v>49755</v>
      </c>
      <c r="L11" s="19"/>
      <c r="M11" s="19" t="n">
        <f aca="false">+M10</f>
        <v>41858</v>
      </c>
      <c r="N11" s="19" t="n">
        <f aca="false">SUM('3rd Party Deals'!X11)</f>
        <v>11316</v>
      </c>
      <c r="O11" s="19" t="n">
        <f aca="false">SUM('Spot wENA'!Z11)</f>
        <v>-1316</v>
      </c>
      <c r="P11" s="19" t="n">
        <f aca="false">SUM(M11:O11)</f>
        <v>51858</v>
      </c>
      <c r="Q11" s="19"/>
      <c r="R11" s="19" t="n">
        <f aca="false">IF(T11&gt;0,+B11-T11,0)</f>
        <v>0</v>
      </c>
      <c r="S11" s="19"/>
      <c r="T11" s="19" t="n">
        <f aca="false">IF(K11-P11&gt;0,K11-P11,0)</f>
        <v>0</v>
      </c>
      <c r="U11" s="20"/>
      <c r="V11" s="21" t="n">
        <f aca="false">IF(P11-K11&gt;0,P11-K11,0)</f>
        <v>2103</v>
      </c>
      <c r="W11" s="20"/>
      <c r="X11" s="22" t="n">
        <v>8.43</v>
      </c>
      <c r="Y11" s="22" t="n">
        <f aca="false">ROUND((+X11+0.01)/(1-0.02184)+0.0227,2)</f>
        <v>8.65</v>
      </c>
      <c r="Z11" s="20"/>
      <c r="AA11" s="20"/>
      <c r="AB11" s="20" t="n">
        <v>-2149</v>
      </c>
      <c r="AC11" s="20"/>
      <c r="AD11" s="20"/>
      <c r="AE11" s="20" t="n">
        <v>38753</v>
      </c>
      <c r="AF11" s="20"/>
      <c r="AG11" s="20" t="n">
        <f aca="false">+F11-AE11</f>
        <v>1</v>
      </c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0" collapsed="false">
      <c r="A12" s="19" t="n">
        <f aca="false">+A11+1</f>
        <v>7</v>
      </c>
      <c r="B12" s="19" t="n">
        <v>75157</v>
      </c>
      <c r="C12" s="19" t="n">
        <f aca="false">+C11</f>
        <v>0</v>
      </c>
      <c r="D12" s="19"/>
      <c r="E12" s="19" t="n">
        <v>22574</v>
      </c>
      <c r="F12" s="19" t="n">
        <f aca="false">ROUND(+E12*(1-0.02184),0)</f>
        <v>22081</v>
      </c>
      <c r="G12" s="19"/>
      <c r="H12" s="19" t="n">
        <f aca="false">+H11</f>
        <v>140099</v>
      </c>
      <c r="I12" s="19" t="n">
        <f aca="false">IF(B12-H12&gt;0,+B12-H12,0)</f>
        <v>0</v>
      </c>
      <c r="J12" s="19"/>
      <c r="K12" s="19" t="n">
        <f aca="false">+B12+C12-F12</f>
        <v>53076</v>
      </c>
      <c r="L12" s="19"/>
      <c r="M12" s="19" t="n">
        <f aca="false">+M11</f>
        <v>41858</v>
      </c>
      <c r="N12" s="19" t="n">
        <f aca="false">SUM('3rd Party Deals'!X12)</f>
        <v>11316</v>
      </c>
      <c r="O12" s="19" t="n">
        <f aca="false">SUM('Spot wENA'!Z12)</f>
        <v>-1316</v>
      </c>
      <c r="P12" s="19" t="n">
        <f aca="false">SUM(M12:O12)</f>
        <v>51858</v>
      </c>
      <c r="Q12" s="19"/>
      <c r="R12" s="19" t="n">
        <f aca="false">IF(T12&gt;0,+B12-T12,0)</f>
        <v>73939</v>
      </c>
      <c r="S12" s="19"/>
      <c r="T12" s="21" t="n">
        <f aca="false">IF(K12-P12&gt;0,K12-P12,0)</f>
        <v>1218</v>
      </c>
      <c r="U12" s="20"/>
      <c r="V12" s="19" t="n">
        <f aca="false">IF(P12-K12&gt;0,P12-K12,0)</f>
        <v>0</v>
      </c>
      <c r="W12" s="20"/>
      <c r="X12" s="22" t="n">
        <v>9.155</v>
      </c>
      <c r="Y12" s="22" t="n">
        <f aca="false">ROUND((+X12+0.01)/(1-0.02184)+0.0227,2)</f>
        <v>9.39</v>
      </c>
      <c r="Z12" s="20"/>
      <c r="AA12" s="20"/>
      <c r="AB12" s="20" t="n">
        <v>1249</v>
      </c>
      <c r="AC12" s="20"/>
      <c r="AD12" s="20"/>
      <c r="AE12" s="20" t="n">
        <v>22077</v>
      </c>
      <c r="AF12" s="20"/>
      <c r="AG12" s="20" t="n">
        <f aca="false">+F12-AE12</f>
        <v>4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0" collapsed="false">
      <c r="A13" s="19" t="n">
        <f aca="false">+A12+1</f>
        <v>8</v>
      </c>
      <c r="B13" s="19" t="n">
        <v>83388</v>
      </c>
      <c r="C13" s="19" t="n">
        <f aca="false">+C12</f>
        <v>0</v>
      </c>
      <c r="D13" s="19"/>
      <c r="E13" s="19" t="n">
        <v>30403</v>
      </c>
      <c r="F13" s="19" t="n">
        <f aca="false">ROUND(+E13*(1-0.02184),0)</f>
        <v>29739</v>
      </c>
      <c r="G13" s="19"/>
      <c r="H13" s="19" t="n">
        <f aca="false">+H12</f>
        <v>140099</v>
      </c>
      <c r="I13" s="19" t="n">
        <f aca="false">IF(B13-H13&gt;0,+B13-H13,0)</f>
        <v>0</v>
      </c>
      <c r="J13" s="19"/>
      <c r="K13" s="19" t="n">
        <f aca="false">+B13+C13-F13</f>
        <v>53649</v>
      </c>
      <c r="L13" s="19"/>
      <c r="M13" s="19" t="n">
        <f aca="false">+M12</f>
        <v>41858</v>
      </c>
      <c r="N13" s="19" t="n">
        <f aca="false">SUM('3rd Party Deals'!X13)</f>
        <v>11316</v>
      </c>
      <c r="O13" s="19" t="n">
        <f aca="false">SUM('Spot wENA'!Z13)</f>
        <v>-1316</v>
      </c>
      <c r="P13" s="19" t="n">
        <f aca="false">SUM(M13:O13)</f>
        <v>51858</v>
      </c>
      <c r="Q13" s="19"/>
      <c r="R13" s="19" t="n">
        <f aca="false">IF(T13&gt;0,+B13-T13,0)</f>
        <v>81597</v>
      </c>
      <c r="S13" s="19"/>
      <c r="T13" s="21" t="n">
        <f aca="false">IF(K13-P13&gt;0,K13-P13,0)</f>
        <v>1791</v>
      </c>
      <c r="U13" s="20"/>
      <c r="V13" s="19" t="n">
        <f aca="false">IF(P13-K13&gt;0,P13-K13,0)</f>
        <v>0</v>
      </c>
      <c r="W13" s="20"/>
      <c r="X13" s="22" t="n">
        <v>8.91</v>
      </c>
      <c r="Y13" s="22" t="n">
        <f aca="false">ROUND((+X13+0.01)/(1-0.02184)+0.0227,2)</f>
        <v>9.14</v>
      </c>
      <c r="Z13" s="20"/>
      <c r="AA13" s="20"/>
      <c r="AB13" s="20" t="n">
        <v>1835</v>
      </c>
      <c r="AC13" s="20"/>
      <c r="AD13" s="20"/>
      <c r="AE13" s="20" t="n">
        <v>29736</v>
      </c>
      <c r="AF13" s="20"/>
      <c r="AG13" s="20" t="n">
        <f aca="false">+F13-AE13</f>
        <v>3</v>
      </c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0" collapsed="false">
      <c r="A14" s="19" t="n">
        <f aca="false">+A13+1</f>
        <v>9</v>
      </c>
      <c r="B14" s="19" t="n">
        <v>75648</v>
      </c>
      <c r="C14" s="19" t="n">
        <f aca="false">+C13</f>
        <v>0</v>
      </c>
      <c r="D14" s="19"/>
      <c r="E14" s="19" t="n">
        <v>50215</v>
      </c>
      <c r="F14" s="19" t="n">
        <f aca="false">ROUND(+E14*(1-0.02184),0)</f>
        <v>49118</v>
      </c>
      <c r="G14" s="19"/>
      <c r="H14" s="19" t="n">
        <f aca="false">+H13</f>
        <v>140099</v>
      </c>
      <c r="I14" s="19" t="n">
        <f aca="false">IF(B14-H14&gt;0,+B14-H14,0)</f>
        <v>0</v>
      </c>
      <c r="J14" s="19"/>
      <c r="K14" s="19" t="n">
        <f aca="false">+B14+C14-F14</f>
        <v>26530</v>
      </c>
      <c r="L14" s="19"/>
      <c r="M14" s="19" t="n">
        <f aca="false">+M13</f>
        <v>41858</v>
      </c>
      <c r="N14" s="19" t="n">
        <f aca="false">SUM('3rd Party Deals'!X14)</f>
        <v>11316</v>
      </c>
      <c r="O14" s="19" t="n">
        <f aca="false">SUM('Spot wENA'!Z14)</f>
        <v>-36316</v>
      </c>
      <c r="P14" s="19" t="n">
        <f aca="false">SUM(M14:O14)</f>
        <v>16858</v>
      </c>
      <c r="Q14" s="19"/>
      <c r="R14" s="19" t="n">
        <f aca="false">IF(T14&gt;0,+B14-T14,0)</f>
        <v>65976</v>
      </c>
      <c r="S14" s="19"/>
      <c r="T14" s="21" t="n">
        <f aca="false">IF(K14-P14&gt;0,K14-P14,0)</f>
        <v>9672</v>
      </c>
      <c r="U14" s="20"/>
      <c r="V14" s="19" t="n">
        <f aca="false">IF(P14-K14&gt;0,P14-K14,0)</f>
        <v>0</v>
      </c>
      <c r="W14" s="20"/>
      <c r="X14" s="22" t="n">
        <v>8.41</v>
      </c>
      <c r="Y14" s="22" t="n">
        <f aca="false">ROUND((+X14+0.01)/(1-0.02184)+0.0227,2)</f>
        <v>8.63</v>
      </c>
      <c r="Z14" s="20"/>
      <c r="AA14" s="20"/>
      <c r="AB14" s="20" t="n">
        <v>9888</v>
      </c>
      <c r="AC14" s="20"/>
      <c r="AD14" s="20"/>
      <c r="AE14" s="20" t="n">
        <v>49118</v>
      </c>
      <c r="AF14" s="20"/>
      <c r="AG14" s="20" t="n">
        <f aca="false">+F14-AE14</f>
        <v>0</v>
      </c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0" collapsed="false">
      <c r="A15" s="19" t="n">
        <f aca="false">+A14+1</f>
        <v>10</v>
      </c>
      <c r="B15" s="19" t="n">
        <v>60794</v>
      </c>
      <c r="C15" s="19" t="n">
        <f aca="false">+C14</f>
        <v>0</v>
      </c>
      <c r="D15" s="19"/>
      <c r="E15" s="19" t="n">
        <v>35030</v>
      </c>
      <c r="F15" s="19" t="n">
        <f aca="false">ROUND(+E15*(1-0.02184),0)</f>
        <v>34265</v>
      </c>
      <c r="G15" s="19"/>
      <c r="H15" s="19" t="n">
        <f aca="false">+H14</f>
        <v>140099</v>
      </c>
      <c r="I15" s="19" t="n">
        <f aca="false">IF(B15-H15&gt;0,+B15-H15,0)</f>
        <v>0</v>
      </c>
      <c r="J15" s="19"/>
      <c r="K15" s="19" t="n">
        <f aca="false">+B15+C15-F15</f>
        <v>26529</v>
      </c>
      <c r="L15" s="19"/>
      <c r="M15" s="19" t="n">
        <f aca="false">+M14</f>
        <v>41858</v>
      </c>
      <c r="N15" s="19" t="n">
        <f aca="false">SUM('3rd Party Deals'!X15)</f>
        <v>11316</v>
      </c>
      <c r="O15" s="19" t="n">
        <f aca="false">SUM('Spot wENA'!Z15)</f>
        <v>-36316</v>
      </c>
      <c r="P15" s="19" t="n">
        <f aca="false">SUM(M15:O15)</f>
        <v>16858</v>
      </c>
      <c r="Q15" s="19"/>
      <c r="R15" s="19" t="n">
        <f aca="false">IF(T15&gt;0,+B15-T15,0)</f>
        <v>51123</v>
      </c>
      <c r="S15" s="19"/>
      <c r="T15" s="21" t="n">
        <f aca="false">IF(K15-P15&gt;0,K15-P15,0)</f>
        <v>9671</v>
      </c>
      <c r="U15" s="20"/>
      <c r="V15" s="19" t="n">
        <f aca="false">IF(P15-K15&gt;0,P15-K15,0)</f>
        <v>0</v>
      </c>
      <c r="W15" s="20"/>
      <c r="X15" s="22" t="n">
        <v>8.41</v>
      </c>
      <c r="Y15" s="22" t="n">
        <f aca="false">ROUND((+X15+0.01)/(1-0.02184)+0.0227,2)</f>
        <v>8.63</v>
      </c>
      <c r="Z15" s="20"/>
      <c r="AA15" s="20"/>
      <c r="AB15" s="20" t="n">
        <v>9888</v>
      </c>
      <c r="AC15" s="20"/>
      <c r="AD15" s="20"/>
      <c r="AE15" s="20" t="n">
        <v>34264</v>
      </c>
      <c r="AF15" s="20"/>
      <c r="AG15" s="20" t="n">
        <f aca="false">+F15-AE15</f>
        <v>1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0" collapsed="false">
      <c r="A16" s="19" t="n">
        <f aca="false">+A15+1</f>
        <v>11</v>
      </c>
      <c r="B16" s="19" t="n">
        <v>55330</v>
      </c>
      <c r="C16" s="19" t="n">
        <f aca="false">+C15</f>
        <v>0</v>
      </c>
      <c r="D16" s="19"/>
      <c r="E16" s="19" t="n">
        <v>29442</v>
      </c>
      <c r="F16" s="19" t="n">
        <f aca="false">ROUND(+E16*(1-0.02184),0)</f>
        <v>28799</v>
      </c>
      <c r="G16" s="19"/>
      <c r="H16" s="19" t="n">
        <f aca="false">+H15</f>
        <v>140099</v>
      </c>
      <c r="I16" s="19" t="n">
        <f aca="false">IF(B16-H16&gt;0,+B16-H16,0)</f>
        <v>0</v>
      </c>
      <c r="J16" s="19"/>
      <c r="K16" s="19" t="n">
        <f aca="false">+B16+C16-F16</f>
        <v>26531</v>
      </c>
      <c r="L16" s="19"/>
      <c r="M16" s="19" t="n">
        <f aca="false">+M15</f>
        <v>41858</v>
      </c>
      <c r="N16" s="19" t="n">
        <f aca="false">SUM('3rd Party Deals'!X16)</f>
        <v>11316</v>
      </c>
      <c r="O16" s="19" t="n">
        <f aca="false">SUM('Spot wENA'!Z16)</f>
        <v>-36316</v>
      </c>
      <c r="P16" s="19" t="n">
        <f aca="false">SUM(M16:O16)</f>
        <v>16858</v>
      </c>
      <c r="Q16" s="19"/>
      <c r="R16" s="19" t="n">
        <f aca="false">IF(T16&gt;0,+B16-T16,0)</f>
        <v>45657</v>
      </c>
      <c r="S16" s="19"/>
      <c r="T16" s="19" t="n">
        <f aca="false">IF(K16-P16&gt;0,K16-P16,0)</f>
        <v>9673</v>
      </c>
      <c r="U16" s="20"/>
      <c r="V16" s="19" t="n">
        <f aca="false">IF(P16-K16&gt;0,P16-K16,0)</f>
        <v>0</v>
      </c>
      <c r="W16" s="20"/>
      <c r="X16" s="22" t="n">
        <v>8.41</v>
      </c>
      <c r="Y16" s="22" t="n">
        <f aca="false">ROUND((+X16+0.01)/(1-0.02184)+0.0227,2)</f>
        <v>8.63</v>
      </c>
      <c r="Z16" s="20"/>
      <c r="AA16" s="20"/>
      <c r="AB16" s="20" t="n">
        <v>9888</v>
      </c>
      <c r="AC16" s="20"/>
      <c r="AD16" s="20"/>
      <c r="AE16" s="20" t="n">
        <v>28800</v>
      </c>
      <c r="AF16" s="20"/>
      <c r="AG16" s="20" t="n">
        <f aca="false">+F16-AE16</f>
        <v>-1</v>
      </c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19" t="n">
        <f aca="false">+A16+1</f>
        <v>12</v>
      </c>
      <c r="B17" s="19" t="n">
        <v>92288</v>
      </c>
      <c r="C17" s="19" t="n">
        <f aca="false">+C16</f>
        <v>0</v>
      </c>
      <c r="D17" s="19"/>
      <c r="E17" s="19" t="n">
        <v>67227</v>
      </c>
      <c r="F17" s="19" t="n">
        <f aca="false">ROUND(+E17*(1-0.02184),0)</f>
        <v>65759</v>
      </c>
      <c r="G17" s="19"/>
      <c r="H17" s="19" t="n">
        <f aca="false">+H16</f>
        <v>140099</v>
      </c>
      <c r="I17" s="19" t="n">
        <f aca="false">IF(B17-H17&gt;0,+B17-H17,0)</f>
        <v>0</v>
      </c>
      <c r="J17" s="19"/>
      <c r="K17" s="19" t="n">
        <f aca="false">+B17+C17-F17</f>
        <v>26529</v>
      </c>
      <c r="L17" s="19"/>
      <c r="M17" s="19" t="n">
        <f aca="false">+M16</f>
        <v>41858</v>
      </c>
      <c r="N17" s="19" t="n">
        <f aca="false">SUM('3rd Party Deals'!X17)</f>
        <v>11316</v>
      </c>
      <c r="O17" s="19" t="n">
        <f aca="false">SUM('Spot wENA'!Z17)</f>
        <v>-1316</v>
      </c>
      <c r="P17" s="19" t="n">
        <f aca="false">SUM(M17:O17)</f>
        <v>51858</v>
      </c>
      <c r="Q17" s="19"/>
      <c r="R17" s="19" t="n">
        <f aca="false">IF(T17&gt;0,+B17-T17,0)</f>
        <v>0</v>
      </c>
      <c r="S17" s="19"/>
      <c r="T17" s="19" t="n">
        <f aca="false">IF(K17-P17&gt;0,K17-P17,0)</f>
        <v>0</v>
      </c>
      <c r="U17" s="20"/>
      <c r="V17" s="19" t="n">
        <f aca="false">IF(P17-K17&gt;0,P17-K17,0)</f>
        <v>25329</v>
      </c>
      <c r="W17" s="20"/>
      <c r="X17" s="22" t="n">
        <v>10.53</v>
      </c>
      <c r="Y17" s="22" t="n">
        <f aca="false">ROUND((+X17+0.01)/(1-0.02184)+0.0227,2)</f>
        <v>10.8</v>
      </c>
      <c r="Z17" s="20"/>
      <c r="AA17" s="20"/>
      <c r="AB17" s="20" t="n">
        <v>-25894</v>
      </c>
      <c r="AC17" s="20"/>
      <c r="AD17" s="20"/>
      <c r="AE17" s="20" t="n">
        <v>65758</v>
      </c>
      <c r="AF17" s="20"/>
      <c r="AG17" s="20" t="n">
        <f aca="false">+F17-AE17</f>
        <v>1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A18" s="19" t="n">
        <f aca="false">+A17+1</f>
        <v>13</v>
      </c>
      <c r="B18" s="19" t="n">
        <v>79535</v>
      </c>
      <c r="C18" s="19" t="n">
        <f aca="false">+C17</f>
        <v>0</v>
      </c>
      <c r="D18" s="19"/>
      <c r="E18" s="19" t="n">
        <v>34359</v>
      </c>
      <c r="F18" s="19" t="n">
        <f aca="false">ROUND(+E18*(1-0.02184),0)</f>
        <v>33609</v>
      </c>
      <c r="G18" s="19"/>
      <c r="H18" s="19" t="n">
        <f aca="false">+H17</f>
        <v>140099</v>
      </c>
      <c r="I18" s="19" t="n">
        <f aca="false">IF(B18-H18&gt;0,+B18-H18,0)</f>
        <v>0</v>
      </c>
      <c r="J18" s="19"/>
      <c r="K18" s="19" t="n">
        <f aca="false">+B18+C18-F18</f>
        <v>45926</v>
      </c>
      <c r="L18" s="19"/>
      <c r="M18" s="19" t="n">
        <f aca="false">+M17</f>
        <v>41858</v>
      </c>
      <c r="N18" s="19" t="n">
        <f aca="false">SUM('3rd Party Deals'!X18)</f>
        <v>11316</v>
      </c>
      <c r="O18" s="19" t="n">
        <f aca="false">SUM('Spot wENA'!Z18)</f>
        <v>-1316</v>
      </c>
      <c r="P18" s="19" t="n">
        <f aca="false">SUM(M18:O18)</f>
        <v>51858</v>
      </c>
      <c r="Q18" s="19"/>
      <c r="R18" s="19" t="n">
        <f aca="false">IF(T18&gt;0,+B18-T18,0)</f>
        <v>0</v>
      </c>
      <c r="S18" s="19"/>
      <c r="T18" s="19" t="n">
        <f aca="false">IF(K18-P18&gt;0,K18-P18,0)</f>
        <v>0</v>
      </c>
      <c r="U18" s="20"/>
      <c r="V18" s="19" t="n">
        <f aca="false">IF(P18-K18&gt;0,P18-K18,0)</f>
        <v>5932</v>
      </c>
      <c r="W18" s="20"/>
      <c r="X18" s="22" t="n">
        <v>9.15</v>
      </c>
      <c r="Y18" s="22" t="n">
        <f aca="false">ROUND((+X18+0.01)/(1-0.02184)+0.0227,2)</f>
        <v>9.39</v>
      </c>
      <c r="Z18" s="20"/>
      <c r="AA18" s="20"/>
      <c r="AB18" s="20" t="n">
        <v>-6064</v>
      </c>
      <c r="AC18" s="20"/>
      <c r="AD18" s="20"/>
      <c r="AE18" s="20" t="n">
        <v>33608</v>
      </c>
      <c r="AF18" s="20"/>
      <c r="AG18" s="20" t="n">
        <f aca="false">+F18-AE18</f>
        <v>1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0" collapsed="false">
      <c r="A19" s="19" t="n">
        <f aca="false">+A18+1</f>
        <v>14</v>
      </c>
      <c r="B19" s="19" t="n">
        <v>82624</v>
      </c>
      <c r="C19" s="19" t="n">
        <f aca="false">+C18</f>
        <v>0</v>
      </c>
      <c r="D19" s="19"/>
      <c r="E19" s="19" t="n">
        <v>30978</v>
      </c>
      <c r="F19" s="19" t="n">
        <f aca="false">ROUND(+E19*(1-0.02184),0)</f>
        <v>30301</v>
      </c>
      <c r="G19" s="19"/>
      <c r="H19" s="19" t="n">
        <f aca="false">+H18</f>
        <v>140099</v>
      </c>
      <c r="I19" s="19" t="n">
        <f aca="false">IF(B19-H19&gt;0,+B19-H19,0)</f>
        <v>0</v>
      </c>
      <c r="J19" s="19"/>
      <c r="K19" s="19" t="n">
        <f aca="false">+B19+C19-F19</f>
        <v>52323</v>
      </c>
      <c r="L19" s="19"/>
      <c r="M19" s="19" t="n">
        <f aca="false">+M18</f>
        <v>41858</v>
      </c>
      <c r="N19" s="19" t="n">
        <f aca="false">SUM('3rd Party Deals'!X19)</f>
        <v>11316</v>
      </c>
      <c r="O19" s="19" t="n">
        <f aca="false">SUM('Spot wENA'!Z19)</f>
        <v>-1316</v>
      </c>
      <c r="P19" s="19" t="n">
        <f aca="false">SUM(M19:O19)</f>
        <v>51858</v>
      </c>
      <c r="Q19" s="19"/>
      <c r="R19" s="19" t="n">
        <f aca="false">IF(T19&gt;0,+B19-T19,0)</f>
        <v>82159</v>
      </c>
      <c r="S19" s="19"/>
      <c r="T19" s="19" t="n">
        <f aca="false">IF(K19-P19&gt;0,K19-P19,0)</f>
        <v>465</v>
      </c>
      <c r="U19" s="20"/>
      <c r="V19" s="19" t="n">
        <f aca="false">IF(P19-K19&gt;0,P19-K19,0)</f>
        <v>0</v>
      </c>
      <c r="W19" s="20"/>
      <c r="X19" s="22" t="n">
        <v>8</v>
      </c>
      <c r="Y19" s="22" t="n">
        <f aca="false">ROUND((+X19+0.01)/(1-0.02184)+0.0227,2)</f>
        <v>8.21</v>
      </c>
      <c r="Z19" s="20"/>
      <c r="AA19" s="20"/>
      <c r="AB19" s="20" t="n">
        <v>496</v>
      </c>
      <c r="AC19" s="20"/>
      <c r="AD19" s="20"/>
      <c r="AE19" s="20" t="n">
        <v>30281</v>
      </c>
      <c r="AF19" s="20"/>
      <c r="AG19" s="20" t="n">
        <f aca="false">+F19-AE19</f>
        <v>20</v>
      </c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0" collapsed="false">
      <c r="A20" s="19" t="n">
        <f aca="false">+A19+1</f>
        <v>15</v>
      </c>
      <c r="B20" s="19" t="n">
        <v>74584</v>
      </c>
      <c r="C20" s="19" t="n">
        <f aca="false">+C19</f>
        <v>0</v>
      </c>
      <c r="D20" s="19"/>
      <c r="E20" s="19" t="n">
        <v>24887</v>
      </c>
      <c r="F20" s="19" t="n">
        <f aca="false">ROUND(+E20*(1-0.02184),0)</f>
        <v>24343</v>
      </c>
      <c r="G20" s="19"/>
      <c r="H20" s="19" t="n">
        <f aca="false">+H19</f>
        <v>140099</v>
      </c>
      <c r="I20" s="19" t="n">
        <f aca="false">IF(B20-H20&gt;0,+B20-H20,0)</f>
        <v>0</v>
      </c>
      <c r="J20" s="19"/>
      <c r="K20" s="19" t="n">
        <f aca="false">+B20+C20-F20</f>
        <v>50241</v>
      </c>
      <c r="L20" s="19"/>
      <c r="M20" s="19" t="n">
        <f aca="false">+M19</f>
        <v>41858</v>
      </c>
      <c r="N20" s="19" t="n">
        <f aca="false">SUM('3rd Party Deals'!X20)</f>
        <v>11316</v>
      </c>
      <c r="O20" s="19" t="n">
        <f aca="false">SUM('Spot wENA'!Z20)</f>
        <v>-1316</v>
      </c>
      <c r="P20" s="19" t="n">
        <f aca="false">SUM(M20:O20)</f>
        <v>51858</v>
      </c>
      <c r="Q20" s="19"/>
      <c r="R20" s="19" t="n">
        <f aca="false">IF(T20&gt;0,+B20-T20,0)</f>
        <v>0</v>
      </c>
      <c r="S20" s="19"/>
      <c r="T20" s="19" t="n">
        <f aca="false">IF(K20-P20&gt;0,K20-P20,0)</f>
        <v>0</v>
      </c>
      <c r="U20" s="20"/>
      <c r="V20" s="19" t="n">
        <f aca="false">IF(P20-K20&gt;0,P20-K20,0)</f>
        <v>1617</v>
      </c>
      <c r="W20" s="20"/>
      <c r="X20" s="22" t="n">
        <v>7.815</v>
      </c>
      <c r="Y20" s="22" t="n">
        <f aca="false">ROUND((+X20+0.01)/(1-0.02184)+0.0227,2)</f>
        <v>8.02</v>
      </c>
      <c r="Z20" s="20"/>
      <c r="AA20" s="20"/>
      <c r="AB20" s="20" t="n">
        <v>-1648</v>
      </c>
      <c r="AC20" s="20"/>
      <c r="AD20" s="20"/>
      <c r="AE20" s="20" t="n">
        <v>24341</v>
      </c>
      <c r="AF20" s="20"/>
      <c r="AG20" s="20" t="n">
        <f aca="false">+F20-AE20</f>
        <v>2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0" collapsed="false">
      <c r="A21" s="19" t="n">
        <f aca="false">+A20+1</f>
        <v>16</v>
      </c>
      <c r="B21" s="19" t="n">
        <v>56865</v>
      </c>
      <c r="C21" s="19" t="n">
        <f aca="false">+C20</f>
        <v>0</v>
      </c>
      <c r="D21" s="19"/>
      <c r="E21" s="19" t="n">
        <v>27</v>
      </c>
      <c r="F21" s="19" t="n">
        <f aca="false">ROUND(+E21*(1-0.02184),0)</f>
        <v>26</v>
      </c>
      <c r="G21" s="19"/>
      <c r="H21" s="19" t="n">
        <f aca="false">+H20</f>
        <v>140099</v>
      </c>
      <c r="I21" s="19" t="n">
        <f aca="false">IF(B21-H21&gt;0,+B21-H21,0)</f>
        <v>0</v>
      </c>
      <c r="J21" s="19"/>
      <c r="K21" s="19" t="n">
        <f aca="false">+B21+C21-F21</f>
        <v>56839</v>
      </c>
      <c r="L21" s="19"/>
      <c r="M21" s="19" t="n">
        <f aca="false">+M20</f>
        <v>41858</v>
      </c>
      <c r="N21" s="19" t="n">
        <f aca="false">SUM('3rd Party Deals'!X21)</f>
        <v>11316</v>
      </c>
      <c r="O21" s="19" t="n">
        <f aca="false">SUM('Spot wENA'!Z21)</f>
        <v>-1316</v>
      </c>
      <c r="P21" s="19" t="n">
        <f aca="false">SUM(M21:O21)</f>
        <v>51858</v>
      </c>
      <c r="Q21" s="19"/>
      <c r="R21" s="19" t="n">
        <f aca="false">IF(T21&gt;0,+B21-T21,0)</f>
        <v>51884</v>
      </c>
      <c r="S21" s="19"/>
      <c r="T21" s="19" t="n">
        <f aca="false">IF(K21-P21&gt;0,K21-P21,0)</f>
        <v>4981</v>
      </c>
      <c r="U21" s="20"/>
      <c r="V21" s="19" t="n">
        <f aca="false">IF(P21-K21&gt;0,P21-K21,0)</f>
        <v>0</v>
      </c>
      <c r="W21" s="20"/>
      <c r="X21" s="22" t="n">
        <v>8.265</v>
      </c>
      <c r="Y21" s="22" t="n">
        <f aca="false">ROUND((+X21+0.01)/(1-0.02184)+0.0227,2)</f>
        <v>8.48</v>
      </c>
      <c r="Z21" s="20"/>
      <c r="AA21" s="20"/>
      <c r="AB21" s="20" t="n">
        <v>5092</v>
      </c>
      <c r="AC21" s="20"/>
      <c r="AD21" s="20"/>
      <c r="AE21" s="20" t="n">
        <v>0</v>
      </c>
      <c r="AF21" s="20" t="s">
        <v>39</v>
      </c>
      <c r="AG21" s="20" t="n">
        <f aca="false">+F21-AE21</f>
        <v>26</v>
      </c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false" outlineLevel="0" collapsed="false">
      <c r="A22" s="19" t="n">
        <f aca="false">+A21+1</f>
        <v>17</v>
      </c>
      <c r="B22" s="19" t="n">
        <v>114528</v>
      </c>
      <c r="C22" s="19" t="n">
        <f aca="false">+C21</f>
        <v>0</v>
      </c>
      <c r="D22" s="19"/>
      <c r="E22" s="19" t="n">
        <v>44899</v>
      </c>
      <c r="F22" s="19" t="n">
        <f aca="false">ROUND(+E22*(1-0.02184),0)</f>
        <v>43918</v>
      </c>
      <c r="G22" s="19"/>
      <c r="H22" s="19" t="n">
        <f aca="false">+H21</f>
        <v>140099</v>
      </c>
      <c r="I22" s="19" t="n">
        <f aca="false">IF(B22-H22&gt;0,+B22-H22,0)</f>
        <v>0</v>
      </c>
      <c r="J22" s="19"/>
      <c r="K22" s="19" t="n">
        <f aca="false">+B22+C22-F22</f>
        <v>70610</v>
      </c>
      <c r="L22" s="19"/>
      <c r="M22" s="19" t="n">
        <f aca="false">+M21</f>
        <v>41858</v>
      </c>
      <c r="N22" s="19" t="n">
        <f aca="false">SUM('3rd Party Deals'!X22)</f>
        <v>11316</v>
      </c>
      <c r="O22" s="19" t="n">
        <f aca="false">SUM('Spot wENA'!Z22)</f>
        <v>-1316</v>
      </c>
      <c r="P22" s="19" t="n">
        <f aca="false">SUM(M22:O22)</f>
        <v>51858</v>
      </c>
      <c r="Q22" s="19"/>
      <c r="R22" s="19" t="n">
        <f aca="false">IF(T22&gt;0,+B22-T22,0)</f>
        <v>95776</v>
      </c>
      <c r="S22" s="19"/>
      <c r="T22" s="19" t="n">
        <f aca="false">IF(K22-P22&gt;0,K22-P22,0)</f>
        <v>18752</v>
      </c>
      <c r="U22" s="20"/>
      <c r="V22" s="19" t="n">
        <f aca="false">IF(P22-K22&gt;0,P22-K22,0)</f>
        <v>0</v>
      </c>
      <c r="W22" s="20"/>
      <c r="X22" s="22" t="n">
        <v>8.265</v>
      </c>
      <c r="Y22" s="22" t="n">
        <f aca="false">ROUND((+X22+0.01)/(1-0.02184)+0.0227,2)</f>
        <v>8.48</v>
      </c>
      <c r="Z22" s="20"/>
      <c r="AA22" s="20"/>
      <c r="AB22" s="20" t="n">
        <v>19170</v>
      </c>
      <c r="AC22" s="20"/>
      <c r="AD22" s="20"/>
      <c r="AE22" s="20" t="n">
        <v>43919</v>
      </c>
      <c r="AF22" s="20"/>
      <c r="AG22" s="20" t="n">
        <f aca="false">+F22-AE22</f>
        <v>-1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0" collapsed="false">
      <c r="A23" s="19" t="n">
        <f aca="false">+A22+1</f>
        <v>18</v>
      </c>
      <c r="B23" s="19" t="n">
        <v>93887</v>
      </c>
      <c r="C23" s="19" t="n">
        <f aca="false">+C22</f>
        <v>0</v>
      </c>
      <c r="D23" s="19"/>
      <c r="E23" s="19" t="n">
        <v>27936</v>
      </c>
      <c r="F23" s="19" t="n">
        <f aca="false">ROUND(+E23*(1-0.02184),0)</f>
        <v>27326</v>
      </c>
      <c r="G23" s="19"/>
      <c r="H23" s="19" t="n">
        <f aca="false">+H22</f>
        <v>140099</v>
      </c>
      <c r="I23" s="19" t="n">
        <f aca="false">IF(B23-H23&gt;0,+B23-H23,0)</f>
        <v>0</v>
      </c>
      <c r="J23" s="19"/>
      <c r="K23" s="19" t="n">
        <f aca="false">+B23+C23-F23</f>
        <v>66561</v>
      </c>
      <c r="L23" s="19"/>
      <c r="M23" s="19" t="n">
        <f aca="false">+M22</f>
        <v>41858</v>
      </c>
      <c r="N23" s="19" t="n">
        <f aca="false">SUM('3rd Party Deals'!X23)</f>
        <v>11316</v>
      </c>
      <c r="O23" s="19" t="n">
        <f aca="false">SUM('Spot wENA'!Z23)</f>
        <v>-1316</v>
      </c>
      <c r="P23" s="19" t="n">
        <f aca="false">SUM(M23:O23)</f>
        <v>51858</v>
      </c>
      <c r="Q23" s="19"/>
      <c r="R23" s="19" t="n">
        <f aca="false">IF(T23&gt;0,+B23-T23,0)</f>
        <v>79184</v>
      </c>
      <c r="S23" s="19"/>
      <c r="T23" s="19" t="n">
        <f aca="false">IF(K23-P23&gt;0,K23-P23,0)</f>
        <v>14703</v>
      </c>
      <c r="U23" s="20"/>
      <c r="V23" s="19" t="n">
        <f aca="false">IF(P23-K23&gt;0,P23-K23,0)</f>
        <v>0</v>
      </c>
      <c r="W23" s="20"/>
      <c r="X23" s="22" t="n">
        <v>8.265</v>
      </c>
      <c r="Y23" s="22" t="n">
        <f aca="false">ROUND((+X23+0.01)/(1-0.02184)+0.0227,2)</f>
        <v>8.48</v>
      </c>
      <c r="Z23" s="20"/>
      <c r="AA23" s="20"/>
      <c r="AB23" s="20" t="n">
        <v>15031</v>
      </c>
      <c r="AC23" s="20"/>
      <c r="AD23" s="20"/>
      <c r="AE23" s="20" t="n">
        <v>27326</v>
      </c>
      <c r="AF23" s="20"/>
      <c r="AG23" s="20" t="n">
        <f aca="false">+F23-AE23</f>
        <v>0</v>
      </c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0" collapsed="false">
      <c r="A24" s="19" t="n">
        <f aca="false">+A23+1</f>
        <v>19</v>
      </c>
      <c r="B24" s="19" t="n">
        <v>112005</v>
      </c>
      <c r="C24" s="19" t="n">
        <f aca="false">+C23</f>
        <v>0</v>
      </c>
      <c r="D24" s="19"/>
      <c r="E24" s="19" t="n">
        <v>60723</v>
      </c>
      <c r="F24" s="19" t="n">
        <f aca="false">ROUND(+E24*(1-0.02184),0)</f>
        <v>59397</v>
      </c>
      <c r="G24" s="19"/>
      <c r="H24" s="19" t="n">
        <f aca="false">+H23</f>
        <v>140099</v>
      </c>
      <c r="I24" s="19" t="n">
        <f aca="false">IF(B24-H24&gt;0,+B24-H24,0)</f>
        <v>0</v>
      </c>
      <c r="J24" s="19"/>
      <c r="K24" s="19" t="n">
        <f aca="false">+B24+C24-F24</f>
        <v>52608</v>
      </c>
      <c r="L24" s="19"/>
      <c r="M24" s="19" t="n">
        <f aca="false">+M23</f>
        <v>41858</v>
      </c>
      <c r="N24" s="19" t="n">
        <f aca="false">SUM('3rd Party Deals'!X24)</f>
        <v>11316</v>
      </c>
      <c r="O24" s="19" t="n">
        <f aca="false">SUM('Spot wENA'!Z24)</f>
        <v>-1316</v>
      </c>
      <c r="P24" s="19" t="n">
        <f aca="false">SUM(M24:O24)</f>
        <v>51858</v>
      </c>
      <c r="Q24" s="19"/>
      <c r="R24" s="19" t="n">
        <f aca="false">IF(T24&gt;0,+B24-T24,0)</f>
        <v>111255</v>
      </c>
      <c r="S24" s="19"/>
      <c r="T24" s="19" t="n">
        <f aca="false">IF(K24-P24&gt;0,K24-P24,0)</f>
        <v>750</v>
      </c>
      <c r="U24" s="20"/>
      <c r="V24" s="19" t="n">
        <f aca="false">IF(P24-K24&gt;0,P24-K24,0)</f>
        <v>0</v>
      </c>
      <c r="W24" s="20"/>
      <c r="X24" s="22" t="n">
        <v>9.925</v>
      </c>
      <c r="Y24" s="22" t="n">
        <f aca="false">ROUND((+X24+0.01)/(1-0.02184)+0.0227,2)</f>
        <v>10.18</v>
      </c>
      <c r="Z24" s="20"/>
      <c r="AA24" s="20"/>
      <c r="AB24" s="20" t="n">
        <v>768</v>
      </c>
      <c r="AC24" s="20"/>
      <c r="AD24" s="20"/>
      <c r="AE24" s="20" t="n">
        <v>59396</v>
      </c>
      <c r="AF24" s="20"/>
      <c r="AG24" s="20" t="n">
        <f aca="false">+F24-AE24</f>
        <v>1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0" collapsed="false">
      <c r="A25" s="23" t="n">
        <f aca="false">+A24+1</f>
        <v>20</v>
      </c>
      <c r="B25" s="23" t="n">
        <v>101839</v>
      </c>
      <c r="C25" s="23" t="n">
        <f aca="false">+C24</f>
        <v>0</v>
      </c>
      <c r="D25" s="23"/>
      <c r="E25" s="23" t="n">
        <v>44100</v>
      </c>
      <c r="F25" s="23" t="n">
        <f aca="false">ROUND(+E25*(1-0.02184),0)</f>
        <v>43137</v>
      </c>
      <c r="G25" s="23"/>
      <c r="H25" s="23" t="n">
        <f aca="false">+H24</f>
        <v>140099</v>
      </c>
      <c r="I25" s="23" t="n">
        <f aca="false">IF(B25-H25&gt;0,+B25-H25,0)</f>
        <v>0</v>
      </c>
      <c r="J25" s="23"/>
      <c r="K25" s="23" t="n">
        <f aca="false">+B25+C25-F25</f>
        <v>58702</v>
      </c>
      <c r="L25" s="23"/>
      <c r="M25" s="23" t="n">
        <f aca="false">+M24</f>
        <v>41858</v>
      </c>
      <c r="N25" s="23" t="n">
        <f aca="false">SUM('3rd Party Deals'!X25)</f>
        <v>11316</v>
      </c>
      <c r="O25" s="23" t="n">
        <f aca="false">SUM('Spot wENA'!Z25)</f>
        <v>8684</v>
      </c>
      <c r="P25" s="23" t="n">
        <f aca="false">SUM(M25:O25)</f>
        <v>61858</v>
      </c>
      <c r="Q25" s="23"/>
      <c r="R25" s="23" t="n">
        <f aca="false">IF(T25&gt;0,+B25-T25,0)</f>
        <v>0</v>
      </c>
      <c r="S25" s="23"/>
      <c r="T25" s="23" t="n">
        <f aca="false">IF(K25-P25&gt;0,K25-P25,0)</f>
        <v>0</v>
      </c>
      <c r="U25" s="24"/>
      <c r="V25" s="23" t="n">
        <f aca="false">IF(P25-K25&gt;0,P25-K25,0)</f>
        <v>3156</v>
      </c>
      <c r="W25" s="24"/>
      <c r="X25" s="25" t="n">
        <v>9.59</v>
      </c>
      <c r="Y25" s="25" t="n">
        <f aca="false">ROUND((+X25+0.01)/(1-0.02184)+0.0227,2)</f>
        <v>9.84</v>
      </c>
      <c r="Z25" s="24"/>
      <c r="AA25" s="24"/>
      <c r="AB25" s="24" t="n">
        <v>-3221</v>
      </c>
      <c r="AC25" s="24"/>
      <c r="AD25" s="24"/>
      <c r="AE25" s="24" t="n">
        <v>43132</v>
      </c>
      <c r="AF25" s="24"/>
      <c r="AG25" s="24" t="n">
        <f aca="false">+F25-AE25</f>
        <v>5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12.75" hidden="false" customHeight="false" outlineLevel="0" collapsed="false">
      <c r="A26" s="23" t="n">
        <f aca="false">+A25+1</f>
        <v>21</v>
      </c>
      <c r="B26" s="23" t="n">
        <v>107788</v>
      </c>
      <c r="C26" s="23" t="n">
        <f aca="false">+C25</f>
        <v>0</v>
      </c>
      <c r="D26" s="23"/>
      <c r="E26" s="23" t="n">
        <v>47836</v>
      </c>
      <c r="F26" s="23" t="n">
        <f aca="false">ROUND(+E26*(1-0.02184),0)</f>
        <v>46791</v>
      </c>
      <c r="G26" s="23"/>
      <c r="H26" s="23" t="n">
        <f aca="false">+H25</f>
        <v>140099</v>
      </c>
      <c r="I26" s="23" t="n">
        <f aca="false">IF(B26-H26&gt;0,+B26-H26,0)</f>
        <v>0</v>
      </c>
      <c r="J26" s="23"/>
      <c r="K26" s="23" t="n">
        <f aca="false">+B26+C26-F26</f>
        <v>60997</v>
      </c>
      <c r="L26" s="23"/>
      <c r="M26" s="23" t="n">
        <f aca="false">+M25</f>
        <v>41858</v>
      </c>
      <c r="N26" s="23" t="n">
        <f aca="false">SUM('3rd Party Deals'!X26)</f>
        <v>11316</v>
      </c>
      <c r="O26" s="23" t="n">
        <f aca="false">SUM('Spot wENA'!Z26)</f>
        <v>8684</v>
      </c>
      <c r="P26" s="23" t="n">
        <f aca="false">SUM(M26:O26)</f>
        <v>61858</v>
      </c>
      <c r="Q26" s="23"/>
      <c r="R26" s="23" t="n">
        <f aca="false">IF(T26&gt;0,+B26-T26,0)</f>
        <v>0</v>
      </c>
      <c r="S26" s="23"/>
      <c r="T26" s="23" t="n">
        <f aca="false">IF(K26-P26&gt;0,K26-P26,0)</f>
        <v>0</v>
      </c>
      <c r="U26" s="24"/>
      <c r="V26" s="23" t="n">
        <f aca="false">IF(P26-K26&gt;0,P26-K26,0)</f>
        <v>861</v>
      </c>
      <c r="W26" s="24"/>
      <c r="X26" s="25" t="n">
        <v>10.455</v>
      </c>
      <c r="Y26" s="25" t="n">
        <f aca="false">ROUND((+X26+0.01)/(1-0.02184)+0.0227,2)</f>
        <v>10.72</v>
      </c>
      <c r="Z26" s="24"/>
      <c r="AA26" s="24"/>
      <c r="AB26" s="24" t="n">
        <v>-881</v>
      </c>
      <c r="AC26" s="24"/>
      <c r="AD26" s="24"/>
      <c r="AE26" s="24" t="n">
        <v>46792</v>
      </c>
      <c r="AF26" s="24"/>
      <c r="AG26" s="24" t="n">
        <f aca="false">+F26-AE26</f>
        <v>-1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2.75" hidden="false" customHeight="false" outlineLevel="0" collapsed="false">
      <c r="A27" s="23" t="n">
        <f aca="false">+A26+1</f>
        <v>22</v>
      </c>
      <c r="B27" s="23" t="n">
        <v>133399</v>
      </c>
      <c r="C27" s="23" t="n">
        <f aca="false">+C26</f>
        <v>0</v>
      </c>
      <c r="D27" s="23"/>
      <c r="E27" s="23" t="n">
        <v>71416</v>
      </c>
      <c r="F27" s="23" t="n">
        <f aca="false">ROUND(+E27*(1-0.02184),0)</f>
        <v>69856</v>
      </c>
      <c r="G27" s="23"/>
      <c r="H27" s="23" t="n">
        <f aca="false">+H26</f>
        <v>140099</v>
      </c>
      <c r="I27" s="23" t="n">
        <f aca="false">IF(B27-H27&gt;0,+B27-H27,0)</f>
        <v>0</v>
      </c>
      <c r="J27" s="23"/>
      <c r="K27" s="23" t="n">
        <f aca="false">+B27+C27-F27</f>
        <v>63543</v>
      </c>
      <c r="L27" s="23"/>
      <c r="M27" s="23" t="n">
        <f aca="false">+M26</f>
        <v>41858</v>
      </c>
      <c r="N27" s="23" t="n">
        <f aca="false">SUM('3rd Party Deals'!X27)</f>
        <v>11316</v>
      </c>
      <c r="O27" s="23" t="n">
        <f aca="false">SUM('Spot wENA'!Z27)</f>
        <v>8684</v>
      </c>
      <c r="P27" s="23" t="n">
        <f aca="false">SUM(M27:O27)</f>
        <v>61858</v>
      </c>
      <c r="Q27" s="23"/>
      <c r="R27" s="23" t="n">
        <f aca="false">IF(T27&gt;0,+B27-T27,0)</f>
        <v>131714</v>
      </c>
      <c r="S27" s="23"/>
      <c r="T27" s="23" t="n">
        <f aca="false">IF(K27-P27&gt;0,K27-P27,0)</f>
        <v>1685</v>
      </c>
      <c r="U27" s="24"/>
      <c r="V27" s="23" t="n">
        <f aca="false">IF(P27-K27&gt;0,P27-K27,0)</f>
        <v>0</v>
      </c>
      <c r="W27" s="24"/>
      <c r="X27" s="25" t="n">
        <v>11.045</v>
      </c>
      <c r="Y27" s="25" t="n">
        <f aca="false">ROUND((+X27+0.01)/(1-0.02184)+0.0227,2)</f>
        <v>11.32</v>
      </c>
      <c r="Z27" s="24"/>
      <c r="AA27" s="24"/>
      <c r="AB27" s="24" t="n">
        <v>2135</v>
      </c>
      <c r="AC27" s="24"/>
      <c r="AD27" s="24"/>
      <c r="AE27" s="24" t="n">
        <v>70126</v>
      </c>
      <c r="AF27" s="24"/>
      <c r="AG27" s="24" t="n">
        <f aca="false">+F27-AE27</f>
        <v>-270</v>
      </c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2.75" hidden="false" customHeight="false" outlineLevel="0" collapsed="false">
      <c r="A28" s="26" t="n">
        <f aca="false">+A27+1</f>
        <v>23</v>
      </c>
      <c r="B28" s="26" t="n">
        <v>92698</v>
      </c>
      <c r="C28" s="26" t="n">
        <v>4250</v>
      </c>
      <c r="D28" s="26"/>
      <c r="E28" s="26" t="n">
        <v>37455</v>
      </c>
      <c r="F28" s="26" t="n">
        <f aca="false">ROUND(+E28*(1-0.02184),0)</f>
        <v>36637</v>
      </c>
      <c r="G28" s="26"/>
      <c r="H28" s="26" t="n">
        <f aca="false">+H27</f>
        <v>140099</v>
      </c>
      <c r="I28" s="26" t="n">
        <f aca="false">IF(B28-H28&gt;0,+B28-H28,0)</f>
        <v>0</v>
      </c>
      <c r="J28" s="26"/>
      <c r="K28" s="19" t="n">
        <f aca="false">+B28+C28-F28</f>
        <v>60311</v>
      </c>
      <c r="L28" s="26"/>
      <c r="M28" s="26" t="n">
        <f aca="false">+M27</f>
        <v>41858</v>
      </c>
      <c r="N28" s="26" t="n">
        <f aca="false">SUM('3rd Party Deals'!X28)</f>
        <v>11316</v>
      </c>
      <c r="O28" s="26" t="n">
        <f aca="false">SUM('Spot wENA'!Z28)</f>
        <v>9104</v>
      </c>
      <c r="P28" s="26" t="n">
        <f aca="false">SUM(M28:O28)</f>
        <v>62278</v>
      </c>
      <c r="Q28" s="26"/>
      <c r="R28" s="26" t="n">
        <f aca="false">IF(T28&gt;0,+B28-T28,0)</f>
        <v>0</v>
      </c>
      <c r="S28" s="26"/>
      <c r="T28" s="26" t="n">
        <f aca="false">IF(K28-P28&gt;0,K28-P28,0)</f>
        <v>0</v>
      </c>
      <c r="U28" s="27"/>
      <c r="V28" s="26" t="n">
        <f aca="false">IF(P28-K28&gt;0,P28-K28,0)</f>
        <v>1967</v>
      </c>
      <c r="W28" s="27"/>
      <c r="X28" s="28" t="n">
        <v>10.87</v>
      </c>
      <c r="Y28" s="28" t="n">
        <f aca="false">ROUND((+X28+0.01)/(1-0.02184)+0.0227,2)</f>
        <v>11.15</v>
      </c>
      <c r="Z28" s="27"/>
      <c r="AA28" s="27"/>
      <c r="AB28" s="27" t="n">
        <v>-10170</v>
      </c>
      <c r="AC28" s="27"/>
      <c r="AD28" s="27"/>
      <c r="AE28" s="27" t="n">
        <v>36131</v>
      </c>
      <c r="AF28" s="27"/>
      <c r="AG28" s="20" t="n">
        <f aca="false">+F28-AE28</f>
        <v>506</v>
      </c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</row>
    <row r="29" customFormat="false" ht="12.75" hidden="false" customHeight="false" outlineLevel="0" collapsed="false">
      <c r="A29" s="26" t="n">
        <f aca="false">+A28+1</f>
        <v>24</v>
      </c>
      <c r="B29" s="26" t="n">
        <v>122733</v>
      </c>
      <c r="C29" s="26" t="n">
        <f aca="false">+C28</f>
        <v>4250</v>
      </c>
      <c r="D29" s="26"/>
      <c r="E29" s="26" t="n">
        <v>55456</v>
      </c>
      <c r="F29" s="26" t="n">
        <f aca="false">ROUND(+E29*(1-0.02184),0)</f>
        <v>54245</v>
      </c>
      <c r="G29" s="26"/>
      <c r="H29" s="26" t="n">
        <f aca="false">+H28</f>
        <v>140099</v>
      </c>
      <c r="I29" s="26" t="n">
        <f aca="false">IF(B29-H29&gt;0,+B29-H29,0)</f>
        <v>0</v>
      </c>
      <c r="J29" s="26"/>
      <c r="K29" s="19" t="n">
        <f aca="false">+B29+C29-F29</f>
        <v>72738</v>
      </c>
      <c r="L29" s="26"/>
      <c r="M29" s="26" t="n">
        <f aca="false">+M28</f>
        <v>41858</v>
      </c>
      <c r="N29" s="26" t="n">
        <f aca="false">SUM('3rd Party Deals'!X29)</f>
        <v>11316</v>
      </c>
      <c r="O29" s="26" t="n">
        <f aca="false">SUM('Spot wENA'!Z29)</f>
        <v>9104</v>
      </c>
      <c r="P29" s="26" t="n">
        <f aca="false">SUM(M29:O29)</f>
        <v>62278</v>
      </c>
      <c r="Q29" s="26"/>
      <c r="R29" s="26" t="n">
        <f aca="false">IF(T29&gt;0,+B29-T29,0)</f>
        <v>112273</v>
      </c>
      <c r="S29" s="26"/>
      <c r="T29" s="26" t="n">
        <f aca="false">IF(K29-P29&gt;0,K29-P29,0)</f>
        <v>10460</v>
      </c>
      <c r="U29" s="27"/>
      <c r="V29" s="26" t="n">
        <f aca="false">IF(P29-K29&gt;0,P29-K29,0)</f>
        <v>0</v>
      </c>
      <c r="W29" s="27"/>
      <c r="X29" s="28" t="n">
        <v>10.87</v>
      </c>
      <c r="Y29" s="28" t="n">
        <f aca="false">ROUND((+X29+0.01)/(1-0.02184)+0.0227,2)</f>
        <v>11.15</v>
      </c>
      <c r="Z29" s="27"/>
      <c r="AA29" s="27"/>
      <c r="AB29" s="27" t="n">
        <v>-7682</v>
      </c>
      <c r="AC29" s="27"/>
      <c r="AD29" s="27"/>
      <c r="AE29" s="27" t="n">
        <v>55720</v>
      </c>
      <c r="AF29" s="27"/>
      <c r="AG29" s="20" t="n">
        <f aca="false">+F29-AE29</f>
        <v>-1475</v>
      </c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</row>
    <row r="30" customFormat="false" ht="12.75" hidden="false" customHeight="false" outlineLevel="0" collapsed="false">
      <c r="A30" s="26" t="n">
        <f aca="false">+A29+1</f>
        <v>25</v>
      </c>
      <c r="B30" s="26" t="n">
        <v>127991</v>
      </c>
      <c r="C30" s="26" t="n">
        <f aca="false">+C29</f>
        <v>4250</v>
      </c>
      <c r="D30" s="26"/>
      <c r="E30" s="26" t="n">
        <v>60796</v>
      </c>
      <c r="F30" s="26" t="n">
        <f aca="false">ROUND(+E30*(1-0.02184),0)</f>
        <v>59468</v>
      </c>
      <c r="G30" s="26"/>
      <c r="H30" s="26" t="n">
        <f aca="false">+H29</f>
        <v>140099</v>
      </c>
      <c r="I30" s="26" t="n">
        <f aca="false">IF(B30-H30&gt;0,+B30-H30,0)</f>
        <v>0</v>
      </c>
      <c r="J30" s="26"/>
      <c r="K30" s="19" t="n">
        <f aca="false">+B30+C30-F30</f>
        <v>72773</v>
      </c>
      <c r="L30" s="26"/>
      <c r="M30" s="26" t="n">
        <f aca="false">+M29</f>
        <v>41858</v>
      </c>
      <c r="N30" s="26" t="n">
        <f aca="false">SUM('3rd Party Deals'!X30)</f>
        <v>11316</v>
      </c>
      <c r="O30" s="26" t="n">
        <f aca="false">SUM('Spot wENA'!Z30)</f>
        <v>9104</v>
      </c>
      <c r="P30" s="26" t="n">
        <f aca="false">SUM(M30:O30)</f>
        <v>62278</v>
      </c>
      <c r="Q30" s="26"/>
      <c r="R30" s="26" t="n">
        <f aca="false">IF(T30&gt;0,+B30-T30,0)</f>
        <v>117496</v>
      </c>
      <c r="S30" s="26"/>
      <c r="T30" s="26" t="n">
        <f aca="false">IF(K30-P30&gt;0,K30-P30,0)</f>
        <v>10495</v>
      </c>
      <c r="U30" s="27"/>
      <c r="V30" s="26" t="n">
        <f aca="false">IF(P30-K30&gt;0,P30-K30,0)</f>
        <v>0</v>
      </c>
      <c r="W30" s="27"/>
      <c r="X30" s="28" t="n">
        <v>10.87</v>
      </c>
      <c r="Y30" s="28" t="n">
        <f aca="false">ROUND((+X30+0.01)/(1-0.02184)+0.0227,2)</f>
        <v>11.15</v>
      </c>
      <c r="Z30" s="27"/>
      <c r="AA30" s="27"/>
      <c r="AB30" s="27" t="n">
        <v>-7648</v>
      </c>
      <c r="AC30" s="27"/>
      <c r="AD30" s="27"/>
      <c r="AE30" s="27" t="n">
        <v>59468</v>
      </c>
      <c r="AF30" s="27"/>
      <c r="AG30" s="20" t="n">
        <f aca="false">+F30-AE30</f>
        <v>0</v>
      </c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</row>
    <row r="31" customFormat="false" ht="12.75" hidden="false" customHeight="false" outlineLevel="0" collapsed="false">
      <c r="A31" s="26" t="n">
        <f aca="false">+A30+1</f>
        <v>26</v>
      </c>
      <c r="B31" s="26" t="n">
        <v>97532</v>
      </c>
      <c r="C31" s="26" t="n">
        <f aca="false">+C30</f>
        <v>4250</v>
      </c>
      <c r="D31" s="26"/>
      <c r="E31" s="26" t="n">
        <v>25617</v>
      </c>
      <c r="F31" s="26" t="n">
        <f aca="false">ROUND(+E31*(1-0.02184),0)</f>
        <v>25058</v>
      </c>
      <c r="G31" s="26"/>
      <c r="H31" s="26" t="n">
        <f aca="false">+H30</f>
        <v>140099</v>
      </c>
      <c r="I31" s="26" t="n">
        <f aca="false">IF(B31-H31&gt;0,+B31-H31,0)</f>
        <v>0</v>
      </c>
      <c r="J31" s="26"/>
      <c r="K31" s="26" t="n">
        <f aca="false">+B31+C31-F31</f>
        <v>76724</v>
      </c>
      <c r="L31" s="26"/>
      <c r="M31" s="26" t="n">
        <f aca="false">+M30</f>
        <v>41858</v>
      </c>
      <c r="N31" s="26" t="n">
        <f aca="false">SUM('3rd Party Deals'!X31)</f>
        <v>11316</v>
      </c>
      <c r="O31" s="26" t="n">
        <f aca="false">SUM('Spot wENA'!Z31)</f>
        <v>9104</v>
      </c>
      <c r="P31" s="26" t="n">
        <f aca="false">SUM(M31:O31)</f>
        <v>62278</v>
      </c>
      <c r="Q31" s="26"/>
      <c r="R31" s="26" t="n">
        <f aca="false">IF(T31&gt;0,+B31-T31,0)</f>
        <v>83086</v>
      </c>
      <c r="S31" s="26"/>
      <c r="T31" s="26" t="n">
        <f aca="false">IF(K31-P31&gt;0,K31-P31,0)</f>
        <v>14446</v>
      </c>
      <c r="U31" s="27"/>
      <c r="V31" s="26" t="n">
        <f aca="false">IF(P31-K31&gt;0,P31-K31,0)</f>
        <v>0</v>
      </c>
      <c r="W31" s="27"/>
      <c r="X31" s="28" t="n">
        <v>10.87</v>
      </c>
      <c r="Y31" s="28" t="n">
        <f aca="false">ROUND((+X31+0.01)/(1-0.02184)+0.0227,2)</f>
        <v>11.15</v>
      </c>
      <c r="Z31" s="27"/>
      <c r="AA31" s="27"/>
      <c r="AB31" s="27" t="n">
        <v>-2032</v>
      </c>
      <c r="AC31" s="27"/>
      <c r="AD31" s="27"/>
      <c r="AE31" s="27" t="n">
        <v>32794</v>
      </c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.75" hidden="false" customHeight="false" outlineLevel="0" collapsed="false">
      <c r="A32" s="26" t="n">
        <f aca="false">+A31+1</f>
        <v>27</v>
      </c>
      <c r="B32" s="26" t="n">
        <v>98355</v>
      </c>
      <c r="C32" s="26" t="n">
        <f aca="false">+C31</f>
        <v>4250</v>
      </c>
      <c r="D32" s="26"/>
      <c r="E32" s="26" t="n">
        <v>31539</v>
      </c>
      <c r="F32" s="26" t="n">
        <f aca="false">ROUND(+E32*(1-0.02184),0)</f>
        <v>30850</v>
      </c>
      <c r="G32" s="26"/>
      <c r="H32" s="26" t="n">
        <f aca="false">+H31</f>
        <v>140099</v>
      </c>
      <c r="I32" s="26" t="n">
        <f aca="false">IF(B32-H32&gt;0,+B32-H32,0)</f>
        <v>0</v>
      </c>
      <c r="J32" s="26"/>
      <c r="K32" s="26" t="n">
        <f aca="false">+B32+C32-F32</f>
        <v>71755</v>
      </c>
      <c r="L32" s="26"/>
      <c r="M32" s="26" t="n">
        <f aca="false">+M31</f>
        <v>41858</v>
      </c>
      <c r="N32" s="26" t="n">
        <f aca="false">SUM('3rd Party Deals'!X32)</f>
        <v>11316</v>
      </c>
      <c r="O32" s="26" t="n">
        <f aca="false">SUM('Spot wENA'!Z32)</f>
        <v>9104</v>
      </c>
      <c r="P32" s="26" t="n">
        <f aca="false">SUM(M32:O32)</f>
        <v>62278</v>
      </c>
      <c r="Q32" s="26"/>
      <c r="R32" s="26" t="n">
        <f aca="false">IF(T32&gt;0,+B32-T32,0)</f>
        <v>88878</v>
      </c>
      <c r="S32" s="26"/>
      <c r="T32" s="26" t="n">
        <f aca="false">IF(K32-P32&gt;0,K32-P32,0)</f>
        <v>9477</v>
      </c>
      <c r="U32" s="27"/>
      <c r="V32" s="26" t="n">
        <f aca="false">IF(P32-K32&gt;0,P32-K32,0)</f>
        <v>0</v>
      </c>
      <c r="W32" s="27"/>
      <c r="X32" s="28" t="n">
        <v>10.75</v>
      </c>
      <c r="Y32" s="28" t="n">
        <f aca="false">ROUND((+X32+0.01)/(1-0.02184)+0.0227,2)</f>
        <v>11.02</v>
      </c>
      <c r="Z32" s="27"/>
      <c r="AA32" s="27"/>
      <c r="AB32" s="27" t="n">
        <v>1525</v>
      </c>
      <c r="AC32" s="27"/>
      <c r="AD32" s="27"/>
      <c r="AE32" s="27" t="n">
        <v>30539</v>
      </c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.75" hidden="false" customHeight="false" outlineLevel="0" collapsed="false">
      <c r="A33" s="5" t="n">
        <f aca="false">+A32+1</f>
        <v>28</v>
      </c>
      <c r="B33" s="5" t="n">
        <v>105076</v>
      </c>
      <c r="C33" s="5" t="n">
        <f aca="false">+C32</f>
        <v>4250</v>
      </c>
      <c r="D33" s="5"/>
      <c r="E33" s="5" t="n">
        <v>39388</v>
      </c>
      <c r="F33" s="5" t="n">
        <f aca="false">ROUND(+E33*(1-0.02184),0)</f>
        <v>38528</v>
      </c>
      <c r="G33" s="5"/>
      <c r="H33" s="5" t="n">
        <f aca="false">+H32</f>
        <v>140099</v>
      </c>
      <c r="I33" s="5" t="n">
        <f aca="false">IF(B33-H33&gt;0,+B33-H33,0)</f>
        <v>0</v>
      </c>
      <c r="J33" s="5"/>
      <c r="K33" s="19" t="n">
        <f aca="false">+B33+C33-F33</f>
        <v>70798</v>
      </c>
      <c r="L33" s="5"/>
      <c r="M33" s="5" t="n">
        <f aca="false">+M32</f>
        <v>41858</v>
      </c>
      <c r="N33" s="5" t="n">
        <f aca="false">SUM('3rd Party Deals'!X33)</f>
        <v>11316</v>
      </c>
      <c r="O33" s="5" t="n">
        <f aca="false">SUM('Spot wENA'!Z33)</f>
        <v>9104</v>
      </c>
      <c r="P33" s="5" t="n">
        <f aca="false">SUM(M33:O33)</f>
        <v>62278</v>
      </c>
      <c r="Q33" s="5"/>
      <c r="R33" s="5" t="n">
        <f aca="false">IF(T33&gt;0,+B33-T33,0)</f>
        <v>96556</v>
      </c>
      <c r="S33" s="5"/>
      <c r="T33" s="5" t="n">
        <f aca="false">IF(K33-P33&gt;0,K33-P33,0)</f>
        <v>8520</v>
      </c>
      <c r="V33" s="5" t="n">
        <f aca="false">IF(P33-K33&gt;0,P33-K33,0)</f>
        <v>0</v>
      </c>
      <c r="X33" s="29" t="n">
        <v>9.93</v>
      </c>
      <c r="Y33" s="29" t="n">
        <f aca="false">ROUND((+X33+0.01)/(1-0.02184)+0.0227,2)</f>
        <v>10.18</v>
      </c>
    </row>
    <row r="34" customFormat="false" ht="12.75" hidden="false" customHeight="false" outlineLevel="0" collapsed="false">
      <c r="A34" s="5" t="n">
        <f aca="false">+A33+1</f>
        <v>29</v>
      </c>
      <c r="B34" s="5" t="n">
        <v>92037</v>
      </c>
      <c r="C34" s="5" t="n">
        <f aca="false">+C33</f>
        <v>4250</v>
      </c>
      <c r="D34" s="5"/>
      <c r="E34" s="5" t="n">
        <v>41025</v>
      </c>
      <c r="F34" s="5" t="n">
        <f aca="false">ROUND(+E34*(1-0.02184),0)</f>
        <v>40129</v>
      </c>
      <c r="G34" s="5"/>
      <c r="H34" s="5" t="n">
        <f aca="false">+H33</f>
        <v>140099</v>
      </c>
      <c r="I34" s="5" t="n">
        <f aca="false">IF(B34-H34&gt;0,+B34-H34,0)</f>
        <v>0</v>
      </c>
      <c r="J34" s="5"/>
      <c r="K34" s="19" t="n">
        <f aca="false">+B34+C34-F34</f>
        <v>56158</v>
      </c>
      <c r="L34" s="5"/>
      <c r="M34" s="5" t="n">
        <f aca="false">+M33</f>
        <v>41858</v>
      </c>
      <c r="N34" s="5" t="n">
        <f aca="false">SUM('3rd Party Deals'!X34)</f>
        <v>11316</v>
      </c>
      <c r="O34" s="5" t="n">
        <f aca="false">SUM('Spot wENA'!Z34)</f>
        <v>9104</v>
      </c>
      <c r="P34" s="5" t="n">
        <f aca="false">SUM(M34:O34)</f>
        <v>62278</v>
      </c>
      <c r="Q34" s="5"/>
      <c r="R34" s="5" t="n">
        <f aca="false">IF(T34&gt;0,+B34-T34,0)</f>
        <v>0</v>
      </c>
      <c r="S34" s="5"/>
      <c r="T34" s="5" t="n">
        <f aca="false">IF(K34-P34&gt;0,K34-P34,0)</f>
        <v>0</v>
      </c>
      <c r="V34" s="5" t="n">
        <f aca="false">IF(P34-K34&gt;0,P34-K34,0)</f>
        <v>6120</v>
      </c>
      <c r="X34" s="29" t="n">
        <v>9.43</v>
      </c>
      <c r="Y34" s="29" t="n">
        <f aca="false">ROUND((+X34+0.01)/(1-0.02184)+0.0227,2)</f>
        <v>9.67</v>
      </c>
    </row>
    <row r="35" customFormat="false" ht="12.75" hidden="false" customHeight="false" outlineLevel="0" collapsed="false">
      <c r="A35" s="5" t="n">
        <f aca="false">+A34+1</f>
        <v>30</v>
      </c>
      <c r="B35" s="5" t="n">
        <v>102220</v>
      </c>
      <c r="C35" s="5" t="n">
        <f aca="false">+C34</f>
        <v>4250</v>
      </c>
      <c r="D35" s="5"/>
      <c r="E35" s="5" t="n">
        <v>53781</v>
      </c>
      <c r="F35" s="5" t="n">
        <f aca="false">ROUND(+E35*(1-0.02184),0)</f>
        <v>52606</v>
      </c>
      <c r="G35" s="5"/>
      <c r="H35" s="5" t="n">
        <f aca="false">+H34</f>
        <v>140099</v>
      </c>
      <c r="I35" s="5" t="n">
        <f aca="false">IF(B35-H35&gt;0,+B35-H35,0)</f>
        <v>0</v>
      </c>
      <c r="J35" s="5"/>
      <c r="K35" s="19" t="n">
        <f aca="false">+B35+C35-F35</f>
        <v>53864</v>
      </c>
      <c r="L35" s="5"/>
      <c r="M35" s="5" t="n">
        <f aca="false">+M34</f>
        <v>41858</v>
      </c>
      <c r="N35" s="5" t="n">
        <f aca="false">SUM('3rd Party Deals'!X35)</f>
        <v>11316</v>
      </c>
      <c r="O35" s="5" t="n">
        <f aca="false">SUM('Spot wENA'!Z35)</f>
        <v>9104</v>
      </c>
      <c r="P35" s="5" t="n">
        <f aca="false">SUM(M35:O35)</f>
        <v>62278</v>
      </c>
      <c r="Q35" s="5"/>
      <c r="R35" s="5" t="n">
        <f aca="false">IF(T35&gt;0,+B35-T35,0)</f>
        <v>0</v>
      </c>
      <c r="S35" s="5"/>
      <c r="T35" s="5" t="n">
        <f aca="false">IF(K35-P35&gt;0,K35-P35,0)</f>
        <v>0</v>
      </c>
      <c r="V35" s="5" t="n">
        <f aca="false">IF(P35-K35&gt;0,P35-K35,0)</f>
        <v>8414</v>
      </c>
      <c r="X35" s="29" t="n">
        <v>9.975</v>
      </c>
      <c r="Y35" s="29" t="n">
        <f aca="false">ROUND((+X35+0.01)/(1-0.02184)+0.0227,2)</f>
        <v>10.23</v>
      </c>
    </row>
    <row r="36" customFormat="false" ht="12.75" hidden="false" customHeight="false" outlineLevel="0" collapsed="false">
      <c r="A36" s="5" t="n">
        <f aca="false">+A35+1</f>
        <v>31</v>
      </c>
      <c r="B36" s="5" t="n">
        <v>98630</v>
      </c>
      <c r="C36" s="5" t="n">
        <f aca="false">+C35</f>
        <v>4250</v>
      </c>
      <c r="D36" s="5"/>
      <c r="E36" s="5" t="n">
        <v>58708</v>
      </c>
      <c r="F36" s="5" t="n">
        <f aca="false">ROUND(+E36*(1-0.02184),0)</f>
        <v>57426</v>
      </c>
      <c r="G36" s="5"/>
      <c r="H36" s="5" t="n">
        <f aca="false">+H35</f>
        <v>140099</v>
      </c>
      <c r="I36" s="5" t="n">
        <f aca="false">IF(B36-H36&gt;0,+B36-H36,0)</f>
        <v>0</v>
      </c>
      <c r="J36" s="5"/>
      <c r="K36" s="19" t="n">
        <f aca="false">+B36+C36-F36</f>
        <v>45454</v>
      </c>
      <c r="L36" s="5"/>
      <c r="M36" s="5" t="n">
        <f aca="false">+M35</f>
        <v>41858</v>
      </c>
      <c r="N36" s="5" t="n">
        <f aca="false">SUM('3rd Party Deals'!X36)</f>
        <v>11316</v>
      </c>
      <c r="O36" s="5" t="n">
        <f aca="false">SUM('Spot wENA'!Z36)</f>
        <v>9104</v>
      </c>
      <c r="P36" s="5" t="n">
        <f aca="false">SUM(M36:O36)</f>
        <v>62278</v>
      </c>
      <c r="Q36" s="5"/>
      <c r="R36" s="5" t="n">
        <f aca="false">IF(T36&gt;0,+B36-T36,0)</f>
        <v>0</v>
      </c>
      <c r="S36" s="5"/>
      <c r="T36" s="5" t="n">
        <f aca="false">IF(K36-P36&gt;0,K36-P36,0)</f>
        <v>0</v>
      </c>
      <c r="V36" s="5" t="n">
        <f aca="false">IF(P36-K36&gt;0,P36-K36,0)</f>
        <v>16824</v>
      </c>
      <c r="X36" s="29" t="n">
        <v>9.975</v>
      </c>
      <c r="Y36" s="29" t="n">
        <f aca="false">ROUND((+X36+0.01)/(1-0.02184)+0.0227,2)</f>
        <v>10.23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V37" s="5"/>
      <c r="X37" s="12"/>
    </row>
    <row r="38" customFormat="false" ht="12.75" hidden="false" customHeight="false" outlineLevel="0" collapsed="false">
      <c r="A38" s="5"/>
      <c r="B38" s="5" t="n">
        <f aca="false">SUM(B6:B37)</f>
        <v>2821723</v>
      </c>
      <c r="C38" s="5" t="n">
        <f aca="false">SUM(C6:C37)</f>
        <v>38250</v>
      </c>
      <c r="D38" s="5"/>
      <c r="E38" s="5" t="n">
        <f aca="false">SUM(E6:E37)</f>
        <v>1214681</v>
      </c>
      <c r="F38" s="5" t="n">
        <f aca="false">SUM(F6:F37)</f>
        <v>1188152</v>
      </c>
      <c r="G38" s="5"/>
      <c r="H38" s="5"/>
      <c r="I38" s="5"/>
      <c r="J38" s="5"/>
      <c r="K38" s="5" t="n">
        <f aca="false">SUM(K6:K37)</f>
        <v>1671821</v>
      </c>
      <c r="L38" s="5"/>
      <c r="M38" s="5" t="n">
        <f aca="false">SUM(M6:M37)</f>
        <v>1297598</v>
      </c>
      <c r="N38" s="5" t="n">
        <f aca="false">SUM(N6:N37)</f>
        <v>350796</v>
      </c>
      <c r="O38" s="5" t="n">
        <f aca="false">SUM(O6:O37)</f>
        <v>-17016</v>
      </c>
      <c r="P38" s="5" t="n">
        <f aca="false">SUM(P6:P37)</f>
        <v>1631378</v>
      </c>
      <c r="Q38" s="5"/>
      <c r="R38" s="5" t="n">
        <f aca="false">SUM(R6:R37)</f>
        <v>1458272</v>
      </c>
      <c r="S38" s="5"/>
      <c r="T38" s="5" t="n">
        <f aca="false">SUM(T6:T37)</f>
        <v>130386</v>
      </c>
      <c r="V38" s="5" t="n">
        <f aca="false">SUM(V6:V37)</f>
        <v>89943</v>
      </c>
      <c r="X38" s="29"/>
    </row>
    <row r="48" customFormat="false" ht="12.75" hidden="false" customHeight="false" outlineLevel="0" collapsed="false">
      <c r="V4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1" sqref="C11 C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1" width="15.56"/>
    <col collapsed="false" customWidth="false" hidden="false" outlineLevel="0" max="2" min="2" style="31" width="9.14"/>
    <col collapsed="false" customWidth="true" hidden="false" outlineLevel="0" max="3" min="3" style="31" width="12.42"/>
    <col collapsed="false" customWidth="true" hidden="false" outlineLevel="0" max="4" min="4" style="31" width="12.14"/>
    <col collapsed="false" customWidth="true" hidden="false" outlineLevel="0" max="5" min="5" style="31" width="10.99"/>
    <col collapsed="false" customWidth="false" hidden="false" outlineLevel="0" max="6" min="6" style="31" width="9.14"/>
    <col collapsed="false" customWidth="true" hidden="false" outlineLevel="0" max="7" min="7" style="31" width="14.99"/>
    <col collapsed="false" customWidth="false" hidden="false" outlineLevel="0" max="11" min="8" style="31" width="9.14"/>
    <col collapsed="false" customWidth="true" hidden="false" outlineLevel="0" max="12" min="12" style="31" width="14.7"/>
    <col collapsed="false" customWidth="false" hidden="false" outlineLevel="0" max="257" min="13" style="31" width="9.14"/>
  </cols>
  <sheetData>
    <row r="1" customFormat="false" ht="12.75" hidden="false" customHeight="false" outlineLevel="0" collapsed="false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Format="false" ht="12.75" hidden="false" customHeight="false" outlineLevel="0" collapsed="false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2.75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2.75" hidden="false" customHeight="false" outlineLevel="0" collapsed="false">
      <c r="A5" s="33" t="s">
        <v>40</v>
      </c>
      <c r="C5" s="31" t="s">
        <v>41</v>
      </c>
      <c r="E5" s="31" t="s">
        <v>42</v>
      </c>
      <c r="F5" s="32"/>
      <c r="G5" s="32"/>
      <c r="H5" s="32"/>
      <c r="I5" s="32"/>
      <c r="J5" s="32"/>
      <c r="K5" s="32"/>
      <c r="L5" s="32"/>
      <c r="M5" s="32"/>
      <c r="N5" s="32"/>
    </row>
    <row r="6" customFormat="false" ht="12.75" hidden="false" customHeight="false" outlineLevel="0" collapsed="false">
      <c r="A6" s="31" t="s">
        <v>43</v>
      </c>
      <c r="B6" s="31" t="s">
        <v>40</v>
      </c>
      <c r="C6" s="34" t="n">
        <v>6.27</v>
      </c>
      <c r="E6" s="35" t="n">
        <v>6.27</v>
      </c>
      <c r="F6" s="32"/>
      <c r="G6" s="32" t="s">
        <v>44</v>
      </c>
      <c r="H6" s="32"/>
      <c r="I6" s="35" t="n">
        <v>6.27</v>
      </c>
      <c r="J6" s="32"/>
      <c r="K6" s="32"/>
      <c r="L6" s="32"/>
      <c r="M6" s="32"/>
      <c r="N6" s="32"/>
    </row>
    <row r="7" customFormat="false" ht="12.75" hidden="false" customHeight="false" outlineLevel="0" collapsed="false">
      <c r="A7" s="31" t="s">
        <v>45</v>
      </c>
      <c r="C7" s="35" t="n">
        <v>0.0125</v>
      </c>
      <c r="E7" s="35" t="n">
        <v>0.0125</v>
      </c>
      <c r="F7" s="32"/>
      <c r="G7" s="32"/>
      <c r="H7" s="32"/>
      <c r="I7" s="35" t="n">
        <v>0</v>
      </c>
      <c r="J7" s="32"/>
      <c r="K7" s="32"/>
      <c r="L7" s="32"/>
      <c r="M7" s="32"/>
      <c r="N7" s="32"/>
    </row>
    <row r="8" customFormat="false" ht="12.75" hidden="false" customHeight="false" outlineLevel="0" collapsed="false">
      <c r="A8" s="31" t="s">
        <v>46</v>
      </c>
      <c r="C8" s="35" t="n">
        <v>0.0133</v>
      </c>
      <c r="E8" s="35" t="n">
        <v>0.0133</v>
      </c>
      <c r="F8" s="32"/>
      <c r="G8" s="32" t="s">
        <v>47</v>
      </c>
      <c r="H8" s="32"/>
      <c r="I8" s="35" t="n">
        <v>0.0153</v>
      </c>
      <c r="J8" s="32"/>
      <c r="K8" s="32"/>
      <c r="L8" s="32"/>
      <c r="M8" s="32"/>
      <c r="N8" s="32"/>
    </row>
    <row r="9" customFormat="false" ht="12.75" hidden="false" customHeight="false" outlineLevel="0" collapsed="false">
      <c r="A9" s="31" t="s">
        <v>48</v>
      </c>
      <c r="C9" s="35" t="n">
        <v>0.0094</v>
      </c>
      <c r="E9" s="35" t="n">
        <f aca="false">0.0072+0.0022</f>
        <v>0.0094</v>
      </c>
      <c r="F9" s="32"/>
      <c r="G9" s="32" t="s">
        <v>49</v>
      </c>
      <c r="H9" s="32"/>
      <c r="I9" s="36" t="n">
        <v>0.0017</v>
      </c>
      <c r="J9" s="32"/>
      <c r="K9" s="32"/>
      <c r="L9" s="32"/>
      <c r="M9" s="32"/>
      <c r="N9" s="32"/>
    </row>
    <row r="10" customFormat="false" ht="12.75" hidden="false" customHeight="false" outlineLevel="0" collapsed="false">
      <c r="A10" s="31" t="s">
        <v>49</v>
      </c>
      <c r="C10" s="36" t="n">
        <v>0.02184</v>
      </c>
      <c r="E10" s="36" t="n">
        <v>0.02184</v>
      </c>
      <c r="F10" s="32"/>
      <c r="G10" s="32"/>
      <c r="H10" s="32"/>
      <c r="I10" s="37" t="n">
        <f aca="false">ROUND(+I6/(1-I9)+I8,4)-I6</f>
        <v>0.0260000000000007</v>
      </c>
      <c r="J10" s="32"/>
      <c r="K10" s="32"/>
      <c r="L10" s="32"/>
      <c r="M10" s="32"/>
      <c r="N10" s="32"/>
    </row>
    <row r="11" customFormat="false" ht="13.5" hidden="false" customHeight="false" outlineLevel="0" collapsed="false">
      <c r="A11" s="31" t="s">
        <v>30</v>
      </c>
      <c r="C11" s="37" t="n">
        <f aca="false">ROUND(+C6/(1-C10)+(C8+C9),4)-C6</f>
        <v>0.1627</v>
      </c>
      <c r="E11" s="37" t="n">
        <f aca="false">ROUND(+E6/(1-E10)+(E8+E9),4)-E6</f>
        <v>0.1627</v>
      </c>
      <c r="F11" s="32"/>
      <c r="G11" s="32"/>
      <c r="H11" s="32"/>
      <c r="I11" s="38" t="n">
        <f aca="false">I6+I10</f>
        <v>6.296</v>
      </c>
      <c r="J11" s="32"/>
      <c r="K11" s="32"/>
      <c r="L11" s="39"/>
      <c r="M11" s="32"/>
      <c r="N11" s="32"/>
    </row>
    <row r="12" customFormat="false" ht="14.25" hidden="false" customHeight="false" outlineLevel="0" collapsed="false">
      <c r="C12" s="38" t="n">
        <f aca="false">SUM(C6,C7,C11)</f>
        <v>6.4452</v>
      </c>
      <c r="D12" s="31" t="s">
        <v>18</v>
      </c>
      <c r="E12" s="37" t="n">
        <v>0.11</v>
      </c>
      <c r="F12" s="32"/>
      <c r="G12" s="32"/>
      <c r="H12" s="32"/>
      <c r="I12" s="40"/>
      <c r="J12" s="32"/>
      <c r="K12" s="32"/>
      <c r="L12" s="39"/>
      <c r="M12" s="32"/>
      <c r="N12" s="32"/>
    </row>
    <row r="13" customFormat="false" ht="14.25" hidden="false" customHeight="false" outlineLevel="0" collapsed="false">
      <c r="E13" s="38" t="n">
        <f aca="false">+E12+E11+E6</f>
        <v>6.5427</v>
      </c>
      <c r="H13" s="32"/>
      <c r="I13" s="41"/>
      <c r="J13" s="32"/>
      <c r="K13" s="32"/>
      <c r="L13" s="39"/>
      <c r="M13" s="32"/>
      <c r="N13" s="32"/>
    </row>
    <row r="14" customFormat="false" ht="13.5" hidden="false" customHeight="false" outlineLevel="0" collapsed="false">
      <c r="C14" s="42"/>
      <c r="E14" s="42"/>
      <c r="H14" s="32"/>
      <c r="I14" s="41"/>
      <c r="J14" s="32"/>
      <c r="K14" s="32"/>
      <c r="L14" s="39"/>
      <c r="M14" s="32"/>
      <c r="N14" s="32"/>
    </row>
    <row r="15" customFormat="false" ht="12.75" hidden="false" customHeight="false" outlineLevel="0" collapsed="false">
      <c r="C15" s="43"/>
      <c r="E15" s="43"/>
      <c r="H15" s="32"/>
      <c r="I15" s="32"/>
      <c r="J15" s="32"/>
      <c r="K15" s="32"/>
      <c r="L15" s="39"/>
      <c r="M15" s="32"/>
      <c r="N15" s="32"/>
    </row>
    <row r="16" customFormat="false" ht="12.75" hidden="false" customHeight="false" outlineLevel="0" collapsed="false">
      <c r="C16" s="43"/>
      <c r="E16" s="43"/>
      <c r="H16" s="32"/>
      <c r="I16" s="32"/>
      <c r="J16" s="32"/>
      <c r="K16" s="32"/>
      <c r="L16" s="39"/>
      <c r="M16" s="32"/>
      <c r="N16" s="32"/>
    </row>
    <row r="17" customFormat="false" ht="12.75" hidden="false" customHeight="false" outlineLevel="0" collapsed="false">
      <c r="A17" s="33" t="s">
        <v>50</v>
      </c>
      <c r="C17" s="31" t="s">
        <v>51</v>
      </c>
      <c r="D17" s="44" t="s">
        <v>52</v>
      </c>
      <c r="E17" s="44"/>
      <c r="F17" s="45"/>
      <c r="G17" s="45"/>
      <c r="H17" s="45"/>
      <c r="I17" s="45"/>
      <c r="J17" s="32"/>
      <c r="K17" s="32"/>
      <c r="L17" s="32"/>
      <c r="M17" s="32"/>
      <c r="N17" s="32"/>
    </row>
    <row r="18" customFormat="false" ht="12.75" hidden="false" customHeight="false" outlineLevel="0" collapsed="false">
      <c r="A18" s="31" t="s">
        <v>43</v>
      </c>
      <c r="B18" s="31" t="s">
        <v>50</v>
      </c>
      <c r="C18" s="34" t="n">
        <v>6.01</v>
      </c>
      <c r="D18" s="46" t="n">
        <v>1315</v>
      </c>
      <c r="E18" s="44" t="s">
        <v>53</v>
      </c>
      <c r="F18" s="45"/>
      <c r="G18" s="45"/>
      <c r="H18" s="45"/>
      <c r="I18" s="40"/>
      <c r="J18" s="32"/>
      <c r="K18" s="32"/>
      <c r="L18" s="32"/>
      <c r="M18" s="32"/>
      <c r="N18" s="32"/>
    </row>
    <row r="19" customFormat="false" ht="12.75" hidden="false" customHeight="false" outlineLevel="0" collapsed="false">
      <c r="A19" s="31" t="s">
        <v>45</v>
      </c>
      <c r="C19" s="35" t="n">
        <v>0.06</v>
      </c>
      <c r="D19" s="44"/>
      <c r="E19" s="40"/>
      <c r="F19" s="45"/>
      <c r="G19" s="45"/>
      <c r="H19" s="45"/>
      <c r="I19" s="40"/>
      <c r="J19" s="32"/>
      <c r="K19" s="32"/>
      <c r="L19" s="32"/>
      <c r="M19" s="32"/>
      <c r="N19" s="32"/>
    </row>
    <row r="20" customFormat="false" ht="12.75" hidden="false" customHeight="false" outlineLevel="0" collapsed="false">
      <c r="A20" s="31" t="s">
        <v>46</v>
      </c>
      <c r="C20" s="35" t="n">
        <v>0.017</v>
      </c>
      <c r="D20" s="44"/>
      <c r="E20" s="40"/>
      <c r="F20" s="45"/>
      <c r="G20" s="45"/>
      <c r="H20" s="45"/>
      <c r="I20" s="40"/>
      <c r="J20" s="32"/>
      <c r="K20" s="32"/>
      <c r="L20" s="32"/>
      <c r="M20" s="32"/>
      <c r="N20" s="32"/>
    </row>
    <row r="21" customFormat="false" ht="12.75" hidden="false" customHeight="false" outlineLevel="0" collapsed="false">
      <c r="A21" s="31" t="s">
        <v>48</v>
      </c>
      <c r="C21" s="35" t="n">
        <v>0.0022</v>
      </c>
      <c r="D21" s="44"/>
      <c r="E21" s="40"/>
      <c r="F21" s="45"/>
      <c r="G21" s="45"/>
      <c r="H21" s="45"/>
      <c r="I21" s="36"/>
      <c r="J21" s="32"/>
      <c r="K21" s="32"/>
      <c r="L21" s="32"/>
      <c r="M21" s="32"/>
      <c r="N21" s="32"/>
    </row>
    <row r="22" customFormat="false" ht="12.75" hidden="false" customHeight="false" outlineLevel="0" collapsed="false">
      <c r="A22" s="31" t="s">
        <v>49</v>
      </c>
      <c r="C22" s="36" t="n">
        <v>0.0282</v>
      </c>
      <c r="D22" s="44" t="n">
        <f aca="false">ROUND(+D18*(1-C22),0)</f>
        <v>1278</v>
      </c>
      <c r="E22" s="36" t="s">
        <v>54</v>
      </c>
      <c r="F22" s="45"/>
      <c r="G22" s="45"/>
      <c r="H22" s="45"/>
      <c r="I22" s="40"/>
      <c r="J22" s="32"/>
      <c r="K22" s="32"/>
      <c r="L22" s="32"/>
      <c r="M22" s="32"/>
      <c r="N22" s="32"/>
    </row>
    <row r="23" customFormat="false" ht="12.75" hidden="false" customHeight="false" outlineLevel="0" collapsed="false">
      <c r="A23" s="31" t="s">
        <v>30</v>
      </c>
      <c r="C23" s="37" t="n">
        <f aca="false">ROUND((+C18+C19)/(1-C22)+(C20+C21),4)-C18-C19</f>
        <v>0.1953</v>
      </c>
      <c r="D23" s="44"/>
      <c r="E23" s="40"/>
      <c r="F23" s="45"/>
      <c r="G23" s="45"/>
      <c r="H23" s="45"/>
      <c r="I23" s="40"/>
      <c r="J23" s="32"/>
      <c r="K23" s="32"/>
      <c r="L23" s="39"/>
      <c r="M23" s="32"/>
      <c r="N23" s="32"/>
    </row>
    <row r="24" customFormat="false" ht="13.5" hidden="false" customHeight="false" outlineLevel="0" collapsed="false">
      <c r="C24" s="38" t="n">
        <f aca="false">SUM(C18,C19,C23)</f>
        <v>6.2653</v>
      </c>
      <c r="D24" s="44"/>
      <c r="E24" s="40"/>
      <c r="F24" s="45"/>
      <c r="G24" s="45"/>
      <c r="H24" s="45"/>
      <c r="I24" s="40"/>
      <c r="J24" s="32"/>
      <c r="K24" s="32"/>
      <c r="L24" s="39"/>
      <c r="M24" s="32"/>
      <c r="N24" s="32"/>
    </row>
    <row r="25" customFormat="false" ht="13.5" hidden="false" customHeight="false" outlineLevel="0" collapsed="false">
      <c r="A25" s="31" t="s">
        <v>55</v>
      </c>
      <c r="D25" s="44"/>
      <c r="E25" s="40"/>
      <c r="F25" s="44"/>
      <c r="G25" s="44"/>
      <c r="H25" s="45"/>
      <c r="I25" s="45"/>
      <c r="J25" s="32"/>
      <c r="K25" s="32"/>
      <c r="L25" s="39"/>
      <c r="M25" s="32"/>
      <c r="N25" s="32"/>
    </row>
    <row r="26" customFormat="false" ht="12.75" hidden="false" customHeight="false" outlineLevel="0" collapsed="false">
      <c r="C26" s="42"/>
      <c r="E26" s="42"/>
      <c r="H26" s="32"/>
      <c r="I26" s="32"/>
      <c r="J26" s="32"/>
      <c r="K26" s="32"/>
      <c r="L26" s="39"/>
      <c r="M26" s="32"/>
      <c r="N26" s="32"/>
    </row>
    <row r="27" customFormat="false" ht="12.75" hidden="false" customHeight="false" outlineLevel="0" collapsed="false">
      <c r="A27" s="47" t="s">
        <v>56</v>
      </c>
      <c r="C27" s="43"/>
      <c r="E27" s="43"/>
      <c r="H27" s="32"/>
      <c r="I27" s="32"/>
      <c r="J27" s="32"/>
      <c r="K27" s="32"/>
      <c r="L27" s="39"/>
      <c r="M27" s="32"/>
      <c r="N27" s="32"/>
    </row>
    <row r="28" customFormat="false" ht="12.75" hidden="false" customHeight="false" outlineLevel="0" collapsed="false">
      <c r="B28" s="31" t="s">
        <v>57</v>
      </c>
      <c r="C28" s="35"/>
      <c r="H28" s="32"/>
      <c r="I28" s="32"/>
      <c r="J28" s="32"/>
      <c r="K28" s="32"/>
      <c r="L28" s="39"/>
      <c r="M28" s="32"/>
      <c r="N28" s="32"/>
    </row>
    <row r="29" customFormat="false" ht="12.75" hidden="false" customHeight="false" outlineLevel="0" collapsed="false">
      <c r="A29" s="32"/>
      <c r="B29" s="32" t="s">
        <v>58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customFormat="false" ht="12.75" hidden="false" customHeight="false" outlineLevel="0" collapsed="false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customFormat="false" ht="12.7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customFormat="false" ht="12.75" hidden="false" customHeight="fals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customFormat="false" ht="12.7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customFormat="false" ht="12.75" hidden="false" customHeight="false" outlineLevel="0" collapsed="false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customFormat="false" ht="12.75" hidden="false" customHeight="false" outlineLevel="0" collapsed="false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customFormat="false" ht="12.75" hidden="false" customHeight="false" outlineLevel="0" collapsed="false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customFormat="false" ht="12.75" hidden="false" customHeight="false" outlineLevel="0" collapsed="false">
      <c r="A38" s="33" t="s">
        <v>59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customFormat="false" ht="12.75" hidden="false" customHeight="false" outlineLevel="0" collapsed="false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customFormat="false" ht="12.75" hidden="false" customHeight="false" outlineLevel="0" collapsed="false">
      <c r="A40" s="32"/>
      <c r="B40" s="31" t="s">
        <v>60</v>
      </c>
      <c r="C40" s="4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customFormat="false" ht="12.75" hidden="false" customHeight="false" outlineLevel="0" collapsed="false">
      <c r="A41" s="32"/>
      <c r="C41" s="42" t="s">
        <v>61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customFormat="false" ht="12.75" hidden="false" customHeight="false" outlineLevel="0" collapsed="false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customFormat="false" ht="12.7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customFormat="false" ht="12.75" hidden="false" customHeight="false" outlineLevel="0" collapsed="false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customFormat="false" ht="12.75" hidden="false" customHeight="false" outlineLevel="0" collapsed="false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customFormat="false" ht="12.75" hidden="false" customHeight="false" outlineLevel="0" collapsed="false">
      <c r="A46" s="48" t="s">
        <v>62</v>
      </c>
      <c r="G46" s="49"/>
      <c r="H46" s="49"/>
    </row>
    <row r="47" customFormat="false" ht="12.75" hidden="false" customHeight="false" outlineLevel="0" collapsed="false">
      <c r="D47" s="50"/>
      <c r="F47" s="46"/>
      <c r="G47" s="49"/>
    </row>
    <row r="48" customFormat="false" ht="12.75" hidden="false" customHeight="false" outlineLevel="0" collapsed="false">
      <c r="K48" s="49"/>
      <c r="L48" s="35"/>
    </row>
    <row r="49" customFormat="false" ht="12.75" hidden="false" customHeight="false" outlineLevel="0" collapsed="false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customFormat="false" ht="12" hidden="false" customHeight="false" outlineLevel="0" collapsed="false">
      <c r="A50" s="31" t="s">
        <v>63</v>
      </c>
      <c r="E50" s="44"/>
      <c r="F50" s="44"/>
      <c r="G50" s="44"/>
      <c r="H50" s="44"/>
      <c r="I50" s="44"/>
      <c r="J50" s="44"/>
      <c r="K50" s="44"/>
      <c r="L50" s="44"/>
    </row>
    <row r="51" customFormat="false" ht="12.75" hidden="false" customHeight="false" outlineLevel="0" collapsed="false">
      <c r="A51" s="31" t="s">
        <v>43</v>
      </c>
      <c r="B51" s="31" t="s">
        <v>64</v>
      </c>
      <c r="C51" s="35" t="n">
        <v>4.36</v>
      </c>
      <c r="E51" s="44"/>
      <c r="F51" s="44"/>
      <c r="G51" s="40"/>
      <c r="H51" s="44"/>
      <c r="I51" s="44"/>
      <c r="J51" s="44"/>
      <c r="K51" s="40"/>
      <c r="L51" s="51"/>
    </row>
    <row r="52" customFormat="false" ht="12.75" hidden="false" customHeight="false" outlineLevel="0" collapsed="false">
      <c r="C52" s="35" t="n">
        <v>0.0075</v>
      </c>
      <c r="E52" s="44"/>
      <c r="F52" s="44"/>
      <c r="G52" s="40"/>
      <c r="H52" s="44"/>
      <c r="I52" s="44"/>
      <c r="J52" s="44"/>
      <c r="K52" s="40"/>
      <c r="L52" s="51"/>
    </row>
    <row r="53" customFormat="false" ht="12.75" hidden="false" customHeight="false" outlineLevel="0" collapsed="false">
      <c r="A53" s="31" t="s">
        <v>46</v>
      </c>
      <c r="B53" s="49"/>
      <c r="C53" s="35" t="n">
        <v>0.014</v>
      </c>
      <c r="E53" s="44"/>
      <c r="F53" s="51"/>
      <c r="G53" s="40"/>
      <c r="H53" s="44"/>
      <c r="I53" s="44"/>
      <c r="J53" s="51"/>
      <c r="K53" s="40"/>
      <c r="L53" s="51"/>
    </row>
    <row r="54" customFormat="false" ht="12.75" hidden="false" customHeight="false" outlineLevel="0" collapsed="false">
      <c r="A54" s="31" t="s">
        <v>48</v>
      </c>
      <c r="B54" s="49"/>
      <c r="C54" s="35" t="n">
        <v>0.0225</v>
      </c>
      <c r="E54" s="44"/>
      <c r="F54" s="51"/>
      <c r="G54" s="40"/>
      <c r="H54" s="44"/>
      <c r="I54" s="44"/>
      <c r="J54" s="51"/>
      <c r="K54" s="40"/>
      <c r="L54" s="51"/>
    </row>
    <row r="55" customFormat="false" ht="12.75" hidden="false" customHeight="false" outlineLevel="0" collapsed="false">
      <c r="A55" s="31" t="s">
        <v>49</v>
      </c>
      <c r="B55" s="52"/>
      <c r="C55" s="53" t="n">
        <v>0.0235</v>
      </c>
      <c r="E55" s="44"/>
      <c r="F55" s="52"/>
      <c r="G55" s="53"/>
      <c r="H55" s="44"/>
      <c r="I55" s="44"/>
      <c r="J55" s="52"/>
      <c r="K55" s="53"/>
      <c r="L55" s="51"/>
    </row>
    <row r="56" customFormat="false" ht="12.75" hidden="false" customHeight="false" outlineLevel="0" collapsed="false">
      <c r="A56" s="31" t="s">
        <v>30</v>
      </c>
      <c r="C56" s="37" t="n">
        <f aca="false">ROUND((+C51+C52)/(1-C55)+(C53+C54),4)-C51-C52</f>
        <v>0.1416</v>
      </c>
      <c r="E56" s="44"/>
      <c r="F56" s="44"/>
      <c r="G56" s="40"/>
      <c r="H56" s="44"/>
      <c r="I56" s="44"/>
      <c r="J56" s="44"/>
      <c r="K56" s="40"/>
      <c r="L56" s="51"/>
    </row>
    <row r="57" customFormat="false" ht="13.5" hidden="false" customHeight="false" outlineLevel="0" collapsed="false">
      <c r="C57" s="38" t="n">
        <f aca="false">SUM(C56,C51:C52)</f>
        <v>4.5091</v>
      </c>
      <c r="D57" s="31" t="s">
        <v>65</v>
      </c>
      <c r="E57" s="44"/>
      <c r="F57" s="44"/>
      <c r="G57" s="44"/>
      <c r="H57" s="44"/>
      <c r="I57" s="44"/>
      <c r="J57" s="44"/>
      <c r="K57" s="44"/>
      <c r="L57" s="51"/>
      <c r="M57" s="46"/>
      <c r="N57" s="35"/>
    </row>
    <row r="58" customFormat="false" ht="13.5" hidden="false" customHeight="false" outlineLevel="0" collapsed="false">
      <c r="B58" s="49"/>
      <c r="C58" s="35"/>
      <c r="G58" s="46"/>
      <c r="H58" s="54"/>
    </row>
    <row r="59" customFormat="false" ht="12.75" hidden="false" customHeight="false" outlineLevel="0" collapsed="false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customFormat="false" ht="12.75" hidden="false" customHeight="false" outlineLevel="0" collapsed="false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customFormat="false" ht="12" hidden="false" customHeight="false" outlineLevel="0" collapsed="false">
      <c r="A61" s="31" t="s">
        <v>66</v>
      </c>
      <c r="I61" s="31" t="s">
        <v>67</v>
      </c>
    </row>
    <row r="62" customFormat="false" ht="12.75" hidden="false" customHeight="false" outlineLevel="0" collapsed="false">
      <c r="A62" s="31" t="s">
        <v>43</v>
      </c>
      <c r="B62" s="31" t="s">
        <v>68</v>
      </c>
      <c r="C62" s="35" t="n">
        <v>4.37</v>
      </c>
      <c r="I62" s="31" t="s">
        <v>43</v>
      </c>
      <c r="J62" s="31" t="s">
        <v>68</v>
      </c>
      <c r="K62" s="35" t="n">
        <v>4.37</v>
      </c>
      <c r="L62" s="49"/>
    </row>
    <row r="63" customFormat="false" ht="12.75" hidden="false" customHeight="false" outlineLevel="0" collapsed="false">
      <c r="A63" s="31" t="s">
        <v>45</v>
      </c>
      <c r="C63" s="35" t="n">
        <v>0.0175</v>
      </c>
      <c r="K63" s="35" t="n">
        <v>0.0175</v>
      </c>
      <c r="L63" s="49"/>
    </row>
    <row r="64" customFormat="false" ht="12.75" hidden="false" customHeight="false" outlineLevel="0" collapsed="false">
      <c r="A64" s="31" t="s">
        <v>46</v>
      </c>
      <c r="B64" s="49"/>
      <c r="C64" s="35" t="n">
        <v>0.0115</v>
      </c>
      <c r="I64" s="31" t="s">
        <v>46</v>
      </c>
      <c r="J64" s="49"/>
      <c r="K64" s="35" t="n">
        <v>0.0023</v>
      </c>
      <c r="L64" s="49"/>
    </row>
    <row r="65" customFormat="false" ht="12.75" hidden="false" customHeight="false" outlineLevel="0" collapsed="false">
      <c r="A65" s="31" t="s">
        <v>48</v>
      </c>
      <c r="B65" s="49"/>
      <c r="C65" s="35" t="n">
        <v>0.0094</v>
      </c>
      <c r="D65" s="31" t="s">
        <v>69</v>
      </c>
      <c r="I65" s="31" t="s">
        <v>48</v>
      </c>
      <c r="J65" s="49"/>
      <c r="K65" s="35" t="n">
        <v>0.0094</v>
      </c>
      <c r="L65" s="31" t="s">
        <v>69</v>
      </c>
    </row>
    <row r="66" customFormat="false" ht="12.75" hidden="false" customHeight="false" outlineLevel="0" collapsed="false">
      <c r="A66" s="31" t="s">
        <v>49</v>
      </c>
      <c r="B66" s="52"/>
      <c r="C66" s="53" t="n">
        <v>0.019</v>
      </c>
      <c r="I66" s="31" t="s">
        <v>49</v>
      </c>
      <c r="J66" s="52"/>
      <c r="K66" s="53" t="n">
        <v>0.019</v>
      </c>
      <c r="L66" s="49"/>
    </row>
    <row r="67" customFormat="false" ht="12.75" hidden="false" customHeight="false" outlineLevel="0" collapsed="false">
      <c r="A67" s="31" t="s">
        <v>30</v>
      </c>
      <c r="C67" s="37" t="n">
        <f aca="false">ROUND((+C62+C63)/(1-C66)+(C64+C65),4)-C62-C63</f>
        <v>0.1059</v>
      </c>
      <c r="I67" s="31" t="s">
        <v>30</v>
      </c>
      <c r="K67" s="37" t="n">
        <f aca="false">ROUND((+K62+K63)/(1-K66)+(K64+K65),4)-K62-K63</f>
        <v>0.0967000000000003</v>
      </c>
      <c r="L67" s="49"/>
    </row>
    <row r="68" customFormat="false" ht="13.5" hidden="false" customHeight="false" outlineLevel="0" collapsed="false">
      <c r="A68" s="31" t="s">
        <v>70</v>
      </c>
      <c r="C68" s="38" t="n">
        <f aca="false">SUM(C67,C62:C63)</f>
        <v>4.4934</v>
      </c>
      <c r="D68" s="31" t="s">
        <v>71</v>
      </c>
      <c r="I68" s="44" t="s">
        <v>70</v>
      </c>
      <c r="J68" s="44"/>
      <c r="K68" s="38" t="n">
        <f aca="false">SUM(K67,K62:K63)</f>
        <v>4.4842</v>
      </c>
      <c r="L68" s="49" t="s">
        <v>72</v>
      </c>
      <c r="M68" s="46"/>
      <c r="N68" s="35"/>
    </row>
    <row r="69" customFormat="false" ht="13.5" hidden="false" customHeight="false" outlineLevel="0" collapsed="false">
      <c r="B69" s="49"/>
      <c r="C69" s="35"/>
      <c r="G69" s="46"/>
      <c r="H69" s="54"/>
    </row>
    <row r="70" customFormat="false" ht="12.75" hidden="false" customHeight="false" outlineLevel="0" collapsed="false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customFormat="false" ht="12" hidden="false" customHeight="false" outlineLevel="0" collapsed="false">
      <c r="A71" s="31" t="s">
        <v>73</v>
      </c>
    </row>
    <row r="72" customFormat="false" ht="12" hidden="false" customHeight="false" outlineLevel="0" collapsed="false">
      <c r="A72" s="31" t="s">
        <v>43</v>
      </c>
      <c r="B72" s="31" t="s">
        <v>68</v>
      </c>
      <c r="C72" s="35" t="n">
        <v>4.37</v>
      </c>
      <c r="D72" s="31" t="s">
        <v>74</v>
      </c>
    </row>
    <row r="73" customFormat="false" ht="12.75" hidden="false" customHeight="false" outlineLevel="0" collapsed="false">
      <c r="A73" s="31" t="s">
        <v>46</v>
      </c>
      <c r="B73" s="49"/>
      <c r="C73" s="35" t="n">
        <v>0.0203</v>
      </c>
    </row>
    <row r="74" customFormat="false" ht="12.75" hidden="false" customHeight="false" outlineLevel="0" collapsed="false">
      <c r="A74" s="31" t="s">
        <v>48</v>
      </c>
      <c r="B74" s="49"/>
      <c r="C74" s="35" t="n">
        <v>0.0225</v>
      </c>
    </row>
    <row r="75" customFormat="false" ht="12" hidden="false" customHeight="false" outlineLevel="0" collapsed="false">
      <c r="A75" s="31" t="s">
        <v>49</v>
      </c>
      <c r="B75" s="52"/>
      <c r="C75" s="53" t="n">
        <v>0.0343</v>
      </c>
    </row>
    <row r="76" customFormat="false" ht="12" hidden="false" customHeight="false" outlineLevel="0" collapsed="false">
      <c r="A76" s="31" t="s">
        <v>30</v>
      </c>
      <c r="C76" s="37" t="n">
        <v>0.1428</v>
      </c>
    </row>
    <row r="77" customFormat="false" ht="12" hidden="false" customHeight="false" outlineLevel="0" collapsed="false">
      <c r="A77" s="31" t="s">
        <v>75</v>
      </c>
      <c r="C77" s="55" t="n">
        <v>0.27</v>
      </c>
    </row>
    <row r="78" customFormat="false" ht="12.75" hidden="false" customHeight="false" outlineLevel="0" collapsed="false">
      <c r="A78" s="31" t="s">
        <v>70</v>
      </c>
      <c r="C78" s="38" t="n">
        <v>3.0428</v>
      </c>
      <c r="D78" s="31" t="s">
        <v>76</v>
      </c>
    </row>
    <row r="79" customFormat="false" ht="12.75" hidden="false" customHeight="false" outlineLevel="0" collapsed="false">
      <c r="D79" s="31" t="s">
        <v>77</v>
      </c>
    </row>
    <row r="80" customFormat="false" ht="12" hidden="false" customHeight="false" outlineLevel="0" collapsed="false">
      <c r="D80" s="31" t="s">
        <v>78</v>
      </c>
    </row>
    <row r="84" customFormat="false" ht="12" hidden="false" customHeight="false" outlineLevel="0" collapsed="false">
      <c r="A84" s="31" t="s">
        <v>79</v>
      </c>
    </row>
    <row r="85" customFormat="false" ht="12" hidden="false" customHeight="false" outlineLevel="0" collapsed="false">
      <c r="A85" s="31" t="s">
        <v>43</v>
      </c>
      <c r="B85" s="31" t="s">
        <v>64</v>
      </c>
      <c r="C85" s="35" t="n">
        <v>4.36</v>
      </c>
    </row>
    <row r="86" customFormat="false" ht="12" hidden="false" customHeight="false" outlineLevel="0" collapsed="false">
      <c r="C86" s="35" t="n">
        <v>0.0075</v>
      </c>
    </row>
    <row r="87" customFormat="false" ht="12.75" hidden="false" customHeight="false" outlineLevel="0" collapsed="false">
      <c r="A87" s="31" t="s">
        <v>46</v>
      </c>
      <c r="B87" s="49"/>
      <c r="C87" s="35" t="n">
        <v>0.0228</v>
      </c>
    </row>
    <row r="88" customFormat="false" ht="12.75" hidden="false" customHeight="false" outlineLevel="0" collapsed="false">
      <c r="A88" s="31" t="s">
        <v>48</v>
      </c>
      <c r="B88" s="49"/>
      <c r="C88" s="35" t="n">
        <v>0.0225</v>
      </c>
    </row>
    <row r="89" customFormat="false" ht="12" hidden="false" customHeight="false" outlineLevel="0" collapsed="false">
      <c r="A89" s="31" t="s">
        <v>49</v>
      </c>
      <c r="B89" s="52"/>
      <c r="C89" s="53" t="n">
        <v>0.0388</v>
      </c>
    </row>
    <row r="90" customFormat="false" ht="12" hidden="false" customHeight="false" outlineLevel="0" collapsed="false">
      <c r="A90" s="31" t="s">
        <v>30</v>
      </c>
      <c r="C90" s="37" t="n">
        <f aca="false">ROUND((+C85+C86)/(1-C89)+(C87+C88),4)-C85-C86</f>
        <v>0.2216</v>
      </c>
    </row>
    <row r="91" customFormat="false" ht="12.75" hidden="false" customHeight="false" outlineLevel="0" collapsed="false">
      <c r="A91" s="31" t="s">
        <v>70</v>
      </c>
      <c r="C91" s="38" t="n">
        <f aca="false">SUM(C90,C85:C86)</f>
        <v>4.5891</v>
      </c>
      <c r="D91" s="31" t="s">
        <v>80</v>
      </c>
    </row>
    <row r="92" customFormat="false" ht="12.75" hidden="false" customHeight="false" outlineLevel="0" collapsed="false"/>
    <row r="98" customFormat="false" ht="12" hidden="false" customHeight="false" outlineLevel="0" collapsed="false">
      <c r="A98" s="33" t="s">
        <v>81</v>
      </c>
    </row>
    <row r="99" customFormat="false" ht="12" hidden="false" customHeight="false" outlineLevel="0" collapsed="false">
      <c r="A99" s="31" t="s">
        <v>43</v>
      </c>
      <c r="B99" s="31" t="s">
        <v>82</v>
      </c>
      <c r="C99" s="35" t="n">
        <v>4.33</v>
      </c>
    </row>
    <row r="100" customFormat="false" ht="12" hidden="false" customHeight="false" outlineLevel="0" collapsed="false">
      <c r="A100" s="31" t="s">
        <v>45</v>
      </c>
      <c r="C100" s="35" t="n">
        <v>-0.01</v>
      </c>
    </row>
    <row r="101" customFormat="false" ht="12" hidden="false" customHeight="false" outlineLevel="0" collapsed="false">
      <c r="A101" s="31" t="s">
        <v>46</v>
      </c>
      <c r="C101" s="35" t="n">
        <v>0.0323</v>
      </c>
    </row>
    <row r="102" customFormat="false" ht="12" hidden="false" customHeight="false" outlineLevel="0" collapsed="false">
      <c r="A102" s="31" t="s">
        <v>48</v>
      </c>
      <c r="C102" s="35" t="n">
        <v>0.0094</v>
      </c>
    </row>
    <row r="103" customFormat="false" ht="12" hidden="false" customHeight="false" outlineLevel="0" collapsed="false">
      <c r="A103" s="31" t="s">
        <v>49</v>
      </c>
      <c r="C103" s="53" t="n">
        <v>0.0268</v>
      </c>
    </row>
    <row r="104" customFormat="false" ht="12" hidden="false" customHeight="false" outlineLevel="0" collapsed="false">
      <c r="A104" s="31" t="s">
        <v>30</v>
      </c>
      <c r="C104" s="37" t="n">
        <f aca="false">ROUND((+C99+C100)/(1-C103)+(C101+C102),4)-C99-C100</f>
        <v>0.1607</v>
      </c>
    </row>
    <row r="105" customFormat="false" ht="12.75" hidden="false" customHeight="false" outlineLevel="0" collapsed="false">
      <c r="A105" s="31" t="s">
        <v>70</v>
      </c>
      <c r="C105" s="38" t="n">
        <f aca="false">SUM(C104,C99:C100)</f>
        <v>4.4807</v>
      </c>
      <c r="D105" s="31" t="s">
        <v>83</v>
      </c>
    </row>
    <row r="106" customFormat="false" ht="12.75" hidden="false" customHeight="false" outlineLevel="0" collapsed="false"/>
    <row r="108" customFormat="false" ht="12" hidden="false" customHeight="false" outlineLevel="0" collapsed="false">
      <c r="A108" s="33" t="s">
        <v>84</v>
      </c>
    </row>
    <row r="109" customFormat="false" ht="12" hidden="false" customHeight="false" outlineLevel="0" collapsed="false">
      <c r="A109" s="31" t="s">
        <v>43</v>
      </c>
      <c r="B109" s="31" t="s">
        <v>85</v>
      </c>
      <c r="C109" s="35" t="n">
        <v>4.35</v>
      </c>
    </row>
    <row r="110" customFormat="false" ht="12" hidden="false" customHeight="false" outlineLevel="0" collapsed="false">
      <c r="A110" s="31" t="s">
        <v>45</v>
      </c>
      <c r="C110" s="35" t="n">
        <v>0.0075</v>
      </c>
    </row>
    <row r="111" customFormat="false" ht="12" hidden="false" customHeight="false" outlineLevel="0" collapsed="false">
      <c r="A111" s="31" t="s">
        <v>46</v>
      </c>
      <c r="C111" s="35" t="n">
        <v>0.021</v>
      </c>
    </row>
    <row r="112" customFormat="false" ht="12" hidden="false" customHeight="false" outlineLevel="0" collapsed="false">
      <c r="A112" s="31" t="s">
        <v>48</v>
      </c>
      <c r="C112" s="35" t="n">
        <f aca="false">0.0022+0.0072</f>
        <v>0.0094</v>
      </c>
    </row>
    <row r="113" customFormat="false" ht="12" hidden="false" customHeight="false" outlineLevel="0" collapsed="false">
      <c r="A113" s="31" t="s">
        <v>49</v>
      </c>
      <c r="C113" s="53" t="n">
        <v>0.026</v>
      </c>
    </row>
    <row r="114" customFormat="false" ht="12" hidden="false" customHeight="false" outlineLevel="0" collapsed="false">
      <c r="A114" s="31" t="s">
        <v>30</v>
      </c>
      <c r="C114" s="37" t="n">
        <f aca="false">ROUND((+C109+C110)/(1-C113)-(C109+C110)+C111+C112,4)</f>
        <v>0.1467</v>
      </c>
    </row>
    <row r="115" customFormat="false" ht="12.75" hidden="false" customHeight="false" outlineLevel="0" collapsed="false">
      <c r="A115" s="31" t="s">
        <v>70</v>
      </c>
      <c r="C115" s="38" t="n">
        <f aca="false">SUM(C114,C109:C110)</f>
        <v>4.5042</v>
      </c>
      <c r="D115" s="31" t="s">
        <v>86</v>
      </c>
    </row>
    <row r="116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T87" activeCellId="0" sqref="T8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9" width="9.14"/>
    <col collapsed="false" customWidth="true" hidden="false" outlineLevel="0" max="2" min="2" style="49" width="9.99"/>
    <col collapsed="false" customWidth="false" hidden="false" outlineLevel="0" max="3" min="3" style="49" width="9.14"/>
    <col collapsed="false" customWidth="true" hidden="false" outlineLevel="0" max="4" min="4" style="49" width="10.56"/>
    <col collapsed="false" customWidth="true" hidden="false" outlineLevel="0" max="5" min="5" style="49" width="9.28"/>
    <col collapsed="false" customWidth="true" hidden="false" outlineLevel="0" max="6" min="6" style="49" width="9.56"/>
    <col collapsed="false" customWidth="true" hidden="false" outlineLevel="0" max="7" min="7" style="56" width="12.42"/>
    <col collapsed="false" customWidth="true" hidden="false" outlineLevel="0" max="8" min="8" style="56" width="13.99"/>
    <col collapsed="false" customWidth="true" hidden="false" outlineLevel="0" max="9" min="9" style="49" width="10.71"/>
    <col collapsed="false" customWidth="true" hidden="false" outlineLevel="0" max="10" min="10" style="49" width="7.7"/>
    <col collapsed="false" customWidth="true" hidden="true" outlineLevel="0" max="14" min="11" style="49" width="9.06"/>
    <col collapsed="false" customWidth="true" hidden="true" outlineLevel="0" max="15" min="15" style="57" width="9.06"/>
    <col collapsed="false" customWidth="true" hidden="true" outlineLevel="0" max="16" min="16" style="49" width="9.06"/>
    <col collapsed="false" customWidth="true" hidden="false" outlineLevel="0" max="17" min="17" style="49" width="11.7"/>
    <col collapsed="false" customWidth="true" hidden="false" outlineLevel="0" max="18" min="18" style="49" width="9.41"/>
    <col collapsed="false" customWidth="true" hidden="false" outlineLevel="0" max="19" min="19" style="49" width="12.28"/>
    <col collapsed="false" customWidth="true" hidden="false" outlineLevel="0" max="20" min="20" style="49" width="10.71"/>
    <col collapsed="false" customWidth="true" hidden="false" outlineLevel="0" max="21" min="21" style="49" width="11.85"/>
    <col collapsed="false" customWidth="true" hidden="false" outlineLevel="0" max="22" min="22" style="58" width="14.85"/>
    <col collapsed="false" customWidth="true" hidden="false" outlineLevel="0" max="23" min="23" style="56" width="42.28"/>
    <col collapsed="false" customWidth="false" hidden="false" outlineLevel="0" max="25" min="24" style="58" width="9.14"/>
    <col collapsed="false" customWidth="true" hidden="false" outlineLevel="0" max="26" min="26" style="49" width="12.42"/>
    <col collapsed="false" customWidth="false" hidden="false" outlineLevel="0" max="257" min="27" style="49" width="9.14"/>
  </cols>
  <sheetData>
    <row r="1" customFormat="false" ht="12.75" hidden="false" customHeight="false" outlineLevel="0" collapsed="false">
      <c r="B1" s="59" t="s">
        <v>87</v>
      </c>
      <c r="C1" s="60"/>
      <c r="D1" s="60"/>
      <c r="E1" s="61"/>
      <c r="F1" s="61"/>
      <c r="G1" s="62"/>
      <c r="H1" s="62"/>
      <c r="I1" s="60" t="s">
        <v>88</v>
      </c>
      <c r="J1" s="63" t="n">
        <v>31</v>
      </c>
      <c r="K1" s="64" t="s">
        <v>89</v>
      </c>
      <c r="L1" s="65"/>
      <c r="M1" s="65"/>
      <c r="N1" s="65"/>
      <c r="O1" s="66"/>
      <c r="P1" s="65"/>
      <c r="Q1" s="67"/>
      <c r="R1" s="68"/>
      <c r="S1" s="69"/>
      <c r="T1" s="69"/>
      <c r="U1" s="69"/>
      <c r="V1" s="70"/>
      <c r="W1" s="71"/>
      <c r="X1" s="72"/>
      <c r="Y1" s="72"/>
    </row>
    <row r="2" customFormat="false" ht="12.75" hidden="false" customHeight="false" outlineLevel="0" collapsed="false">
      <c r="B2" s="62" t="s">
        <v>90</v>
      </c>
      <c r="C2" s="62"/>
      <c r="D2" s="62"/>
      <c r="E2" s="61"/>
      <c r="F2" s="61"/>
      <c r="G2" s="62"/>
      <c r="H2" s="62"/>
      <c r="I2" s="60"/>
      <c r="J2" s="63"/>
      <c r="K2" s="64" t="s">
        <v>91</v>
      </c>
      <c r="L2" s="65"/>
      <c r="M2" s="65"/>
      <c r="N2" s="65"/>
      <c r="O2" s="66"/>
      <c r="P2" s="65"/>
      <c r="Q2" s="67"/>
      <c r="R2" s="68"/>
      <c r="S2" s="69"/>
      <c r="T2" s="69"/>
      <c r="U2" s="69"/>
      <c r="V2" s="70"/>
      <c r="W2" s="71"/>
      <c r="X2" s="72"/>
      <c r="Y2" s="72"/>
    </row>
    <row r="3" customFormat="false" ht="12.75" hidden="false" customHeight="false" outlineLevel="0" collapsed="false">
      <c r="B3" s="62" t="s">
        <v>92</v>
      </c>
      <c r="C3" s="62"/>
      <c r="D3" s="62"/>
      <c r="E3" s="61"/>
      <c r="F3" s="61"/>
      <c r="G3" s="73" t="s">
        <v>83</v>
      </c>
      <c r="H3" s="62" t="s">
        <v>83</v>
      </c>
      <c r="I3" s="68" t="s">
        <v>83</v>
      </c>
      <c r="J3" s="74"/>
      <c r="K3" s="75" t="s">
        <v>83</v>
      </c>
      <c r="L3" s="65"/>
      <c r="M3" s="75" t="s">
        <v>83</v>
      </c>
      <c r="N3" s="65"/>
      <c r="O3" s="66"/>
      <c r="P3" s="75" t="s">
        <v>83</v>
      </c>
      <c r="Q3" s="67"/>
      <c r="R3" s="68"/>
      <c r="S3" s="69"/>
      <c r="T3" s="69"/>
      <c r="U3" s="69"/>
      <c r="V3" s="70"/>
      <c r="W3" s="71"/>
      <c r="X3" s="72"/>
      <c r="Y3" s="72"/>
    </row>
    <row r="4" customFormat="false" ht="12.75" hidden="false" customHeight="false" outlineLevel="0" collapsed="false">
      <c r="B4" s="62"/>
      <c r="C4" s="60"/>
      <c r="D4" s="60"/>
      <c r="E4" s="61"/>
      <c r="F4" s="61"/>
      <c r="G4" s="76"/>
      <c r="H4" s="62"/>
      <c r="I4" s="76"/>
      <c r="J4" s="74"/>
      <c r="K4" s="76"/>
      <c r="L4" s="65"/>
      <c r="M4" s="76"/>
      <c r="N4" s="68"/>
      <c r="O4" s="66"/>
      <c r="P4" s="68"/>
      <c r="Q4" s="67"/>
      <c r="R4" s="68"/>
      <c r="S4" s="69"/>
      <c r="T4" s="77"/>
      <c r="U4" s="77"/>
      <c r="V4" s="78"/>
      <c r="W4" s="71"/>
      <c r="X4" s="72"/>
      <c r="Y4" s="72"/>
    </row>
    <row r="5" customFormat="false" ht="12.75" hidden="false" customHeight="false" outlineLevel="0" collapsed="false">
      <c r="B5" s="62" t="s">
        <v>93</v>
      </c>
      <c r="C5" s="60"/>
      <c r="D5" s="62"/>
      <c r="E5" s="61"/>
      <c r="F5" s="61"/>
      <c r="G5" s="76"/>
      <c r="H5" s="62"/>
      <c r="I5" s="76"/>
      <c r="J5" s="74"/>
      <c r="K5" s="76"/>
      <c r="L5" s="65"/>
      <c r="M5" s="76"/>
      <c r="N5" s="68"/>
      <c r="O5" s="66"/>
      <c r="P5" s="68"/>
      <c r="Q5" s="67"/>
      <c r="R5" s="68"/>
      <c r="S5" s="69"/>
      <c r="T5" s="77"/>
      <c r="U5" s="77"/>
      <c r="V5" s="78"/>
      <c r="W5" s="71"/>
      <c r="X5" s="72"/>
      <c r="Y5" s="72"/>
    </row>
    <row r="6" customFormat="false" ht="12.75" hidden="false" customHeight="false" outlineLevel="0" collapsed="false">
      <c r="B6" s="62"/>
      <c r="C6" s="60" t="s">
        <v>94</v>
      </c>
      <c r="D6" s="60"/>
      <c r="E6" s="61"/>
      <c r="F6" s="61"/>
      <c r="G6" s="76"/>
      <c r="H6" s="62"/>
      <c r="I6" s="76"/>
      <c r="J6" s="74"/>
      <c r="K6" s="76"/>
      <c r="L6" s="65"/>
      <c r="M6" s="76"/>
      <c r="N6" s="68"/>
      <c r="O6" s="66"/>
      <c r="P6" s="68"/>
      <c r="Q6" s="67"/>
      <c r="R6" s="68"/>
      <c r="S6" s="69"/>
      <c r="T6" s="77"/>
      <c r="U6" s="77"/>
      <c r="V6" s="78"/>
      <c r="W6" s="71"/>
      <c r="X6" s="72"/>
      <c r="Y6" s="72"/>
    </row>
    <row r="7" customFormat="false" ht="12.75" hidden="false" customHeight="false" outlineLevel="0" collapsed="false">
      <c r="B7" s="62"/>
      <c r="C7" s="60"/>
      <c r="D7" s="60"/>
      <c r="E7" s="61"/>
      <c r="F7" s="61"/>
      <c r="G7" s="76"/>
      <c r="H7" s="62"/>
      <c r="I7" s="76"/>
      <c r="J7" s="74"/>
      <c r="K7" s="76"/>
      <c r="L7" s="65"/>
      <c r="M7" s="76"/>
      <c r="N7" s="68"/>
      <c r="O7" s="66"/>
      <c r="P7" s="68"/>
      <c r="Q7" s="67"/>
      <c r="R7" s="68"/>
      <c r="S7" s="69"/>
      <c r="T7" s="77"/>
      <c r="U7" s="77"/>
      <c r="V7" s="78"/>
      <c r="W7" s="71"/>
      <c r="X7" s="72"/>
      <c r="Y7" s="72"/>
    </row>
    <row r="8" customFormat="false" ht="12.75" hidden="false" customHeight="false" outlineLevel="0" collapsed="false">
      <c r="B8" s="62"/>
      <c r="C8" s="60"/>
      <c r="D8" s="60"/>
      <c r="E8" s="61"/>
      <c r="F8" s="61"/>
      <c r="G8" s="76"/>
      <c r="H8" s="62"/>
      <c r="I8" s="76"/>
      <c r="J8" s="74"/>
      <c r="K8" s="76"/>
      <c r="L8" s="65"/>
      <c r="M8" s="76"/>
      <c r="N8" s="68"/>
      <c r="O8" s="66"/>
      <c r="P8" s="68"/>
      <c r="Q8" s="67"/>
      <c r="R8" s="68"/>
      <c r="S8" s="69"/>
      <c r="T8" s="77"/>
      <c r="U8" s="77"/>
      <c r="V8" s="78"/>
      <c r="W8" s="71"/>
      <c r="X8" s="72"/>
      <c r="Y8" s="72"/>
    </row>
    <row r="9" customFormat="false" ht="12.75" hidden="false" customHeight="false" outlineLevel="0" collapsed="false">
      <c r="B9" s="62"/>
      <c r="C9" s="60"/>
      <c r="D9" s="60"/>
      <c r="E9" s="61"/>
      <c r="F9" s="61"/>
      <c r="G9" s="76"/>
      <c r="H9" s="62"/>
      <c r="I9" s="76"/>
      <c r="J9" s="74"/>
      <c r="K9" s="76"/>
      <c r="L9" s="65"/>
      <c r="M9" s="76"/>
      <c r="N9" s="68"/>
      <c r="O9" s="66"/>
      <c r="P9" s="68"/>
      <c r="Q9" s="67"/>
      <c r="R9" s="68"/>
      <c r="S9" s="69"/>
      <c r="T9" s="77"/>
      <c r="U9" s="77"/>
      <c r="V9" s="78"/>
      <c r="W9" s="71"/>
      <c r="X9" s="72"/>
      <c r="Y9" s="72"/>
    </row>
    <row r="10" customFormat="false" ht="12.75" hidden="false" customHeight="false" outlineLevel="0" collapsed="false">
      <c r="B10" s="62"/>
      <c r="C10" s="60"/>
      <c r="D10" s="60"/>
      <c r="E10" s="61"/>
      <c r="F10" s="61"/>
      <c r="G10" s="76"/>
      <c r="H10" s="62"/>
      <c r="I10" s="76"/>
      <c r="J10" s="74"/>
      <c r="K10" s="76"/>
      <c r="L10" s="65"/>
      <c r="M10" s="76"/>
      <c r="N10" s="68"/>
      <c r="O10" s="66"/>
      <c r="P10" s="68"/>
      <c r="Q10" s="67"/>
      <c r="R10" s="68"/>
      <c r="S10" s="69"/>
      <c r="T10" s="77"/>
      <c r="U10" s="77"/>
      <c r="V10" s="78"/>
      <c r="W10" s="71"/>
      <c r="X10" s="72"/>
      <c r="Y10" s="72"/>
    </row>
    <row r="11" customFormat="false" ht="12.75" hidden="false" customHeight="false" outlineLevel="0" collapsed="false">
      <c r="B11" s="79" t="s">
        <v>95</v>
      </c>
      <c r="C11" s="80" t="s">
        <v>96</v>
      </c>
      <c r="D11" s="80" t="s">
        <v>97</v>
      </c>
      <c r="E11" s="81" t="s">
        <v>98</v>
      </c>
      <c r="F11" s="81"/>
      <c r="G11" s="79" t="s">
        <v>99</v>
      </c>
      <c r="H11" s="79" t="s">
        <v>100</v>
      </c>
      <c r="I11" s="80" t="s">
        <v>101</v>
      </c>
      <c r="J11" s="82" t="s">
        <v>102</v>
      </c>
      <c r="K11" s="80" t="s">
        <v>103</v>
      </c>
      <c r="L11" s="80" t="s">
        <v>104</v>
      </c>
      <c r="M11" s="80" t="s">
        <v>105</v>
      </c>
      <c r="N11" s="80" t="s">
        <v>106</v>
      </c>
      <c r="O11" s="83" t="s">
        <v>107</v>
      </c>
      <c r="P11" s="80" t="s">
        <v>108</v>
      </c>
      <c r="Q11" s="84" t="s">
        <v>109</v>
      </c>
      <c r="R11" s="80" t="s">
        <v>110</v>
      </c>
      <c r="S11" s="79" t="s">
        <v>111</v>
      </c>
      <c r="T11" s="85" t="s">
        <v>112</v>
      </c>
      <c r="U11" s="85" t="s">
        <v>113</v>
      </c>
      <c r="V11" s="86" t="s">
        <v>114</v>
      </c>
      <c r="W11" s="87" t="e">
        <f aca="false">+#REF!</f>
        <v>#REF!</v>
      </c>
      <c r="X11" s="88"/>
      <c r="Y11" s="88"/>
    </row>
    <row r="12" customFormat="false" ht="12.75" hidden="false" customHeight="false" outlineLevel="0" collapsed="false">
      <c r="A12" s="89"/>
      <c r="B12" s="90" t="s">
        <v>3</v>
      </c>
      <c r="C12" s="91" t="s">
        <v>115</v>
      </c>
      <c r="D12" s="91" t="s">
        <v>116</v>
      </c>
      <c r="E12" s="92" t="n">
        <v>36557</v>
      </c>
      <c r="F12" s="92" t="n">
        <v>36922</v>
      </c>
      <c r="G12" s="90" t="s">
        <v>117</v>
      </c>
      <c r="H12" s="90" t="s">
        <v>118</v>
      </c>
      <c r="I12" s="91" t="s">
        <v>119</v>
      </c>
      <c r="J12" s="93" t="n">
        <f aca="false">3.145/J$1</f>
        <v>0.101451612903226</v>
      </c>
      <c r="K12" s="94"/>
      <c r="L12" s="94"/>
      <c r="M12" s="94"/>
      <c r="N12" s="94"/>
      <c r="O12" s="95"/>
      <c r="P12" s="94"/>
      <c r="Q12" s="96" t="n">
        <v>66283</v>
      </c>
      <c r="R12" s="91" t="n">
        <v>5</v>
      </c>
      <c r="S12" s="90" t="s">
        <v>120</v>
      </c>
      <c r="T12" s="97" t="n">
        <f aca="false">+J12*R12*31</f>
        <v>15.725</v>
      </c>
      <c r="U12" s="98"/>
      <c r="V12" s="99" t="n">
        <v>156674</v>
      </c>
      <c r="W12" s="90"/>
      <c r="X12" s="100"/>
      <c r="Y12" s="100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customFormat="false" ht="12.75" hidden="false" customHeight="false" outlineLevel="0" collapsed="false">
      <c r="A13" s="89"/>
      <c r="B13" s="90" t="s">
        <v>3</v>
      </c>
      <c r="C13" s="91" t="s">
        <v>115</v>
      </c>
      <c r="D13" s="91" t="s">
        <v>116</v>
      </c>
      <c r="E13" s="92" t="n">
        <v>36617</v>
      </c>
      <c r="F13" s="92" t="n">
        <v>36981</v>
      </c>
      <c r="G13" s="90" t="s">
        <v>117</v>
      </c>
      <c r="H13" s="90" t="s">
        <v>118</v>
      </c>
      <c r="I13" s="91" t="s">
        <v>119</v>
      </c>
      <c r="J13" s="93" t="n">
        <f aca="false">3.145/J$1</f>
        <v>0.101451612903226</v>
      </c>
      <c r="K13" s="94"/>
      <c r="L13" s="94"/>
      <c r="M13" s="94"/>
      <c r="N13" s="94"/>
      <c r="O13" s="95"/>
      <c r="P13" s="94"/>
      <c r="Q13" s="96" t="n">
        <v>66941</v>
      </c>
      <c r="R13" s="91" t="n">
        <v>53</v>
      </c>
      <c r="S13" s="90"/>
      <c r="T13" s="97" t="n">
        <f aca="false">+J13*R13*31</f>
        <v>166.685</v>
      </c>
      <c r="U13" s="98"/>
      <c r="V13" s="99" t="n">
        <v>228122</v>
      </c>
      <c r="W13" s="90"/>
      <c r="X13" s="100"/>
      <c r="Y13" s="100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customFormat="false" ht="12.75" hidden="false" customHeight="false" outlineLevel="0" collapsed="false">
      <c r="A14" s="89"/>
      <c r="B14" s="90" t="s">
        <v>3</v>
      </c>
      <c r="C14" s="91" t="s">
        <v>115</v>
      </c>
      <c r="D14" s="91" t="s">
        <v>121</v>
      </c>
      <c r="E14" s="92" t="n">
        <v>36647</v>
      </c>
      <c r="F14" s="92" t="n">
        <v>37011</v>
      </c>
      <c r="G14" s="90" t="s">
        <v>117</v>
      </c>
      <c r="H14" s="90" t="s">
        <v>118</v>
      </c>
      <c r="I14" s="91" t="s">
        <v>119</v>
      </c>
      <c r="J14" s="93" t="n">
        <f aca="false">3.145/J$1</f>
        <v>0.101451612903226</v>
      </c>
      <c r="K14" s="94"/>
      <c r="L14" s="94"/>
      <c r="M14" s="94"/>
      <c r="N14" s="94"/>
      <c r="O14" s="95"/>
      <c r="P14" s="94"/>
      <c r="Q14" s="96" t="n">
        <v>68281</v>
      </c>
      <c r="R14" s="91" t="n">
        <v>21</v>
      </c>
      <c r="S14" s="90" t="s">
        <v>122</v>
      </c>
      <c r="T14" s="98" t="n">
        <f aca="false">+R14*J14*$J$1</f>
        <v>66.045</v>
      </c>
      <c r="U14" s="98"/>
      <c r="V14" s="99" t="n">
        <v>256413</v>
      </c>
      <c r="W14" s="90"/>
      <c r="X14" s="100"/>
      <c r="Y14" s="100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customFormat="false" ht="12.75" hidden="false" customHeight="false" outlineLevel="0" collapsed="false">
      <c r="A15" s="89"/>
      <c r="B15" s="90" t="s">
        <v>3</v>
      </c>
      <c r="C15" s="91" t="s">
        <v>115</v>
      </c>
      <c r="D15" s="91" t="s">
        <v>116</v>
      </c>
      <c r="E15" s="92" t="n">
        <v>36656</v>
      </c>
      <c r="F15" s="92" t="n">
        <v>36950</v>
      </c>
      <c r="G15" s="90" t="s">
        <v>117</v>
      </c>
      <c r="H15" s="90" t="s">
        <v>118</v>
      </c>
      <c r="I15" s="91" t="s">
        <v>119</v>
      </c>
      <c r="J15" s="93" t="n">
        <f aca="false">3.145/J$1</f>
        <v>0.101451612903226</v>
      </c>
      <c r="K15" s="94"/>
      <c r="L15" s="94"/>
      <c r="M15" s="94"/>
      <c r="N15" s="94"/>
      <c r="O15" s="95"/>
      <c r="P15" s="94"/>
      <c r="Q15" s="96" t="n">
        <v>68309</v>
      </c>
      <c r="R15" s="91" t="n">
        <v>9</v>
      </c>
      <c r="S15" s="90"/>
      <c r="T15" s="98" t="n">
        <f aca="false">+R15*J15*$J$1</f>
        <v>28.305</v>
      </c>
      <c r="U15" s="98"/>
      <c r="V15" s="99" t="n">
        <v>262090</v>
      </c>
      <c r="W15" s="90" t="s">
        <v>123</v>
      </c>
      <c r="X15" s="100"/>
      <c r="Y15" s="100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customFormat="false" ht="12.75" hidden="false" customHeight="false" outlineLevel="0" collapsed="false">
      <c r="A16" s="89"/>
      <c r="B16" s="90" t="s">
        <v>3</v>
      </c>
      <c r="C16" s="91" t="s">
        <v>115</v>
      </c>
      <c r="D16" s="91" t="s">
        <v>121</v>
      </c>
      <c r="E16" s="92" t="n">
        <v>36678</v>
      </c>
      <c r="F16" s="92" t="n">
        <v>37042</v>
      </c>
      <c r="G16" s="90" t="s">
        <v>117</v>
      </c>
      <c r="H16" s="90" t="s">
        <v>118</v>
      </c>
      <c r="I16" s="91" t="s">
        <v>119</v>
      </c>
      <c r="J16" s="93" t="n">
        <f aca="false">3.145/J$1</f>
        <v>0.101451612903226</v>
      </c>
      <c r="K16" s="94" t="n">
        <v>0.0132</v>
      </c>
      <c r="L16" s="94" t="n">
        <v>0.0022</v>
      </c>
      <c r="M16" s="94" t="n">
        <v>0</v>
      </c>
      <c r="N16" s="94" t="n">
        <v>0</v>
      </c>
      <c r="O16" s="95" t="n">
        <v>0.02116</v>
      </c>
      <c r="P16" s="94" t="n">
        <f aca="false">SUM(J16:N16)</f>
        <v>0.116851612903226</v>
      </c>
      <c r="Q16" s="96" t="n">
        <v>68360</v>
      </c>
      <c r="R16" s="91" t="n">
        <v>291</v>
      </c>
      <c r="S16" s="90"/>
      <c r="T16" s="98" t="n">
        <f aca="false">J16*J$1*R16</f>
        <v>915.195</v>
      </c>
      <c r="U16" s="98"/>
      <c r="V16" s="99" t="n">
        <v>271311</v>
      </c>
      <c r="W16" s="90"/>
      <c r="X16" s="100"/>
      <c r="Y16" s="100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customFormat="false" ht="12.75" hidden="false" customHeight="false" outlineLevel="0" collapsed="false">
      <c r="A17" s="89"/>
      <c r="B17" s="90" t="s">
        <v>3</v>
      </c>
      <c r="C17" s="91" t="s">
        <v>115</v>
      </c>
      <c r="D17" s="91" t="s">
        <v>116</v>
      </c>
      <c r="E17" s="92" t="n">
        <v>36678</v>
      </c>
      <c r="F17" s="92" t="n">
        <v>37042</v>
      </c>
      <c r="G17" s="90" t="s">
        <v>117</v>
      </c>
      <c r="H17" s="90" t="s">
        <v>118</v>
      </c>
      <c r="I17" s="91" t="s">
        <v>119</v>
      </c>
      <c r="J17" s="93" t="n">
        <f aca="false">3.145/J$1</f>
        <v>0.101451612903226</v>
      </c>
      <c r="K17" s="94" t="n">
        <v>0.0132</v>
      </c>
      <c r="L17" s="94" t="n">
        <v>0.0022</v>
      </c>
      <c r="M17" s="94" t="n">
        <v>0</v>
      </c>
      <c r="N17" s="94" t="n">
        <v>0</v>
      </c>
      <c r="O17" s="95" t="n">
        <v>0.02116</v>
      </c>
      <c r="P17" s="94" t="n">
        <f aca="false">SUM(J17:N17)</f>
        <v>0.116851612903226</v>
      </c>
      <c r="Q17" s="96" t="n">
        <v>68385</v>
      </c>
      <c r="R17" s="91" t="n">
        <v>223</v>
      </c>
      <c r="S17" s="90"/>
      <c r="T17" s="98" t="n">
        <f aca="false">J17*J$1*R17</f>
        <v>701.335</v>
      </c>
      <c r="U17" s="98"/>
      <c r="V17" s="99" t="n">
        <v>280550</v>
      </c>
      <c r="W17" s="90"/>
      <c r="X17" s="100"/>
      <c r="Y17" s="100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customFormat="false" ht="12.75" hidden="false" customHeight="false" outlineLevel="0" collapsed="false">
      <c r="A18" s="89"/>
      <c r="B18" s="90" t="s">
        <v>3</v>
      </c>
      <c r="C18" s="91" t="s">
        <v>115</v>
      </c>
      <c r="D18" s="91" t="s">
        <v>121</v>
      </c>
      <c r="E18" s="92" t="n">
        <v>36708</v>
      </c>
      <c r="F18" s="92" t="n">
        <v>37072</v>
      </c>
      <c r="G18" s="90" t="s">
        <v>117</v>
      </c>
      <c r="H18" s="90" t="s">
        <v>118</v>
      </c>
      <c r="I18" s="91" t="s">
        <v>119</v>
      </c>
      <c r="J18" s="93" t="n">
        <f aca="false">3.145/J$1</f>
        <v>0.101451612903226</v>
      </c>
      <c r="K18" s="94" t="n">
        <v>0.0132</v>
      </c>
      <c r="L18" s="94" t="n">
        <v>0.0022</v>
      </c>
      <c r="M18" s="94" t="n">
        <v>0</v>
      </c>
      <c r="N18" s="94" t="n">
        <v>0</v>
      </c>
      <c r="O18" s="95" t="n">
        <v>0.02116</v>
      </c>
      <c r="P18" s="94" t="n">
        <f aca="false">SUM(J18:N18)</f>
        <v>0.116851612903226</v>
      </c>
      <c r="Q18" s="96" t="n">
        <v>68615</v>
      </c>
      <c r="R18" s="91" t="n">
        <v>920</v>
      </c>
      <c r="S18" s="90"/>
      <c r="T18" s="98" t="n">
        <f aca="false">J18*J$1*R18</f>
        <v>2893.4</v>
      </c>
      <c r="U18" s="98"/>
      <c r="V18" s="99" t="n">
        <v>309873</v>
      </c>
      <c r="W18" s="90"/>
      <c r="X18" s="100"/>
      <c r="Y18" s="100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2.75" hidden="false" customHeight="false" outlineLevel="0" collapsed="false">
      <c r="A19" s="89"/>
      <c r="B19" s="90" t="s">
        <v>3</v>
      </c>
      <c r="C19" s="91" t="s">
        <v>115</v>
      </c>
      <c r="D19" s="91" t="s">
        <v>121</v>
      </c>
      <c r="E19" s="92" t="n">
        <v>36708</v>
      </c>
      <c r="F19" s="92" t="s">
        <v>124</v>
      </c>
      <c r="G19" s="90" t="s">
        <v>117</v>
      </c>
      <c r="H19" s="90" t="s">
        <v>118</v>
      </c>
      <c r="I19" s="91" t="s">
        <v>119</v>
      </c>
      <c r="J19" s="93" t="n">
        <f aca="false">3.145/J$1</f>
        <v>0.101451612903226</v>
      </c>
      <c r="K19" s="94"/>
      <c r="L19" s="94"/>
      <c r="M19" s="94"/>
      <c r="N19" s="94"/>
      <c r="O19" s="95"/>
      <c r="P19" s="94"/>
      <c r="Q19" s="96" t="n">
        <v>68634</v>
      </c>
      <c r="R19" s="91" t="n">
        <v>1</v>
      </c>
      <c r="S19" s="90"/>
      <c r="T19" s="98" t="n">
        <f aca="false">J19*J$1*R19</f>
        <v>3.145</v>
      </c>
      <c r="U19" s="98"/>
      <c r="V19" s="99" t="n">
        <v>312338</v>
      </c>
      <c r="W19" s="90"/>
      <c r="X19" s="100"/>
      <c r="Y19" s="100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customFormat="false" ht="12.75" hidden="false" customHeight="false" outlineLevel="0" collapsed="false">
      <c r="A20" s="89"/>
      <c r="B20" s="90" t="s">
        <v>3</v>
      </c>
      <c r="C20" s="91" t="s">
        <v>115</v>
      </c>
      <c r="D20" s="91" t="s">
        <v>116</v>
      </c>
      <c r="E20" s="92" t="n">
        <v>36739</v>
      </c>
      <c r="F20" s="92" t="n">
        <v>37103</v>
      </c>
      <c r="G20" s="90" t="s">
        <v>117</v>
      </c>
      <c r="H20" s="90" t="s">
        <v>118</v>
      </c>
      <c r="I20" s="91" t="s">
        <v>119</v>
      </c>
      <c r="J20" s="93" t="n">
        <f aca="false">3.145/J$1</f>
        <v>0.101451612903226</v>
      </c>
      <c r="K20" s="94"/>
      <c r="L20" s="94"/>
      <c r="M20" s="94"/>
      <c r="N20" s="94"/>
      <c r="O20" s="95"/>
      <c r="P20" s="94"/>
      <c r="Q20" s="96" t="n">
        <v>68927</v>
      </c>
      <c r="R20" s="91" t="n">
        <v>4</v>
      </c>
      <c r="S20" s="90" t="s">
        <v>125</v>
      </c>
      <c r="T20" s="98" t="n">
        <f aca="false">+R20*J20*$J$1</f>
        <v>12.58</v>
      </c>
      <c r="U20" s="98"/>
      <c r="V20" s="99" t="n">
        <v>345112</v>
      </c>
      <c r="W20" s="90"/>
      <c r="X20" s="100"/>
      <c r="Y20" s="100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2.75" hidden="false" customHeight="false" outlineLevel="0" collapsed="false">
      <c r="A21" s="89"/>
      <c r="B21" s="90" t="s">
        <v>3</v>
      </c>
      <c r="C21" s="91" t="s">
        <v>115</v>
      </c>
      <c r="D21" s="91" t="s">
        <v>116</v>
      </c>
      <c r="E21" s="92" t="n">
        <v>36739</v>
      </c>
      <c r="F21" s="92" t="n">
        <v>37103</v>
      </c>
      <c r="G21" s="90" t="s">
        <v>117</v>
      </c>
      <c r="H21" s="90" t="s">
        <v>118</v>
      </c>
      <c r="I21" s="91" t="s">
        <v>119</v>
      </c>
      <c r="J21" s="93" t="n">
        <f aca="false">3.145/J$1</f>
        <v>0.101451612903226</v>
      </c>
      <c r="K21" s="94"/>
      <c r="L21" s="94"/>
      <c r="M21" s="94"/>
      <c r="N21" s="94"/>
      <c r="O21" s="95"/>
      <c r="P21" s="94"/>
      <c r="Q21" s="96" t="n">
        <v>68929</v>
      </c>
      <c r="R21" s="91" t="n">
        <v>48</v>
      </c>
      <c r="S21" s="90" t="s">
        <v>126</v>
      </c>
      <c r="T21" s="98" t="n">
        <f aca="false">+R21*J21*$J$1</f>
        <v>150.96</v>
      </c>
      <c r="U21" s="98"/>
      <c r="V21" s="99" t="n">
        <v>345091</v>
      </c>
      <c r="W21" s="90"/>
      <c r="X21" s="100"/>
      <c r="Y21" s="100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customFormat="false" ht="12.75" hidden="false" customHeight="false" outlineLevel="0" collapsed="false">
      <c r="A22" s="89"/>
      <c r="B22" s="90" t="s">
        <v>3</v>
      </c>
      <c r="C22" s="91" t="s">
        <v>115</v>
      </c>
      <c r="D22" s="91" t="s">
        <v>116</v>
      </c>
      <c r="E22" s="92" t="n">
        <v>36770</v>
      </c>
      <c r="F22" s="92" t="n">
        <v>37134</v>
      </c>
      <c r="G22" s="90" t="s">
        <v>117</v>
      </c>
      <c r="H22" s="90" t="s">
        <v>118</v>
      </c>
      <c r="I22" s="91" t="s">
        <v>119</v>
      </c>
      <c r="J22" s="93" t="n">
        <f aca="false">3.145/J$1</f>
        <v>0.101451612903226</v>
      </c>
      <c r="K22" s="94"/>
      <c r="L22" s="94"/>
      <c r="M22" s="94"/>
      <c r="N22" s="94"/>
      <c r="O22" s="95"/>
      <c r="P22" s="94"/>
      <c r="Q22" s="96" t="n">
        <v>69145</v>
      </c>
      <c r="R22" s="91" t="n">
        <v>63</v>
      </c>
      <c r="S22" s="90" t="s">
        <v>127</v>
      </c>
      <c r="T22" s="98" t="n">
        <f aca="false">+R22*J22*J2</f>
        <v>0</v>
      </c>
      <c r="U22" s="98"/>
      <c r="V22" s="99" t="n">
        <v>372169</v>
      </c>
      <c r="W22" s="90"/>
      <c r="X22" s="100"/>
      <c r="Y22" s="100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customFormat="false" ht="12.75" hidden="false" customHeight="false" outlineLevel="0" collapsed="false">
      <c r="A23" s="89"/>
      <c r="B23" s="90" t="s">
        <v>3</v>
      </c>
      <c r="C23" s="91" t="s">
        <v>115</v>
      </c>
      <c r="D23" s="91" t="s">
        <v>116</v>
      </c>
      <c r="E23" s="92" t="n">
        <v>36800</v>
      </c>
      <c r="F23" s="92" t="n">
        <v>37164</v>
      </c>
      <c r="G23" s="90" t="s">
        <v>117</v>
      </c>
      <c r="H23" s="90" t="s">
        <v>118</v>
      </c>
      <c r="I23" s="91" t="s">
        <v>119</v>
      </c>
      <c r="J23" s="93" t="n">
        <f aca="false">3.145/J$1</f>
        <v>0.101451612903226</v>
      </c>
      <c r="K23" s="94"/>
      <c r="L23" s="94"/>
      <c r="M23" s="94"/>
      <c r="N23" s="94"/>
      <c r="O23" s="95"/>
      <c r="P23" s="94"/>
      <c r="Q23" s="96" t="n">
        <v>69357</v>
      </c>
      <c r="R23" s="91" t="n">
        <v>13</v>
      </c>
      <c r="S23" s="90" t="s">
        <v>128</v>
      </c>
      <c r="T23" s="98" t="n">
        <f aca="false">+R23*J23*J1</f>
        <v>40.885</v>
      </c>
      <c r="U23" s="98"/>
      <c r="V23" s="99" t="n">
        <v>418249</v>
      </c>
      <c r="W23" s="90"/>
      <c r="X23" s="100"/>
      <c r="Y23" s="100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  <row r="24" customFormat="false" ht="12.75" hidden="false" customHeight="false" outlineLevel="0" collapsed="false">
      <c r="A24" s="89"/>
      <c r="B24" s="90" t="s">
        <v>3</v>
      </c>
      <c r="C24" s="91" t="s">
        <v>115</v>
      </c>
      <c r="D24" s="91" t="s">
        <v>116</v>
      </c>
      <c r="E24" s="92" t="n">
        <v>36831</v>
      </c>
      <c r="F24" s="92" t="n">
        <v>37195</v>
      </c>
      <c r="G24" s="90" t="s">
        <v>117</v>
      </c>
      <c r="H24" s="90" t="s">
        <v>118</v>
      </c>
      <c r="I24" s="91" t="s">
        <v>119</v>
      </c>
      <c r="J24" s="93" t="n">
        <f aca="false">3.145/J$1</f>
        <v>0.101451612903226</v>
      </c>
      <c r="K24" s="94"/>
      <c r="L24" s="94"/>
      <c r="M24" s="94"/>
      <c r="N24" s="94"/>
      <c r="O24" s="95"/>
      <c r="P24" s="94"/>
      <c r="Q24" s="96" t="n">
        <v>69710</v>
      </c>
      <c r="R24" s="91" t="n">
        <v>129</v>
      </c>
      <c r="S24" s="90" t="s">
        <v>129</v>
      </c>
      <c r="T24" s="98" t="n">
        <f aca="false">+R24*J24*J2</f>
        <v>0</v>
      </c>
      <c r="U24" s="98"/>
      <c r="V24" s="99" t="n">
        <v>418249</v>
      </c>
      <c r="W24" s="90"/>
      <c r="X24" s="100"/>
      <c r="Y24" s="100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</row>
    <row r="25" customFormat="false" ht="12.75" hidden="false" customHeight="false" outlineLevel="0" collapsed="false">
      <c r="A25" s="89"/>
      <c r="B25" s="90" t="s">
        <v>3</v>
      </c>
      <c r="C25" s="91" t="s">
        <v>115</v>
      </c>
      <c r="D25" s="91" t="s">
        <v>116</v>
      </c>
      <c r="E25" s="92" t="n">
        <v>36861</v>
      </c>
      <c r="F25" s="92" t="n">
        <v>37225</v>
      </c>
      <c r="G25" s="90" t="s">
        <v>117</v>
      </c>
      <c r="H25" s="90" t="s">
        <v>118</v>
      </c>
      <c r="I25" s="91" t="s">
        <v>119</v>
      </c>
      <c r="J25" s="93" t="n">
        <f aca="false">3.145/J1</f>
        <v>0.101451612903226</v>
      </c>
      <c r="K25" s="94"/>
      <c r="L25" s="94"/>
      <c r="M25" s="94"/>
      <c r="N25" s="94"/>
      <c r="O25" s="95"/>
      <c r="P25" s="94"/>
      <c r="Q25" s="96" t="n">
        <v>69947</v>
      </c>
      <c r="R25" s="91" t="n">
        <v>3</v>
      </c>
      <c r="S25" s="90" t="s">
        <v>130</v>
      </c>
      <c r="T25" s="98" t="n">
        <f aca="false">+R25*J25*J1</f>
        <v>9.435</v>
      </c>
      <c r="U25" s="98"/>
      <c r="V25" s="99" t="n">
        <v>491030</v>
      </c>
      <c r="W25" s="90"/>
      <c r="X25" s="100"/>
      <c r="Y25" s="100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  <c r="IW25" s="89"/>
    </row>
    <row r="26" customFormat="false" ht="12.75" hidden="false" customHeight="false" outlineLevel="0" collapsed="false">
      <c r="A26" s="101"/>
      <c r="B26" s="62"/>
      <c r="C26" s="60"/>
      <c r="D26" s="60"/>
      <c r="E26" s="61"/>
      <c r="F26" s="61"/>
      <c r="G26" s="62"/>
      <c r="H26" s="62"/>
      <c r="I26" s="60"/>
      <c r="J26" s="74"/>
      <c r="K26" s="65"/>
      <c r="L26" s="65"/>
      <c r="M26" s="65"/>
      <c r="N26" s="65"/>
      <c r="O26" s="66"/>
      <c r="P26" s="65"/>
      <c r="Q26" s="67"/>
      <c r="R26" s="60"/>
      <c r="S26" s="62"/>
      <c r="T26" s="102"/>
      <c r="U26" s="102"/>
      <c r="V26" s="103"/>
      <c r="W26" s="62"/>
      <c r="X26" s="88"/>
      <c r="Y26" s="88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</row>
    <row r="27" customFormat="false" ht="12.75" hidden="false" customHeight="false" outlineLevel="0" collapsed="false">
      <c r="B27" s="62"/>
      <c r="C27" s="60"/>
      <c r="D27" s="60"/>
      <c r="E27" s="61"/>
      <c r="F27" s="61"/>
      <c r="G27" s="62"/>
      <c r="H27" s="62"/>
      <c r="I27" s="60"/>
      <c r="J27" s="74"/>
      <c r="K27" s="65"/>
      <c r="L27" s="104"/>
      <c r="M27" s="65"/>
      <c r="N27" s="65"/>
      <c r="O27" s="66"/>
      <c r="P27" s="65"/>
      <c r="Q27" s="67"/>
      <c r="R27" s="68" t="n">
        <f aca="false">SUM(R12:R25)</f>
        <v>1783</v>
      </c>
      <c r="S27" s="60"/>
      <c r="T27" s="102" t="n">
        <f aca="false">SUM(T12:T26)</f>
        <v>5003.695</v>
      </c>
      <c r="U27" s="102"/>
      <c r="V27" s="103"/>
      <c r="W27" s="62"/>
      <c r="X27" s="88"/>
      <c r="Y27" s="88"/>
    </row>
    <row r="28" customFormat="false" ht="12.75" hidden="false" customHeight="false" outlineLevel="0" collapsed="false">
      <c r="B28" s="79" t="s">
        <v>95</v>
      </c>
      <c r="C28" s="80" t="s">
        <v>96</v>
      </c>
      <c r="D28" s="80" t="s">
        <v>97</v>
      </c>
      <c r="E28" s="81" t="s">
        <v>98</v>
      </c>
      <c r="F28" s="81"/>
      <c r="G28" s="79" t="s">
        <v>99</v>
      </c>
      <c r="H28" s="79" t="s">
        <v>100</v>
      </c>
      <c r="I28" s="80" t="s">
        <v>101</v>
      </c>
      <c r="J28" s="82" t="s">
        <v>102</v>
      </c>
      <c r="K28" s="80" t="s">
        <v>103</v>
      </c>
      <c r="L28" s="80" t="s">
        <v>104</v>
      </c>
      <c r="M28" s="80" t="s">
        <v>105</v>
      </c>
      <c r="N28" s="80" t="s">
        <v>106</v>
      </c>
      <c r="O28" s="83" t="s">
        <v>107</v>
      </c>
      <c r="P28" s="80" t="s">
        <v>108</v>
      </c>
      <c r="Q28" s="84" t="s">
        <v>109</v>
      </c>
      <c r="R28" s="80" t="s">
        <v>110</v>
      </c>
      <c r="S28" s="79" t="s">
        <v>111</v>
      </c>
      <c r="T28" s="85" t="s">
        <v>112</v>
      </c>
      <c r="U28" s="85" t="s">
        <v>113</v>
      </c>
      <c r="V28" s="86" t="s">
        <v>114</v>
      </c>
      <c r="W28" s="87" t="e">
        <f aca="false">+#REF!</f>
        <v>#REF!</v>
      </c>
      <c r="X28" s="88"/>
      <c r="Y28" s="88"/>
    </row>
    <row r="29" customFormat="false" ht="12" hidden="false" customHeight="true" outlineLevel="0" collapsed="false">
      <c r="A29" s="89"/>
      <c r="B29" s="90" t="s">
        <v>3</v>
      </c>
      <c r="C29" s="91" t="s">
        <v>131</v>
      </c>
      <c r="D29" s="91" t="s">
        <v>132</v>
      </c>
      <c r="E29" s="92" t="n">
        <v>36861</v>
      </c>
      <c r="F29" s="92" t="n">
        <v>36891</v>
      </c>
      <c r="G29" s="90"/>
      <c r="H29" s="90"/>
      <c r="I29" s="91" t="s">
        <v>133</v>
      </c>
      <c r="J29" s="93" t="n">
        <v>0.02834</v>
      </c>
      <c r="K29" s="94" t="n">
        <v>0</v>
      </c>
      <c r="L29" s="94" t="n">
        <v>0.0022</v>
      </c>
      <c r="M29" s="94" t="n">
        <v>0.0072</v>
      </c>
      <c r="N29" s="94" t="n">
        <v>0</v>
      </c>
      <c r="O29" s="95" t="n">
        <v>0</v>
      </c>
      <c r="P29" s="94" t="n">
        <f aca="false">SUM(J29:N29)</f>
        <v>0.03774</v>
      </c>
      <c r="Q29" s="96" t="s">
        <v>134</v>
      </c>
      <c r="R29" s="91" t="n">
        <v>247782</v>
      </c>
      <c r="S29" s="90" t="s">
        <v>135</v>
      </c>
      <c r="T29" s="98" t="n">
        <f aca="false">+J29*R29</f>
        <v>7022.14188</v>
      </c>
      <c r="U29" s="98"/>
      <c r="V29" s="99" t="n">
        <v>505825</v>
      </c>
      <c r="W29" s="105" t="s">
        <v>83</v>
      </c>
      <c r="X29" s="100"/>
      <c r="Y29" s="100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</row>
    <row r="30" customFormat="false" ht="12" hidden="false" customHeight="true" outlineLevel="0" collapsed="false">
      <c r="A30" s="89"/>
      <c r="B30" s="90" t="s">
        <v>3</v>
      </c>
      <c r="C30" s="91" t="s">
        <v>131</v>
      </c>
      <c r="D30" s="91" t="s">
        <v>132</v>
      </c>
      <c r="E30" s="92" t="n">
        <v>36861</v>
      </c>
      <c r="F30" s="92" t="n">
        <v>36891</v>
      </c>
      <c r="G30" s="90"/>
      <c r="H30" s="90"/>
      <c r="I30" s="91" t="s">
        <v>133</v>
      </c>
      <c r="J30" s="93" t="n">
        <f aca="false">1.544/J1</f>
        <v>0.0498064516129032</v>
      </c>
      <c r="K30" s="94" t="n">
        <v>0</v>
      </c>
      <c r="L30" s="94" t="n">
        <v>0.0022</v>
      </c>
      <c r="M30" s="94" t="n">
        <v>0.0072</v>
      </c>
      <c r="N30" s="94" t="n">
        <v>0</v>
      </c>
      <c r="O30" s="95" t="n">
        <v>0</v>
      </c>
      <c r="P30" s="94" t="n">
        <f aca="false">SUM(J30:N30)</f>
        <v>0.0592064516129032</v>
      </c>
      <c r="Q30" s="96" t="s">
        <v>134</v>
      </c>
      <c r="R30" s="91" t="n">
        <v>5003</v>
      </c>
      <c r="S30" s="90" t="s">
        <v>136</v>
      </c>
      <c r="T30" s="98" t="n">
        <f aca="false">+J30*R30*30</f>
        <v>7475.45032258065</v>
      </c>
      <c r="U30" s="98"/>
      <c r="V30" s="99" t="n">
        <v>505825</v>
      </c>
      <c r="W30" s="105" t="s">
        <v>83</v>
      </c>
      <c r="X30" s="100"/>
      <c r="Y30" s="100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</row>
    <row r="31" customFormat="false" ht="12" hidden="false" customHeight="true" outlineLevel="0" collapsed="false">
      <c r="A31" s="89"/>
      <c r="B31" s="90" t="s">
        <v>3</v>
      </c>
      <c r="C31" s="91" t="s">
        <v>131</v>
      </c>
      <c r="D31" s="91" t="s">
        <v>132</v>
      </c>
      <c r="E31" s="92" t="n">
        <v>36861</v>
      </c>
      <c r="F31" s="92" t="n">
        <v>36891</v>
      </c>
      <c r="G31" s="90"/>
      <c r="H31" s="90"/>
      <c r="I31" s="91" t="s">
        <v>133</v>
      </c>
      <c r="J31" s="93" t="n">
        <v>0.02834</v>
      </c>
      <c r="K31" s="94" t="n">
        <v>0</v>
      </c>
      <c r="L31" s="94" t="n">
        <v>0.0022</v>
      </c>
      <c r="M31" s="94" t="n">
        <v>0.0072</v>
      </c>
      <c r="N31" s="94" t="n">
        <v>0</v>
      </c>
      <c r="O31" s="95" t="n">
        <v>0</v>
      </c>
      <c r="P31" s="94" t="n">
        <f aca="false">SUM(J31:N31)</f>
        <v>0.03774</v>
      </c>
      <c r="Q31" s="96" t="s">
        <v>134</v>
      </c>
      <c r="R31" s="91" t="n">
        <v>3749</v>
      </c>
      <c r="S31" s="90" t="s">
        <v>135</v>
      </c>
      <c r="T31" s="98" t="n">
        <f aca="false">+J31*R31</f>
        <v>106.24666</v>
      </c>
      <c r="U31" s="98"/>
      <c r="V31" s="99" t="n">
        <v>505865</v>
      </c>
      <c r="W31" s="105" t="s">
        <v>83</v>
      </c>
      <c r="X31" s="100"/>
      <c r="Y31" s="100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2.75" hidden="false" customHeight="false" outlineLevel="0" collapsed="false">
      <c r="A32" s="89"/>
      <c r="B32" s="90" t="s">
        <v>3</v>
      </c>
      <c r="C32" s="91" t="s">
        <v>131</v>
      </c>
      <c r="D32" s="91" t="s">
        <v>132</v>
      </c>
      <c r="E32" s="92" t="n">
        <v>36861</v>
      </c>
      <c r="F32" s="92" t="n">
        <v>36891</v>
      </c>
      <c r="G32" s="90"/>
      <c r="H32" s="90"/>
      <c r="I32" s="91" t="s">
        <v>133</v>
      </c>
      <c r="J32" s="93" t="n">
        <f aca="false">1.544/J1</f>
        <v>0.0498064516129032</v>
      </c>
      <c r="K32" s="94" t="n">
        <v>0</v>
      </c>
      <c r="L32" s="94" t="n">
        <v>0.0022</v>
      </c>
      <c r="M32" s="94" t="n">
        <v>0.0072</v>
      </c>
      <c r="N32" s="94" t="n">
        <v>0</v>
      </c>
      <c r="O32" s="95" t="n">
        <v>0</v>
      </c>
      <c r="P32" s="94" t="n">
        <f aca="false">SUM(J32:N32)</f>
        <v>0.0592064516129032</v>
      </c>
      <c r="Q32" s="96" t="s">
        <v>134</v>
      </c>
      <c r="R32" s="91" t="n">
        <v>76</v>
      </c>
      <c r="S32" s="90" t="s">
        <v>136</v>
      </c>
      <c r="T32" s="98" t="n">
        <f aca="false">+J32*R32*30</f>
        <v>113.558709677419</v>
      </c>
      <c r="U32" s="98"/>
      <c r="V32" s="99" t="n">
        <v>505865</v>
      </c>
      <c r="W32" s="105" t="s">
        <v>83</v>
      </c>
      <c r="X32" s="100"/>
      <c r="Y32" s="100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</row>
    <row r="33" customFormat="false" ht="12" hidden="false" customHeight="true" outlineLevel="0" collapsed="false">
      <c r="A33" s="89"/>
      <c r="B33" s="90" t="s">
        <v>3</v>
      </c>
      <c r="C33" s="91" t="s">
        <v>131</v>
      </c>
      <c r="D33" s="91" t="s">
        <v>132</v>
      </c>
      <c r="E33" s="92" t="n">
        <v>36861</v>
      </c>
      <c r="F33" s="92" t="n">
        <v>37864</v>
      </c>
      <c r="G33" s="90"/>
      <c r="H33" s="90"/>
      <c r="I33" s="91" t="s">
        <v>133</v>
      </c>
      <c r="J33" s="93" t="n">
        <v>0.02834</v>
      </c>
      <c r="K33" s="94" t="n">
        <v>0</v>
      </c>
      <c r="L33" s="94" t="n">
        <v>0.0022</v>
      </c>
      <c r="M33" s="94" t="n">
        <v>0.0072</v>
      </c>
      <c r="N33" s="94" t="n">
        <v>0</v>
      </c>
      <c r="O33" s="95" t="n">
        <v>0</v>
      </c>
      <c r="P33" s="94" t="n">
        <f aca="false">SUM(J33:N33)</f>
        <v>0.03774</v>
      </c>
      <c r="Q33" s="96" t="s">
        <v>134</v>
      </c>
      <c r="R33" s="91" t="n">
        <v>8749</v>
      </c>
      <c r="S33" s="90" t="s">
        <v>135</v>
      </c>
      <c r="T33" s="98" t="n">
        <f aca="false">+J33*R33</f>
        <v>247.94666</v>
      </c>
      <c r="U33" s="98"/>
      <c r="V33" s="99" t="n">
        <v>506329</v>
      </c>
      <c r="W33" s="90"/>
      <c r="X33" s="100"/>
      <c r="Y33" s="100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  <c r="IW33" s="89"/>
    </row>
    <row r="34" customFormat="false" ht="12" hidden="false" customHeight="true" outlineLevel="0" collapsed="false">
      <c r="A34" s="89"/>
      <c r="B34" s="90" t="s">
        <v>3</v>
      </c>
      <c r="C34" s="91" t="s">
        <v>131</v>
      </c>
      <c r="D34" s="91" t="s">
        <v>132</v>
      </c>
      <c r="E34" s="92" t="n">
        <v>36861</v>
      </c>
      <c r="F34" s="92" t="n">
        <v>37864</v>
      </c>
      <c r="G34" s="90"/>
      <c r="H34" s="90"/>
      <c r="I34" s="91" t="s">
        <v>133</v>
      </c>
      <c r="J34" s="93" t="n">
        <f aca="false">1.544/31</f>
        <v>0.0498064516129032</v>
      </c>
      <c r="K34" s="94" t="n">
        <v>0</v>
      </c>
      <c r="L34" s="94" t="n">
        <v>0.0022</v>
      </c>
      <c r="M34" s="94" t="n">
        <v>0.0072</v>
      </c>
      <c r="N34" s="94" t="n">
        <v>0</v>
      </c>
      <c r="O34" s="95" t="n">
        <v>0</v>
      </c>
      <c r="P34" s="94" t="n">
        <f aca="false">SUM(J34:N34)</f>
        <v>0.0592064516129032</v>
      </c>
      <c r="Q34" s="96" t="s">
        <v>134</v>
      </c>
      <c r="R34" s="91" t="n">
        <v>176</v>
      </c>
      <c r="S34" s="90" t="s">
        <v>136</v>
      </c>
      <c r="T34" s="98" t="n">
        <f aca="false">+J34*R34*30</f>
        <v>262.978064516129</v>
      </c>
      <c r="U34" s="98" t="s">
        <v>83</v>
      </c>
      <c r="V34" s="99" t="n">
        <v>506329</v>
      </c>
      <c r="W34" s="90"/>
      <c r="X34" s="100"/>
      <c r="Y34" s="100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</row>
    <row r="35" customFormat="false" ht="12" hidden="false" customHeight="true" outlineLevel="0" collapsed="false">
      <c r="A35" s="89"/>
      <c r="B35" s="90" t="s">
        <v>3</v>
      </c>
      <c r="C35" s="91" t="s">
        <v>131</v>
      </c>
      <c r="D35" s="91" t="s">
        <v>132</v>
      </c>
      <c r="E35" s="92" t="n">
        <v>36861</v>
      </c>
      <c r="F35" s="92" t="n">
        <v>37864</v>
      </c>
      <c r="G35" s="90"/>
      <c r="H35" s="90"/>
      <c r="I35" s="91" t="s">
        <v>133</v>
      </c>
      <c r="J35" s="93" t="n">
        <v>0.02834</v>
      </c>
      <c r="K35" s="94" t="n">
        <v>0</v>
      </c>
      <c r="L35" s="94" t="n">
        <v>0.0022</v>
      </c>
      <c r="M35" s="94" t="n">
        <v>0.0072</v>
      </c>
      <c r="N35" s="94" t="n">
        <v>0</v>
      </c>
      <c r="O35" s="95" t="n">
        <v>0</v>
      </c>
      <c r="P35" s="94" t="n">
        <f aca="false">SUM(J35:N35)</f>
        <v>0.03774</v>
      </c>
      <c r="Q35" s="96" t="s">
        <v>134</v>
      </c>
      <c r="R35" s="91" t="n">
        <v>578157</v>
      </c>
      <c r="S35" s="90" t="s">
        <v>135</v>
      </c>
      <c r="T35" s="98" t="n">
        <f aca="false">+J35*R35</f>
        <v>16384.96938</v>
      </c>
      <c r="U35" s="98"/>
      <c r="V35" s="99" t="n">
        <v>506338</v>
      </c>
      <c r="W35" s="90"/>
      <c r="X35" s="100"/>
      <c r="Y35" s="100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</row>
    <row r="36" customFormat="false" ht="12" hidden="false" customHeight="true" outlineLevel="0" collapsed="false">
      <c r="A36" s="89"/>
      <c r="B36" s="90" t="s">
        <v>3</v>
      </c>
      <c r="C36" s="91" t="s">
        <v>131</v>
      </c>
      <c r="D36" s="91" t="s">
        <v>132</v>
      </c>
      <c r="E36" s="92" t="n">
        <v>36861</v>
      </c>
      <c r="F36" s="92" t="n">
        <v>37864</v>
      </c>
      <c r="G36" s="90"/>
      <c r="H36" s="90"/>
      <c r="I36" s="91" t="s">
        <v>133</v>
      </c>
      <c r="J36" s="93" t="n">
        <f aca="false">1.544/31</f>
        <v>0.0498064516129032</v>
      </c>
      <c r="K36" s="94" t="n">
        <v>0</v>
      </c>
      <c r="L36" s="94" t="n">
        <v>0.0022</v>
      </c>
      <c r="M36" s="94" t="n">
        <v>0.0072</v>
      </c>
      <c r="N36" s="94" t="n">
        <v>0</v>
      </c>
      <c r="O36" s="95" t="n">
        <v>0</v>
      </c>
      <c r="P36" s="94" t="n">
        <f aca="false">SUM(J36:N36)</f>
        <v>0.0592064516129032</v>
      </c>
      <c r="Q36" s="96" t="s">
        <v>134</v>
      </c>
      <c r="R36" s="91" t="n">
        <v>11675</v>
      </c>
      <c r="S36" s="90" t="s">
        <v>136</v>
      </c>
      <c r="T36" s="98" t="n">
        <f aca="false">+J36*R36*30</f>
        <v>17444.7096774194</v>
      </c>
      <c r="U36" s="98"/>
      <c r="V36" s="99" t="n">
        <v>506338</v>
      </c>
      <c r="W36" s="90"/>
      <c r="X36" s="100"/>
      <c r="Y36" s="100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  <c r="IW36" s="89"/>
    </row>
    <row r="37" customFormat="false" ht="12" hidden="false" customHeight="true" outlineLevel="0" collapsed="false">
      <c r="A37" s="89"/>
      <c r="B37" s="90" t="s">
        <v>3</v>
      </c>
      <c r="C37" s="91" t="s">
        <v>131</v>
      </c>
      <c r="D37" s="91" t="s">
        <v>132</v>
      </c>
      <c r="E37" s="92" t="n">
        <v>36861</v>
      </c>
      <c r="F37" s="92" t="n">
        <v>37864</v>
      </c>
      <c r="G37" s="90" t="s">
        <v>137</v>
      </c>
      <c r="H37" s="90" t="s">
        <v>138</v>
      </c>
      <c r="I37" s="91" t="s">
        <v>139</v>
      </c>
      <c r="J37" s="93" t="n">
        <f aca="false">10.913/J1</f>
        <v>0.352032258064516</v>
      </c>
      <c r="K37" s="94"/>
      <c r="L37" s="94"/>
      <c r="M37" s="94"/>
      <c r="N37" s="94"/>
      <c r="O37" s="95"/>
      <c r="P37" s="94"/>
      <c r="Q37" s="96" t="s">
        <v>140</v>
      </c>
      <c r="R37" s="91" t="n">
        <v>4568</v>
      </c>
      <c r="S37" s="106" t="n">
        <v>2000002527</v>
      </c>
      <c r="T37" s="98" t="n">
        <f aca="false">+J37*R37*30</f>
        <v>48242.5006451613</v>
      </c>
      <c r="U37" s="98"/>
      <c r="V37" s="99" t="n">
        <v>506323</v>
      </c>
      <c r="W37" s="90"/>
      <c r="X37" s="100"/>
      <c r="Y37" s="100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</row>
    <row r="38" customFormat="false" ht="12" hidden="false" customHeight="true" outlineLevel="0" collapsed="false">
      <c r="A38" s="101"/>
      <c r="B38" s="62" t="s">
        <v>3</v>
      </c>
      <c r="C38" s="60" t="s">
        <v>131</v>
      </c>
      <c r="D38" s="60" t="s">
        <v>132</v>
      </c>
      <c r="E38" s="61" t="n">
        <v>36800</v>
      </c>
      <c r="F38" s="61" t="n">
        <v>36830</v>
      </c>
      <c r="G38" s="62" t="s">
        <v>137</v>
      </c>
      <c r="H38" s="62" t="s">
        <v>138</v>
      </c>
      <c r="I38" s="60" t="s">
        <v>139</v>
      </c>
      <c r="J38" s="74" t="n">
        <f aca="false">10.913/J1</f>
        <v>0.352032258064516</v>
      </c>
      <c r="K38" s="65"/>
      <c r="L38" s="65"/>
      <c r="M38" s="65"/>
      <c r="N38" s="65"/>
      <c r="O38" s="66"/>
      <c r="P38" s="65"/>
      <c r="Q38" s="67" t="s">
        <v>140</v>
      </c>
      <c r="R38" s="60" t="n">
        <v>9090</v>
      </c>
      <c r="S38" s="107" t="s">
        <v>141</v>
      </c>
      <c r="T38" s="102" t="n">
        <f aca="false">+R38*J38*30</f>
        <v>95999.1967741936</v>
      </c>
      <c r="U38" s="102"/>
      <c r="V38" s="103" t="n">
        <v>418602</v>
      </c>
      <c r="W38" s="62"/>
      <c r="X38" s="88"/>
      <c r="Y38" s="88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</row>
    <row r="39" customFormat="false" ht="12" hidden="false" customHeight="true" outlineLevel="0" collapsed="false">
      <c r="A39" s="101"/>
      <c r="B39" s="62" t="s">
        <v>3</v>
      </c>
      <c r="C39" s="60" t="s">
        <v>131</v>
      </c>
      <c r="D39" s="60" t="s">
        <v>132</v>
      </c>
      <c r="E39" s="61" t="n">
        <v>36770</v>
      </c>
      <c r="F39" s="61" t="n">
        <v>37864</v>
      </c>
      <c r="G39" s="62" t="s">
        <v>137</v>
      </c>
      <c r="H39" s="62" t="s">
        <v>138</v>
      </c>
      <c r="I39" s="60" t="s">
        <v>139</v>
      </c>
      <c r="J39" s="74" t="n">
        <f aca="false">10.913/J1</f>
        <v>0.352032258064516</v>
      </c>
      <c r="K39" s="65"/>
      <c r="L39" s="65"/>
      <c r="M39" s="65"/>
      <c r="N39" s="65"/>
      <c r="O39" s="66"/>
      <c r="P39" s="65"/>
      <c r="Q39" s="67" t="s">
        <v>140</v>
      </c>
      <c r="R39" s="60" t="n">
        <f aca="false">16156*1.02</f>
        <v>16479.12</v>
      </c>
      <c r="S39" s="107" t="s">
        <v>142</v>
      </c>
      <c r="T39" s="102" t="n">
        <f aca="false">+R39*J39*30</f>
        <v>174035.454735484</v>
      </c>
      <c r="U39" s="102"/>
      <c r="V39" s="103" t="n">
        <v>380770</v>
      </c>
      <c r="W39" s="62"/>
      <c r="X39" s="88"/>
      <c r="Y39" s="88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</row>
    <row r="40" customFormat="false" ht="12" hidden="false" customHeight="true" outlineLevel="0" collapsed="false">
      <c r="A40" s="101"/>
      <c r="B40" s="62" t="s">
        <v>3</v>
      </c>
      <c r="C40" s="60" t="s">
        <v>131</v>
      </c>
      <c r="D40" s="60" t="s">
        <v>132</v>
      </c>
      <c r="E40" s="61" t="n">
        <v>36770</v>
      </c>
      <c r="F40" s="61" t="n">
        <v>37864</v>
      </c>
      <c r="G40" s="62" t="s">
        <v>137</v>
      </c>
      <c r="H40" s="62" t="s">
        <v>143</v>
      </c>
      <c r="I40" s="60" t="s">
        <v>139</v>
      </c>
      <c r="J40" s="74" t="n">
        <f aca="false">8.223/J1</f>
        <v>0.265258064516129</v>
      </c>
      <c r="K40" s="65"/>
      <c r="L40" s="65"/>
      <c r="M40" s="65"/>
      <c r="N40" s="65"/>
      <c r="O40" s="66"/>
      <c r="P40" s="65"/>
      <c r="Q40" s="67" t="s">
        <v>140</v>
      </c>
      <c r="R40" s="60" t="n">
        <f aca="false">340*1.02</f>
        <v>346.8</v>
      </c>
      <c r="S40" s="108" t="n">
        <v>2000001604</v>
      </c>
      <c r="T40" s="102" t="n">
        <f aca="false">+R40*J40*30</f>
        <v>2759.74490322581</v>
      </c>
      <c r="U40" s="102"/>
      <c r="V40" s="103" t="n">
        <v>380777</v>
      </c>
      <c r="W40" s="62"/>
      <c r="X40" s="88"/>
      <c r="Y40" s="88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</row>
    <row r="41" customFormat="false" ht="12" hidden="false" customHeight="true" outlineLevel="0" collapsed="false">
      <c r="A41" s="101"/>
      <c r="B41" s="62" t="s">
        <v>3</v>
      </c>
      <c r="C41" s="60" t="s">
        <v>131</v>
      </c>
      <c r="D41" s="60" t="s">
        <v>132</v>
      </c>
      <c r="E41" s="61" t="n">
        <v>36770</v>
      </c>
      <c r="F41" s="61" t="n">
        <v>36830</v>
      </c>
      <c r="G41" s="62" t="s">
        <v>137</v>
      </c>
      <c r="H41" s="62" t="s">
        <v>144</v>
      </c>
      <c r="I41" s="60" t="s">
        <v>139</v>
      </c>
      <c r="J41" s="74" t="n">
        <f aca="false">10.913/J1</f>
        <v>0.352032258064516</v>
      </c>
      <c r="K41" s="65"/>
      <c r="L41" s="65"/>
      <c r="M41" s="65"/>
      <c r="N41" s="65"/>
      <c r="O41" s="66"/>
      <c r="P41" s="65"/>
      <c r="Q41" s="67" t="s">
        <v>140</v>
      </c>
      <c r="R41" s="60" t="n">
        <f aca="false">457*1.02</f>
        <v>466.14</v>
      </c>
      <c r="S41" s="108" t="n">
        <v>2000001640</v>
      </c>
      <c r="T41" s="102" t="n">
        <f aca="false">+R41*J41*30</f>
        <v>4922.88950322581</v>
      </c>
      <c r="U41" s="102"/>
      <c r="V41" s="103" t="n">
        <v>380789</v>
      </c>
      <c r="W41" s="62"/>
      <c r="X41" s="88"/>
      <c r="Y41" s="88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</row>
    <row r="42" customFormat="false" ht="12" hidden="false" customHeight="true" outlineLevel="0" collapsed="false">
      <c r="A42" s="101"/>
      <c r="B42" s="62" t="s">
        <v>3</v>
      </c>
      <c r="C42" s="60" t="s">
        <v>131</v>
      </c>
      <c r="D42" s="60" t="s">
        <v>132</v>
      </c>
      <c r="E42" s="61" t="n">
        <v>36800</v>
      </c>
      <c r="F42" s="61" t="n">
        <v>36830</v>
      </c>
      <c r="G42" s="62"/>
      <c r="H42" s="62"/>
      <c r="I42" s="60" t="s">
        <v>139</v>
      </c>
      <c r="J42" s="74" t="n">
        <f aca="false">10.913/J1</f>
        <v>0.352032258064516</v>
      </c>
      <c r="K42" s="65"/>
      <c r="L42" s="65"/>
      <c r="M42" s="65"/>
      <c r="N42" s="65"/>
      <c r="O42" s="66"/>
      <c r="P42" s="65"/>
      <c r="Q42" s="67" t="s">
        <v>140</v>
      </c>
      <c r="R42" s="60" t="n">
        <v>201</v>
      </c>
      <c r="S42" s="62" t="s">
        <v>145</v>
      </c>
      <c r="T42" s="102" t="n">
        <f aca="false">J42*J$1*R42</f>
        <v>2193.513</v>
      </c>
      <c r="U42" s="102"/>
      <c r="V42" s="103" t="n">
        <v>418558</v>
      </c>
      <c r="W42" s="62"/>
      <c r="X42" s="88"/>
      <c r="Y42" s="88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</row>
    <row r="43" customFormat="false" ht="12" hidden="false" customHeight="true" outlineLevel="0" collapsed="false">
      <c r="A43" s="89"/>
      <c r="B43" s="90" t="s">
        <v>3</v>
      </c>
      <c r="C43" s="91" t="s">
        <v>131</v>
      </c>
      <c r="D43" s="91" t="s">
        <v>132</v>
      </c>
      <c r="E43" s="92" t="n">
        <v>36861</v>
      </c>
      <c r="F43" s="92" t="n">
        <v>36891</v>
      </c>
      <c r="G43" s="90"/>
      <c r="H43" s="90"/>
      <c r="I43" s="91" t="s">
        <v>139</v>
      </c>
      <c r="J43" s="93" t="n">
        <f aca="false">10.913/31</f>
        <v>0.352032258064516</v>
      </c>
      <c r="K43" s="94"/>
      <c r="L43" s="94"/>
      <c r="M43" s="94"/>
      <c r="N43" s="94"/>
      <c r="O43" s="95"/>
      <c r="P43" s="94"/>
      <c r="Q43" s="96" t="s">
        <v>140</v>
      </c>
      <c r="R43" s="91" t="n">
        <v>1957</v>
      </c>
      <c r="S43" s="90" t="s">
        <v>146</v>
      </c>
      <c r="T43" s="98" t="n">
        <f aca="false">J43*J$1*R43</f>
        <v>21356.741</v>
      </c>
      <c r="U43" s="98"/>
      <c r="V43" s="99" t="n">
        <v>505687</v>
      </c>
      <c r="W43" s="90"/>
      <c r="X43" s="100"/>
      <c r="Y43" s="100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</row>
    <row r="44" customFormat="false" ht="12" hidden="false" customHeight="true" outlineLevel="0" collapsed="false">
      <c r="A44" s="101"/>
      <c r="B44" s="62" t="s">
        <v>3</v>
      </c>
      <c r="C44" s="60" t="s">
        <v>131</v>
      </c>
      <c r="D44" s="60" t="s">
        <v>132</v>
      </c>
      <c r="E44" s="61" t="n">
        <v>36800</v>
      </c>
      <c r="F44" s="61" t="n">
        <v>36830</v>
      </c>
      <c r="G44" s="62"/>
      <c r="H44" s="62"/>
      <c r="I44" s="60" t="s">
        <v>139</v>
      </c>
      <c r="J44" s="74" t="n">
        <f aca="false">8.223/J1</f>
        <v>0.265258064516129</v>
      </c>
      <c r="K44" s="65"/>
      <c r="L44" s="65"/>
      <c r="M44" s="65"/>
      <c r="N44" s="65"/>
      <c r="O44" s="66"/>
      <c r="P44" s="65"/>
      <c r="Q44" s="67" t="s">
        <v>140</v>
      </c>
      <c r="R44" s="60" t="n">
        <v>54</v>
      </c>
      <c r="S44" s="107" t="s">
        <v>147</v>
      </c>
      <c r="T44" s="102" t="n">
        <f aca="false">J44*J$1*R44</f>
        <v>444.042</v>
      </c>
      <c r="U44" s="102"/>
      <c r="V44" s="103" t="n">
        <v>418279</v>
      </c>
      <c r="W44" s="62"/>
      <c r="X44" s="88"/>
      <c r="Y44" s="88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  <c r="IQ44" s="101"/>
      <c r="IR44" s="101"/>
      <c r="IS44" s="101"/>
      <c r="IT44" s="101"/>
      <c r="IU44" s="101"/>
      <c r="IV44" s="101"/>
      <c r="IW44" s="101"/>
    </row>
    <row r="45" customFormat="false" ht="12" hidden="false" customHeight="true" outlineLevel="0" collapsed="false">
      <c r="A45" s="89"/>
      <c r="B45" s="90" t="s">
        <v>3</v>
      </c>
      <c r="C45" s="91" t="s">
        <v>131</v>
      </c>
      <c r="D45" s="91" t="s">
        <v>132</v>
      </c>
      <c r="E45" s="92" t="n">
        <v>36861</v>
      </c>
      <c r="F45" s="92" t="n">
        <v>36891</v>
      </c>
      <c r="G45" s="90" t="s">
        <v>137</v>
      </c>
      <c r="H45" s="90" t="s">
        <v>137</v>
      </c>
      <c r="I45" s="91" t="s">
        <v>139</v>
      </c>
      <c r="J45" s="93" t="n">
        <f aca="false">8.223/J1</f>
        <v>0.265258064516129</v>
      </c>
      <c r="K45" s="94"/>
      <c r="L45" s="94"/>
      <c r="M45" s="94"/>
      <c r="N45" s="94"/>
      <c r="O45" s="95"/>
      <c r="P45" s="94"/>
      <c r="Q45" s="96" t="s">
        <v>140</v>
      </c>
      <c r="R45" s="91" t="n">
        <v>150</v>
      </c>
      <c r="S45" s="105" t="s">
        <v>148</v>
      </c>
      <c r="T45" s="98" t="n">
        <f aca="false">J45*J$1*R45</f>
        <v>1233.45</v>
      </c>
      <c r="U45" s="98"/>
      <c r="V45" s="99" t="n">
        <v>505711</v>
      </c>
      <c r="W45" s="90"/>
      <c r="X45" s="100"/>
      <c r="Y45" s="100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  <c r="IW45" s="89"/>
    </row>
    <row r="46" customFormat="false" ht="12" hidden="false" customHeight="true" outlineLevel="0" collapsed="false">
      <c r="A46" s="89"/>
      <c r="B46" s="90" t="s">
        <v>3</v>
      </c>
      <c r="C46" s="91" t="s">
        <v>149</v>
      </c>
      <c r="D46" s="91" t="s">
        <v>132</v>
      </c>
      <c r="E46" s="92" t="n">
        <v>36861</v>
      </c>
      <c r="F46" s="92" t="n">
        <v>36891</v>
      </c>
      <c r="G46" s="90" t="s">
        <v>137</v>
      </c>
      <c r="H46" s="90" t="s">
        <v>137</v>
      </c>
      <c r="I46" s="91" t="s">
        <v>139</v>
      </c>
      <c r="J46" s="93" t="n">
        <f aca="false">4.75/31</f>
        <v>0.153225806451613</v>
      </c>
      <c r="K46" s="94"/>
      <c r="L46" s="94"/>
      <c r="M46" s="94"/>
      <c r="N46" s="94"/>
      <c r="O46" s="95"/>
      <c r="P46" s="94"/>
      <c r="Q46" s="96" t="s">
        <v>150</v>
      </c>
      <c r="R46" s="91" t="n">
        <v>171</v>
      </c>
      <c r="S46" s="105" t="s">
        <v>151</v>
      </c>
      <c r="T46" s="98" t="n">
        <f aca="false">+J46*R46*31</f>
        <v>812.25</v>
      </c>
      <c r="U46" s="98"/>
      <c r="V46" s="99" t="n">
        <v>505746</v>
      </c>
      <c r="W46" s="90"/>
      <c r="X46" s="100"/>
      <c r="Y46" s="100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  <c r="IW46" s="89"/>
    </row>
    <row r="47" customFormat="false" ht="12" hidden="false" customHeight="true" outlineLevel="0" collapsed="false">
      <c r="A47" s="89"/>
      <c r="B47" s="90" t="s">
        <v>3</v>
      </c>
      <c r="C47" s="91" t="s">
        <v>149</v>
      </c>
      <c r="D47" s="91" t="s">
        <v>132</v>
      </c>
      <c r="E47" s="92" t="n">
        <v>36861</v>
      </c>
      <c r="F47" s="92" t="n">
        <v>37864</v>
      </c>
      <c r="G47" s="90" t="s">
        <v>137</v>
      </c>
      <c r="H47" s="90" t="s">
        <v>137</v>
      </c>
      <c r="I47" s="91" t="s">
        <v>139</v>
      </c>
      <c r="J47" s="93" t="n">
        <f aca="false">4.75/31</f>
        <v>0.153225806451613</v>
      </c>
      <c r="K47" s="94"/>
      <c r="L47" s="94"/>
      <c r="M47" s="94"/>
      <c r="N47" s="94"/>
      <c r="O47" s="95"/>
      <c r="P47" s="94"/>
      <c r="Q47" s="96" t="s">
        <v>150</v>
      </c>
      <c r="R47" s="91" t="n">
        <v>411</v>
      </c>
      <c r="S47" s="90" t="s">
        <v>152</v>
      </c>
      <c r="T47" s="98" t="n">
        <f aca="false">J47*J$1*R47</f>
        <v>1952.25</v>
      </c>
      <c r="U47" s="98"/>
      <c r="V47" s="99" t="n">
        <v>506345</v>
      </c>
      <c r="W47" s="90"/>
      <c r="X47" s="100"/>
      <c r="Y47" s="100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2" hidden="false" customHeight="true" outlineLevel="0" collapsed="false">
      <c r="A48" s="101"/>
      <c r="B48" s="62"/>
      <c r="C48" s="60"/>
      <c r="D48" s="60"/>
      <c r="E48" s="61"/>
      <c r="F48" s="61"/>
      <c r="G48" s="62"/>
      <c r="H48" s="62"/>
      <c r="I48" s="60"/>
      <c r="J48" s="74"/>
      <c r="K48" s="65"/>
      <c r="L48" s="65"/>
      <c r="M48" s="65"/>
      <c r="N48" s="65"/>
      <c r="O48" s="66"/>
      <c r="P48" s="65"/>
      <c r="Q48" s="67"/>
      <c r="R48" s="60"/>
      <c r="S48" s="62"/>
      <c r="T48" s="102"/>
      <c r="U48" s="102"/>
      <c r="V48" s="103"/>
      <c r="W48" s="62"/>
      <c r="X48" s="88"/>
      <c r="Y48" s="88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  <c r="IW48" s="101"/>
    </row>
    <row r="49" customFormat="false" ht="12.75" hidden="false" customHeight="false" outlineLevel="0" collapsed="false">
      <c r="A49" s="101"/>
      <c r="B49" s="62"/>
      <c r="C49" s="60"/>
      <c r="D49" s="60"/>
      <c r="E49" s="61"/>
      <c r="F49" s="61"/>
      <c r="G49" s="62"/>
      <c r="H49" s="62"/>
      <c r="I49" s="60"/>
      <c r="J49" s="74"/>
      <c r="K49" s="65"/>
      <c r="L49" s="65"/>
      <c r="M49" s="65"/>
      <c r="N49" s="65"/>
      <c r="O49" s="66"/>
      <c r="P49" s="65"/>
      <c r="Q49" s="67"/>
      <c r="R49" s="60"/>
      <c r="S49" s="62"/>
      <c r="T49" s="102" t="n">
        <f aca="false">SUM(T29:T48)</f>
        <v>403010.033915484</v>
      </c>
      <c r="U49" s="102"/>
      <c r="V49" s="103"/>
      <c r="W49" s="62"/>
      <c r="X49" s="88"/>
      <c r="Y49" s="88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101"/>
      <c r="IL49" s="101"/>
      <c r="IM49" s="101"/>
      <c r="IN49" s="101"/>
      <c r="IO49" s="101"/>
      <c r="IP49" s="101"/>
      <c r="IQ49" s="101"/>
      <c r="IR49" s="101"/>
      <c r="IS49" s="101"/>
      <c r="IT49" s="101"/>
      <c r="IU49" s="101"/>
      <c r="IV49" s="101"/>
      <c r="IW49" s="101"/>
    </row>
    <row r="50" customFormat="false" ht="12.75" hidden="false" customHeight="false" outlineLevel="0" collapsed="false">
      <c r="B50" s="79" t="s">
        <v>95</v>
      </c>
      <c r="C50" s="80" t="s">
        <v>96</v>
      </c>
      <c r="D50" s="80" t="s">
        <v>97</v>
      </c>
      <c r="E50" s="81" t="s">
        <v>98</v>
      </c>
      <c r="F50" s="81"/>
      <c r="G50" s="79" t="s">
        <v>99</v>
      </c>
      <c r="H50" s="79" t="s">
        <v>100</v>
      </c>
      <c r="I50" s="80" t="s">
        <v>101</v>
      </c>
      <c r="J50" s="82" t="s">
        <v>102</v>
      </c>
      <c r="K50" s="80" t="s">
        <v>103</v>
      </c>
      <c r="L50" s="80" t="s">
        <v>104</v>
      </c>
      <c r="M50" s="80" t="s">
        <v>105</v>
      </c>
      <c r="N50" s="80" t="s">
        <v>106</v>
      </c>
      <c r="O50" s="83" t="s">
        <v>107</v>
      </c>
      <c r="P50" s="80" t="s">
        <v>108</v>
      </c>
      <c r="Q50" s="84" t="s">
        <v>109</v>
      </c>
      <c r="R50" s="80" t="s">
        <v>110</v>
      </c>
      <c r="S50" s="79" t="s">
        <v>111</v>
      </c>
      <c r="T50" s="85" t="s">
        <v>112</v>
      </c>
      <c r="U50" s="85" t="s">
        <v>113</v>
      </c>
      <c r="V50" s="86" t="s">
        <v>114</v>
      </c>
      <c r="W50" s="87" t="e">
        <f aca="false">+#REF!</f>
        <v>#REF!</v>
      </c>
      <c r="X50" s="88"/>
      <c r="Y50" s="88"/>
    </row>
    <row r="51" customFormat="false" ht="12.75" hidden="false" customHeight="false" outlineLevel="0" collapsed="false">
      <c r="B51" s="62"/>
      <c r="C51" s="60"/>
      <c r="D51" s="60"/>
      <c r="E51" s="61"/>
      <c r="F51" s="61"/>
      <c r="G51" s="62"/>
      <c r="H51" s="62"/>
      <c r="I51" s="60"/>
      <c r="J51" s="74"/>
      <c r="K51" s="65"/>
      <c r="L51" s="104"/>
      <c r="M51" s="65"/>
      <c r="N51" s="65"/>
      <c r="O51" s="66"/>
      <c r="P51" s="65"/>
      <c r="Q51" s="67"/>
      <c r="R51" s="68"/>
      <c r="S51" s="60"/>
      <c r="T51" s="102"/>
      <c r="U51" s="102"/>
      <c r="V51" s="103"/>
      <c r="W51" s="62"/>
      <c r="X51" s="88"/>
      <c r="Y51" s="88"/>
    </row>
    <row r="52" customFormat="false" ht="12.75" hidden="false" customHeight="false" outlineLevel="0" collapsed="false">
      <c r="B52" s="62"/>
      <c r="C52" s="60"/>
      <c r="D52" s="60"/>
      <c r="E52" s="61"/>
      <c r="F52" s="61"/>
      <c r="G52" s="62"/>
      <c r="H52" s="62"/>
      <c r="I52" s="60"/>
      <c r="J52" s="74"/>
      <c r="K52" s="65"/>
      <c r="L52" s="104"/>
      <c r="M52" s="65"/>
      <c r="N52" s="65"/>
      <c r="O52" s="109"/>
      <c r="P52" s="65"/>
      <c r="Q52" s="67"/>
      <c r="R52" s="60"/>
      <c r="S52" s="60"/>
      <c r="T52" s="110" t="n">
        <f aca="false">SUM(T51)</f>
        <v>0</v>
      </c>
      <c r="W52" s="62"/>
      <c r="X52" s="111"/>
      <c r="Y52" s="111"/>
    </row>
    <row r="53" customFormat="false" ht="11.25" hidden="false" customHeight="true" outlineLevel="0" collapsed="false">
      <c r="B53" s="79" t="s">
        <v>95</v>
      </c>
      <c r="C53" s="80" t="s">
        <v>96</v>
      </c>
      <c r="D53" s="80" t="s">
        <v>97</v>
      </c>
      <c r="E53" s="81" t="s">
        <v>98</v>
      </c>
      <c r="F53" s="81"/>
      <c r="G53" s="79" t="s">
        <v>99</v>
      </c>
      <c r="H53" s="79" t="s">
        <v>100</v>
      </c>
      <c r="I53" s="80" t="s">
        <v>101</v>
      </c>
      <c r="J53" s="82" t="s">
        <v>102</v>
      </c>
      <c r="K53" s="80" t="s">
        <v>103</v>
      </c>
      <c r="L53" s="80" t="s">
        <v>104</v>
      </c>
      <c r="M53" s="80" t="s">
        <v>105</v>
      </c>
      <c r="N53" s="80" t="s">
        <v>106</v>
      </c>
      <c r="O53" s="83" t="s">
        <v>107</v>
      </c>
      <c r="P53" s="80" t="s">
        <v>108</v>
      </c>
      <c r="Q53" s="84" t="s">
        <v>109</v>
      </c>
      <c r="R53" s="80" t="s">
        <v>110</v>
      </c>
      <c r="S53" s="79" t="s">
        <v>111</v>
      </c>
      <c r="T53" s="85" t="s">
        <v>112</v>
      </c>
      <c r="U53" s="85" t="s">
        <v>113</v>
      </c>
      <c r="V53" s="86" t="s">
        <v>114</v>
      </c>
      <c r="W53" s="87" t="e">
        <f aca="false">+#REF!</f>
        <v>#REF!</v>
      </c>
      <c r="X53" s="88"/>
      <c r="Y53" s="88"/>
    </row>
    <row r="54" customFormat="false" ht="12.75" hidden="false" customHeight="false" outlineLevel="0" collapsed="false">
      <c r="A54" s="89"/>
      <c r="B54" s="90" t="s">
        <v>3</v>
      </c>
      <c r="C54" s="91" t="s">
        <v>62</v>
      </c>
      <c r="D54" s="91" t="s">
        <v>153</v>
      </c>
      <c r="E54" s="92" t="n">
        <v>36861</v>
      </c>
      <c r="F54" s="92" t="n">
        <v>36891</v>
      </c>
      <c r="G54" s="90" t="s">
        <v>154</v>
      </c>
      <c r="H54" s="90" t="s">
        <v>155</v>
      </c>
      <c r="I54" s="91" t="s">
        <v>156</v>
      </c>
      <c r="J54" s="93" t="n">
        <f aca="false">7.5654/J$1</f>
        <v>0.244045161290323</v>
      </c>
      <c r="K54" s="94" t="n">
        <v>0</v>
      </c>
      <c r="L54" s="94" t="n">
        <v>0.0022</v>
      </c>
      <c r="M54" s="94" t="n">
        <v>0</v>
      </c>
      <c r="N54" s="94" t="n">
        <v>0</v>
      </c>
      <c r="O54" s="95" t="n">
        <v>0</v>
      </c>
      <c r="P54" s="94" t="n">
        <f aca="false">SUM(J54:N54)</f>
        <v>0.246245161290323</v>
      </c>
      <c r="Q54" s="112" t="n">
        <v>3.7623</v>
      </c>
      <c r="R54" s="91" t="n">
        <v>47</v>
      </c>
      <c r="S54" s="90" t="s">
        <v>157</v>
      </c>
      <c r="T54" s="98" t="n">
        <f aca="false">J54*J$1*R54</f>
        <v>355.5738</v>
      </c>
      <c r="U54" s="98"/>
      <c r="V54" s="99" t="n">
        <v>506741</v>
      </c>
      <c r="W54" s="90"/>
      <c r="X54" s="100"/>
      <c r="Y54" s="100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  <c r="IW54" s="89"/>
    </row>
    <row r="55" customFormat="false" ht="12.75" hidden="false" customHeight="false" outlineLevel="0" collapsed="false">
      <c r="A55" s="89"/>
      <c r="B55" s="90" t="s">
        <v>3</v>
      </c>
      <c r="C55" s="91" t="s">
        <v>62</v>
      </c>
      <c r="D55" s="91" t="s">
        <v>153</v>
      </c>
      <c r="E55" s="92" t="n">
        <v>36861</v>
      </c>
      <c r="F55" s="92" t="n">
        <v>36891</v>
      </c>
      <c r="G55" s="90" t="s">
        <v>158</v>
      </c>
      <c r="H55" s="90" t="s">
        <v>155</v>
      </c>
      <c r="I55" s="91" t="s">
        <v>156</v>
      </c>
      <c r="J55" s="93" t="n">
        <f aca="false">+J54</f>
        <v>0.244045161290323</v>
      </c>
      <c r="K55" s="94" t="n">
        <v>0</v>
      </c>
      <c r="L55" s="94" t="n">
        <v>0.0022</v>
      </c>
      <c r="M55" s="94" t="n">
        <v>0</v>
      </c>
      <c r="N55" s="94" t="n">
        <v>0</v>
      </c>
      <c r="O55" s="95" t="n">
        <v>0</v>
      </c>
      <c r="P55" s="94" t="n">
        <f aca="false">SUM(J55:N55)</f>
        <v>0.246245161290323</v>
      </c>
      <c r="Q55" s="112" t="n">
        <f aca="false">+Q54</f>
        <v>3.7623</v>
      </c>
      <c r="R55" s="91" t="n">
        <v>70</v>
      </c>
      <c r="S55" s="90" t="str">
        <f aca="false">+S54</f>
        <v>#022236</v>
      </c>
      <c r="T55" s="98" t="n">
        <f aca="false">J55*J$1*R55</f>
        <v>529.578</v>
      </c>
      <c r="U55" s="98"/>
      <c r="V55" s="99" t="n">
        <f aca="false">+V54</f>
        <v>506741</v>
      </c>
      <c r="W55" s="90"/>
      <c r="X55" s="100"/>
      <c r="Y55" s="100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  <c r="IW55" s="89"/>
    </row>
    <row r="56" customFormat="false" ht="12.75" hidden="false" customHeight="false" outlineLevel="0" collapsed="false">
      <c r="A56" s="89"/>
      <c r="B56" s="90" t="s">
        <v>3</v>
      </c>
      <c r="C56" s="91" t="s">
        <v>62</v>
      </c>
      <c r="D56" s="91" t="s">
        <v>153</v>
      </c>
      <c r="E56" s="92" t="n">
        <v>36861</v>
      </c>
      <c r="F56" s="92" t="n">
        <v>36891</v>
      </c>
      <c r="G56" s="90" t="s">
        <v>138</v>
      </c>
      <c r="H56" s="90" t="s">
        <v>155</v>
      </c>
      <c r="I56" s="91" t="s">
        <v>156</v>
      </c>
      <c r="J56" s="93" t="n">
        <f aca="false">+J55</f>
        <v>0.244045161290323</v>
      </c>
      <c r="K56" s="94" t="n">
        <v>0</v>
      </c>
      <c r="L56" s="94" t="n">
        <v>0.0022</v>
      </c>
      <c r="M56" s="94" t="n">
        <v>0</v>
      </c>
      <c r="N56" s="94" t="n">
        <v>0</v>
      </c>
      <c r="O56" s="95" t="n">
        <v>0</v>
      </c>
      <c r="P56" s="94" t="n">
        <f aca="false">SUM(J56:N56)</f>
        <v>0.246245161290323</v>
      </c>
      <c r="Q56" s="112" t="n">
        <f aca="false">+Q55</f>
        <v>3.7623</v>
      </c>
      <c r="R56" s="91" t="n">
        <f aca="false">53+109</f>
        <v>162</v>
      </c>
      <c r="S56" s="90" t="str">
        <f aca="false">+S55</f>
        <v>#022236</v>
      </c>
      <c r="T56" s="98" t="n">
        <f aca="false">J56*J$1*R56</f>
        <v>1225.5948</v>
      </c>
      <c r="U56" s="98"/>
      <c r="V56" s="99" t="n">
        <f aca="false">+V55</f>
        <v>506741</v>
      </c>
      <c r="W56" s="90"/>
      <c r="X56" s="100"/>
      <c r="Y56" s="100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</row>
    <row r="57" customFormat="false" ht="12.75" hidden="false" customHeight="false" outlineLevel="0" collapsed="false">
      <c r="A57" s="89"/>
      <c r="B57" s="90" t="s">
        <v>3</v>
      </c>
      <c r="C57" s="91" t="s">
        <v>62</v>
      </c>
      <c r="D57" s="91" t="s">
        <v>153</v>
      </c>
      <c r="E57" s="92" t="n">
        <v>36861</v>
      </c>
      <c r="F57" s="92" t="n">
        <v>36891</v>
      </c>
      <c r="G57" s="90" t="s">
        <v>154</v>
      </c>
      <c r="H57" s="90" t="s">
        <v>155</v>
      </c>
      <c r="I57" s="91" t="s">
        <v>156</v>
      </c>
      <c r="J57" s="93" t="n">
        <f aca="false">7.5654/J$1</f>
        <v>0.244045161290323</v>
      </c>
      <c r="K57" s="94" t="n">
        <v>0</v>
      </c>
      <c r="L57" s="94" t="n">
        <v>0.0022</v>
      </c>
      <c r="M57" s="94" t="n">
        <v>0</v>
      </c>
      <c r="N57" s="94" t="n">
        <v>0</v>
      </c>
      <c r="O57" s="95" t="n">
        <v>0</v>
      </c>
      <c r="P57" s="94" t="n">
        <f aca="false">SUM(J57:N57)</f>
        <v>0.246245161290323</v>
      </c>
      <c r="Q57" s="112" t="n">
        <v>3.7571</v>
      </c>
      <c r="R57" s="113" t="n">
        <v>20</v>
      </c>
      <c r="S57" s="90" t="s">
        <v>159</v>
      </c>
      <c r="T57" s="98" t="n">
        <f aca="false">J57*J$1*R57</f>
        <v>151.308</v>
      </c>
      <c r="U57" s="98"/>
      <c r="V57" s="99" t="n">
        <v>506449</v>
      </c>
      <c r="W57" s="90" t="s">
        <v>160</v>
      </c>
      <c r="X57" s="100"/>
      <c r="Y57" s="100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</row>
    <row r="58" customFormat="false" ht="12.75" hidden="false" customHeight="false" outlineLevel="0" collapsed="false">
      <c r="A58" s="89"/>
      <c r="B58" s="90" t="s">
        <v>3</v>
      </c>
      <c r="C58" s="91" t="s">
        <v>62</v>
      </c>
      <c r="D58" s="91" t="s">
        <v>153</v>
      </c>
      <c r="E58" s="92" t="n">
        <v>36861</v>
      </c>
      <c r="F58" s="92" t="n">
        <v>36891</v>
      </c>
      <c r="G58" s="90" t="s">
        <v>158</v>
      </c>
      <c r="H58" s="90" t="s">
        <v>155</v>
      </c>
      <c r="I58" s="91" t="s">
        <v>156</v>
      </c>
      <c r="J58" s="93" t="n">
        <f aca="false">7.5654/J$1</f>
        <v>0.244045161290323</v>
      </c>
      <c r="K58" s="94" t="n">
        <v>0</v>
      </c>
      <c r="L58" s="94" t="n">
        <v>0.0022</v>
      </c>
      <c r="M58" s="94" t="n">
        <v>0</v>
      </c>
      <c r="N58" s="94" t="n">
        <v>0</v>
      </c>
      <c r="O58" s="95" t="n">
        <v>0</v>
      </c>
      <c r="P58" s="94" t="n">
        <f aca="false">SUM(J58:N58)</f>
        <v>0.246245161290323</v>
      </c>
      <c r="Q58" s="112" t="n">
        <v>3.7571</v>
      </c>
      <c r="R58" s="91" t="n">
        <v>29</v>
      </c>
      <c r="S58" s="90" t="str">
        <f aca="false">+S57</f>
        <v>#022141</v>
      </c>
      <c r="T58" s="98" t="n">
        <f aca="false">J58*J$1*R58</f>
        <v>219.3966</v>
      </c>
      <c r="U58" s="98"/>
      <c r="V58" s="99" t="n">
        <v>506449</v>
      </c>
      <c r="W58" s="90" t="s">
        <v>160</v>
      </c>
      <c r="X58" s="100"/>
      <c r="Y58" s="100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</row>
    <row r="59" customFormat="false" ht="12.75" hidden="false" customHeight="false" outlineLevel="0" collapsed="false">
      <c r="A59" s="89"/>
      <c r="B59" s="90" t="s">
        <v>3</v>
      </c>
      <c r="C59" s="91" t="s">
        <v>62</v>
      </c>
      <c r="D59" s="91" t="s">
        <v>153</v>
      </c>
      <c r="E59" s="92" t="n">
        <v>36861</v>
      </c>
      <c r="F59" s="92" t="n">
        <v>36891</v>
      </c>
      <c r="G59" s="90" t="s">
        <v>138</v>
      </c>
      <c r="H59" s="90" t="s">
        <v>155</v>
      </c>
      <c r="I59" s="91" t="s">
        <v>156</v>
      </c>
      <c r="J59" s="93" t="n">
        <f aca="false">7.5654/J$1</f>
        <v>0.244045161290323</v>
      </c>
      <c r="K59" s="94" t="n">
        <v>0</v>
      </c>
      <c r="L59" s="94" t="n">
        <v>0.0022</v>
      </c>
      <c r="M59" s="94" t="n">
        <v>0</v>
      </c>
      <c r="N59" s="94" t="n">
        <v>0</v>
      </c>
      <c r="O59" s="95" t="n">
        <v>0</v>
      </c>
      <c r="P59" s="94" t="n">
        <f aca="false">SUM(J59:N59)</f>
        <v>0.246245161290323</v>
      </c>
      <c r="Q59" s="112" t="n">
        <v>3.7571</v>
      </c>
      <c r="R59" s="91" t="n">
        <f aca="false">22+45</f>
        <v>67</v>
      </c>
      <c r="S59" s="90" t="str">
        <f aca="false">+S58</f>
        <v>#022141</v>
      </c>
      <c r="T59" s="98" t="n">
        <f aca="false">J59*J$1*R59</f>
        <v>506.8818</v>
      </c>
      <c r="U59" s="98"/>
      <c r="V59" s="99" t="n">
        <v>506449</v>
      </c>
      <c r="W59" s="90" t="s">
        <v>160</v>
      </c>
      <c r="X59" s="100"/>
      <c r="Y59" s="100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</row>
    <row r="60" customFormat="false" ht="12.75" hidden="false" customHeight="false" outlineLevel="0" collapsed="false">
      <c r="A60" s="89"/>
      <c r="B60" s="90" t="s">
        <v>3</v>
      </c>
      <c r="C60" s="91" t="s">
        <v>62</v>
      </c>
      <c r="D60" s="91" t="s">
        <v>153</v>
      </c>
      <c r="E60" s="92" t="n">
        <v>36861</v>
      </c>
      <c r="F60" s="92" t="n">
        <v>36891</v>
      </c>
      <c r="G60" s="90" t="s">
        <v>154</v>
      </c>
      <c r="H60" s="90" t="s">
        <v>155</v>
      </c>
      <c r="I60" s="91" t="s">
        <v>156</v>
      </c>
      <c r="J60" s="93" t="n">
        <f aca="false">7.5654/J$1</f>
        <v>0.244045161290323</v>
      </c>
      <c r="K60" s="94" t="n">
        <v>0</v>
      </c>
      <c r="L60" s="94" t="n">
        <v>0.0022</v>
      </c>
      <c r="M60" s="94" t="n">
        <v>0</v>
      </c>
      <c r="N60" s="94" t="n">
        <v>0</v>
      </c>
      <c r="O60" s="95" t="n">
        <v>0</v>
      </c>
      <c r="P60" s="94" t="n">
        <f aca="false">SUM(J60:N60)</f>
        <v>0.246245161290323</v>
      </c>
      <c r="Q60" s="112" t="n">
        <v>3.7478</v>
      </c>
      <c r="R60" s="113" t="n">
        <v>46</v>
      </c>
      <c r="S60" s="90" t="s">
        <v>161</v>
      </c>
      <c r="T60" s="98" t="n">
        <f aca="false">J60*J$1*R60</f>
        <v>348.0084</v>
      </c>
      <c r="U60" s="98"/>
      <c r="V60" s="99" t="n">
        <v>503124</v>
      </c>
      <c r="W60" s="90"/>
      <c r="X60" s="100"/>
      <c r="Y60" s="100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</row>
    <row r="61" customFormat="false" ht="12.75" hidden="false" customHeight="false" outlineLevel="0" collapsed="false">
      <c r="A61" s="89"/>
      <c r="B61" s="90" t="s">
        <v>3</v>
      </c>
      <c r="C61" s="91" t="s">
        <v>62</v>
      </c>
      <c r="D61" s="91" t="s">
        <v>153</v>
      </c>
      <c r="E61" s="92" t="n">
        <v>36861</v>
      </c>
      <c r="F61" s="92" t="n">
        <v>36891</v>
      </c>
      <c r="G61" s="90" t="s">
        <v>158</v>
      </c>
      <c r="H61" s="90" t="s">
        <v>155</v>
      </c>
      <c r="I61" s="91" t="s">
        <v>156</v>
      </c>
      <c r="J61" s="93" t="n">
        <f aca="false">7.5654/J$1</f>
        <v>0.244045161290323</v>
      </c>
      <c r="K61" s="94" t="n">
        <v>0</v>
      </c>
      <c r="L61" s="94" t="n">
        <v>0.0022</v>
      </c>
      <c r="M61" s="94" t="n">
        <v>0</v>
      </c>
      <c r="N61" s="94" t="n">
        <v>0</v>
      </c>
      <c r="O61" s="95" t="n">
        <v>0</v>
      </c>
      <c r="P61" s="94" t="n">
        <f aca="false">SUM(J61:N61)</f>
        <v>0.246245161290323</v>
      </c>
      <c r="Q61" s="112" t="n">
        <v>3.7478</v>
      </c>
      <c r="R61" s="91" t="n">
        <v>67</v>
      </c>
      <c r="S61" s="90" t="str">
        <f aca="false">+S60</f>
        <v>#022140</v>
      </c>
      <c r="T61" s="98" t="n">
        <f aca="false">J61*J$1*R61</f>
        <v>506.8818</v>
      </c>
      <c r="U61" s="98"/>
      <c r="V61" s="99" t="n">
        <v>503124</v>
      </c>
      <c r="W61" s="90"/>
      <c r="X61" s="100"/>
      <c r="Y61" s="100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2.75" hidden="false" customHeight="false" outlineLevel="0" collapsed="false">
      <c r="A62" s="89"/>
      <c r="B62" s="90" t="s">
        <v>3</v>
      </c>
      <c r="C62" s="91" t="s">
        <v>62</v>
      </c>
      <c r="D62" s="91" t="s">
        <v>153</v>
      </c>
      <c r="E62" s="92" t="n">
        <v>36861</v>
      </c>
      <c r="F62" s="92" t="n">
        <v>36891</v>
      </c>
      <c r="G62" s="90" t="s">
        <v>138</v>
      </c>
      <c r="H62" s="90" t="s">
        <v>155</v>
      </c>
      <c r="I62" s="91" t="s">
        <v>156</v>
      </c>
      <c r="J62" s="93" t="n">
        <f aca="false">7.5654/J$1</f>
        <v>0.244045161290323</v>
      </c>
      <c r="K62" s="94" t="n">
        <v>0</v>
      </c>
      <c r="L62" s="94" t="n">
        <v>0.0022</v>
      </c>
      <c r="M62" s="94" t="n">
        <v>0</v>
      </c>
      <c r="N62" s="94" t="n">
        <v>0</v>
      </c>
      <c r="O62" s="95" t="n">
        <v>0</v>
      </c>
      <c r="P62" s="94" t="n">
        <f aca="false">SUM(J62:N62)</f>
        <v>0.246245161290323</v>
      </c>
      <c r="Q62" s="112" t="n">
        <v>3.7478</v>
      </c>
      <c r="R62" s="91" t="n">
        <f aca="false">51+105</f>
        <v>156</v>
      </c>
      <c r="S62" s="90" t="str">
        <f aca="false">+S61</f>
        <v>#022140</v>
      </c>
      <c r="T62" s="98" t="n">
        <f aca="false">J62*J$1*R62</f>
        <v>1180.2024</v>
      </c>
      <c r="U62" s="98"/>
      <c r="V62" s="99" t="n">
        <v>503124</v>
      </c>
      <c r="W62" s="90"/>
      <c r="X62" s="100"/>
      <c r="Y62" s="100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</row>
    <row r="63" customFormat="false" ht="12.75" hidden="false" customHeight="false" outlineLevel="0" collapsed="false">
      <c r="A63" s="89"/>
      <c r="B63" s="90" t="s">
        <v>3</v>
      </c>
      <c r="C63" s="91" t="s">
        <v>62</v>
      </c>
      <c r="D63" s="91" t="s">
        <v>153</v>
      </c>
      <c r="E63" s="92" t="n">
        <v>36861</v>
      </c>
      <c r="F63" s="92" t="n">
        <v>36891</v>
      </c>
      <c r="G63" s="90" t="s">
        <v>138</v>
      </c>
      <c r="H63" s="90" t="s">
        <v>138</v>
      </c>
      <c r="I63" s="91" t="s">
        <v>156</v>
      </c>
      <c r="J63" s="93" t="n">
        <f aca="false">7.3654/J$1</f>
        <v>0.237593548387097</v>
      </c>
      <c r="K63" s="94" t="n">
        <v>0</v>
      </c>
      <c r="L63" s="94" t="n">
        <v>0.0022</v>
      </c>
      <c r="M63" s="94" t="n">
        <v>0</v>
      </c>
      <c r="N63" s="94" t="n">
        <v>0</v>
      </c>
      <c r="O63" s="95" t="n">
        <v>0</v>
      </c>
      <c r="P63" s="94" t="n">
        <f aca="false">SUM(J63:N63)</f>
        <v>0.239793548387097</v>
      </c>
      <c r="Q63" s="112" t="n">
        <v>3.7624</v>
      </c>
      <c r="R63" s="91" t="n">
        <v>109</v>
      </c>
      <c r="S63" s="90" t="s">
        <v>162</v>
      </c>
      <c r="T63" s="98" t="n">
        <f aca="false">J63*J$1*R63</f>
        <v>802.8286</v>
      </c>
      <c r="U63" s="98"/>
      <c r="V63" s="99" t="n">
        <v>506738</v>
      </c>
      <c r="W63" s="90"/>
      <c r="X63" s="100"/>
      <c r="Y63" s="100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</row>
    <row r="64" customFormat="false" ht="12.75" hidden="false" customHeight="false" outlineLevel="0" collapsed="false">
      <c r="A64" s="89"/>
      <c r="B64" s="90" t="s">
        <v>3</v>
      </c>
      <c r="C64" s="91" t="s">
        <v>62</v>
      </c>
      <c r="D64" s="91" t="s">
        <v>153</v>
      </c>
      <c r="E64" s="92" t="n">
        <v>36861</v>
      </c>
      <c r="F64" s="92" t="n">
        <v>37864</v>
      </c>
      <c r="G64" s="90" t="s">
        <v>154</v>
      </c>
      <c r="H64" s="90" t="s">
        <v>155</v>
      </c>
      <c r="I64" s="91" t="s">
        <v>156</v>
      </c>
      <c r="J64" s="93" t="n">
        <f aca="false">7.5654/J$1</f>
        <v>0.244045161290323</v>
      </c>
      <c r="K64" s="94" t="n">
        <v>0</v>
      </c>
      <c r="L64" s="94" t="n">
        <v>0.0022</v>
      </c>
      <c r="M64" s="94" t="n">
        <v>0</v>
      </c>
      <c r="N64" s="94" t="n">
        <v>0</v>
      </c>
      <c r="O64" s="95" t="n">
        <v>0</v>
      </c>
      <c r="P64" s="94" t="n">
        <f aca="false">SUM(J64:N64)</f>
        <v>0.246245161290323</v>
      </c>
      <c r="Q64" s="112" t="n">
        <v>3.7476</v>
      </c>
      <c r="R64" s="113" t="n">
        <v>759</v>
      </c>
      <c r="S64" s="90" t="s">
        <v>163</v>
      </c>
      <c r="T64" s="98" t="n">
        <f aca="false">J64*J$1*R64</f>
        <v>5742.1386</v>
      </c>
      <c r="U64" s="98"/>
      <c r="V64" s="99" t="n">
        <v>503144</v>
      </c>
      <c r="W64" s="90"/>
      <c r="X64" s="100"/>
      <c r="Y64" s="100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</row>
    <row r="65" customFormat="false" ht="12.75" hidden="false" customHeight="false" outlineLevel="0" collapsed="false">
      <c r="A65" s="89"/>
      <c r="B65" s="90" t="s">
        <v>3</v>
      </c>
      <c r="C65" s="91" t="s">
        <v>62</v>
      </c>
      <c r="D65" s="91" t="s">
        <v>153</v>
      </c>
      <c r="E65" s="92" t="n">
        <v>36861</v>
      </c>
      <c r="F65" s="92" t="n">
        <v>37864</v>
      </c>
      <c r="G65" s="90" t="s">
        <v>158</v>
      </c>
      <c r="H65" s="90" t="s">
        <v>155</v>
      </c>
      <c r="I65" s="91" t="s">
        <v>156</v>
      </c>
      <c r="J65" s="93" t="n">
        <f aca="false">7.5654/J$1</f>
        <v>0.244045161290323</v>
      </c>
      <c r="K65" s="94" t="n">
        <v>0</v>
      </c>
      <c r="L65" s="94" t="n">
        <v>0.0022</v>
      </c>
      <c r="M65" s="94" t="n">
        <v>0</v>
      </c>
      <c r="N65" s="94" t="n">
        <v>0</v>
      </c>
      <c r="O65" s="95" t="n">
        <v>0</v>
      </c>
      <c r="P65" s="94" t="n">
        <f aca="false">SUM(J65:N65)</f>
        <v>0.246245161290323</v>
      </c>
      <c r="Q65" s="112" t="n">
        <f aca="false">+Q64</f>
        <v>3.7476</v>
      </c>
      <c r="R65" s="91" t="n">
        <v>1116</v>
      </c>
      <c r="S65" s="90" t="str">
        <f aca="false">+S64</f>
        <v>#022144</v>
      </c>
      <c r="T65" s="98" t="n">
        <f aca="false">J65*J$1*R65</f>
        <v>8442.9864</v>
      </c>
      <c r="U65" s="98"/>
      <c r="V65" s="99" t="n">
        <v>503144</v>
      </c>
      <c r="W65" s="90"/>
      <c r="X65" s="100"/>
      <c r="Y65" s="100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</row>
    <row r="66" customFormat="false" ht="12.75" hidden="false" customHeight="false" outlineLevel="0" collapsed="false">
      <c r="A66" s="89"/>
      <c r="B66" s="90" t="s">
        <v>3</v>
      </c>
      <c r="C66" s="91" t="s">
        <v>62</v>
      </c>
      <c r="D66" s="91" t="s">
        <v>153</v>
      </c>
      <c r="E66" s="92" t="n">
        <v>36861</v>
      </c>
      <c r="F66" s="92" t="n">
        <v>37864</v>
      </c>
      <c r="G66" s="90" t="s">
        <v>138</v>
      </c>
      <c r="H66" s="90" t="s">
        <v>155</v>
      </c>
      <c r="I66" s="91" t="s">
        <v>156</v>
      </c>
      <c r="J66" s="93" t="n">
        <f aca="false">7.5654/J$1</f>
        <v>0.244045161290323</v>
      </c>
      <c r="K66" s="94" t="n">
        <v>0</v>
      </c>
      <c r="L66" s="94" t="n">
        <v>0.0022</v>
      </c>
      <c r="M66" s="94" t="n">
        <v>0</v>
      </c>
      <c r="N66" s="94" t="n">
        <v>0</v>
      </c>
      <c r="O66" s="95" t="n">
        <v>0</v>
      </c>
      <c r="P66" s="94" t="n">
        <f aca="false">SUM(J66:N66)</f>
        <v>0.246245161290323</v>
      </c>
      <c r="Q66" s="112" t="n">
        <f aca="false">+Q65</f>
        <v>3.7476</v>
      </c>
      <c r="R66" s="91" t="n">
        <f aca="false">849+1742</f>
        <v>2591</v>
      </c>
      <c r="S66" s="90" t="str">
        <f aca="false">+S65</f>
        <v>#022144</v>
      </c>
      <c r="T66" s="98" t="n">
        <f aca="false">J66*J$1*R66</f>
        <v>19601.9514</v>
      </c>
      <c r="U66" s="98"/>
      <c r="V66" s="99" t="n">
        <v>503144</v>
      </c>
      <c r="W66" s="90"/>
      <c r="X66" s="100"/>
      <c r="Y66" s="100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</row>
    <row r="67" customFormat="false" ht="12.75" hidden="false" customHeight="false" outlineLevel="0" collapsed="false">
      <c r="A67" s="89"/>
      <c r="B67" s="90" t="s">
        <v>3</v>
      </c>
      <c r="C67" s="91" t="s">
        <v>62</v>
      </c>
      <c r="D67" s="91" t="s">
        <v>153</v>
      </c>
      <c r="E67" s="92" t="n">
        <v>36861</v>
      </c>
      <c r="F67" s="92" t="n">
        <v>37864</v>
      </c>
      <c r="G67" s="90" t="s">
        <v>164</v>
      </c>
      <c r="H67" s="90" t="s">
        <v>155</v>
      </c>
      <c r="I67" s="91" t="s">
        <v>165</v>
      </c>
      <c r="J67" s="93" t="n">
        <f aca="false">12.0693/J1</f>
        <v>0.389332258064516</v>
      </c>
      <c r="K67" s="94" t="n">
        <v>0</v>
      </c>
      <c r="L67" s="94" t="n">
        <v>0.0022</v>
      </c>
      <c r="M67" s="94" t="n">
        <v>0</v>
      </c>
      <c r="N67" s="94" t="n">
        <v>0</v>
      </c>
      <c r="O67" s="95" t="n">
        <v>0</v>
      </c>
      <c r="P67" s="94" t="n">
        <f aca="false">SUM(J67:N67)</f>
        <v>0.391532258064516</v>
      </c>
      <c r="Q67" s="114" t="n">
        <v>3.7475</v>
      </c>
      <c r="R67" s="91" t="n">
        <v>2736</v>
      </c>
      <c r="S67" s="90" t="s">
        <v>166</v>
      </c>
      <c r="T67" s="98" t="n">
        <f aca="false">J67*J$1*R67</f>
        <v>33021.6048</v>
      </c>
      <c r="U67" s="98"/>
      <c r="V67" s="99" t="n">
        <v>503167</v>
      </c>
      <c r="W67" s="90"/>
      <c r="X67" s="100"/>
      <c r="Y67" s="100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</row>
    <row r="68" customFormat="false" ht="12.75" hidden="false" customHeight="false" outlineLevel="0" collapsed="false">
      <c r="A68" s="89"/>
      <c r="B68" s="90" t="s">
        <v>3</v>
      </c>
      <c r="C68" s="91" t="s">
        <v>62</v>
      </c>
      <c r="D68" s="91" t="s">
        <v>153</v>
      </c>
      <c r="E68" s="92" t="n">
        <v>36861</v>
      </c>
      <c r="F68" s="92" t="n">
        <v>36891</v>
      </c>
      <c r="G68" s="90" t="s">
        <v>164</v>
      </c>
      <c r="H68" s="90" t="s">
        <v>155</v>
      </c>
      <c r="I68" s="91" t="s">
        <v>165</v>
      </c>
      <c r="J68" s="93" t="n">
        <f aca="false">12.0693/J1</f>
        <v>0.389332258064516</v>
      </c>
      <c r="K68" s="94" t="n">
        <v>0</v>
      </c>
      <c r="L68" s="94" t="n">
        <v>0.0022</v>
      </c>
      <c r="M68" s="94" t="n">
        <v>0</v>
      </c>
      <c r="N68" s="94" t="n">
        <v>0</v>
      </c>
      <c r="O68" s="95" t="n">
        <v>0</v>
      </c>
      <c r="P68" s="94" t="n">
        <f aca="false">SUM(J68:N68)</f>
        <v>0.391532258064516</v>
      </c>
      <c r="Q68" s="114" t="n">
        <v>3.7574</v>
      </c>
      <c r="R68" s="91" t="n">
        <v>1172</v>
      </c>
      <c r="S68" s="90" t="s">
        <v>167</v>
      </c>
      <c r="T68" s="98" t="n">
        <f aca="false">J68*J$1*R68</f>
        <v>14145.2196</v>
      </c>
      <c r="U68" s="98"/>
      <c r="V68" s="99" t="n">
        <v>506372</v>
      </c>
      <c r="W68" s="90" t="s">
        <v>160</v>
      </c>
      <c r="X68" s="100"/>
      <c r="Y68" s="100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  <c r="IV68" s="89"/>
      <c r="IW68" s="89"/>
    </row>
    <row r="69" customFormat="false" ht="12.75" hidden="false" customHeight="false" outlineLevel="0" collapsed="false">
      <c r="A69" s="89"/>
      <c r="B69" s="90" t="s">
        <v>3</v>
      </c>
      <c r="C69" s="91" t="s">
        <v>62</v>
      </c>
      <c r="D69" s="91" t="s">
        <v>153</v>
      </c>
      <c r="E69" s="92" t="n">
        <v>36861</v>
      </c>
      <c r="F69" s="92" t="n">
        <v>36891</v>
      </c>
      <c r="G69" s="90" t="s">
        <v>154</v>
      </c>
      <c r="H69" s="90" t="s">
        <v>155</v>
      </c>
      <c r="I69" s="91" t="s">
        <v>156</v>
      </c>
      <c r="J69" s="93" t="n">
        <f aca="false">7.5654/J$1</f>
        <v>0.244045161290323</v>
      </c>
      <c r="K69" s="94" t="n">
        <v>0</v>
      </c>
      <c r="L69" s="94" t="n">
        <v>0.0022</v>
      </c>
      <c r="M69" s="94" t="n">
        <v>0</v>
      </c>
      <c r="N69" s="94" t="n">
        <v>0</v>
      </c>
      <c r="O69" s="95" t="n">
        <v>0</v>
      </c>
      <c r="P69" s="94" t="n">
        <f aca="false">SUM(J69:N69)</f>
        <v>0.246245161290323</v>
      </c>
      <c r="Q69" s="112" t="n">
        <v>3.7573</v>
      </c>
      <c r="R69" s="113" t="n">
        <v>325</v>
      </c>
      <c r="S69" s="90" t="s">
        <v>168</v>
      </c>
      <c r="T69" s="98" t="n">
        <f aca="false">J69*J$1*R69</f>
        <v>2458.755</v>
      </c>
      <c r="U69" s="98"/>
      <c r="V69" s="99" t="n">
        <v>506384</v>
      </c>
      <c r="W69" s="90" t="s">
        <v>160</v>
      </c>
      <c r="X69" s="100"/>
      <c r="Y69" s="100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  <c r="IW69" s="89"/>
    </row>
    <row r="70" customFormat="false" ht="12.75" hidden="false" customHeight="false" outlineLevel="0" collapsed="false">
      <c r="A70" s="89"/>
      <c r="B70" s="90" t="s">
        <v>3</v>
      </c>
      <c r="C70" s="91" t="s">
        <v>62</v>
      </c>
      <c r="D70" s="91" t="s">
        <v>153</v>
      </c>
      <c r="E70" s="92" t="n">
        <v>36861</v>
      </c>
      <c r="F70" s="92" t="n">
        <v>36891</v>
      </c>
      <c r="G70" s="90" t="s">
        <v>158</v>
      </c>
      <c r="H70" s="90" t="s">
        <v>155</v>
      </c>
      <c r="I70" s="91" t="s">
        <v>156</v>
      </c>
      <c r="J70" s="93" t="n">
        <f aca="false">7.5654/J$1</f>
        <v>0.244045161290323</v>
      </c>
      <c r="K70" s="94" t="n">
        <v>0</v>
      </c>
      <c r="L70" s="94" t="n">
        <v>0.0022</v>
      </c>
      <c r="M70" s="94" t="n">
        <v>0</v>
      </c>
      <c r="N70" s="94" t="n">
        <v>0</v>
      </c>
      <c r="O70" s="95" t="n">
        <v>0</v>
      </c>
      <c r="P70" s="94" t="n">
        <f aca="false">SUM(J70:N70)</f>
        <v>0.246245161290323</v>
      </c>
      <c r="Q70" s="112" t="n">
        <v>3.7573</v>
      </c>
      <c r="R70" s="91" t="n">
        <v>479</v>
      </c>
      <c r="S70" s="90" t="str">
        <f aca="false">+S69</f>
        <v>#022145</v>
      </c>
      <c r="T70" s="98" t="n">
        <f aca="false">J70*J$1*R70</f>
        <v>3623.8266</v>
      </c>
      <c r="U70" s="98"/>
      <c r="V70" s="99" t="n">
        <f aca="false">+V69</f>
        <v>506384</v>
      </c>
      <c r="W70" s="90" t="s">
        <v>160</v>
      </c>
      <c r="X70" s="100"/>
      <c r="Y70" s="100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</row>
    <row r="71" customFormat="false" ht="12.75" hidden="false" customHeight="false" outlineLevel="0" collapsed="false">
      <c r="A71" s="89"/>
      <c r="B71" s="90" t="s">
        <v>3</v>
      </c>
      <c r="C71" s="91" t="s">
        <v>62</v>
      </c>
      <c r="D71" s="91" t="s">
        <v>153</v>
      </c>
      <c r="E71" s="92" t="n">
        <v>36861</v>
      </c>
      <c r="F71" s="92" t="n">
        <v>36891</v>
      </c>
      <c r="G71" s="90" t="s">
        <v>138</v>
      </c>
      <c r="H71" s="90" t="s">
        <v>155</v>
      </c>
      <c r="I71" s="91" t="s">
        <v>156</v>
      </c>
      <c r="J71" s="93" t="n">
        <f aca="false">7.5654/J$1</f>
        <v>0.244045161290323</v>
      </c>
      <c r="K71" s="94" t="n">
        <v>0</v>
      </c>
      <c r="L71" s="94" t="n">
        <v>0.0022</v>
      </c>
      <c r="M71" s="94" t="n">
        <v>0</v>
      </c>
      <c r="N71" s="94" t="n">
        <v>0</v>
      </c>
      <c r="O71" s="95" t="n">
        <v>0</v>
      </c>
      <c r="P71" s="94" t="n">
        <f aca="false">SUM(J71:N71)</f>
        <v>0.246245161290323</v>
      </c>
      <c r="Q71" s="112" t="n">
        <v>3.7573</v>
      </c>
      <c r="R71" s="91" t="n">
        <f aca="false">746+364</f>
        <v>1110</v>
      </c>
      <c r="S71" s="90" t="str">
        <f aca="false">+S69</f>
        <v>#022145</v>
      </c>
      <c r="T71" s="98" t="n">
        <f aca="false">J71*J$1*R71</f>
        <v>8397.594</v>
      </c>
      <c r="U71" s="98"/>
      <c r="V71" s="99" t="n">
        <f aca="false">+V69</f>
        <v>506384</v>
      </c>
      <c r="W71" s="90" t="s">
        <v>160</v>
      </c>
      <c r="X71" s="100"/>
      <c r="Y71" s="100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  <c r="IS71" s="89"/>
      <c r="IT71" s="89"/>
      <c r="IU71" s="89"/>
      <c r="IV71" s="89"/>
      <c r="IW71" s="89"/>
    </row>
    <row r="72" customFormat="false" ht="12.75" hidden="false" customHeight="false" outlineLevel="0" collapsed="false">
      <c r="A72" s="89"/>
      <c r="B72" s="90" t="s">
        <v>3</v>
      </c>
      <c r="C72" s="91" t="s">
        <v>62</v>
      </c>
      <c r="D72" s="91" t="s">
        <v>153</v>
      </c>
      <c r="E72" s="92" t="n">
        <v>36861</v>
      </c>
      <c r="F72" s="92" t="n">
        <v>36891</v>
      </c>
      <c r="G72" s="90" t="s">
        <v>169</v>
      </c>
      <c r="H72" s="90"/>
      <c r="I72" s="91" t="s">
        <v>170</v>
      </c>
      <c r="J72" s="93" t="n">
        <v>0.0079</v>
      </c>
      <c r="K72" s="94" t="n">
        <v>0</v>
      </c>
      <c r="L72" s="94" t="n">
        <v>0.0022</v>
      </c>
      <c r="M72" s="94" t="n">
        <v>0</v>
      </c>
      <c r="N72" s="94" t="n">
        <v>0</v>
      </c>
      <c r="O72" s="95" t="n">
        <v>0</v>
      </c>
      <c r="P72" s="94" t="n">
        <f aca="false">SUM(J72:N72)</f>
        <v>0.0101</v>
      </c>
      <c r="Q72" s="114" t="n">
        <v>3.7545</v>
      </c>
      <c r="R72" s="91" t="n">
        <v>111513</v>
      </c>
      <c r="S72" s="90" t="s">
        <v>171</v>
      </c>
      <c r="T72" s="98" t="n">
        <f aca="false">J72*J$1*R72</f>
        <v>27309.5337</v>
      </c>
      <c r="U72" s="98"/>
      <c r="V72" s="99" t="n">
        <v>506348</v>
      </c>
      <c r="W72" s="90" t="s">
        <v>160</v>
      </c>
      <c r="X72" s="100"/>
      <c r="Y72" s="100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</row>
    <row r="73" customFormat="false" ht="12.75" hidden="false" customHeight="false" outlineLevel="0" collapsed="false">
      <c r="A73" s="89"/>
      <c r="B73" s="90" t="s">
        <v>3</v>
      </c>
      <c r="C73" s="91" t="s">
        <v>62</v>
      </c>
      <c r="D73" s="91" t="s">
        <v>153</v>
      </c>
      <c r="E73" s="92" t="n">
        <v>36861</v>
      </c>
      <c r="F73" s="92" t="n">
        <v>36891</v>
      </c>
      <c r="G73" s="90" t="s">
        <v>172</v>
      </c>
      <c r="H73" s="90"/>
      <c r="I73" s="91" t="s">
        <v>170</v>
      </c>
      <c r="J73" s="93" t="n">
        <v>0.6673</v>
      </c>
      <c r="K73" s="94" t="n">
        <v>0</v>
      </c>
      <c r="L73" s="94" t="n">
        <v>0.0022</v>
      </c>
      <c r="M73" s="94" t="n">
        <v>0</v>
      </c>
      <c r="N73" s="94" t="n">
        <v>0</v>
      </c>
      <c r="O73" s="95" t="n">
        <v>0</v>
      </c>
      <c r="P73" s="94" t="n">
        <f aca="false">SUM(J73:N73)</f>
        <v>0.6695</v>
      </c>
      <c r="Q73" s="114" t="n">
        <v>3.7545</v>
      </c>
      <c r="R73" s="91" t="n">
        <v>1312</v>
      </c>
      <c r="S73" s="90" t="s">
        <v>171</v>
      </c>
      <c r="T73" s="98" t="n">
        <f aca="false">J73*J$1*R73</f>
        <v>27140.4256</v>
      </c>
      <c r="U73" s="98"/>
      <c r="V73" s="99" t="n">
        <v>506348</v>
      </c>
      <c r="W73" s="90" t="s">
        <v>160</v>
      </c>
      <c r="X73" s="100"/>
      <c r="Y73" s="100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  <c r="IV73" s="89"/>
      <c r="IW73" s="89"/>
    </row>
    <row r="74" customFormat="false" ht="12.75" hidden="false" customHeight="false" outlineLevel="0" collapsed="false">
      <c r="A74" s="89"/>
      <c r="B74" s="90" t="s">
        <v>3</v>
      </c>
      <c r="C74" s="91" t="s">
        <v>62</v>
      </c>
      <c r="D74" s="91" t="s">
        <v>153</v>
      </c>
      <c r="E74" s="92" t="n">
        <v>36861</v>
      </c>
      <c r="F74" s="92" t="n">
        <v>37864</v>
      </c>
      <c r="G74" s="90" t="s">
        <v>169</v>
      </c>
      <c r="H74" s="90"/>
      <c r="I74" s="91" t="s">
        <v>170</v>
      </c>
      <c r="J74" s="93" t="n">
        <v>0.0079</v>
      </c>
      <c r="K74" s="94" t="n">
        <v>0</v>
      </c>
      <c r="L74" s="94" t="n">
        <v>0.0022</v>
      </c>
      <c r="M74" s="94" t="n">
        <v>0</v>
      </c>
      <c r="N74" s="94" t="n">
        <v>0</v>
      </c>
      <c r="O74" s="95" t="n">
        <v>0</v>
      </c>
      <c r="P74" s="94" t="n">
        <f aca="false">SUM(J74:N74)</f>
        <v>0.0101</v>
      </c>
      <c r="Q74" s="112" t="n">
        <v>3.7508</v>
      </c>
      <c r="R74" s="91" t="n">
        <v>260196</v>
      </c>
      <c r="S74" s="90" t="s">
        <v>173</v>
      </c>
      <c r="T74" s="98" t="n">
        <f aca="false">J74*J$1*R74</f>
        <v>63722.0004</v>
      </c>
      <c r="U74" s="98"/>
      <c r="V74" s="99" t="n">
        <v>503104</v>
      </c>
      <c r="W74" s="90"/>
      <c r="X74" s="100"/>
      <c r="Y74" s="100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  <c r="IW74" s="89"/>
    </row>
    <row r="75" customFormat="false" ht="12.75" hidden="false" customHeight="false" outlineLevel="0" collapsed="false">
      <c r="A75" s="89"/>
      <c r="B75" s="90" t="s">
        <v>3</v>
      </c>
      <c r="C75" s="91" t="s">
        <v>62</v>
      </c>
      <c r="D75" s="91" t="s">
        <v>153</v>
      </c>
      <c r="E75" s="92" t="n">
        <v>36861</v>
      </c>
      <c r="F75" s="92" t="n">
        <v>37864</v>
      </c>
      <c r="G75" s="90" t="s">
        <v>172</v>
      </c>
      <c r="H75" s="90"/>
      <c r="I75" s="91" t="s">
        <v>170</v>
      </c>
      <c r="J75" s="93" t="n">
        <v>0.6673</v>
      </c>
      <c r="K75" s="94" t="n">
        <v>0</v>
      </c>
      <c r="L75" s="94" t="n">
        <v>0.0022</v>
      </c>
      <c r="M75" s="94" t="n">
        <v>0</v>
      </c>
      <c r="N75" s="94" t="n">
        <v>0</v>
      </c>
      <c r="O75" s="95" t="n">
        <v>0</v>
      </c>
      <c r="P75" s="94" t="n">
        <f aca="false">SUM(J75:N75)</f>
        <v>0.6695</v>
      </c>
      <c r="Q75" s="112" t="n">
        <v>3.7508</v>
      </c>
      <c r="R75" s="91" t="n">
        <v>3061</v>
      </c>
      <c r="S75" s="90" t="s">
        <v>173</v>
      </c>
      <c r="T75" s="98" t="n">
        <f aca="false">J75*J$1*R75</f>
        <v>63320.7643</v>
      </c>
      <c r="U75" s="98"/>
      <c r="V75" s="99" t="n">
        <v>503104</v>
      </c>
      <c r="W75" s="90"/>
      <c r="X75" s="100"/>
      <c r="Y75" s="100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89"/>
      <c r="IQ75" s="89"/>
      <c r="IR75" s="89"/>
      <c r="IS75" s="89"/>
      <c r="IT75" s="89"/>
      <c r="IU75" s="89"/>
      <c r="IV75" s="89"/>
      <c r="IW75" s="89"/>
    </row>
    <row r="76" customFormat="false" ht="12.75" hidden="false" customHeight="false" outlineLevel="0" collapsed="false">
      <c r="A76" s="89"/>
      <c r="B76" s="90" t="s">
        <v>3</v>
      </c>
      <c r="C76" s="91" t="s">
        <v>62</v>
      </c>
      <c r="D76" s="91" t="s">
        <v>153</v>
      </c>
      <c r="E76" s="92" t="n">
        <v>36861</v>
      </c>
      <c r="F76" s="92" t="n">
        <v>36891</v>
      </c>
      <c r="G76" s="90" t="s">
        <v>174</v>
      </c>
      <c r="H76" s="90"/>
      <c r="I76" s="91" t="s">
        <v>175</v>
      </c>
      <c r="J76" s="93" t="n">
        <v>0.0481</v>
      </c>
      <c r="K76" s="94" t="n">
        <v>0</v>
      </c>
      <c r="L76" s="94" t="n">
        <v>0.0022</v>
      </c>
      <c r="M76" s="94" t="n">
        <v>0</v>
      </c>
      <c r="N76" s="94" t="n">
        <v>0</v>
      </c>
      <c r="O76" s="95" t="n">
        <v>0</v>
      </c>
      <c r="P76" s="94" t="n">
        <f aca="false">SUM(J76:N76)</f>
        <v>0.0503</v>
      </c>
      <c r="Q76" s="114" t="n">
        <v>3.7544</v>
      </c>
      <c r="R76" s="91" t="n">
        <v>5665</v>
      </c>
      <c r="S76" s="90" t="s">
        <v>176</v>
      </c>
      <c r="T76" s="98" t="n">
        <f aca="false">J76*J$1*R76</f>
        <v>8447.0815</v>
      </c>
      <c r="U76" s="98"/>
      <c r="V76" s="99" t="n">
        <v>506356</v>
      </c>
      <c r="W76" s="90"/>
      <c r="X76" s="100"/>
      <c r="Y76" s="100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  <c r="IW76" s="89"/>
    </row>
    <row r="77" customFormat="false" ht="12.75" hidden="false" customHeight="false" outlineLevel="0" collapsed="false">
      <c r="A77" s="89"/>
      <c r="B77" s="90" t="s">
        <v>3</v>
      </c>
      <c r="C77" s="91" t="s">
        <v>62</v>
      </c>
      <c r="D77" s="91" t="s">
        <v>153</v>
      </c>
      <c r="E77" s="92" t="n">
        <v>36861</v>
      </c>
      <c r="F77" s="92" t="n">
        <v>36891</v>
      </c>
      <c r="G77" s="90" t="s">
        <v>177</v>
      </c>
      <c r="H77" s="90"/>
      <c r="I77" s="91" t="s">
        <v>175</v>
      </c>
      <c r="J77" s="93" t="n">
        <v>0.484</v>
      </c>
      <c r="K77" s="94" t="n">
        <v>0</v>
      </c>
      <c r="L77" s="94" t="n">
        <v>0.0022</v>
      </c>
      <c r="M77" s="94" t="n">
        <v>0</v>
      </c>
      <c r="N77" s="94" t="n">
        <v>0</v>
      </c>
      <c r="O77" s="95" t="n">
        <v>0</v>
      </c>
      <c r="P77" s="94" t="n">
        <f aca="false">SUM(J77:N77)</f>
        <v>0.4862</v>
      </c>
      <c r="Q77" s="114" t="n">
        <v>3.7544</v>
      </c>
      <c r="R77" s="91" t="n">
        <v>563</v>
      </c>
      <c r="S77" s="90" t="s">
        <v>176</v>
      </c>
      <c r="T77" s="98" t="n">
        <f aca="false">J77*J$1*R77</f>
        <v>8447.252</v>
      </c>
      <c r="U77" s="98"/>
      <c r="V77" s="99" t="n">
        <v>506356</v>
      </c>
      <c r="W77" s="90"/>
      <c r="X77" s="100"/>
      <c r="Y77" s="100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  <c r="IW77" s="89"/>
    </row>
    <row r="78" customFormat="false" ht="12.75" hidden="false" customHeight="false" outlineLevel="0" collapsed="false">
      <c r="A78" s="89"/>
      <c r="B78" s="90" t="s">
        <v>3</v>
      </c>
      <c r="C78" s="91" t="s">
        <v>62</v>
      </c>
      <c r="D78" s="91" t="s">
        <v>153</v>
      </c>
      <c r="E78" s="92" t="n">
        <v>36861</v>
      </c>
      <c r="F78" s="92" t="n">
        <v>37864</v>
      </c>
      <c r="G78" s="90" t="s">
        <v>174</v>
      </c>
      <c r="H78" s="90"/>
      <c r="I78" s="91" t="s">
        <v>175</v>
      </c>
      <c r="J78" s="93" t="n">
        <v>0.0481</v>
      </c>
      <c r="K78" s="94" t="n">
        <v>0</v>
      </c>
      <c r="L78" s="94" t="n">
        <v>0.0022</v>
      </c>
      <c r="M78" s="94" t="n">
        <v>0</v>
      </c>
      <c r="N78" s="94" t="n">
        <v>0</v>
      </c>
      <c r="O78" s="95" t="n">
        <v>0</v>
      </c>
      <c r="P78" s="94" t="n">
        <f aca="false">SUM(J78:N78)</f>
        <v>0.0503</v>
      </c>
      <c r="Q78" s="114" t="n">
        <v>3.7507</v>
      </c>
      <c r="R78" s="91" t="n">
        <v>13219</v>
      </c>
      <c r="S78" s="90" t="s">
        <v>178</v>
      </c>
      <c r="T78" s="98" t="n">
        <f aca="false">J78*J$1*R78</f>
        <v>19710.8509</v>
      </c>
      <c r="U78" s="98"/>
      <c r="V78" s="99" t="n">
        <v>503082</v>
      </c>
      <c r="W78" s="115" t="s">
        <v>160</v>
      </c>
      <c r="X78" s="100"/>
      <c r="Y78" s="100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  <c r="IW78" s="89"/>
    </row>
    <row r="79" customFormat="false" ht="12.75" hidden="false" customHeight="false" outlineLevel="0" collapsed="false">
      <c r="A79" s="89"/>
      <c r="B79" s="90" t="s">
        <v>3</v>
      </c>
      <c r="C79" s="91" t="s">
        <v>62</v>
      </c>
      <c r="D79" s="91" t="s">
        <v>153</v>
      </c>
      <c r="E79" s="92" t="n">
        <v>36861</v>
      </c>
      <c r="F79" s="92" t="n">
        <v>37864</v>
      </c>
      <c r="G79" s="90" t="s">
        <v>177</v>
      </c>
      <c r="H79" s="90"/>
      <c r="I79" s="91" t="s">
        <v>175</v>
      </c>
      <c r="J79" s="93" t="n">
        <v>0.484</v>
      </c>
      <c r="K79" s="94" t="n">
        <v>0</v>
      </c>
      <c r="L79" s="94" t="n">
        <v>0.0022</v>
      </c>
      <c r="M79" s="94" t="n">
        <v>0</v>
      </c>
      <c r="N79" s="94" t="n">
        <v>0</v>
      </c>
      <c r="O79" s="95" t="n">
        <v>0</v>
      </c>
      <c r="P79" s="94" t="n">
        <f aca="false">SUM(J79:N79)</f>
        <v>0.4862</v>
      </c>
      <c r="Q79" s="114" t="n">
        <v>3.7507</v>
      </c>
      <c r="R79" s="91" t="n">
        <v>1314</v>
      </c>
      <c r="S79" s="90" t="s">
        <v>178</v>
      </c>
      <c r="T79" s="98" t="n">
        <f aca="false">J79*J$1*R79</f>
        <v>19715.256</v>
      </c>
      <c r="U79" s="98"/>
      <c r="V79" s="99" t="n">
        <v>503082</v>
      </c>
      <c r="W79" s="115" t="s">
        <v>160</v>
      </c>
      <c r="X79" s="100"/>
      <c r="Y79" s="100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  <c r="IW79" s="89"/>
    </row>
    <row r="80" customFormat="false" ht="12.75" hidden="false" customHeight="false" outlineLevel="0" collapsed="false">
      <c r="A80" s="116"/>
      <c r="B80" s="90" t="s">
        <v>3</v>
      </c>
      <c r="C80" s="91" t="s">
        <v>62</v>
      </c>
      <c r="D80" s="91" t="s">
        <v>153</v>
      </c>
      <c r="E80" s="92" t="n">
        <v>36861</v>
      </c>
      <c r="F80" s="92" t="n">
        <v>36891</v>
      </c>
      <c r="G80" s="90" t="s">
        <v>179</v>
      </c>
      <c r="H80" s="90" t="s">
        <v>155</v>
      </c>
      <c r="I80" s="91" t="s">
        <v>180</v>
      </c>
      <c r="J80" s="93" t="n">
        <f aca="false">15.0677/J1</f>
        <v>0.486054838709677</v>
      </c>
      <c r="K80" s="94"/>
      <c r="L80" s="94"/>
      <c r="M80" s="94"/>
      <c r="N80" s="94"/>
      <c r="O80" s="95"/>
      <c r="P80" s="94"/>
      <c r="Q80" s="117" t="n">
        <v>3.7644</v>
      </c>
      <c r="R80" s="118" t="n">
        <v>929</v>
      </c>
      <c r="S80" s="115" t="s">
        <v>181</v>
      </c>
      <c r="T80" s="98" t="n">
        <f aca="false">J80*J$1*R80</f>
        <v>13997.8933</v>
      </c>
      <c r="U80" s="119"/>
      <c r="V80" s="120" t="n">
        <v>506737</v>
      </c>
      <c r="W80" s="115" t="s">
        <v>160</v>
      </c>
      <c r="X80" s="121"/>
      <c r="Y80" s="121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customFormat="false" ht="12.75" hidden="false" customHeight="false" outlineLevel="0" collapsed="false">
      <c r="A81" s="116"/>
      <c r="B81" s="90" t="s">
        <v>3</v>
      </c>
      <c r="C81" s="91" t="s">
        <v>62</v>
      </c>
      <c r="D81" s="91" t="s">
        <v>153</v>
      </c>
      <c r="E81" s="92" t="n">
        <v>36861</v>
      </c>
      <c r="F81" s="92" t="n">
        <v>36891</v>
      </c>
      <c r="G81" s="90" t="s">
        <v>182</v>
      </c>
      <c r="H81" s="90" t="s">
        <v>155</v>
      </c>
      <c r="I81" s="91" t="s">
        <v>183</v>
      </c>
      <c r="J81" s="122" t="n">
        <f aca="false">14.1875/J1</f>
        <v>0.457661290322581</v>
      </c>
      <c r="K81" s="94"/>
      <c r="L81" s="94"/>
      <c r="M81" s="94"/>
      <c r="N81" s="94"/>
      <c r="O81" s="95"/>
      <c r="P81" s="94"/>
      <c r="Q81" s="117" t="n">
        <v>3.7572</v>
      </c>
      <c r="R81" s="118" t="n">
        <v>1526</v>
      </c>
      <c r="S81" s="115" t="s">
        <v>184</v>
      </c>
      <c r="T81" s="98" t="n">
        <f aca="false">J81*J$1*R81</f>
        <v>21650.125</v>
      </c>
      <c r="U81" s="119"/>
      <c r="V81" s="120" t="n">
        <v>506418</v>
      </c>
      <c r="W81" s="115" t="s">
        <v>160</v>
      </c>
      <c r="X81" s="121"/>
      <c r="Y81" s="121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  <c r="HM81" s="116"/>
      <c r="HN81" s="116"/>
      <c r="HO81" s="116"/>
      <c r="HP81" s="116"/>
      <c r="HQ81" s="116"/>
      <c r="HR81" s="116"/>
      <c r="HS81" s="116"/>
      <c r="HT81" s="116"/>
      <c r="HU81" s="116"/>
      <c r="HV81" s="116"/>
      <c r="HW81" s="116"/>
      <c r="HX81" s="116"/>
      <c r="HY81" s="116"/>
      <c r="HZ81" s="116"/>
      <c r="IA81" s="116"/>
      <c r="IB81" s="116"/>
      <c r="IC81" s="116"/>
      <c r="ID81" s="116"/>
      <c r="IE81" s="116"/>
      <c r="IF81" s="116"/>
      <c r="IG81" s="116"/>
      <c r="IH81" s="116"/>
      <c r="II81" s="116"/>
      <c r="IJ81" s="116"/>
      <c r="IK81" s="116"/>
      <c r="IL81" s="116"/>
      <c r="IM81" s="116"/>
      <c r="IN81" s="116"/>
      <c r="IO81" s="116"/>
      <c r="IP81" s="116"/>
      <c r="IQ81" s="116"/>
      <c r="IR81" s="116"/>
      <c r="IS81" s="116"/>
      <c r="IT81" s="116"/>
      <c r="IU81" s="116"/>
      <c r="IV81" s="116"/>
      <c r="IW81" s="116"/>
    </row>
    <row r="82" customFormat="false" ht="12.75" hidden="false" customHeight="false" outlineLevel="0" collapsed="false">
      <c r="A82" s="116"/>
      <c r="B82" s="90" t="s">
        <v>3</v>
      </c>
      <c r="C82" s="91" t="s">
        <v>62</v>
      </c>
      <c r="D82" s="91" t="s">
        <v>153</v>
      </c>
      <c r="E82" s="92" t="n">
        <v>36861</v>
      </c>
      <c r="F82" s="92" t="n">
        <v>37864</v>
      </c>
      <c r="G82" s="90" t="s">
        <v>182</v>
      </c>
      <c r="H82" s="90" t="s">
        <v>155</v>
      </c>
      <c r="I82" s="91" t="s">
        <v>183</v>
      </c>
      <c r="J82" s="122" t="n">
        <f aca="false">14.1875/J1</f>
        <v>0.457661290322581</v>
      </c>
      <c r="K82" s="94"/>
      <c r="L82" s="94"/>
      <c r="M82" s="94"/>
      <c r="N82" s="94"/>
      <c r="O82" s="95"/>
      <c r="P82" s="94"/>
      <c r="Q82" s="117" t="n">
        <v>3.7477</v>
      </c>
      <c r="R82" s="118" t="n">
        <v>3562</v>
      </c>
      <c r="S82" s="115" t="s">
        <v>185</v>
      </c>
      <c r="T82" s="98" t="n">
        <f aca="false">J82*J$1*R82</f>
        <v>50535.875</v>
      </c>
      <c r="U82" s="119"/>
      <c r="V82" s="120" t="n">
        <v>503132</v>
      </c>
      <c r="W82" s="115" t="s">
        <v>160</v>
      </c>
      <c r="X82" s="121"/>
      <c r="Y82" s="121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  <c r="GT82" s="116"/>
      <c r="GU82" s="116"/>
      <c r="GV82" s="116"/>
      <c r="GW82" s="116"/>
      <c r="GX82" s="116"/>
      <c r="GY82" s="116"/>
      <c r="GZ82" s="116"/>
      <c r="HA82" s="116"/>
      <c r="HB82" s="116"/>
      <c r="HC82" s="116"/>
      <c r="HD82" s="116"/>
      <c r="HE82" s="116"/>
      <c r="HF82" s="116"/>
      <c r="HG82" s="116"/>
      <c r="HH82" s="116"/>
      <c r="HI82" s="116"/>
      <c r="HJ82" s="116"/>
      <c r="HK82" s="116"/>
      <c r="HL82" s="116"/>
      <c r="HM82" s="116"/>
      <c r="HN82" s="116"/>
      <c r="HO82" s="116"/>
      <c r="HP82" s="116"/>
      <c r="HQ82" s="116"/>
      <c r="HR82" s="116"/>
      <c r="HS82" s="116"/>
      <c r="HT82" s="116"/>
      <c r="HU82" s="116"/>
      <c r="HV82" s="116"/>
      <c r="HW82" s="116"/>
      <c r="HX82" s="116"/>
      <c r="HY82" s="116"/>
      <c r="HZ82" s="116"/>
      <c r="IA82" s="116"/>
      <c r="IB82" s="116"/>
      <c r="IC82" s="116"/>
      <c r="ID82" s="116"/>
      <c r="IE82" s="116"/>
      <c r="IF82" s="116"/>
      <c r="IG82" s="116"/>
      <c r="IH82" s="116"/>
      <c r="II82" s="116"/>
      <c r="IJ82" s="116"/>
      <c r="IK82" s="116"/>
      <c r="IL82" s="116"/>
      <c r="IM82" s="116"/>
      <c r="IN82" s="116"/>
      <c r="IO82" s="116"/>
      <c r="IP82" s="116"/>
      <c r="IQ82" s="116"/>
      <c r="IR82" s="116"/>
      <c r="IS82" s="116"/>
      <c r="IT82" s="116"/>
      <c r="IU82" s="116"/>
      <c r="IV82" s="116"/>
      <c r="IW82" s="116"/>
    </row>
    <row r="83" customFormat="false" ht="13.5" hidden="false" customHeight="false" outlineLevel="0" collapsed="false">
      <c r="B83" s="56"/>
      <c r="C83" s="60"/>
      <c r="D83" s="60"/>
      <c r="E83" s="61"/>
      <c r="F83" s="61"/>
      <c r="G83" s="62"/>
      <c r="H83" s="62"/>
      <c r="I83" s="60"/>
      <c r="J83" s="65"/>
      <c r="K83" s="65"/>
      <c r="L83" s="65"/>
      <c r="M83" s="65"/>
      <c r="N83" s="65"/>
      <c r="O83" s="66"/>
      <c r="P83" s="65"/>
      <c r="Q83" s="123"/>
      <c r="R83" s="124"/>
      <c r="S83" s="69"/>
      <c r="T83" s="125" t="n">
        <f aca="false">SUM(T54:T82)</f>
        <v>425257.3883</v>
      </c>
      <c r="U83" s="69"/>
      <c r="V83" s="70"/>
      <c r="W83" s="71"/>
      <c r="X83" s="72"/>
      <c r="Y83" s="72"/>
    </row>
    <row r="84" customFormat="false" ht="13.5" hidden="false" customHeight="false" outlineLevel="0" collapsed="false">
      <c r="B84" s="56"/>
      <c r="C84" s="60"/>
      <c r="D84" s="60"/>
      <c r="E84" s="61"/>
      <c r="F84" s="61"/>
      <c r="G84" s="62"/>
      <c r="H84" s="62"/>
      <c r="I84" s="60"/>
      <c r="J84" s="65"/>
      <c r="K84" s="65"/>
      <c r="L84" s="65"/>
      <c r="M84" s="65"/>
      <c r="N84" s="65"/>
      <c r="O84" s="66"/>
      <c r="P84" s="65"/>
      <c r="Q84" s="123"/>
      <c r="R84" s="124"/>
      <c r="S84" s="69"/>
      <c r="T84" s="69"/>
      <c r="U84" s="71"/>
      <c r="V84" s="70"/>
      <c r="W84" s="71"/>
      <c r="X84" s="126"/>
      <c r="Y84" s="72"/>
    </row>
    <row r="85" customFormat="false" ht="12.75" hidden="false" customHeight="false" outlineLevel="0" collapsed="false">
      <c r="B85" s="56"/>
      <c r="C85" s="60"/>
      <c r="D85" s="60"/>
      <c r="E85" s="61"/>
      <c r="F85" s="61"/>
      <c r="G85" s="62"/>
      <c r="H85" s="62"/>
      <c r="I85" s="60"/>
      <c r="J85" s="65"/>
      <c r="K85" s="65"/>
      <c r="L85" s="65"/>
      <c r="M85" s="65"/>
      <c r="N85" s="65"/>
      <c r="O85" s="66"/>
      <c r="P85" s="65"/>
      <c r="Q85" s="123"/>
      <c r="R85" s="124"/>
      <c r="S85" s="69"/>
      <c r="T85" s="69"/>
      <c r="U85" s="69"/>
      <c r="V85" s="70"/>
      <c r="W85" s="71"/>
      <c r="X85" s="72"/>
      <c r="Y85" s="72"/>
    </row>
    <row r="86" customFormat="false" ht="12.75" hidden="false" customHeight="false" outlineLevel="0" collapsed="false">
      <c r="B86" s="56"/>
      <c r="C86" s="60"/>
      <c r="D86" s="60"/>
      <c r="E86" s="61"/>
      <c r="F86" s="61"/>
      <c r="G86" s="62"/>
      <c r="H86" s="62"/>
      <c r="I86" s="60"/>
      <c r="J86" s="65"/>
      <c r="K86" s="65"/>
      <c r="L86" s="65"/>
      <c r="M86" s="65"/>
      <c r="N86" s="65"/>
      <c r="O86" s="66"/>
      <c r="P86" s="65"/>
      <c r="Q86" s="123"/>
      <c r="R86" s="124"/>
      <c r="S86" s="69"/>
      <c r="T86" s="69"/>
      <c r="U86" s="69"/>
      <c r="V86" s="70"/>
      <c r="W86" s="71"/>
      <c r="X86" s="72"/>
      <c r="Y86" s="72"/>
    </row>
    <row r="87" customFormat="false" ht="13.5" hidden="false" customHeight="false" outlineLevel="0" collapsed="false">
      <c r="B87" s="56"/>
      <c r="C87" s="60"/>
      <c r="D87" s="60"/>
      <c r="E87" s="88"/>
      <c r="F87" s="61"/>
      <c r="G87" s="62"/>
      <c r="H87" s="62"/>
      <c r="I87" s="60"/>
      <c r="J87" s="74"/>
      <c r="K87" s="65"/>
      <c r="L87" s="65"/>
      <c r="M87" s="65"/>
      <c r="N87" s="65"/>
      <c r="O87" s="66"/>
      <c r="P87" s="65"/>
      <c r="Q87" s="123"/>
      <c r="R87" s="124"/>
      <c r="S87" s="126"/>
      <c r="T87" s="127" t="n">
        <f aca="false">+T83+T49+T27</f>
        <v>833271.117215484</v>
      </c>
      <c r="U87" s="71" t="s">
        <v>186</v>
      </c>
      <c r="V87" s="70"/>
      <c r="W87" s="71"/>
      <c r="X87" s="72"/>
      <c r="Y87" s="72"/>
    </row>
    <row r="88" customFormat="false" ht="13.5" hidden="false" customHeight="false" outlineLevel="0" collapsed="false">
      <c r="B88" s="56"/>
      <c r="C88" s="60"/>
      <c r="D88" s="60"/>
      <c r="E88" s="88"/>
      <c r="F88" s="61"/>
      <c r="G88" s="62"/>
      <c r="H88" s="62"/>
      <c r="I88" s="60"/>
      <c r="J88" s="74"/>
      <c r="K88" s="65"/>
      <c r="L88" s="65"/>
      <c r="M88" s="65"/>
      <c r="N88" s="65"/>
      <c r="O88" s="66"/>
      <c r="P88" s="65"/>
      <c r="Q88" s="123"/>
      <c r="R88" s="124"/>
      <c r="S88" s="126"/>
      <c r="T88" s="69"/>
      <c r="U88" s="69"/>
      <c r="V88" s="70"/>
      <c r="W88" s="71"/>
      <c r="X88" s="72"/>
      <c r="Y88" s="72"/>
    </row>
    <row r="89" customFormat="false" ht="12.75" hidden="false" customHeight="false" outlineLevel="0" collapsed="false">
      <c r="E89" s="58"/>
      <c r="Q89" s="51"/>
      <c r="R89" s="51"/>
      <c r="S89" s="51"/>
      <c r="T89" s="51"/>
      <c r="U89" s="51"/>
      <c r="V89" s="128"/>
      <c r="W89" s="129"/>
      <c r="X89" s="128"/>
    </row>
    <row r="90" customFormat="false" ht="12.75" hidden="false" customHeight="false" outlineLevel="0" collapsed="false">
      <c r="E90" s="58"/>
      <c r="Q90" s="51"/>
      <c r="R90" s="51"/>
      <c r="S90" s="51"/>
      <c r="T90" s="51"/>
      <c r="U90" s="51"/>
      <c r="V90" s="128"/>
      <c r="W90" s="129"/>
      <c r="X90" s="128"/>
    </row>
    <row r="91" customFormat="false" ht="12.75" hidden="false" customHeight="false" outlineLevel="0" collapsed="false">
      <c r="E91" s="58"/>
    </row>
    <row r="92" customFormat="false" ht="12.75" hidden="false" customHeight="false" outlineLevel="0" collapsed="false">
      <c r="E92" s="58"/>
    </row>
    <row r="93" customFormat="false" ht="12.75" hidden="false" customHeight="false" outlineLevel="0" collapsed="false">
      <c r="E93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G52" colorId="64" zoomScale="100" zoomScaleNormal="100" zoomScalePageLayoutView="100" workbookViewId="0">
      <selection pane="topLeft" activeCell="U73" activeCellId="0" sqref="U7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9" width="9.14"/>
    <col collapsed="false" customWidth="true" hidden="false" outlineLevel="0" max="2" min="2" style="49" width="9.99"/>
    <col collapsed="false" customWidth="false" hidden="false" outlineLevel="0" max="3" min="3" style="49" width="9.14"/>
    <col collapsed="false" customWidth="true" hidden="false" outlineLevel="0" max="4" min="4" style="49" width="10.56"/>
    <col collapsed="false" customWidth="true" hidden="false" outlineLevel="0" max="5" min="5" style="49" width="9.28"/>
    <col collapsed="false" customWidth="true" hidden="false" outlineLevel="0" max="6" min="6" style="49" width="9.56"/>
    <col collapsed="false" customWidth="true" hidden="false" outlineLevel="0" max="7" min="7" style="56" width="12.42"/>
    <col collapsed="false" customWidth="true" hidden="false" outlineLevel="0" max="8" min="8" style="56" width="16.42"/>
    <col collapsed="false" customWidth="true" hidden="false" outlineLevel="0" max="9" min="9" style="49" width="9.28"/>
    <col collapsed="false" customWidth="true" hidden="false" outlineLevel="0" max="10" min="10" style="49" width="7.7"/>
    <col collapsed="false" customWidth="false" hidden="true" outlineLevel="0" max="14" min="11" style="49" width="9.14"/>
    <col collapsed="false" customWidth="false" hidden="true" outlineLevel="0" max="15" min="15" style="57" width="9.14"/>
    <col collapsed="false" customWidth="false" hidden="true" outlineLevel="0" max="16" min="16" style="49" width="9.14"/>
    <col collapsed="false" customWidth="true" hidden="false" outlineLevel="0" max="17" min="17" style="49" width="11.13"/>
    <col collapsed="false" customWidth="true" hidden="false" outlineLevel="0" max="18" min="18" style="49" width="10.85"/>
    <col collapsed="false" customWidth="true" hidden="false" outlineLevel="0" max="19" min="19" style="49" width="12.28"/>
    <col collapsed="false" customWidth="true" hidden="false" outlineLevel="0" max="20" min="20" style="49" width="10.71"/>
    <col collapsed="false" customWidth="true" hidden="false" outlineLevel="0" max="21" min="21" style="58" width="14.85"/>
    <col collapsed="false" customWidth="true" hidden="false" outlineLevel="0" max="22" min="22" style="56" width="42.28"/>
    <col collapsed="false" customWidth="false" hidden="false" outlineLevel="0" max="24" min="23" style="58" width="9.14"/>
    <col collapsed="false" customWidth="true" hidden="false" outlineLevel="0" max="25" min="25" style="49" width="12.42"/>
    <col collapsed="false" customWidth="false" hidden="false" outlineLevel="0" max="257" min="26" style="49" width="9.14"/>
  </cols>
  <sheetData>
    <row r="1" customFormat="false" ht="12.75" hidden="false" customHeight="false" outlineLevel="0" collapsed="false">
      <c r="B1" s="59" t="s">
        <v>87</v>
      </c>
      <c r="C1" s="60"/>
      <c r="D1" s="60"/>
      <c r="E1" s="61"/>
      <c r="F1" s="61"/>
      <c r="G1" s="62"/>
      <c r="H1" s="62"/>
      <c r="I1" s="60" t="s">
        <v>88</v>
      </c>
      <c r="J1" s="63" t="n">
        <v>31</v>
      </c>
      <c r="K1" s="64" t="s">
        <v>89</v>
      </c>
      <c r="L1" s="65"/>
      <c r="M1" s="65"/>
      <c r="N1" s="65"/>
      <c r="O1" s="66"/>
      <c r="P1" s="65"/>
      <c r="Q1" s="67"/>
      <c r="R1" s="68"/>
      <c r="S1" s="69" t="s">
        <v>187</v>
      </c>
      <c r="T1" s="69"/>
      <c r="U1" s="70"/>
      <c r="V1" s="71"/>
      <c r="W1" s="72"/>
      <c r="X1" s="72"/>
    </row>
    <row r="2" customFormat="false" ht="12.75" hidden="false" customHeight="false" outlineLevel="0" collapsed="false">
      <c r="B2" s="62"/>
      <c r="C2" s="62"/>
      <c r="D2" s="62"/>
      <c r="E2" s="61"/>
      <c r="F2" s="61"/>
      <c r="G2" s="62"/>
      <c r="H2" s="62"/>
      <c r="I2" s="60"/>
      <c r="J2" s="63"/>
      <c r="K2" s="64" t="s">
        <v>91</v>
      </c>
      <c r="L2" s="65"/>
      <c r="M2" s="65"/>
      <c r="N2" s="65"/>
      <c r="O2" s="66"/>
      <c r="P2" s="65"/>
      <c r="Q2" s="67"/>
      <c r="R2" s="68"/>
      <c r="S2" s="69"/>
      <c r="T2" s="69"/>
      <c r="U2" s="70"/>
      <c r="V2" s="71"/>
      <c r="W2" s="72"/>
      <c r="X2" s="72"/>
    </row>
    <row r="3" customFormat="false" ht="12.75" hidden="false" customHeight="false" outlineLevel="0" collapsed="false">
      <c r="B3" s="62"/>
      <c r="C3" s="62"/>
      <c r="D3" s="62"/>
      <c r="E3" s="61"/>
      <c r="F3" s="61"/>
      <c r="G3" s="73" t="s">
        <v>83</v>
      </c>
      <c r="H3" s="62" t="s">
        <v>83</v>
      </c>
      <c r="I3" s="68" t="s">
        <v>83</v>
      </c>
      <c r="J3" s="74"/>
      <c r="K3" s="75" t="s">
        <v>83</v>
      </c>
      <c r="L3" s="65"/>
      <c r="M3" s="75" t="s">
        <v>83</v>
      </c>
      <c r="N3" s="65"/>
      <c r="O3" s="66"/>
      <c r="P3" s="75" t="s">
        <v>83</v>
      </c>
      <c r="Q3" s="67"/>
      <c r="R3" s="68"/>
      <c r="S3" s="69"/>
      <c r="T3" s="69"/>
      <c r="U3" s="70"/>
      <c r="V3" s="71"/>
      <c r="W3" s="72"/>
      <c r="X3" s="72"/>
    </row>
    <row r="4" customFormat="false" ht="12.75" hidden="false" customHeight="false" outlineLevel="0" collapsed="false">
      <c r="B4" s="62"/>
      <c r="C4" s="60"/>
      <c r="D4" s="60"/>
      <c r="E4" s="61"/>
      <c r="F4" s="61"/>
      <c r="G4" s="76"/>
      <c r="H4" s="62"/>
      <c r="I4" s="76"/>
      <c r="J4" s="74"/>
      <c r="K4" s="76"/>
      <c r="L4" s="65"/>
      <c r="M4" s="76"/>
      <c r="N4" s="68"/>
      <c r="O4" s="66"/>
      <c r="P4" s="68"/>
      <c r="Q4" s="67"/>
      <c r="R4" s="68"/>
      <c r="S4" s="69"/>
      <c r="T4" s="77"/>
      <c r="U4" s="78"/>
      <c r="V4" s="71"/>
      <c r="W4" s="72"/>
      <c r="X4" s="72"/>
    </row>
    <row r="5" customFormat="false" ht="12.75" hidden="false" customHeight="false" outlineLevel="0" collapsed="false">
      <c r="B5" s="62"/>
      <c r="C5" s="60"/>
      <c r="D5" s="60"/>
      <c r="E5" s="61"/>
      <c r="F5" s="61"/>
      <c r="G5" s="76"/>
      <c r="H5" s="62"/>
      <c r="I5" s="76"/>
      <c r="J5" s="74"/>
      <c r="K5" s="76"/>
      <c r="L5" s="65"/>
      <c r="M5" s="76"/>
      <c r="N5" s="68"/>
      <c r="O5" s="66"/>
      <c r="P5" s="68"/>
      <c r="Q5" s="67"/>
      <c r="R5" s="68"/>
      <c r="S5" s="69"/>
      <c r="T5" s="77"/>
      <c r="U5" s="78"/>
      <c r="V5" s="71"/>
      <c r="W5" s="72"/>
      <c r="X5" s="72"/>
    </row>
    <row r="6" customFormat="false" ht="12.75" hidden="false" customHeight="false" outlineLevel="0" collapsed="false">
      <c r="B6" s="130" t="s">
        <v>83</v>
      </c>
      <c r="C6" s="131" t="s">
        <v>83</v>
      </c>
      <c r="D6" s="132" t="s">
        <v>83</v>
      </c>
      <c r="E6" s="133" t="s">
        <v>83</v>
      </c>
      <c r="F6" s="133"/>
      <c r="G6" s="130" t="s">
        <v>83</v>
      </c>
      <c r="H6" s="134" t="s">
        <v>83</v>
      </c>
      <c r="I6" s="131" t="s">
        <v>83</v>
      </c>
      <c r="J6" s="135"/>
      <c r="K6" s="136"/>
      <c r="L6" s="136"/>
      <c r="M6" s="136"/>
      <c r="N6" s="136"/>
      <c r="O6" s="137"/>
      <c r="P6" s="136"/>
      <c r="Q6" s="138" t="s">
        <v>83</v>
      </c>
      <c r="R6" s="131"/>
      <c r="S6" s="130" t="s">
        <v>83</v>
      </c>
      <c r="T6" s="139"/>
      <c r="U6" s="140"/>
      <c r="V6" s="130"/>
      <c r="W6" s="88"/>
      <c r="X6" s="88"/>
    </row>
    <row r="7" customFormat="false" ht="12.75" hidden="false" customHeight="false" outlineLevel="0" collapsed="false">
      <c r="B7" s="79" t="s">
        <v>95</v>
      </c>
      <c r="C7" s="80" t="s">
        <v>96</v>
      </c>
      <c r="D7" s="80" t="s">
        <v>97</v>
      </c>
      <c r="E7" s="81" t="s">
        <v>98</v>
      </c>
      <c r="F7" s="81"/>
      <c r="G7" s="79" t="s">
        <v>99</v>
      </c>
      <c r="H7" s="79" t="s">
        <v>100</v>
      </c>
      <c r="I7" s="80" t="s">
        <v>101</v>
      </c>
      <c r="J7" s="82" t="s">
        <v>102</v>
      </c>
      <c r="K7" s="80" t="s">
        <v>103</v>
      </c>
      <c r="L7" s="80" t="s">
        <v>104</v>
      </c>
      <c r="M7" s="80" t="s">
        <v>105</v>
      </c>
      <c r="N7" s="80" t="s">
        <v>106</v>
      </c>
      <c r="O7" s="83" t="s">
        <v>107</v>
      </c>
      <c r="P7" s="80" t="s">
        <v>108</v>
      </c>
      <c r="Q7" s="84" t="s">
        <v>109</v>
      </c>
      <c r="R7" s="80" t="s">
        <v>110</v>
      </c>
      <c r="S7" s="79" t="s">
        <v>111</v>
      </c>
      <c r="T7" s="85" t="s">
        <v>112</v>
      </c>
      <c r="U7" s="86" t="s">
        <v>114</v>
      </c>
      <c r="V7" s="87" t="e">
        <f aca="false">+#REF!</f>
        <v>#REF!</v>
      </c>
      <c r="W7" s="88"/>
      <c r="X7" s="88"/>
    </row>
    <row r="8" customFormat="false" ht="12.75" hidden="false" customHeight="false" outlineLevel="0" collapsed="false">
      <c r="A8" s="101"/>
      <c r="B8" s="62" t="s">
        <v>3</v>
      </c>
      <c r="C8" s="60" t="s">
        <v>188</v>
      </c>
      <c r="D8" s="60" t="s">
        <v>189</v>
      </c>
      <c r="E8" s="61" t="n">
        <v>36617</v>
      </c>
      <c r="F8" s="61" t="n">
        <v>36830</v>
      </c>
      <c r="G8" s="62" t="s">
        <v>190</v>
      </c>
      <c r="H8" s="62" t="s">
        <v>135</v>
      </c>
      <c r="I8" s="60" t="s">
        <v>191</v>
      </c>
      <c r="J8" s="74" t="n">
        <v>0</v>
      </c>
      <c r="K8" s="65" t="n">
        <v>0</v>
      </c>
      <c r="L8" s="65" t="n">
        <v>0</v>
      </c>
      <c r="M8" s="65" t="n">
        <v>0</v>
      </c>
      <c r="N8" s="65" t="n">
        <v>0</v>
      </c>
      <c r="O8" s="66" t="n">
        <v>0</v>
      </c>
      <c r="P8" s="65" t="n">
        <f aca="false">SUM(J8:N8)</f>
        <v>0</v>
      </c>
      <c r="Q8" s="67" t="n">
        <v>51407</v>
      </c>
      <c r="R8" s="60" t="n">
        <v>73754</v>
      </c>
      <c r="S8" s="62" t="s">
        <v>192</v>
      </c>
      <c r="T8" s="102"/>
      <c r="U8" s="103" t="n">
        <v>156569</v>
      </c>
      <c r="V8" s="62"/>
      <c r="W8" s="88"/>
      <c r="X8" s="88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2.75" hidden="false" customHeight="false" outlineLevel="0" collapsed="false">
      <c r="A9" s="101"/>
      <c r="B9" s="62" t="s">
        <v>3</v>
      </c>
      <c r="C9" s="60" t="s">
        <v>188</v>
      </c>
      <c r="D9" s="60" t="s">
        <v>189</v>
      </c>
      <c r="E9" s="61" t="n">
        <v>36617</v>
      </c>
      <c r="F9" s="61" t="n">
        <v>36830</v>
      </c>
      <c r="G9" s="62" t="s">
        <v>190</v>
      </c>
      <c r="H9" s="62" t="s">
        <v>136</v>
      </c>
      <c r="I9" s="60" t="s">
        <v>191</v>
      </c>
      <c r="J9" s="74" t="n">
        <v>0</v>
      </c>
      <c r="K9" s="65" t="n">
        <v>0</v>
      </c>
      <c r="L9" s="65" t="n">
        <v>0</v>
      </c>
      <c r="M9" s="65" t="n">
        <v>0</v>
      </c>
      <c r="N9" s="65" t="n">
        <v>0</v>
      </c>
      <c r="O9" s="66" t="n">
        <v>0</v>
      </c>
      <c r="P9" s="65" t="n">
        <f aca="false">SUM(J9:N9)</f>
        <v>0</v>
      </c>
      <c r="Q9" s="67" t="n">
        <v>51407</v>
      </c>
      <c r="R9" s="60" t="n">
        <v>73754</v>
      </c>
      <c r="S9" s="62" t="s">
        <v>192</v>
      </c>
      <c r="T9" s="102"/>
      <c r="U9" s="103" t="n">
        <v>156569</v>
      </c>
      <c r="V9" s="62"/>
      <c r="W9" s="88"/>
      <c r="X9" s="88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A10" s="89"/>
      <c r="B10" s="90" t="s">
        <v>3</v>
      </c>
      <c r="C10" s="91" t="s">
        <v>188</v>
      </c>
      <c r="D10" s="91" t="s">
        <v>193</v>
      </c>
      <c r="E10" s="92" t="n">
        <v>36861</v>
      </c>
      <c r="F10" s="92" t="n">
        <v>36891</v>
      </c>
      <c r="G10" s="90"/>
      <c r="H10" s="90" t="s">
        <v>194</v>
      </c>
      <c r="I10" s="91" t="s">
        <v>41</v>
      </c>
      <c r="J10" s="93" t="n">
        <f aca="false">3.1/J$1</f>
        <v>0.1</v>
      </c>
      <c r="K10" s="94" t="n">
        <v>0.0132</v>
      </c>
      <c r="L10" s="94" t="n">
        <v>0.0022</v>
      </c>
      <c r="M10" s="94" t="n">
        <v>0.0075</v>
      </c>
      <c r="N10" s="94" t="n">
        <v>0</v>
      </c>
      <c r="O10" s="95" t="n">
        <v>0.02116</v>
      </c>
      <c r="P10" s="94" t="n">
        <f aca="false">SUM(J10:N10)</f>
        <v>0.1229</v>
      </c>
      <c r="Q10" s="96" t="n">
        <v>62164</v>
      </c>
      <c r="R10" s="91" t="n">
        <v>-2000</v>
      </c>
      <c r="S10" s="90" t="s">
        <v>195</v>
      </c>
      <c r="T10" s="98" t="n">
        <f aca="false">J10*J$1*R10</f>
        <v>-6200</v>
      </c>
      <c r="U10" s="100" t="n">
        <v>509063</v>
      </c>
      <c r="V10" s="100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customFormat="false" ht="12.75" hidden="false" customHeight="false" outlineLevel="0" collapsed="false">
      <c r="A11" s="89"/>
      <c r="B11" s="90" t="s">
        <v>3</v>
      </c>
      <c r="C11" s="91" t="s">
        <v>188</v>
      </c>
      <c r="D11" s="91" t="s">
        <v>21</v>
      </c>
      <c r="E11" s="92" t="n">
        <v>36495</v>
      </c>
      <c r="F11" s="92" t="n">
        <v>36891</v>
      </c>
      <c r="G11" s="90"/>
      <c r="H11" s="90" t="s">
        <v>194</v>
      </c>
      <c r="I11" s="91" t="s">
        <v>41</v>
      </c>
      <c r="J11" s="93" t="n">
        <f aca="false">3.0417/J$1</f>
        <v>0.0981193548387097</v>
      </c>
      <c r="K11" s="94" t="n">
        <v>0.0132</v>
      </c>
      <c r="L11" s="94" t="n">
        <v>0.0022</v>
      </c>
      <c r="M11" s="94" t="n">
        <v>0.0075</v>
      </c>
      <c r="N11" s="94" t="n">
        <v>0</v>
      </c>
      <c r="O11" s="95" t="n">
        <v>0.02116</v>
      </c>
      <c r="P11" s="94" t="n">
        <f aca="false">SUM(J11:N11)</f>
        <v>0.12101935483871</v>
      </c>
      <c r="Q11" s="96" t="n">
        <v>62164</v>
      </c>
      <c r="R11" s="91" t="n">
        <v>2000</v>
      </c>
      <c r="S11" s="90" t="s">
        <v>196</v>
      </c>
      <c r="T11" s="98" t="n">
        <f aca="false">J11*J$1*R11</f>
        <v>6083.4</v>
      </c>
      <c r="U11" s="100" t="n">
        <v>235649</v>
      </c>
      <c r="V11" s="100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customFormat="false" ht="12.75" hidden="false" customHeight="false" outlineLevel="0" collapsed="false">
      <c r="A12" s="89"/>
      <c r="B12" s="90" t="s">
        <v>3</v>
      </c>
      <c r="C12" s="91" t="s">
        <v>188</v>
      </c>
      <c r="D12" s="91" t="s">
        <v>116</v>
      </c>
      <c r="E12" s="92" t="n">
        <v>36557</v>
      </c>
      <c r="F12" s="92" t="n">
        <v>36922</v>
      </c>
      <c r="G12" s="90" t="s">
        <v>197</v>
      </c>
      <c r="H12" s="90" t="s">
        <v>198</v>
      </c>
      <c r="I12" s="91" t="s">
        <v>41</v>
      </c>
      <c r="J12" s="93" t="n">
        <f aca="false">6.431/J$1</f>
        <v>0.207451612903226</v>
      </c>
      <c r="K12" s="94"/>
      <c r="L12" s="94"/>
      <c r="M12" s="94"/>
      <c r="N12" s="94"/>
      <c r="O12" s="95"/>
      <c r="P12" s="94"/>
      <c r="Q12" s="96" t="n">
        <v>66280</v>
      </c>
      <c r="R12" s="91" t="n">
        <v>1</v>
      </c>
      <c r="S12" s="90" t="s">
        <v>199</v>
      </c>
      <c r="T12" s="98" t="n">
        <f aca="false">J12*J$1*R12</f>
        <v>6.431</v>
      </c>
      <c r="U12" s="99" t="n">
        <v>156606</v>
      </c>
      <c r="V12" s="90"/>
      <c r="W12" s="100"/>
      <c r="X12" s="100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customFormat="false" ht="12.75" hidden="false" customHeight="false" outlineLevel="0" collapsed="false">
      <c r="A13" s="89"/>
      <c r="B13" s="90" t="s">
        <v>3</v>
      </c>
      <c r="C13" s="91" t="s">
        <v>188</v>
      </c>
      <c r="D13" s="91" t="s">
        <v>116</v>
      </c>
      <c r="E13" s="92" t="n">
        <v>36557</v>
      </c>
      <c r="F13" s="92" t="n">
        <v>36922</v>
      </c>
      <c r="G13" s="90" t="s">
        <v>197</v>
      </c>
      <c r="H13" s="90" t="s">
        <v>200</v>
      </c>
      <c r="I13" s="91" t="s">
        <v>41</v>
      </c>
      <c r="J13" s="93" t="n">
        <f aca="false">6.431/J$1</f>
        <v>0.207451612903226</v>
      </c>
      <c r="K13" s="94"/>
      <c r="L13" s="94"/>
      <c r="M13" s="94"/>
      <c r="N13" s="94"/>
      <c r="O13" s="95"/>
      <c r="P13" s="94"/>
      <c r="Q13" s="96" t="n">
        <v>66280</v>
      </c>
      <c r="R13" s="91" t="n">
        <v>4</v>
      </c>
      <c r="S13" s="90" t="s">
        <v>199</v>
      </c>
      <c r="T13" s="98" t="n">
        <f aca="false">J13*J$1*R13</f>
        <v>25.724</v>
      </c>
      <c r="U13" s="99" t="n">
        <v>156606</v>
      </c>
      <c r="V13" s="90"/>
      <c r="W13" s="100"/>
      <c r="X13" s="100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customFormat="false" ht="12.75" hidden="false" customHeight="false" outlineLevel="0" collapsed="false">
      <c r="A14" s="101"/>
      <c r="B14" s="62" t="s">
        <v>3</v>
      </c>
      <c r="C14" s="60" t="s">
        <v>188</v>
      </c>
      <c r="D14" s="60" t="s">
        <v>201</v>
      </c>
      <c r="E14" s="61" t="n">
        <v>36617</v>
      </c>
      <c r="F14" s="61" t="s">
        <v>202</v>
      </c>
      <c r="G14" s="62" t="s">
        <v>203</v>
      </c>
      <c r="H14" s="62"/>
      <c r="I14" s="60" t="s">
        <v>204</v>
      </c>
      <c r="J14" s="74"/>
      <c r="K14" s="65"/>
      <c r="L14" s="65"/>
      <c r="M14" s="65"/>
      <c r="N14" s="65"/>
      <c r="O14" s="66"/>
      <c r="P14" s="65"/>
      <c r="Q14" s="67" t="n">
        <v>66917</v>
      </c>
      <c r="R14" s="60"/>
      <c r="S14" s="62"/>
      <c r="T14" s="102" t="n">
        <f aca="false">J14*J$1*R14</f>
        <v>0</v>
      </c>
      <c r="U14" s="103" t="n">
        <v>228085</v>
      </c>
      <c r="V14" s="62"/>
      <c r="W14" s="88"/>
      <c r="X14" s="88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</row>
    <row r="15" customFormat="false" ht="12.75" hidden="false" customHeight="false" outlineLevel="0" collapsed="false">
      <c r="A15" s="89"/>
      <c r="B15" s="90" t="s">
        <v>3</v>
      </c>
      <c r="C15" s="91" t="s">
        <v>188</v>
      </c>
      <c r="D15" s="91" t="s">
        <v>116</v>
      </c>
      <c r="E15" s="92" t="n">
        <v>36617</v>
      </c>
      <c r="F15" s="92" t="n">
        <v>36981</v>
      </c>
      <c r="G15" s="90" t="s">
        <v>197</v>
      </c>
      <c r="H15" s="90" t="s">
        <v>205</v>
      </c>
      <c r="I15" s="91" t="s">
        <v>41</v>
      </c>
      <c r="J15" s="93" t="n">
        <f aca="false">6.431/$J$1</f>
        <v>0.207451612903226</v>
      </c>
      <c r="K15" s="94"/>
      <c r="L15" s="94"/>
      <c r="M15" s="94"/>
      <c r="N15" s="94"/>
      <c r="O15" s="95"/>
      <c r="P15" s="94"/>
      <c r="Q15" s="96" t="n">
        <v>66939</v>
      </c>
      <c r="R15" s="91" t="n">
        <v>3</v>
      </c>
      <c r="S15" s="90" t="s">
        <v>206</v>
      </c>
      <c r="T15" s="98" t="n">
        <f aca="false">J15*J$1*R15</f>
        <v>19.293</v>
      </c>
      <c r="U15" s="99"/>
      <c r="V15" s="90"/>
      <c r="W15" s="100"/>
      <c r="X15" s="100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customFormat="false" ht="12.75" hidden="false" customHeight="false" outlineLevel="0" collapsed="false">
      <c r="A16" s="89"/>
      <c r="B16" s="90" t="s">
        <v>3</v>
      </c>
      <c r="C16" s="91" t="s">
        <v>188</v>
      </c>
      <c r="D16" s="91" t="s">
        <v>116</v>
      </c>
      <c r="E16" s="92" t="n">
        <v>36617</v>
      </c>
      <c r="F16" s="92" t="n">
        <v>36981</v>
      </c>
      <c r="G16" s="90" t="s">
        <v>197</v>
      </c>
      <c r="H16" s="90" t="s">
        <v>198</v>
      </c>
      <c r="I16" s="91" t="s">
        <v>41</v>
      </c>
      <c r="J16" s="93" t="n">
        <f aca="false">6.431/$J$1</f>
        <v>0.207451612903226</v>
      </c>
      <c r="K16" s="94"/>
      <c r="L16" s="94"/>
      <c r="M16" s="94"/>
      <c r="N16" s="94"/>
      <c r="O16" s="95"/>
      <c r="P16" s="94"/>
      <c r="Q16" s="96" t="n">
        <v>66939</v>
      </c>
      <c r="R16" s="91" t="n">
        <v>5</v>
      </c>
      <c r="S16" s="90" t="s">
        <v>206</v>
      </c>
      <c r="T16" s="98" t="n">
        <f aca="false">J16*J$1*R16</f>
        <v>32.155</v>
      </c>
      <c r="U16" s="99"/>
      <c r="V16" s="90"/>
      <c r="W16" s="100"/>
      <c r="X16" s="100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customFormat="false" ht="12.75" hidden="false" customHeight="false" outlineLevel="0" collapsed="false">
      <c r="A17" s="89"/>
      <c r="B17" s="90" t="s">
        <v>3</v>
      </c>
      <c r="C17" s="91" t="s">
        <v>188</v>
      </c>
      <c r="D17" s="91" t="s">
        <v>116</v>
      </c>
      <c r="E17" s="92" t="n">
        <v>36617</v>
      </c>
      <c r="F17" s="92" t="n">
        <v>36981</v>
      </c>
      <c r="G17" s="90" t="s">
        <v>197</v>
      </c>
      <c r="H17" s="90" t="s">
        <v>207</v>
      </c>
      <c r="I17" s="91" t="s">
        <v>41</v>
      </c>
      <c r="J17" s="93" t="n">
        <f aca="false">6.431/$J$1</f>
        <v>0.207451612903226</v>
      </c>
      <c r="K17" s="94"/>
      <c r="L17" s="94"/>
      <c r="M17" s="94"/>
      <c r="N17" s="94"/>
      <c r="O17" s="95"/>
      <c r="P17" s="94"/>
      <c r="Q17" s="96" t="n">
        <v>66939</v>
      </c>
      <c r="R17" s="91" t="n">
        <v>17</v>
      </c>
      <c r="S17" s="90" t="s">
        <v>206</v>
      </c>
      <c r="T17" s="98" t="n">
        <f aca="false">J17*J$1*R17</f>
        <v>109.327</v>
      </c>
      <c r="U17" s="99"/>
      <c r="V17" s="90"/>
      <c r="W17" s="100"/>
      <c r="X17" s="100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customFormat="false" ht="12.75" hidden="false" customHeight="false" outlineLevel="0" collapsed="false">
      <c r="A18" s="89"/>
      <c r="B18" s="90" t="s">
        <v>3</v>
      </c>
      <c r="C18" s="91" t="s">
        <v>188</v>
      </c>
      <c r="D18" s="91" t="s">
        <v>116</v>
      </c>
      <c r="E18" s="92" t="n">
        <v>36617</v>
      </c>
      <c r="F18" s="92" t="n">
        <v>36981</v>
      </c>
      <c r="G18" s="90" t="s">
        <v>197</v>
      </c>
      <c r="H18" s="90" t="s">
        <v>200</v>
      </c>
      <c r="I18" s="91" t="s">
        <v>41</v>
      </c>
      <c r="J18" s="93" t="n">
        <f aca="false">6.431/$J$1</f>
        <v>0.207451612903226</v>
      </c>
      <c r="K18" s="94"/>
      <c r="L18" s="94"/>
      <c r="M18" s="94"/>
      <c r="N18" s="94"/>
      <c r="O18" s="95"/>
      <c r="P18" s="94"/>
      <c r="Q18" s="96" t="n">
        <v>66939</v>
      </c>
      <c r="R18" s="91" t="n">
        <v>27</v>
      </c>
      <c r="S18" s="90" t="s">
        <v>206</v>
      </c>
      <c r="T18" s="98" t="n">
        <f aca="false">J18*J$1*R18</f>
        <v>173.637</v>
      </c>
      <c r="U18" s="99"/>
      <c r="V18" s="90"/>
      <c r="W18" s="100"/>
      <c r="X18" s="100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2.75" hidden="false" customHeight="false" outlineLevel="0" collapsed="false">
      <c r="A19" s="89"/>
      <c r="B19" s="90" t="s">
        <v>3</v>
      </c>
      <c r="C19" s="91" t="s">
        <v>188</v>
      </c>
      <c r="D19" s="91" t="s">
        <v>208</v>
      </c>
      <c r="E19" s="92" t="n">
        <v>36617</v>
      </c>
      <c r="F19" s="92" t="n">
        <v>36981</v>
      </c>
      <c r="G19" s="90" t="s">
        <v>209</v>
      </c>
      <c r="H19" s="90" t="s">
        <v>210</v>
      </c>
      <c r="I19" s="91" t="s">
        <v>41</v>
      </c>
      <c r="J19" s="93" t="n">
        <f aca="false">6.431/$J$1</f>
        <v>0.207451612903226</v>
      </c>
      <c r="K19" s="94"/>
      <c r="L19" s="94"/>
      <c r="M19" s="94"/>
      <c r="N19" s="94"/>
      <c r="O19" s="95"/>
      <c r="P19" s="94"/>
      <c r="Q19" s="96" t="n">
        <v>66940</v>
      </c>
      <c r="R19" s="91" t="n">
        <v>1</v>
      </c>
      <c r="S19" s="90" t="s">
        <v>211</v>
      </c>
      <c r="T19" s="98" t="n">
        <f aca="false">J19*J$1*R19</f>
        <v>6.431</v>
      </c>
      <c r="U19" s="99" t="n">
        <v>228134</v>
      </c>
      <c r="V19" s="90"/>
      <c r="W19" s="100"/>
      <c r="X19" s="100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customFormat="false" ht="12.75" hidden="false" customHeight="false" outlineLevel="0" collapsed="false">
      <c r="A20" s="89"/>
      <c r="B20" s="90" t="s">
        <v>3</v>
      </c>
      <c r="C20" s="91" t="s">
        <v>188</v>
      </c>
      <c r="D20" s="91" t="s">
        <v>208</v>
      </c>
      <c r="E20" s="92" t="n">
        <v>36617</v>
      </c>
      <c r="F20" s="92" t="n">
        <v>36981</v>
      </c>
      <c r="G20" s="90" t="s">
        <v>209</v>
      </c>
      <c r="H20" s="90" t="s">
        <v>212</v>
      </c>
      <c r="I20" s="91" t="s">
        <v>41</v>
      </c>
      <c r="J20" s="93" t="n">
        <f aca="false">6.431/$J$1</f>
        <v>0.207451612903226</v>
      </c>
      <c r="K20" s="94"/>
      <c r="L20" s="94"/>
      <c r="M20" s="94"/>
      <c r="N20" s="94"/>
      <c r="O20" s="95"/>
      <c r="P20" s="94"/>
      <c r="Q20" s="96" t="n">
        <v>66940</v>
      </c>
      <c r="R20" s="91" t="n">
        <v>1</v>
      </c>
      <c r="S20" s="90" t="s">
        <v>211</v>
      </c>
      <c r="T20" s="98" t="n">
        <f aca="false">J20*J$1*R20</f>
        <v>6.431</v>
      </c>
      <c r="U20" s="99" t="n">
        <v>228134</v>
      </c>
      <c r="V20" s="90"/>
      <c r="W20" s="100"/>
      <c r="X20" s="100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2.75" hidden="false" customHeight="false" outlineLevel="0" collapsed="false">
      <c r="A21" s="101"/>
      <c r="B21" s="62" t="s">
        <v>3</v>
      </c>
      <c r="C21" s="60" t="s">
        <v>188</v>
      </c>
      <c r="D21" s="60" t="s">
        <v>189</v>
      </c>
      <c r="E21" s="61" t="n">
        <v>36800</v>
      </c>
      <c r="F21" s="61" t="n">
        <v>36981</v>
      </c>
      <c r="G21" s="62" t="s">
        <v>190</v>
      </c>
      <c r="H21" s="62" t="s">
        <v>213</v>
      </c>
      <c r="I21" s="60" t="s">
        <v>214</v>
      </c>
      <c r="J21" s="93" t="n">
        <f aca="false">6.059/$J$1</f>
        <v>0.195451612903226</v>
      </c>
      <c r="K21" s="65" t="n">
        <v>0.013</v>
      </c>
      <c r="L21" s="65" t="n">
        <v>0.0022</v>
      </c>
      <c r="M21" s="65" t="n">
        <v>0.0072</v>
      </c>
      <c r="N21" s="65" t="n">
        <v>0</v>
      </c>
      <c r="O21" s="66" t="n">
        <v>0.02116</v>
      </c>
      <c r="P21" s="65" t="n">
        <f aca="false">SUM(J21:N21)</f>
        <v>0.217851612903226</v>
      </c>
      <c r="Q21" s="67" t="n">
        <v>67694</v>
      </c>
      <c r="R21" s="60" t="n">
        <v>108648</v>
      </c>
      <c r="S21" s="62" t="s">
        <v>83</v>
      </c>
      <c r="T21" s="102" t="n">
        <f aca="false">J21*J$1*R21</f>
        <v>658298.232</v>
      </c>
      <c r="U21" s="103" t="n">
        <v>231723</v>
      </c>
      <c r="V21" s="62"/>
      <c r="W21" s="88"/>
      <c r="X21" s="88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</row>
    <row r="22" customFormat="false" ht="12.75" hidden="false" customHeight="false" outlineLevel="0" collapsed="false">
      <c r="A22" s="101"/>
      <c r="B22" s="62" t="s">
        <v>3</v>
      </c>
      <c r="C22" s="60" t="s">
        <v>188</v>
      </c>
      <c r="D22" s="60" t="s">
        <v>189</v>
      </c>
      <c r="E22" s="61" t="n">
        <v>36617</v>
      </c>
      <c r="F22" s="61" t="n">
        <v>36981</v>
      </c>
      <c r="G22" s="62" t="s">
        <v>190</v>
      </c>
      <c r="H22" s="62" t="s">
        <v>136</v>
      </c>
      <c r="I22" s="60" t="s">
        <v>191</v>
      </c>
      <c r="J22" s="93" t="n">
        <v>1.524</v>
      </c>
      <c r="K22" s="65" t="n">
        <v>0</v>
      </c>
      <c r="L22" s="65" t="n">
        <v>0</v>
      </c>
      <c r="M22" s="65" t="n">
        <v>0</v>
      </c>
      <c r="N22" s="65" t="n">
        <v>0</v>
      </c>
      <c r="O22" s="66" t="n">
        <v>0</v>
      </c>
      <c r="P22" s="65" t="n">
        <f aca="false">SUM(J22:N22)</f>
        <v>1.524</v>
      </c>
      <c r="Q22" s="67" t="n">
        <v>67712</v>
      </c>
      <c r="R22" s="60" t="n">
        <v>108648</v>
      </c>
      <c r="S22" s="62" t="s">
        <v>215</v>
      </c>
      <c r="T22" s="102" t="n">
        <f aca="false">J22*R22</f>
        <v>165579.552</v>
      </c>
      <c r="U22" s="103" t="n">
        <v>235876</v>
      </c>
      <c r="V22" s="62" t="n">
        <v>231698</v>
      </c>
      <c r="W22" s="88"/>
      <c r="X22" s="88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</row>
    <row r="23" customFormat="false" ht="12.75" hidden="false" customHeight="false" outlineLevel="0" collapsed="false">
      <c r="A23" s="101"/>
      <c r="B23" s="62" t="s">
        <v>3</v>
      </c>
      <c r="C23" s="60" t="s">
        <v>188</v>
      </c>
      <c r="D23" s="60" t="s">
        <v>189</v>
      </c>
      <c r="E23" s="61" t="n">
        <v>36617</v>
      </c>
      <c r="F23" s="61" t="n">
        <v>36981</v>
      </c>
      <c r="G23" s="62" t="s">
        <v>190</v>
      </c>
      <c r="H23" s="62" t="s">
        <v>135</v>
      </c>
      <c r="I23" s="60" t="s">
        <v>191</v>
      </c>
      <c r="J23" s="93" t="n">
        <v>0.0293</v>
      </c>
      <c r="K23" s="65" t="n">
        <v>0</v>
      </c>
      <c r="L23" s="65" t="n">
        <v>0</v>
      </c>
      <c r="M23" s="65" t="n">
        <v>0</v>
      </c>
      <c r="N23" s="65" t="n">
        <v>0</v>
      </c>
      <c r="O23" s="66" t="n">
        <v>0</v>
      </c>
      <c r="P23" s="65" t="n">
        <f aca="false">SUM(J23:N23)</f>
        <v>0.0293</v>
      </c>
      <c r="Q23" s="67" t="n">
        <v>67712</v>
      </c>
      <c r="R23" s="60" t="n">
        <v>6050607</v>
      </c>
      <c r="S23" s="62" t="s">
        <v>215</v>
      </c>
      <c r="T23" s="102" t="n">
        <f aca="false">J23*R23</f>
        <v>177282.7851</v>
      </c>
      <c r="U23" s="103" t="n">
        <v>235876</v>
      </c>
      <c r="V23" s="62" t="n">
        <v>231698</v>
      </c>
      <c r="W23" s="88"/>
      <c r="X23" s="88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</row>
    <row r="24" customFormat="false" ht="12.75" hidden="false" customHeight="false" outlineLevel="0" collapsed="false">
      <c r="A24" s="101"/>
      <c r="B24" s="62" t="s">
        <v>3</v>
      </c>
      <c r="C24" s="60" t="s">
        <v>188</v>
      </c>
      <c r="D24" s="60" t="s">
        <v>189</v>
      </c>
      <c r="E24" s="61" t="n">
        <v>36617</v>
      </c>
      <c r="F24" s="61" t="n">
        <v>36981</v>
      </c>
      <c r="G24" s="62" t="s">
        <v>190</v>
      </c>
      <c r="H24" s="62" t="s">
        <v>135</v>
      </c>
      <c r="I24" s="60" t="s">
        <v>191</v>
      </c>
      <c r="J24" s="74" t="n">
        <v>0</v>
      </c>
      <c r="K24" s="65" t="n">
        <v>0</v>
      </c>
      <c r="L24" s="65" t="n">
        <v>0</v>
      </c>
      <c r="M24" s="65" t="n">
        <v>0</v>
      </c>
      <c r="N24" s="65" t="n">
        <v>0</v>
      </c>
      <c r="O24" s="66" t="n">
        <v>0</v>
      </c>
      <c r="P24" s="65" t="n">
        <f aca="false">SUM(J24:N24)</f>
        <v>0</v>
      </c>
      <c r="Q24" s="67" t="n">
        <v>67713</v>
      </c>
      <c r="R24" s="60" t="n">
        <v>0</v>
      </c>
      <c r="S24" s="62" t="s">
        <v>216</v>
      </c>
      <c r="T24" s="102" t="n">
        <f aca="false">J24*R24</f>
        <v>0</v>
      </c>
      <c r="U24" s="103" t="n">
        <v>235876</v>
      </c>
      <c r="V24" s="62"/>
      <c r="W24" s="88"/>
      <c r="X24" s="88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</row>
    <row r="25" customFormat="false" ht="12.75" hidden="false" customHeight="false" outlineLevel="0" collapsed="false">
      <c r="A25" s="101"/>
      <c r="B25" s="62" t="s">
        <v>3</v>
      </c>
      <c r="C25" s="60" t="s">
        <v>188</v>
      </c>
      <c r="D25" s="60" t="s">
        <v>189</v>
      </c>
      <c r="E25" s="61" t="n">
        <v>36617</v>
      </c>
      <c r="F25" s="61" t="n">
        <v>36981</v>
      </c>
      <c r="G25" s="62" t="s">
        <v>190</v>
      </c>
      <c r="H25" s="62" t="s">
        <v>136</v>
      </c>
      <c r="I25" s="60" t="s">
        <v>191</v>
      </c>
      <c r="J25" s="74" t="n">
        <v>0</v>
      </c>
      <c r="K25" s="65" t="n">
        <v>0</v>
      </c>
      <c r="L25" s="65" t="n">
        <v>0</v>
      </c>
      <c r="M25" s="65" t="n">
        <v>0</v>
      </c>
      <c r="N25" s="65" t="n">
        <v>0</v>
      </c>
      <c r="O25" s="66" t="n">
        <v>0</v>
      </c>
      <c r="P25" s="65" t="n">
        <f aca="false">SUM(J25:N25)</f>
        <v>0</v>
      </c>
      <c r="Q25" s="67" t="n">
        <v>67713</v>
      </c>
      <c r="R25" s="60" t="n">
        <v>0</v>
      </c>
      <c r="S25" s="62" t="s">
        <v>216</v>
      </c>
      <c r="T25" s="102" t="n">
        <f aca="false">J25*R25</f>
        <v>0</v>
      </c>
      <c r="U25" s="103" t="n">
        <v>235876</v>
      </c>
      <c r="V25" s="62"/>
      <c r="W25" s="88"/>
      <c r="X25" s="88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</row>
    <row r="26" customFormat="false" ht="12.75" hidden="false" customHeight="false" outlineLevel="0" collapsed="false">
      <c r="A26" s="89"/>
      <c r="B26" s="90" t="s">
        <v>3</v>
      </c>
      <c r="C26" s="91" t="s">
        <v>188</v>
      </c>
      <c r="D26" s="91" t="s">
        <v>208</v>
      </c>
      <c r="E26" s="92" t="n">
        <v>36647</v>
      </c>
      <c r="F26" s="92" t="n">
        <v>37011</v>
      </c>
      <c r="G26" s="90" t="s">
        <v>217</v>
      </c>
      <c r="H26" s="90" t="s">
        <v>218</v>
      </c>
      <c r="I26" s="91" t="s">
        <v>41</v>
      </c>
      <c r="J26" s="93" t="n">
        <f aca="false">6.431/$J$1</f>
        <v>0.207451612903226</v>
      </c>
      <c r="K26" s="94"/>
      <c r="L26" s="94"/>
      <c r="M26" s="94"/>
      <c r="N26" s="94"/>
      <c r="O26" s="95"/>
      <c r="P26" s="94"/>
      <c r="Q26" s="96" t="n">
        <v>68188</v>
      </c>
      <c r="R26" s="91" t="n">
        <v>1</v>
      </c>
      <c r="S26" s="90" t="s">
        <v>219</v>
      </c>
      <c r="T26" s="98" t="n">
        <f aca="false">J26*J$1*R26</f>
        <v>6.431</v>
      </c>
      <c r="U26" s="99" t="n">
        <v>253195</v>
      </c>
      <c r="V26" s="90"/>
      <c r="W26" s="100"/>
      <c r="X26" s="100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  <c r="IT26" s="89"/>
      <c r="IU26" s="89"/>
      <c r="IV26" s="89"/>
      <c r="IW26" s="89"/>
    </row>
    <row r="27" customFormat="false" ht="12.75" hidden="false" customHeight="false" outlineLevel="0" collapsed="false">
      <c r="A27" s="141"/>
      <c r="B27" s="115" t="s">
        <v>3</v>
      </c>
      <c r="C27" s="113" t="s">
        <v>188</v>
      </c>
      <c r="D27" s="113" t="s">
        <v>121</v>
      </c>
      <c r="E27" s="142" t="n">
        <v>36647</v>
      </c>
      <c r="F27" s="142" t="n">
        <v>37011</v>
      </c>
      <c r="G27" s="115" t="s">
        <v>197</v>
      </c>
      <c r="H27" s="115" t="s">
        <v>220</v>
      </c>
      <c r="I27" s="113" t="s">
        <v>41</v>
      </c>
      <c r="J27" s="93" t="n">
        <f aca="false">6.431/$J$1</f>
        <v>0.207451612903226</v>
      </c>
      <c r="K27" s="143"/>
      <c r="L27" s="143"/>
      <c r="M27" s="143"/>
      <c r="N27" s="143"/>
      <c r="O27" s="144"/>
      <c r="P27" s="143"/>
      <c r="Q27" s="145" t="n">
        <v>68257</v>
      </c>
      <c r="R27" s="113" t="n">
        <v>21</v>
      </c>
      <c r="S27" s="115" t="s">
        <v>221</v>
      </c>
      <c r="T27" s="98" t="n">
        <f aca="false">J27*J$1*R27</f>
        <v>135.051</v>
      </c>
      <c r="U27" s="120" t="n">
        <v>254718</v>
      </c>
      <c r="V27" s="115"/>
      <c r="W27" s="121"/>
      <c r="X27" s="12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  <c r="IW27" s="141"/>
    </row>
    <row r="28" customFormat="false" ht="12.75" hidden="false" customHeight="false" outlineLevel="0" collapsed="false">
      <c r="A28" s="89"/>
      <c r="B28" s="90" t="s">
        <v>3</v>
      </c>
      <c r="C28" s="91" t="s">
        <v>188</v>
      </c>
      <c r="D28" s="91" t="s">
        <v>116</v>
      </c>
      <c r="E28" s="92" t="n">
        <v>36656</v>
      </c>
      <c r="F28" s="92" t="n">
        <v>36950</v>
      </c>
      <c r="G28" s="90" t="s">
        <v>197</v>
      </c>
      <c r="H28" s="90" t="s">
        <v>200</v>
      </c>
      <c r="I28" s="91" t="s">
        <v>41</v>
      </c>
      <c r="J28" s="93" t="n">
        <f aca="false">6.431/$J$1</f>
        <v>0.207451612903226</v>
      </c>
      <c r="K28" s="94"/>
      <c r="L28" s="94"/>
      <c r="M28" s="94"/>
      <c r="N28" s="94"/>
      <c r="O28" s="95"/>
      <c r="P28" s="94"/>
      <c r="Q28" s="96" t="n">
        <v>68308</v>
      </c>
      <c r="R28" s="91" t="n">
        <v>4</v>
      </c>
      <c r="S28" s="90" t="s">
        <v>222</v>
      </c>
      <c r="T28" s="98" t="n">
        <f aca="false">J28*J$1*R28</f>
        <v>25.724</v>
      </c>
      <c r="U28" s="99" t="n">
        <v>262094</v>
      </c>
      <c r="V28" s="90"/>
      <c r="W28" s="100"/>
      <c r="X28" s="100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  <c r="IV28" s="89"/>
      <c r="IW28" s="89"/>
    </row>
    <row r="29" customFormat="false" ht="12.75" hidden="false" customHeight="false" outlineLevel="0" collapsed="false">
      <c r="A29" s="89"/>
      <c r="B29" s="90" t="s">
        <v>3</v>
      </c>
      <c r="C29" s="91" t="s">
        <v>188</v>
      </c>
      <c r="D29" s="91" t="s">
        <v>116</v>
      </c>
      <c r="E29" s="92" t="n">
        <v>36656</v>
      </c>
      <c r="F29" s="92" t="n">
        <v>36950</v>
      </c>
      <c r="G29" s="90" t="s">
        <v>197</v>
      </c>
      <c r="H29" s="90" t="s">
        <v>198</v>
      </c>
      <c r="I29" s="91" t="s">
        <v>41</v>
      </c>
      <c r="J29" s="93" t="n">
        <f aca="false">6.431/$J$1</f>
        <v>0.207451612903226</v>
      </c>
      <c r="K29" s="94"/>
      <c r="L29" s="94"/>
      <c r="M29" s="94"/>
      <c r="N29" s="94"/>
      <c r="O29" s="95"/>
      <c r="P29" s="94"/>
      <c r="Q29" s="96" t="n">
        <v>68308</v>
      </c>
      <c r="R29" s="91" t="n">
        <v>5</v>
      </c>
      <c r="S29" s="90" t="s">
        <v>222</v>
      </c>
      <c r="T29" s="98" t="n">
        <f aca="false">J29*J$1*R29</f>
        <v>32.155</v>
      </c>
      <c r="U29" s="99" t="n">
        <v>262094</v>
      </c>
      <c r="V29" s="90"/>
      <c r="W29" s="100"/>
      <c r="X29" s="100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</row>
    <row r="30" customFormat="false" ht="12.75" hidden="false" customHeight="false" outlineLevel="0" collapsed="false">
      <c r="A30" s="89"/>
      <c r="B30" s="90" t="s">
        <v>3</v>
      </c>
      <c r="C30" s="91" t="s">
        <v>188</v>
      </c>
      <c r="D30" s="91" t="s">
        <v>223</v>
      </c>
      <c r="E30" s="92" t="n">
        <v>36678</v>
      </c>
      <c r="F30" s="92" t="n">
        <v>37042</v>
      </c>
      <c r="G30" s="90" t="s">
        <v>224</v>
      </c>
      <c r="H30" s="90" t="s">
        <v>225</v>
      </c>
      <c r="I30" s="91" t="s">
        <v>41</v>
      </c>
      <c r="J30" s="93" t="n">
        <f aca="false">6.431/$J$1</f>
        <v>0.207451612903226</v>
      </c>
      <c r="K30" s="94" t="n">
        <v>0.0132</v>
      </c>
      <c r="L30" s="94" t="n">
        <v>0.0022</v>
      </c>
      <c r="M30" s="94" t="n">
        <v>0.0072</v>
      </c>
      <c r="N30" s="94" t="n">
        <v>0</v>
      </c>
      <c r="O30" s="95" t="n">
        <v>0.02116</v>
      </c>
      <c r="P30" s="94" t="n">
        <f aca="false">SUM(J30:N30)</f>
        <v>0.230051612903226</v>
      </c>
      <c r="Q30" s="96" t="n">
        <v>68359</v>
      </c>
      <c r="R30" s="91" t="n">
        <v>285</v>
      </c>
      <c r="S30" s="90" t="s">
        <v>226</v>
      </c>
      <c r="T30" s="98" t="n">
        <f aca="false">J30*J$1*R30</f>
        <v>1832.835</v>
      </c>
      <c r="U30" s="99" t="n">
        <v>271307</v>
      </c>
      <c r="V30" s="90"/>
      <c r="W30" s="100"/>
      <c r="X30" s="100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</row>
    <row r="31" customFormat="false" ht="12.75" hidden="false" customHeight="false" outlineLevel="0" collapsed="false">
      <c r="A31" s="89"/>
      <c r="B31" s="90" t="s">
        <v>3</v>
      </c>
      <c r="C31" s="91" t="s">
        <v>188</v>
      </c>
      <c r="D31" s="91" t="s">
        <v>227</v>
      </c>
      <c r="E31" s="92" t="n">
        <v>36678</v>
      </c>
      <c r="F31" s="92" t="n">
        <v>37042</v>
      </c>
      <c r="G31" s="90" t="s">
        <v>224</v>
      </c>
      <c r="H31" s="90" t="s">
        <v>228</v>
      </c>
      <c r="I31" s="91" t="s">
        <v>41</v>
      </c>
      <c r="J31" s="93" t="n">
        <f aca="false">6.431/$J$1</f>
        <v>0.207451612903226</v>
      </c>
      <c r="K31" s="94" t="n">
        <v>0.0132</v>
      </c>
      <c r="L31" s="94" t="n">
        <v>0.0022</v>
      </c>
      <c r="M31" s="94" t="n">
        <v>0.0072</v>
      </c>
      <c r="N31" s="94" t="n">
        <v>0</v>
      </c>
      <c r="O31" s="95" t="n">
        <v>0.02116</v>
      </c>
      <c r="P31" s="94" t="n">
        <f aca="false">SUM(J31:N31)</f>
        <v>0.230051612903226</v>
      </c>
      <c r="Q31" s="96" t="n">
        <v>68384</v>
      </c>
      <c r="R31" s="91" t="n">
        <v>23</v>
      </c>
      <c r="S31" s="90" t="s">
        <v>229</v>
      </c>
      <c r="T31" s="98" t="n">
        <f aca="false">J31*J$1*R31</f>
        <v>147.913</v>
      </c>
      <c r="U31" s="99" t="n">
        <v>280570</v>
      </c>
      <c r="V31" s="90"/>
      <c r="W31" s="100"/>
      <c r="X31" s="100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2.75" hidden="false" customHeight="false" outlineLevel="0" collapsed="false">
      <c r="A32" s="89"/>
      <c r="B32" s="90" t="s">
        <v>3</v>
      </c>
      <c r="C32" s="91" t="s">
        <v>188</v>
      </c>
      <c r="D32" s="91" t="s">
        <v>227</v>
      </c>
      <c r="E32" s="92" t="n">
        <v>36678</v>
      </c>
      <c r="F32" s="92" t="n">
        <v>37042</v>
      </c>
      <c r="G32" s="90" t="s">
        <v>224</v>
      </c>
      <c r="H32" s="90" t="s">
        <v>230</v>
      </c>
      <c r="I32" s="91" t="s">
        <v>41</v>
      </c>
      <c r="J32" s="93" t="n">
        <f aca="false">6.431/$J$1</f>
        <v>0.207451612903226</v>
      </c>
      <c r="K32" s="94" t="n">
        <v>0.0132</v>
      </c>
      <c r="L32" s="94" t="n">
        <v>0.0022</v>
      </c>
      <c r="M32" s="94" t="n">
        <v>0.0072</v>
      </c>
      <c r="N32" s="94" t="n">
        <v>0</v>
      </c>
      <c r="O32" s="95" t="n">
        <v>0.02116</v>
      </c>
      <c r="P32" s="94" t="n">
        <f aca="false">SUM(J32:N32)</f>
        <v>0.230051612903226</v>
      </c>
      <c r="Q32" s="96" t="n">
        <v>68384</v>
      </c>
      <c r="R32" s="91" t="n">
        <v>88</v>
      </c>
      <c r="S32" s="90" t="s">
        <v>229</v>
      </c>
      <c r="T32" s="98" t="n">
        <f aca="false">J32*J$1*R32</f>
        <v>565.928</v>
      </c>
      <c r="U32" s="99" t="n">
        <v>280570</v>
      </c>
      <c r="V32" s="90"/>
      <c r="W32" s="100"/>
      <c r="X32" s="100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</row>
    <row r="33" customFormat="false" ht="12.75" hidden="false" customHeight="false" outlineLevel="0" collapsed="false">
      <c r="A33" s="89"/>
      <c r="B33" s="90" t="s">
        <v>3</v>
      </c>
      <c r="C33" s="91" t="s">
        <v>188</v>
      </c>
      <c r="D33" s="91" t="s">
        <v>227</v>
      </c>
      <c r="E33" s="92" t="n">
        <v>36678</v>
      </c>
      <c r="F33" s="92" t="n">
        <v>37042</v>
      </c>
      <c r="G33" s="90" t="s">
        <v>224</v>
      </c>
      <c r="H33" s="90" t="s">
        <v>231</v>
      </c>
      <c r="I33" s="91" t="s">
        <v>41</v>
      </c>
      <c r="J33" s="93" t="n">
        <f aca="false">6.431/$J$1</f>
        <v>0.207451612903226</v>
      </c>
      <c r="K33" s="94" t="n">
        <v>0.0132</v>
      </c>
      <c r="L33" s="94" t="n">
        <v>0.0022</v>
      </c>
      <c r="M33" s="94" t="n">
        <v>0.0072</v>
      </c>
      <c r="N33" s="94" t="n">
        <v>0</v>
      </c>
      <c r="O33" s="95" t="n">
        <v>0.02116</v>
      </c>
      <c r="P33" s="94" t="n">
        <f aca="false">SUM(J33:N33)</f>
        <v>0.230051612903226</v>
      </c>
      <c r="Q33" s="96" t="n">
        <v>68384</v>
      </c>
      <c r="R33" s="91" t="n">
        <v>19</v>
      </c>
      <c r="S33" s="90" t="s">
        <v>229</v>
      </c>
      <c r="T33" s="98" t="n">
        <f aca="false">J33*J$1*R33</f>
        <v>122.189</v>
      </c>
      <c r="U33" s="99" t="n">
        <v>280570</v>
      </c>
      <c r="V33" s="90"/>
      <c r="W33" s="100"/>
      <c r="X33" s="100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  <c r="IW33" s="89"/>
    </row>
    <row r="34" customFormat="false" ht="12.75" hidden="false" customHeight="false" outlineLevel="0" collapsed="false">
      <c r="A34" s="89"/>
      <c r="B34" s="90" t="s">
        <v>3</v>
      </c>
      <c r="C34" s="91" t="s">
        <v>188</v>
      </c>
      <c r="D34" s="91" t="s">
        <v>227</v>
      </c>
      <c r="E34" s="92" t="n">
        <v>36678</v>
      </c>
      <c r="F34" s="92" t="n">
        <v>37042</v>
      </c>
      <c r="G34" s="90" t="s">
        <v>224</v>
      </c>
      <c r="H34" s="90" t="s">
        <v>207</v>
      </c>
      <c r="I34" s="91" t="s">
        <v>41</v>
      </c>
      <c r="J34" s="93" t="n">
        <f aca="false">6.431/$J$1</f>
        <v>0.207451612903226</v>
      </c>
      <c r="K34" s="94" t="n">
        <v>0.0132</v>
      </c>
      <c r="L34" s="94" t="n">
        <v>0.0022</v>
      </c>
      <c r="M34" s="94" t="n">
        <v>0.0072</v>
      </c>
      <c r="N34" s="94" t="n">
        <v>0</v>
      </c>
      <c r="O34" s="95" t="n">
        <v>0.02116</v>
      </c>
      <c r="P34" s="94" t="n">
        <f aca="false">SUM(J34:N34)</f>
        <v>0.230051612903226</v>
      </c>
      <c r="Q34" s="96" t="n">
        <v>68384</v>
      </c>
      <c r="R34" s="91" t="n">
        <v>88</v>
      </c>
      <c r="S34" s="90" t="s">
        <v>229</v>
      </c>
      <c r="T34" s="98" t="n">
        <f aca="false">J34*J$1*R34</f>
        <v>565.928</v>
      </c>
      <c r="U34" s="99" t="n">
        <v>280570</v>
      </c>
      <c r="V34" s="90"/>
      <c r="W34" s="100"/>
      <c r="X34" s="100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</row>
    <row r="35" customFormat="false" ht="12.75" hidden="false" customHeight="false" outlineLevel="0" collapsed="false">
      <c r="A35" s="89"/>
      <c r="B35" s="90" t="s">
        <v>3</v>
      </c>
      <c r="C35" s="91" t="s">
        <v>188</v>
      </c>
      <c r="D35" s="91" t="s">
        <v>223</v>
      </c>
      <c r="E35" s="92" t="n">
        <v>36708</v>
      </c>
      <c r="F35" s="92" t="n">
        <v>37072</v>
      </c>
      <c r="G35" s="90" t="s">
        <v>224</v>
      </c>
      <c r="H35" s="90" t="s">
        <v>220</v>
      </c>
      <c r="I35" s="91" t="s">
        <v>41</v>
      </c>
      <c r="J35" s="93" t="n">
        <f aca="false">6.431/$J$1</f>
        <v>0.207451612903226</v>
      </c>
      <c r="K35" s="94" t="n">
        <v>0.0132</v>
      </c>
      <c r="L35" s="94" t="n">
        <v>0.0022</v>
      </c>
      <c r="M35" s="94" t="n">
        <v>0.0072</v>
      </c>
      <c r="N35" s="94" t="n">
        <v>0</v>
      </c>
      <c r="O35" s="95" t="n">
        <v>0.02116</v>
      </c>
      <c r="P35" s="94" t="n">
        <f aca="false">SUM(J35:N35)</f>
        <v>0.230051612903226</v>
      </c>
      <c r="Q35" s="96" t="n">
        <v>68616</v>
      </c>
      <c r="R35" s="91" t="n">
        <v>900</v>
      </c>
      <c r="S35" s="90" t="s">
        <v>232</v>
      </c>
      <c r="T35" s="98" t="n">
        <f aca="false">J35*J$1*R35</f>
        <v>5787.9</v>
      </c>
      <c r="U35" s="99" t="n">
        <v>309723</v>
      </c>
      <c r="V35" s="90" t="s">
        <v>233</v>
      </c>
      <c r="W35" s="100"/>
      <c r="X35" s="100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</row>
    <row r="36" customFormat="false" ht="12.75" hidden="false" customHeight="false" outlineLevel="0" collapsed="false">
      <c r="A36" s="89"/>
      <c r="B36" s="90" t="s">
        <v>3</v>
      </c>
      <c r="C36" s="91" t="s">
        <v>188</v>
      </c>
      <c r="D36" s="91" t="s">
        <v>227</v>
      </c>
      <c r="E36" s="92" t="n">
        <v>36708</v>
      </c>
      <c r="F36" s="92" t="n">
        <v>37072</v>
      </c>
      <c r="G36" s="90" t="s">
        <v>224</v>
      </c>
      <c r="H36" s="90" t="s">
        <v>228</v>
      </c>
      <c r="I36" s="91" t="s">
        <v>41</v>
      </c>
      <c r="J36" s="93" t="n">
        <f aca="false">6.431/$J$1</f>
        <v>0.207451612903226</v>
      </c>
      <c r="K36" s="94" t="n">
        <v>0.0132</v>
      </c>
      <c r="L36" s="94" t="n">
        <v>0.0022</v>
      </c>
      <c r="M36" s="94" t="n">
        <v>0.0072</v>
      </c>
      <c r="N36" s="94" t="n">
        <v>0</v>
      </c>
      <c r="O36" s="95" t="n">
        <v>0.02116</v>
      </c>
      <c r="P36" s="94" t="n">
        <f aca="false">SUM(J36:N36)</f>
        <v>0.230051612903226</v>
      </c>
      <c r="Q36" s="96" t="n">
        <v>68635</v>
      </c>
      <c r="R36" s="91" t="n">
        <v>1</v>
      </c>
      <c r="S36" s="90" t="s">
        <v>234</v>
      </c>
      <c r="T36" s="98" t="n">
        <f aca="false">J36*J$1*R36</f>
        <v>6.431</v>
      </c>
      <c r="U36" s="99" t="n">
        <v>312333</v>
      </c>
      <c r="V36" s="90"/>
      <c r="W36" s="100"/>
      <c r="X36" s="100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  <c r="IW36" s="89"/>
    </row>
    <row r="37" customFormat="false" ht="12.75" hidden="false" customHeight="false" outlineLevel="0" collapsed="false">
      <c r="A37" s="89"/>
      <c r="B37" s="90" t="s">
        <v>3</v>
      </c>
      <c r="C37" s="91" t="s">
        <v>188</v>
      </c>
      <c r="D37" s="91" t="s">
        <v>40</v>
      </c>
      <c r="E37" s="92" t="n">
        <v>36831</v>
      </c>
      <c r="F37" s="92" t="n">
        <v>37195</v>
      </c>
      <c r="G37" s="90" t="s">
        <v>235</v>
      </c>
      <c r="H37" s="90" t="s">
        <v>236</v>
      </c>
      <c r="I37" s="91" t="s">
        <v>41</v>
      </c>
      <c r="J37" s="93" t="n">
        <f aca="false">5.171/J$1</f>
        <v>0.166806451612903</v>
      </c>
      <c r="K37" s="94" t="n">
        <v>0.0132</v>
      </c>
      <c r="L37" s="94" t="n">
        <v>0.0022</v>
      </c>
      <c r="M37" s="94" t="n">
        <v>0.0072</v>
      </c>
      <c r="N37" s="94" t="n">
        <v>0</v>
      </c>
      <c r="O37" s="95" t="n">
        <v>0.02116</v>
      </c>
      <c r="P37" s="94" t="n">
        <f aca="false">SUM(J37:N37)</f>
        <v>0.189406451612903</v>
      </c>
      <c r="Q37" s="96" t="n">
        <v>68915</v>
      </c>
      <c r="R37" s="91" t="n">
        <v>2400</v>
      </c>
      <c r="S37" s="90" t="s">
        <v>237</v>
      </c>
      <c r="T37" s="98" t="n">
        <f aca="false">J37*J$1*R37</f>
        <v>12410.4</v>
      </c>
      <c r="U37" s="99" t="s">
        <v>238</v>
      </c>
      <c r="V37" s="90"/>
      <c r="W37" s="100"/>
      <c r="X37" s="100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</row>
    <row r="38" customFormat="false" ht="12.75" hidden="false" customHeight="false" outlineLevel="0" collapsed="false">
      <c r="A38" s="89"/>
      <c r="B38" s="90" t="s">
        <v>3</v>
      </c>
      <c r="C38" s="91" t="s">
        <v>188</v>
      </c>
      <c r="D38" s="91" t="s">
        <v>40</v>
      </c>
      <c r="E38" s="92" t="n">
        <v>36831</v>
      </c>
      <c r="F38" s="92" t="n">
        <v>37195</v>
      </c>
      <c r="G38" s="90" t="s">
        <v>239</v>
      </c>
      <c r="H38" s="90" t="s">
        <v>240</v>
      </c>
      <c r="I38" s="91" t="s">
        <v>41</v>
      </c>
      <c r="J38" s="93" t="n">
        <f aca="false">5.18/J$1</f>
        <v>0.167096774193548</v>
      </c>
      <c r="K38" s="94" t="n">
        <v>0.0132</v>
      </c>
      <c r="L38" s="94" t="n">
        <v>0.0022</v>
      </c>
      <c r="M38" s="94" t="n">
        <v>0.0072</v>
      </c>
      <c r="N38" s="94" t="n">
        <v>0</v>
      </c>
      <c r="O38" s="95" t="n">
        <v>0.02116</v>
      </c>
      <c r="P38" s="94" t="n">
        <f aca="false">SUM(J38:N38)</f>
        <v>0.189696774193548</v>
      </c>
      <c r="Q38" s="96" t="n">
        <v>68916</v>
      </c>
      <c r="R38" s="91" t="n">
        <v>1915</v>
      </c>
      <c r="S38" s="90" t="s">
        <v>241</v>
      </c>
      <c r="T38" s="98" t="n">
        <f aca="false">J38*J$1*R38</f>
        <v>9919.7</v>
      </c>
      <c r="U38" s="99" t="s">
        <v>242</v>
      </c>
      <c r="V38" s="90"/>
      <c r="W38" s="100"/>
      <c r="X38" s="100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89"/>
      <c r="B39" s="90" t="s">
        <v>3</v>
      </c>
      <c r="C39" s="91" t="s">
        <v>188</v>
      </c>
      <c r="D39" s="91" t="s">
        <v>40</v>
      </c>
      <c r="E39" s="92" t="n">
        <v>36831</v>
      </c>
      <c r="F39" s="92" t="n">
        <v>37195</v>
      </c>
      <c r="G39" s="90" t="s">
        <v>239</v>
      </c>
      <c r="H39" s="90" t="s">
        <v>240</v>
      </c>
      <c r="I39" s="91" t="s">
        <v>41</v>
      </c>
      <c r="J39" s="93" t="n">
        <f aca="false">5.1807/J$1</f>
        <v>0.16711935483871</v>
      </c>
      <c r="K39" s="94" t="n">
        <v>0.0132</v>
      </c>
      <c r="L39" s="94" t="n">
        <v>0.0022</v>
      </c>
      <c r="M39" s="94" t="n">
        <v>0.0072</v>
      </c>
      <c r="N39" s="94" t="n">
        <v>0</v>
      </c>
      <c r="O39" s="95" t="n">
        <v>0.02116</v>
      </c>
      <c r="P39" s="94" t="n">
        <f aca="false">SUM(J39:N39)</f>
        <v>0.18971935483871</v>
      </c>
      <c r="Q39" s="96" t="n">
        <v>68917</v>
      </c>
      <c r="R39" s="91" t="n">
        <v>85</v>
      </c>
      <c r="S39" s="90" t="s">
        <v>241</v>
      </c>
      <c r="T39" s="98" t="n">
        <f aca="false">J39*J$1*R39</f>
        <v>440.3595</v>
      </c>
      <c r="U39" s="99" t="s">
        <v>243</v>
      </c>
      <c r="V39" s="90"/>
      <c r="W39" s="100"/>
      <c r="X39" s="100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  <c r="IW39" s="89"/>
    </row>
    <row r="40" customFormat="false" ht="12.75" hidden="false" customHeight="false" outlineLevel="0" collapsed="false">
      <c r="A40" s="89"/>
      <c r="B40" s="90" t="s">
        <v>3</v>
      </c>
      <c r="C40" s="91" t="s">
        <v>188</v>
      </c>
      <c r="D40" s="91" t="s">
        <v>40</v>
      </c>
      <c r="E40" s="92" t="n">
        <v>36831</v>
      </c>
      <c r="F40" s="92" t="n">
        <v>37195</v>
      </c>
      <c r="G40" s="90" t="s">
        <v>244</v>
      </c>
      <c r="H40" s="90" t="s">
        <v>245</v>
      </c>
      <c r="I40" s="91" t="s">
        <v>41</v>
      </c>
      <c r="J40" s="93" t="n">
        <f aca="false">5.171/J$1</f>
        <v>0.166806451612903</v>
      </c>
      <c r="K40" s="94" t="n">
        <v>0.0132</v>
      </c>
      <c r="L40" s="94" t="n">
        <v>0.0022</v>
      </c>
      <c r="M40" s="94" t="n">
        <v>0.0072</v>
      </c>
      <c r="N40" s="94" t="n">
        <v>0</v>
      </c>
      <c r="O40" s="95" t="n">
        <v>0.02116</v>
      </c>
      <c r="P40" s="94" t="n">
        <f aca="false">SUM(J40:N40)</f>
        <v>0.189406451612903</v>
      </c>
      <c r="Q40" s="96" t="n">
        <v>68918</v>
      </c>
      <c r="R40" s="91" t="n">
        <v>1000</v>
      </c>
      <c r="S40" s="90" t="s">
        <v>246</v>
      </c>
      <c r="T40" s="98" t="n">
        <f aca="false">J40*J$1*R40</f>
        <v>5171</v>
      </c>
      <c r="U40" s="99" t="s">
        <v>247</v>
      </c>
      <c r="V40" s="90"/>
      <c r="W40" s="100"/>
      <c r="X40" s="100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  <c r="IW40" s="89"/>
    </row>
    <row r="41" customFormat="false" ht="12.75" hidden="false" customHeight="false" outlineLevel="0" collapsed="false">
      <c r="A41" s="89"/>
      <c r="B41" s="90" t="s">
        <v>3</v>
      </c>
      <c r="C41" s="91" t="s">
        <v>188</v>
      </c>
      <c r="D41" s="91" t="s">
        <v>40</v>
      </c>
      <c r="E41" s="92" t="n">
        <v>36831</v>
      </c>
      <c r="F41" s="92" t="n">
        <v>37195</v>
      </c>
      <c r="G41" s="90" t="s">
        <v>239</v>
      </c>
      <c r="H41" s="90" t="s">
        <v>245</v>
      </c>
      <c r="I41" s="91" t="s">
        <v>41</v>
      </c>
      <c r="J41" s="93" t="n">
        <f aca="false">5.171/J$1</f>
        <v>0.166806451612903</v>
      </c>
      <c r="K41" s="94" t="n">
        <v>0.0132</v>
      </c>
      <c r="L41" s="94" t="n">
        <v>0.0022</v>
      </c>
      <c r="M41" s="94" t="n">
        <v>0.0072</v>
      </c>
      <c r="N41" s="94" t="n">
        <v>0</v>
      </c>
      <c r="O41" s="95" t="n">
        <v>0.02116</v>
      </c>
      <c r="P41" s="94" t="n">
        <f aca="false">SUM(J41:N41)</f>
        <v>0.189406451612903</v>
      </c>
      <c r="Q41" s="96" t="n">
        <v>68918</v>
      </c>
      <c r="R41" s="91" t="n">
        <v>2000</v>
      </c>
      <c r="S41" s="90" t="s">
        <v>246</v>
      </c>
      <c r="T41" s="98" t="n">
        <f aca="false">J41*J$1*R41</f>
        <v>10342</v>
      </c>
      <c r="U41" s="99" t="s">
        <v>247</v>
      </c>
      <c r="V41" s="90"/>
      <c r="W41" s="100"/>
      <c r="X41" s="100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  <c r="IW41" s="89"/>
    </row>
    <row r="42" customFormat="false" ht="12.75" hidden="false" customHeight="false" outlineLevel="0" collapsed="false">
      <c r="A42" s="89"/>
      <c r="B42" s="90" t="s">
        <v>3</v>
      </c>
      <c r="C42" s="91" t="s">
        <v>188</v>
      </c>
      <c r="D42" s="91" t="s">
        <v>40</v>
      </c>
      <c r="E42" s="92" t="n">
        <v>36831</v>
      </c>
      <c r="F42" s="92" t="n">
        <v>37195</v>
      </c>
      <c r="G42" s="90" t="s">
        <v>248</v>
      </c>
      <c r="H42" s="90" t="s">
        <v>245</v>
      </c>
      <c r="I42" s="91" t="s">
        <v>41</v>
      </c>
      <c r="J42" s="93" t="n">
        <f aca="false">5.171/J$1</f>
        <v>0.166806451612903</v>
      </c>
      <c r="K42" s="94" t="n">
        <v>0.0132</v>
      </c>
      <c r="L42" s="94" t="n">
        <v>0.0022</v>
      </c>
      <c r="M42" s="94" t="n">
        <v>0.0072</v>
      </c>
      <c r="N42" s="94" t="n">
        <v>0</v>
      </c>
      <c r="O42" s="95" t="n">
        <v>0.02116</v>
      </c>
      <c r="P42" s="94" t="n">
        <f aca="false">SUM(J42:N42)</f>
        <v>0.189406451612903</v>
      </c>
      <c r="Q42" s="96" t="n">
        <v>68918</v>
      </c>
      <c r="R42" s="91" t="n">
        <v>5000</v>
      </c>
      <c r="S42" s="90" t="s">
        <v>246</v>
      </c>
      <c r="T42" s="98" t="n">
        <f aca="false">J42*J$1*R42</f>
        <v>25855</v>
      </c>
      <c r="U42" s="99" t="s">
        <v>247</v>
      </c>
      <c r="V42" s="90"/>
      <c r="W42" s="100"/>
      <c r="X42" s="100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  <c r="IW42" s="89"/>
    </row>
    <row r="43" customFormat="false" ht="12.75" hidden="false" customHeight="false" outlineLevel="0" collapsed="false">
      <c r="A43" s="89"/>
      <c r="B43" s="90" t="s">
        <v>3</v>
      </c>
      <c r="C43" s="91" t="s">
        <v>188</v>
      </c>
      <c r="D43" s="91" t="s">
        <v>227</v>
      </c>
      <c r="E43" s="92" t="n">
        <v>36739</v>
      </c>
      <c r="F43" s="92" t="n">
        <v>37103</v>
      </c>
      <c r="G43" s="90" t="s">
        <v>224</v>
      </c>
      <c r="H43" s="90" t="s">
        <v>249</v>
      </c>
      <c r="I43" s="91" t="s">
        <v>41</v>
      </c>
      <c r="J43" s="93" t="n">
        <f aca="false">6.431/J$1</f>
        <v>0.207451612903226</v>
      </c>
      <c r="K43" s="94" t="n">
        <v>0.0132</v>
      </c>
      <c r="L43" s="94" t="n">
        <v>0.0022</v>
      </c>
      <c r="M43" s="94" t="n">
        <v>0.0072</v>
      </c>
      <c r="N43" s="94" t="n">
        <v>0</v>
      </c>
      <c r="O43" s="95" t="n">
        <v>0.02116</v>
      </c>
      <c r="P43" s="94" t="n">
        <f aca="false">SUM(J43:N43)</f>
        <v>0.230051612903226</v>
      </c>
      <c r="Q43" s="96" t="n">
        <v>68926</v>
      </c>
      <c r="R43" s="91" t="n">
        <v>2</v>
      </c>
      <c r="S43" s="90" t="s">
        <v>250</v>
      </c>
      <c r="T43" s="98" t="n">
        <f aca="false">J43*J$1*R43</f>
        <v>12.862</v>
      </c>
      <c r="U43" s="99" t="n">
        <v>345125</v>
      </c>
      <c r="V43" s="90"/>
      <c r="W43" s="100"/>
      <c r="X43" s="100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</row>
    <row r="44" customFormat="false" ht="12.75" hidden="false" customHeight="false" outlineLevel="0" collapsed="false">
      <c r="A44" s="89"/>
      <c r="B44" s="90" t="s">
        <v>3</v>
      </c>
      <c r="C44" s="91" t="s">
        <v>188</v>
      </c>
      <c r="D44" s="91" t="s">
        <v>227</v>
      </c>
      <c r="E44" s="92" t="n">
        <v>36739</v>
      </c>
      <c r="F44" s="92" t="n">
        <v>37103</v>
      </c>
      <c r="G44" s="90" t="s">
        <v>224</v>
      </c>
      <c r="H44" s="90" t="s">
        <v>251</v>
      </c>
      <c r="I44" s="91" t="s">
        <v>41</v>
      </c>
      <c r="J44" s="93" t="n">
        <f aca="false">6.431/J$1</f>
        <v>0.207451612903226</v>
      </c>
      <c r="K44" s="94" t="n">
        <v>0.0132</v>
      </c>
      <c r="L44" s="94" t="n">
        <v>0.0022</v>
      </c>
      <c r="M44" s="94" t="n">
        <v>0.0072</v>
      </c>
      <c r="N44" s="94" t="n">
        <v>0</v>
      </c>
      <c r="O44" s="95" t="n">
        <v>0.02116</v>
      </c>
      <c r="P44" s="94" t="n">
        <f aca="false">SUM(J44:N44)</f>
        <v>0.230051612903226</v>
      </c>
      <c r="Q44" s="96" t="n">
        <v>68926</v>
      </c>
      <c r="R44" s="91" t="n">
        <v>2</v>
      </c>
      <c r="S44" s="90" t="s">
        <v>250</v>
      </c>
      <c r="T44" s="98" t="n">
        <f aca="false">J44*J$1*R44</f>
        <v>12.862</v>
      </c>
      <c r="U44" s="99" t="n">
        <v>345125</v>
      </c>
      <c r="V44" s="90"/>
      <c r="W44" s="100"/>
      <c r="X44" s="100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  <c r="IW44" s="89"/>
    </row>
    <row r="45" customFormat="false" ht="12.75" hidden="false" customHeight="false" outlineLevel="0" collapsed="false">
      <c r="A45" s="89"/>
      <c r="B45" s="115" t="s">
        <v>3</v>
      </c>
      <c r="C45" s="113" t="s">
        <v>188</v>
      </c>
      <c r="D45" s="113" t="s">
        <v>121</v>
      </c>
      <c r="E45" s="142" t="n">
        <v>36739</v>
      </c>
      <c r="F45" s="142" t="n">
        <v>37103</v>
      </c>
      <c r="G45" s="115" t="s">
        <v>197</v>
      </c>
      <c r="H45" s="115" t="s">
        <v>252</v>
      </c>
      <c r="I45" s="113" t="s">
        <v>41</v>
      </c>
      <c r="J45" s="93" t="n">
        <f aca="false">6.431/$J$1</f>
        <v>0.207451612903226</v>
      </c>
      <c r="K45" s="143"/>
      <c r="L45" s="143"/>
      <c r="M45" s="143"/>
      <c r="N45" s="143"/>
      <c r="O45" s="144"/>
      <c r="P45" s="143"/>
      <c r="Q45" s="145" t="n">
        <v>68928</v>
      </c>
      <c r="R45" s="113" t="n">
        <v>47</v>
      </c>
      <c r="S45" s="115" t="s">
        <v>253</v>
      </c>
      <c r="T45" s="98" t="n">
        <f aca="false">J45*J$1*R45</f>
        <v>302.257</v>
      </c>
      <c r="U45" s="120" t="n">
        <v>351966</v>
      </c>
      <c r="V45" s="115"/>
      <c r="W45" s="121"/>
      <c r="X45" s="121"/>
      <c r="Y45" s="141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  <c r="IW45" s="89"/>
    </row>
    <row r="46" customFormat="false" ht="12.75" hidden="false" customHeight="false" outlineLevel="0" collapsed="false">
      <c r="A46" s="89"/>
      <c r="B46" s="115" t="s">
        <v>3</v>
      </c>
      <c r="C46" s="113" t="s">
        <v>188</v>
      </c>
      <c r="D46" s="113" t="s">
        <v>116</v>
      </c>
      <c r="E46" s="142" t="n">
        <v>36770</v>
      </c>
      <c r="F46" s="142" t="n">
        <v>37134</v>
      </c>
      <c r="G46" s="115" t="s">
        <v>197</v>
      </c>
      <c r="H46" s="115" t="s">
        <v>254</v>
      </c>
      <c r="I46" s="113" t="s">
        <v>41</v>
      </c>
      <c r="J46" s="93" t="n">
        <f aca="false">6.431/$J$1</f>
        <v>0.207451612903226</v>
      </c>
      <c r="K46" s="143"/>
      <c r="L46" s="143"/>
      <c r="M46" s="143"/>
      <c r="N46" s="143"/>
      <c r="O46" s="144"/>
      <c r="P46" s="143"/>
      <c r="Q46" s="145" t="n">
        <v>69144</v>
      </c>
      <c r="R46" s="113" t="n">
        <v>4</v>
      </c>
      <c r="S46" s="115" t="s">
        <v>255</v>
      </c>
      <c r="T46" s="98" t="n">
        <f aca="false">J46*J$1*R46</f>
        <v>25.724</v>
      </c>
      <c r="U46" s="120"/>
      <c r="V46" s="115"/>
      <c r="W46" s="121"/>
      <c r="X46" s="121"/>
      <c r="Y46" s="141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  <c r="IW46" s="89"/>
    </row>
    <row r="47" customFormat="false" ht="12.75" hidden="false" customHeight="false" outlineLevel="0" collapsed="false">
      <c r="A47" s="89"/>
      <c r="B47" s="115" t="s">
        <v>3</v>
      </c>
      <c r="C47" s="113" t="s">
        <v>188</v>
      </c>
      <c r="D47" s="113" t="s">
        <v>116</v>
      </c>
      <c r="E47" s="142" t="n">
        <v>36770</v>
      </c>
      <c r="F47" s="142" t="n">
        <v>37134</v>
      </c>
      <c r="G47" s="115" t="s">
        <v>197</v>
      </c>
      <c r="H47" s="115" t="s">
        <v>249</v>
      </c>
      <c r="I47" s="113" t="s">
        <v>41</v>
      </c>
      <c r="J47" s="93" t="n">
        <f aca="false">6.431/$J$1</f>
        <v>0.207451612903226</v>
      </c>
      <c r="K47" s="143"/>
      <c r="L47" s="143"/>
      <c r="M47" s="143"/>
      <c r="N47" s="143"/>
      <c r="O47" s="144"/>
      <c r="P47" s="143"/>
      <c r="Q47" s="145" t="n">
        <v>69144</v>
      </c>
      <c r="R47" s="113" t="n">
        <v>23</v>
      </c>
      <c r="S47" s="115" t="s">
        <v>255</v>
      </c>
      <c r="T47" s="98" t="n">
        <f aca="false">J47*J$1*R47</f>
        <v>147.913</v>
      </c>
      <c r="U47" s="120"/>
      <c r="V47" s="115"/>
      <c r="W47" s="121"/>
      <c r="X47" s="121"/>
      <c r="Y47" s="141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2.75" hidden="false" customHeight="false" outlineLevel="0" collapsed="false">
      <c r="A48" s="89"/>
      <c r="B48" s="115" t="s">
        <v>3</v>
      </c>
      <c r="C48" s="113" t="s">
        <v>188</v>
      </c>
      <c r="D48" s="113" t="s">
        <v>116</v>
      </c>
      <c r="E48" s="142" t="n">
        <v>36770</v>
      </c>
      <c r="F48" s="142" t="n">
        <v>37134</v>
      </c>
      <c r="G48" s="115" t="s">
        <v>197</v>
      </c>
      <c r="H48" s="115" t="s">
        <v>256</v>
      </c>
      <c r="I48" s="113" t="s">
        <v>41</v>
      </c>
      <c r="J48" s="93" t="n">
        <f aca="false">6.431/$J$1</f>
        <v>0.207451612903226</v>
      </c>
      <c r="K48" s="143"/>
      <c r="L48" s="143"/>
      <c r="M48" s="143"/>
      <c r="N48" s="143"/>
      <c r="O48" s="144"/>
      <c r="P48" s="143"/>
      <c r="Q48" s="145" t="n">
        <v>69144</v>
      </c>
      <c r="R48" s="113" t="n">
        <v>4</v>
      </c>
      <c r="S48" s="115" t="s">
        <v>255</v>
      </c>
      <c r="T48" s="98" t="n">
        <f aca="false">J48*J$1*R48</f>
        <v>25.724</v>
      </c>
      <c r="U48" s="120"/>
      <c r="V48" s="115"/>
      <c r="W48" s="121"/>
      <c r="X48" s="121"/>
      <c r="Y48" s="141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</row>
    <row r="49" customFormat="false" ht="12.75" hidden="false" customHeight="false" outlineLevel="0" collapsed="false">
      <c r="A49" s="89"/>
      <c r="B49" s="115" t="s">
        <v>3</v>
      </c>
      <c r="C49" s="113" t="s">
        <v>188</v>
      </c>
      <c r="D49" s="113" t="s">
        <v>116</v>
      </c>
      <c r="E49" s="142" t="n">
        <v>36770</v>
      </c>
      <c r="F49" s="142" t="n">
        <v>37134</v>
      </c>
      <c r="G49" s="115" t="s">
        <v>197</v>
      </c>
      <c r="H49" s="115" t="s">
        <v>257</v>
      </c>
      <c r="I49" s="113" t="s">
        <v>41</v>
      </c>
      <c r="J49" s="93" t="n">
        <f aca="false">6.431/$J$1</f>
        <v>0.207451612903226</v>
      </c>
      <c r="K49" s="143"/>
      <c r="L49" s="143"/>
      <c r="M49" s="143"/>
      <c r="N49" s="143"/>
      <c r="O49" s="144"/>
      <c r="P49" s="143"/>
      <c r="Q49" s="145" t="n">
        <v>69144</v>
      </c>
      <c r="R49" s="113" t="n">
        <v>31</v>
      </c>
      <c r="S49" s="115" t="s">
        <v>255</v>
      </c>
      <c r="T49" s="98" t="n">
        <f aca="false">J49*J$1*R49</f>
        <v>199.361</v>
      </c>
      <c r="U49" s="120"/>
      <c r="V49" s="115"/>
      <c r="W49" s="121"/>
      <c r="X49" s="121"/>
      <c r="Y49" s="141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  <c r="IW49" s="89"/>
    </row>
    <row r="50" customFormat="false" ht="12.75" hidden="false" customHeight="false" outlineLevel="0" collapsed="false">
      <c r="A50" s="141"/>
      <c r="B50" s="90" t="s">
        <v>3</v>
      </c>
      <c r="C50" s="91" t="s">
        <v>188</v>
      </c>
      <c r="D50" s="91" t="s">
        <v>40</v>
      </c>
      <c r="E50" s="92" t="n">
        <v>36831</v>
      </c>
      <c r="F50" s="92" t="n">
        <v>37195</v>
      </c>
      <c r="G50" s="90" t="s">
        <v>248</v>
      </c>
      <c r="H50" s="90" t="s">
        <v>236</v>
      </c>
      <c r="I50" s="91" t="s">
        <v>41</v>
      </c>
      <c r="J50" s="93" t="n">
        <f aca="false">5.171/J$1</f>
        <v>0.166806451612903</v>
      </c>
      <c r="K50" s="94" t="n">
        <v>0.0132</v>
      </c>
      <c r="L50" s="94" t="n">
        <v>0.0022</v>
      </c>
      <c r="M50" s="94" t="n">
        <v>0.0072</v>
      </c>
      <c r="N50" s="94" t="n">
        <v>0</v>
      </c>
      <c r="O50" s="95" t="n">
        <v>0.02116</v>
      </c>
      <c r="P50" s="94" t="n">
        <f aca="false">SUM(J50:N50)</f>
        <v>0.189406451612903</v>
      </c>
      <c r="Q50" s="96" t="n">
        <v>69148</v>
      </c>
      <c r="R50" s="91" t="n">
        <v>500</v>
      </c>
      <c r="S50" s="90" t="s">
        <v>258</v>
      </c>
      <c r="T50" s="98" t="n">
        <f aca="false">J50*J$1*R50</f>
        <v>2585.5</v>
      </c>
      <c r="U50" s="99" t="s">
        <v>259</v>
      </c>
      <c r="V50" s="90"/>
      <c r="W50" s="100"/>
      <c r="X50" s="100"/>
      <c r="Y50" s="89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  <c r="IW50" s="141"/>
    </row>
    <row r="51" customFormat="false" ht="12.75" hidden="false" customHeight="false" outlineLevel="0" collapsed="false">
      <c r="A51" s="141"/>
      <c r="B51" s="90" t="s">
        <v>3</v>
      </c>
      <c r="C51" s="91" t="s">
        <v>188</v>
      </c>
      <c r="D51" s="91" t="s">
        <v>40</v>
      </c>
      <c r="E51" s="92" t="n">
        <v>36831</v>
      </c>
      <c r="F51" s="92" t="n">
        <v>37195</v>
      </c>
      <c r="G51" s="90" t="s">
        <v>239</v>
      </c>
      <c r="H51" s="90" t="s">
        <v>240</v>
      </c>
      <c r="I51" s="91" t="s">
        <v>41</v>
      </c>
      <c r="J51" s="93" t="n">
        <f aca="false">5.18/J$1</f>
        <v>0.167096774193548</v>
      </c>
      <c r="K51" s="94" t="n">
        <v>0.0132</v>
      </c>
      <c r="L51" s="94" t="n">
        <v>0.0022</v>
      </c>
      <c r="M51" s="94" t="n">
        <v>0.0072</v>
      </c>
      <c r="N51" s="94" t="n">
        <v>0</v>
      </c>
      <c r="O51" s="95" t="n">
        <v>0.02116</v>
      </c>
      <c r="P51" s="94" t="n">
        <f aca="false">SUM(J51:N51)</f>
        <v>0.189696774193548</v>
      </c>
      <c r="Q51" s="96" t="n">
        <v>69149</v>
      </c>
      <c r="R51" s="91" t="n">
        <v>1000</v>
      </c>
      <c r="S51" s="90" t="s">
        <v>260</v>
      </c>
      <c r="T51" s="98" t="n">
        <f aca="false">J51*J$1*R51</f>
        <v>5180</v>
      </c>
      <c r="U51" s="99"/>
      <c r="V51" s="90"/>
      <c r="W51" s="100"/>
      <c r="X51" s="100"/>
      <c r="Y51" s="89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  <c r="IT51" s="141"/>
      <c r="IU51" s="141"/>
      <c r="IV51" s="141"/>
      <c r="IW51" s="141"/>
    </row>
    <row r="52" customFormat="false" ht="12.75" hidden="false" customHeight="false" outlineLevel="0" collapsed="false">
      <c r="A52" s="141"/>
      <c r="B52" s="115" t="s">
        <v>3</v>
      </c>
      <c r="C52" s="113" t="s">
        <v>188</v>
      </c>
      <c r="D52" s="113" t="s">
        <v>116</v>
      </c>
      <c r="E52" s="142" t="n">
        <v>36800</v>
      </c>
      <c r="F52" s="142" t="n">
        <v>37164</v>
      </c>
      <c r="G52" s="115" t="s">
        <v>197</v>
      </c>
      <c r="H52" s="115" t="s">
        <v>254</v>
      </c>
      <c r="I52" s="113" t="s">
        <v>41</v>
      </c>
      <c r="J52" s="93" t="n">
        <f aca="false">6.431/$J$1</f>
        <v>0.207451612903226</v>
      </c>
      <c r="K52" s="143"/>
      <c r="L52" s="143"/>
      <c r="M52" s="143"/>
      <c r="N52" s="143"/>
      <c r="O52" s="144"/>
      <c r="P52" s="143"/>
      <c r="Q52" s="145" t="n">
        <v>69424</v>
      </c>
      <c r="R52" s="113" t="n">
        <v>1</v>
      </c>
      <c r="S52" s="115" t="s">
        <v>261</v>
      </c>
      <c r="T52" s="98" t="n">
        <f aca="false">J52*J$1*R52</f>
        <v>6.431</v>
      </c>
      <c r="U52" s="120" t="n">
        <v>418221</v>
      </c>
      <c r="V52" s="115"/>
      <c r="W52" s="121"/>
      <c r="X52" s="12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1"/>
      <c r="IT52" s="141"/>
      <c r="IU52" s="141"/>
      <c r="IV52" s="141"/>
      <c r="IW52" s="141"/>
    </row>
    <row r="53" customFormat="false" ht="12.75" hidden="false" customHeight="false" outlineLevel="0" collapsed="false">
      <c r="A53" s="141"/>
      <c r="B53" s="115" t="s">
        <v>3</v>
      </c>
      <c r="C53" s="113" t="s">
        <v>188</v>
      </c>
      <c r="D53" s="113" t="s">
        <v>116</v>
      </c>
      <c r="E53" s="142" t="n">
        <v>36800</v>
      </c>
      <c r="F53" s="142" t="n">
        <v>37164</v>
      </c>
      <c r="G53" s="115" t="s">
        <v>197</v>
      </c>
      <c r="H53" s="115" t="s">
        <v>249</v>
      </c>
      <c r="I53" s="113" t="s">
        <v>41</v>
      </c>
      <c r="J53" s="93" t="n">
        <f aca="false">6.431/$J$1</f>
        <v>0.207451612903226</v>
      </c>
      <c r="K53" s="143"/>
      <c r="L53" s="143"/>
      <c r="M53" s="143"/>
      <c r="N53" s="143"/>
      <c r="O53" s="144"/>
      <c r="P53" s="143"/>
      <c r="Q53" s="145" t="n">
        <v>69424</v>
      </c>
      <c r="R53" s="113" t="n">
        <v>1</v>
      </c>
      <c r="S53" s="115" t="s">
        <v>261</v>
      </c>
      <c r="T53" s="98" t="n">
        <f aca="false">J53*J$1*R53</f>
        <v>6.431</v>
      </c>
      <c r="U53" s="120" t="n">
        <v>418221</v>
      </c>
      <c r="V53" s="115"/>
      <c r="W53" s="121"/>
      <c r="X53" s="12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  <c r="IT53" s="141"/>
      <c r="IU53" s="141"/>
      <c r="IV53" s="141"/>
      <c r="IW53" s="141"/>
    </row>
    <row r="54" customFormat="false" ht="12.75" hidden="false" customHeight="false" outlineLevel="0" collapsed="false">
      <c r="A54" s="141"/>
      <c r="B54" s="115" t="s">
        <v>3</v>
      </c>
      <c r="C54" s="113" t="s">
        <v>188</v>
      </c>
      <c r="D54" s="113" t="s">
        <v>116</v>
      </c>
      <c r="E54" s="142" t="n">
        <v>36800</v>
      </c>
      <c r="F54" s="142" t="n">
        <v>37164</v>
      </c>
      <c r="G54" s="115" t="s">
        <v>197</v>
      </c>
      <c r="H54" s="115" t="s">
        <v>257</v>
      </c>
      <c r="I54" s="113" t="s">
        <v>41</v>
      </c>
      <c r="J54" s="93" t="n">
        <f aca="false">6.431/$J$1</f>
        <v>0.207451612903226</v>
      </c>
      <c r="K54" s="143"/>
      <c r="L54" s="143"/>
      <c r="M54" s="143"/>
      <c r="N54" s="143"/>
      <c r="O54" s="144"/>
      <c r="P54" s="143"/>
      <c r="Q54" s="145" t="n">
        <v>69424</v>
      </c>
      <c r="R54" s="113" t="n">
        <v>11</v>
      </c>
      <c r="S54" s="115" t="s">
        <v>261</v>
      </c>
      <c r="T54" s="98" t="n">
        <f aca="false">J54*J$1*R54</f>
        <v>70.741</v>
      </c>
      <c r="U54" s="120" t="n">
        <v>418221</v>
      </c>
      <c r="V54" s="115"/>
      <c r="W54" s="121"/>
      <c r="X54" s="12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</row>
    <row r="55" customFormat="false" ht="12.75" hidden="false" customHeight="false" outlineLevel="0" collapsed="false">
      <c r="A55" s="89"/>
      <c r="B55" s="90" t="s">
        <v>3</v>
      </c>
      <c r="C55" s="91" t="s">
        <v>188</v>
      </c>
      <c r="D55" s="91" t="s">
        <v>40</v>
      </c>
      <c r="E55" s="92" t="n">
        <v>36831</v>
      </c>
      <c r="F55" s="92" t="n">
        <v>37195</v>
      </c>
      <c r="G55" s="90" t="s">
        <v>262</v>
      </c>
      <c r="H55" s="90" t="s">
        <v>236</v>
      </c>
      <c r="I55" s="91" t="s">
        <v>41</v>
      </c>
      <c r="J55" s="93" t="n">
        <f aca="false">5.171/J$1</f>
        <v>0.166806451612903</v>
      </c>
      <c r="K55" s="94" t="n">
        <v>0.0132</v>
      </c>
      <c r="L55" s="94" t="n">
        <v>0.0022</v>
      </c>
      <c r="M55" s="94" t="n">
        <v>0.0075</v>
      </c>
      <c r="N55" s="94" t="n">
        <v>0</v>
      </c>
      <c r="O55" s="95" t="n">
        <v>0.02116</v>
      </c>
      <c r="P55" s="94" t="n">
        <f aca="false">SUM(J55:N55)</f>
        <v>0.189706451612903</v>
      </c>
      <c r="Q55" s="96" t="n">
        <v>69693</v>
      </c>
      <c r="R55" s="91" t="n">
        <v>1600</v>
      </c>
      <c r="S55" s="90" t="s">
        <v>263</v>
      </c>
      <c r="T55" s="98" t="n">
        <f aca="false">J55*J$1*R55</f>
        <v>8273.6</v>
      </c>
      <c r="U55" s="99" t="s">
        <v>264</v>
      </c>
      <c r="V55" s="98"/>
      <c r="W55" s="100"/>
      <c r="X55" s="100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  <c r="IW55" s="89"/>
    </row>
    <row r="56" customFormat="false" ht="12.75" hidden="false" customHeight="false" outlineLevel="0" collapsed="false">
      <c r="A56" s="89"/>
      <c r="B56" s="90" t="s">
        <v>3</v>
      </c>
      <c r="C56" s="91" t="s">
        <v>188</v>
      </c>
      <c r="D56" s="91" t="s">
        <v>265</v>
      </c>
      <c r="E56" s="92" t="n">
        <v>36831</v>
      </c>
      <c r="F56" s="92" t="n">
        <v>37195</v>
      </c>
      <c r="G56" s="90" t="s">
        <v>266</v>
      </c>
      <c r="H56" s="90" t="s">
        <v>267</v>
      </c>
      <c r="I56" s="91" t="s">
        <v>41</v>
      </c>
      <c r="J56" s="93" t="n">
        <f aca="false">6.431/J$1</f>
        <v>0.207451612903226</v>
      </c>
      <c r="K56" s="94" t="n">
        <v>0.0132</v>
      </c>
      <c r="L56" s="94" t="n">
        <v>0.0022</v>
      </c>
      <c r="M56" s="94" t="n">
        <v>0.0072</v>
      </c>
      <c r="N56" s="94" t="n">
        <v>0</v>
      </c>
      <c r="O56" s="95" t="n">
        <v>0.02116</v>
      </c>
      <c r="P56" s="94" t="n">
        <f aca="false">SUM(J56:N56)</f>
        <v>0.230051612903226</v>
      </c>
      <c r="Q56" s="96" t="n">
        <v>69707</v>
      </c>
      <c r="R56" s="91" t="n">
        <v>4018</v>
      </c>
      <c r="S56" s="90" t="s">
        <v>268</v>
      </c>
      <c r="T56" s="98" t="n">
        <f aca="false">J56*J$1*R56</f>
        <v>25839.758</v>
      </c>
      <c r="U56" s="99" t="s">
        <v>269</v>
      </c>
      <c r="V56" s="90"/>
      <c r="W56" s="100"/>
      <c r="X56" s="100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</row>
    <row r="57" customFormat="false" ht="12.75" hidden="false" customHeight="false" outlineLevel="0" collapsed="false">
      <c r="A57" s="89"/>
      <c r="B57" s="90" t="s">
        <v>3</v>
      </c>
      <c r="C57" s="91" t="s">
        <v>188</v>
      </c>
      <c r="D57" s="91" t="s">
        <v>265</v>
      </c>
      <c r="E57" s="92" t="n">
        <v>36831</v>
      </c>
      <c r="F57" s="92" t="n">
        <v>37195</v>
      </c>
      <c r="G57" s="90" t="s">
        <v>224</v>
      </c>
      <c r="H57" s="90" t="s">
        <v>270</v>
      </c>
      <c r="I57" s="91" t="s">
        <v>41</v>
      </c>
      <c r="J57" s="93" t="n">
        <f aca="false">6.431/J$1</f>
        <v>0.207451612903226</v>
      </c>
      <c r="K57" s="94" t="n">
        <v>0.0132</v>
      </c>
      <c r="L57" s="94" t="n">
        <v>0.0022</v>
      </c>
      <c r="M57" s="94" t="n">
        <v>0.0072</v>
      </c>
      <c r="N57" s="94" t="n">
        <v>0</v>
      </c>
      <c r="O57" s="95" t="n">
        <v>0.02116</v>
      </c>
      <c r="P57" s="94" t="n">
        <f aca="false">SUM(J57:N57)</f>
        <v>0.230051612903226</v>
      </c>
      <c r="Q57" s="96" t="n">
        <v>69708</v>
      </c>
      <c r="R57" s="91" t="n">
        <v>2759</v>
      </c>
      <c r="S57" s="90" t="s">
        <v>271</v>
      </c>
      <c r="T57" s="98" t="n">
        <f aca="false">J57*J$1*R57</f>
        <v>17743.129</v>
      </c>
      <c r="U57" s="99" t="s">
        <v>272</v>
      </c>
      <c r="V57" s="90"/>
      <c r="W57" s="100"/>
      <c r="X57" s="100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</row>
    <row r="58" customFormat="false" ht="12.75" hidden="false" customHeight="false" outlineLevel="0" collapsed="false">
      <c r="A58" s="89"/>
      <c r="B58" s="90" t="s">
        <v>3</v>
      </c>
      <c r="C58" s="91" t="s">
        <v>188</v>
      </c>
      <c r="D58" s="91" t="s">
        <v>265</v>
      </c>
      <c r="E58" s="92" t="n">
        <v>36831</v>
      </c>
      <c r="F58" s="92" t="n">
        <v>37195</v>
      </c>
      <c r="G58" s="90" t="s">
        <v>209</v>
      </c>
      <c r="H58" s="90" t="s">
        <v>270</v>
      </c>
      <c r="I58" s="91" t="s">
        <v>41</v>
      </c>
      <c r="J58" s="93" t="n">
        <f aca="false">6.431/J$1</f>
        <v>0.207451612903226</v>
      </c>
      <c r="K58" s="94" t="n">
        <v>0.0132</v>
      </c>
      <c r="L58" s="94" t="n">
        <v>0.0022</v>
      </c>
      <c r="M58" s="94" t="n">
        <v>0.0072</v>
      </c>
      <c r="N58" s="94" t="n">
        <v>0</v>
      </c>
      <c r="O58" s="95" t="n">
        <v>0.02116</v>
      </c>
      <c r="P58" s="94" t="n">
        <f aca="false">SUM(J58:N58)</f>
        <v>0.230051612903226</v>
      </c>
      <c r="Q58" s="96" t="n">
        <v>69708</v>
      </c>
      <c r="R58" s="91" t="n">
        <v>2795</v>
      </c>
      <c r="S58" s="90" t="s">
        <v>271</v>
      </c>
      <c r="T58" s="98" t="n">
        <f aca="false">J58*J$1*R58</f>
        <v>17974.645</v>
      </c>
      <c r="U58" s="99" t="s">
        <v>272</v>
      </c>
      <c r="V58" s="90"/>
      <c r="W58" s="100"/>
      <c r="X58" s="100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</row>
    <row r="59" customFormat="false" ht="12.75" hidden="false" customHeight="false" outlineLevel="0" collapsed="false">
      <c r="A59" s="89"/>
      <c r="B59" s="90" t="s">
        <v>3</v>
      </c>
      <c r="C59" s="91" t="s">
        <v>188</v>
      </c>
      <c r="D59" s="91" t="s">
        <v>265</v>
      </c>
      <c r="E59" s="92" t="n">
        <v>36831</v>
      </c>
      <c r="F59" s="92" t="n">
        <v>37195</v>
      </c>
      <c r="G59" s="90" t="s">
        <v>273</v>
      </c>
      <c r="H59" s="90" t="s">
        <v>270</v>
      </c>
      <c r="I59" s="91" t="s">
        <v>41</v>
      </c>
      <c r="J59" s="93" t="n">
        <f aca="false">6.431/J$1</f>
        <v>0.207451612903226</v>
      </c>
      <c r="K59" s="94" t="n">
        <v>0.0132</v>
      </c>
      <c r="L59" s="94" t="n">
        <v>0.0022</v>
      </c>
      <c r="M59" s="94" t="n">
        <v>0.0072</v>
      </c>
      <c r="N59" s="94" t="n">
        <v>0</v>
      </c>
      <c r="O59" s="95" t="n">
        <v>0.02116</v>
      </c>
      <c r="P59" s="94" t="n">
        <f aca="false">SUM(J59:N59)</f>
        <v>0.230051612903226</v>
      </c>
      <c r="Q59" s="96" t="n">
        <v>69708</v>
      </c>
      <c r="R59" s="91" t="n">
        <v>3630</v>
      </c>
      <c r="S59" s="90" t="s">
        <v>271</v>
      </c>
      <c r="T59" s="98" t="n">
        <f aca="false">J59*J$1*R59</f>
        <v>23344.53</v>
      </c>
      <c r="U59" s="99" t="s">
        <v>272</v>
      </c>
      <c r="V59" s="90"/>
      <c r="W59" s="100"/>
      <c r="X59" s="100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</row>
    <row r="60" customFormat="false" ht="12.75" hidden="false" customHeight="false" outlineLevel="0" collapsed="false">
      <c r="A60" s="89"/>
      <c r="B60" s="90" t="s">
        <v>3</v>
      </c>
      <c r="C60" s="91" t="s">
        <v>188</v>
      </c>
      <c r="D60" s="91" t="s">
        <v>227</v>
      </c>
      <c r="E60" s="92" t="n">
        <v>36831</v>
      </c>
      <c r="F60" s="92" t="n">
        <v>37195</v>
      </c>
      <c r="G60" s="90" t="s">
        <v>224</v>
      </c>
      <c r="H60" s="90" t="s">
        <v>254</v>
      </c>
      <c r="I60" s="91" t="s">
        <v>41</v>
      </c>
      <c r="J60" s="93" t="n">
        <f aca="false">6.431/J$1</f>
        <v>0.207451612903226</v>
      </c>
      <c r="K60" s="94" t="n">
        <v>0.0132</v>
      </c>
      <c r="L60" s="94" t="n">
        <v>0.0022</v>
      </c>
      <c r="M60" s="94" t="n">
        <v>0.0072</v>
      </c>
      <c r="N60" s="94" t="n">
        <v>0</v>
      </c>
      <c r="O60" s="95" t="n">
        <v>0.02116</v>
      </c>
      <c r="P60" s="94" t="n">
        <f aca="false">SUM(J60:N60)</f>
        <v>0.230051612903226</v>
      </c>
      <c r="Q60" s="96" t="n">
        <v>69709</v>
      </c>
      <c r="R60" s="91" t="n">
        <v>13</v>
      </c>
      <c r="S60" s="90" t="s">
        <v>274</v>
      </c>
      <c r="T60" s="98" t="n">
        <f aca="false">J60*J$1*R60</f>
        <v>83.603</v>
      </c>
      <c r="U60" s="99" t="s">
        <v>275</v>
      </c>
      <c r="V60" s="90"/>
      <c r="W60" s="100"/>
      <c r="X60" s="100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</row>
    <row r="61" customFormat="false" ht="12.75" hidden="false" customHeight="false" outlineLevel="0" collapsed="false">
      <c r="A61" s="89"/>
      <c r="B61" s="90" t="s">
        <v>3</v>
      </c>
      <c r="C61" s="91" t="s">
        <v>188</v>
      </c>
      <c r="D61" s="91" t="s">
        <v>227</v>
      </c>
      <c r="E61" s="92" t="n">
        <v>36831</v>
      </c>
      <c r="F61" s="92" t="n">
        <v>37195</v>
      </c>
      <c r="G61" s="90" t="s">
        <v>224</v>
      </c>
      <c r="H61" s="90" t="s">
        <v>251</v>
      </c>
      <c r="I61" s="91" t="s">
        <v>41</v>
      </c>
      <c r="J61" s="93" t="n">
        <f aca="false">6.431/J$1</f>
        <v>0.207451612903226</v>
      </c>
      <c r="K61" s="94" t="n">
        <v>0.0132</v>
      </c>
      <c r="L61" s="94" t="n">
        <v>0.0022</v>
      </c>
      <c r="M61" s="94" t="n">
        <v>0.0072</v>
      </c>
      <c r="N61" s="94" t="n">
        <v>0</v>
      </c>
      <c r="O61" s="95" t="n">
        <v>0.02116</v>
      </c>
      <c r="P61" s="94" t="n">
        <f aca="false">SUM(J61:N61)</f>
        <v>0.230051612903226</v>
      </c>
      <c r="Q61" s="96" t="n">
        <v>69709</v>
      </c>
      <c r="R61" s="91" t="n">
        <v>14</v>
      </c>
      <c r="S61" s="90" t="s">
        <v>274</v>
      </c>
      <c r="T61" s="98" t="n">
        <f aca="false">J61*J$1*R61</f>
        <v>90.034</v>
      </c>
      <c r="U61" s="99" t="s">
        <v>275</v>
      </c>
      <c r="V61" s="90"/>
      <c r="W61" s="100"/>
      <c r="X61" s="100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2.75" hidden="false" customHeight="false" outlineLevel="0" collapsed="false">
      <c r="A62" s="89"/>
      <c r="B62" s="90" t="s">
        <v>3</v>
      </c>
      <c r="C62" s="91" t="s">
        <v>188</v>
      </c>
      <c r="D62" s="91" t="s">
        <v>227</v>
      </c>
      <c r="E62" s="92" t="n">
        <v>36831</v>
      </c>
      <c r="F62" s="92" t="n">
        <v>37195</v>
      </c>
      <c r="G62" s="90" t="s">
        <v>224</v>
      </c>
      <c r="H62" s="90" t="s">
        <v>257</v>
      </c>
      <c r="I62" s="91" t="s">
        <v>41</v>
      </c>
      <c r="J62" s="93" t="n">
        <f aca="false">6.431/J$1</f>
        <v>0.207451612903226</v>
      </c>
      <c r="K62" s="94" t="n">
        <v>0.0132</v>
      </c>
      <c r="L62" s="94" t="n">
        <v>0.0022</v>
      </c>
      <c r="M62" s="94" t="n">
        <v>0.0072</v>
      </c>
      <c r="N62" s="94" t="n">
        <v>0</v>
      </c>
      <c r="O62" s="95" t="n">
        <v>0.02116</v>
      </c>
      <c r="P62" s="94" t="n">
        <f aca="false">SUM(J62:N62)</f>
        <v>0.230051612903226</v>
      </c>
      <c r="Q62" s="96" t="n">
        <v>69709</v>
      </c>
      <c r="R62" s="91" t="n">
        <v>36</v>
      </c>
      <c r="S62" s="90" t="s">
        <v>274</v>
      </c>
      <c r="T62" s="98" t="n">
        <f aca="false">J62*J$1*R62</f>
        <v>231.516</v>
      </c>
      <c r="U62" s="99" t="s">
        <v>275</v>
      </c>
      <c r="V62" s="90"/>
      <c r="W62" s="100"/>
      <c r="X62" s="100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</row>
    <row r="63" customFormat="false" ht="12.75" hidden="false" customHeight="false" outlineLevel="0" collapsed="false">
      <c r="A63" s="89"/>
      <c r="B63" s="90" t="s">
        <v>3</v>
      </c>
      <c r="C63" s="91" t="s">
        <v>188</v>
      </c>
      <c r="D63" s="91" t="s">
        <v>227</v>
      </c>
      <c r="E63" s="92" t="n">
        <v>36831</v>
      </c>
      <c r="F63" s="92" t="n">
        <v>37195</v>
      </c>
      <c r="G63" s="90" t="s">
        <v>224</v>
      </c>
      <c r="H63" s="90" t="s">
        <v>249</v>
      </c>
      <c r="I63" s="91" t="s">
        <v>41</v>
      </c>
      <c r="J63" s="93" t="n">
        <f aca="false">6.431/J$1</f>
        <v>0.207451612903226</v>
      </c>
      <c r="K63" s="94" t="n">
        <v>0.0132</v>
      </c>
      <c r="L63" s="94" t="n">
        <v>0.0022</v>
      </c>
      <c r="M63" s="94" t="n">
        <v>0.0072</v>
      </c>
      <c r="N63" s="94" t="n">
        <v>0</v>
      </c>
      <c r="O63" s="95" t="n">
        <v>0.02116</v>
      </c>
      <c r="P63" s="94" t="n">
        <f aca="false">SUM(J63:N63)</f>
        <v>0.230051612903226</v>
      </c>
      <c r="Q63" s="96" t="n">
        <v>69709</v>
      </c>
      <c r="R63" s="91" t="n">
        <v>63</v>
      </c>
      <c r="S63" s="90" t="s">
        <v>274</v>
      </c>
      <c r="T63" s="98" t="n">
        <f aca="false">J63*J$1*R63</f>
        <v>405.153</v>
      </c>
      <c r="U63" s="99" t="s">
        <v>275</v>
      </c>
      <c r="V63" s="90"/>
      <c r="W63" s="100"/>
      <c r="X63" s="100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</row>
    <row r="64" customFormat="false" ht="12.75" hidden="false" customHeight="false" outlineLevel="0" collapsed="false">
      <c r="A64" s="89"/>
      <c r="B64" s="90" t="s">
        <v>3</v>
      </c>
      <c r="C64" s="91" t="s">
        <v>188</v>
      </c>
      <c r="D64" s="91" t="s">
        <v>189</v>
      </c>
      <c r="E64" s="92" t="n">
        <v>36831</v>
      </c>
      <c r="F64" s="92" t="n">
        <v>37195</v>
      </c>
      <c r="G64" s="90" t="s">
        <v>224</v>
      </c>
      <c r="H64" s="90" t="s">
        <v>276</v>
      </c>
      <c r="I64" s="91" t="s">
        <v>41</v>
      </c>
      <c r="J64" s="93" t="n">
        <f aca="false">6.354/J$1</f>
        <v>0.204967741935484</v>
      </c>
      <c r="K64" s="94" t="n">
        <v>0.0132</v>
      </c>
      <c r="L64" s="94" t="n">
        <v>0.0022</v>
      </c>
      <c r="M64" s="94" t="n">
        <v>0.0072</v>
      </c>
      <c r="N64" s="94" t="n">
        <v>0</v>
      </c>
      <c r="O64" s="95" t="n">
        <v>0.02116</v>
      </c>
      <c r="P64" s="94" t="n">
        <f aca="false">SUM(J64:N64)</f>
        <v>0.227567741935484</v>
      </c>
      <c r="Q64" s="96" t="n">
        <v>69823</v>
      </c>
      <c r="R64" s="91" t="n">
        <v>1000</v>
      </c>
      <c r="S64" s="90" t="s">
        <v>277</v>
      </c>
      <c r="T64" s="98" t="n">
        <f aca="false">J64*J$1*R64</f>
        <v>6354</v>
      </c>
      <c r="U64" s="99" t="s">
        <v>278</v>
      </c>
      <c r="V64" s="90"/>
      <c r="W64" s="100"/>
      <c r="X64" s="100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</row>
    <row r="65" customFormat="false" ht="12.75" hidden="false" customHeight="false" outlineLevel="0" collapsed="false">
      <c r="A65" s="89"/>
      <c r="B65" s="90" t="s">
        <v>3</v>
      </c>
      <c r="C65" s="91" t="s">
        <v>188</v>
      </c>
      <c r="D65" s="91" t="s">
        <v>279</v>
      </c>
      <c r="E65" s="92" t="n">
        <v>36861</v>
      </c>
      <c r="F65" s="92" t="n">
        <v>37225</v>
      </c>
      <c r="G65" s="90" t="s">
        <v>224</v>
      </c>
      <c r="H65" s="90" t="s">
        <v>254</v>
      </c>
      <c r="I65" s="91" t="s">
        <v>41</v>
      </c>
      <c r="J65" s="93" t="n">
        <f aca="false">6.431/J$1</f>
        <v>0.207451612903226</v>
      </c>
      <c r="K65" s="94"/>
      <c r="L65" s="94"/>
      <c r="M65" s="94"/>
      <c r="N65" s="94"/>
      <c r="O65" s="95"/>
      <c r="P65" s="94"/>
      <c r="Q65" s="96" t="n">
        <v>69948</v>
      </c>
      <c r="R65" s="91" t="n">
        <v>1</v>
      </c>
      <c r="S65" s="90" t="s">
        <v>280</v>
      </c>
      <c r="T65" s="98" t="n">
        <f aca="false">J65*J$1*R65</f>
        <v>6.431</v>
      </c>
      <c r="U65" s="99" t="n">
        <v>490966</v>
      </c>
      <c r="V65" s="90"/>
      <c r="W65" s="100"/>
      <c r="X65" s="100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</row>
    <row r="66" customFormat="false" ht="12.75" hidden="false" customHeight="false" outlineLevel="0" collapsed="false">
      <c r="A66" s="89"/>
      <c r="B66" s="90" t="s">
        <v>3</v>
      </c>
      <c r="C66" s="91" t="s">
        <v>188</v>
      </c>
      <c r="D66" s="91" t="s">
        <v>279</v>
      </c>
      <c r="E66" s="92" t="n">
        <v>36861</v>
      </c>
      <c r="F66" s="92" t="n">
        <v>37225</v>
      </c>
      <c r="G66" s="90" t="s">
        <v>224</v>
      </c>
      <c r="H66" s="90" t="s">
        <v>251</v>
      </c>
      <c r="I66" s="91" t="s">
        <v>41</v>
      </c>
      <c r="J66" s="93" t="n">
        <f aca="false">6.431/J$1</f>
        <v>0.207451612903226</v>
      </c>
      <c r="K66" s="94"/>
      <c r="L66" s="94"/>
      <c r="M66" s="94"/>
      <c r="N66" s="94"/>
      <c r="O66" s="95"/>
      <c r="P66" s="94"/>
      <c r="Q66" s="96" t="n">
        <v>69948</v>
      </c>
      <c r="R66" s="91" t="n">
        <v>1</v>
      </c>
      <c r="S66" s="90" t="s">
        <v>280</v>
      </c>
      <c r="T66" s="98" t="n">
        <f aca="false">J66*J$1*R66</f>
        <v>6.431</v>
      </c>
      <c r="U66" s="99" t="n">
        <v>490966</v>
      </c>
      <c r="V66" s="90"/>
      <c r="W66" s="100"/>
      <c r="X66" s="100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</row>
    <row r="67" customFormat="false" ht="12.75" hidden="false" customHeight="false" outlineLevel="0" collapsed="false">
      <c r="A67" s="89"/>
      <c r="B67" s="90" t="s">
        <v>3</v>
      </c>
      <c r="C67" s="91" t="s">
        <v>188</v>
      </c>
      <c r="D67" s="91" t="s">
        <v>279</v>
      </c>
      <c r="E67" s="92" t="n">
        <v>36861</v>
      </c>
      <c r="F67" s="92" t="n">
        <v>37225</v>
      </c>
      <c r="G67" s="90" t="s">
        <v>224</v>
      </c>
      <c r="H67" s="90" t="s">
        <v>257</v>
      </c>
      <c r="I67" s="91" t="s">
        <v>41</v>
      </c>
      <c r="J67" s="93" t="n">
        <f aca="false">6.431/J$1</f>
        <v>0.207451612903226</v>
      </c>
      <c r="K67" s="94"/>
      <c r="L67" s="94"/>
      <c r="M67" s="94"/>
      <c r="N67" s="94"/>
      <c r="O67" s="95"/>
      <c r="P67" s="94"/>
      <c r="Q67" s="96" t="n">
        <v>69948</v>
      </c>
      <c r="R67" s="91" t="n">
        <v>1</v>
      </c>
      <c r="S67" s="90" t="s">
        <v>280</v>
      </c>
      <c r="T67" s="98" t="n">
        <f aca="false">J67*J$1*R67</f>
        <v>6.431</v>
      </c>
      <c r="U67" s="99" t="n">
        <v>490966</v>
      </c>
      <c r="V67" s="90"/>
      <c r="W67" s="100"/>
      <c r="X67" s="100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</row>
    <row r="68" customFormat="false" ht="12.75" hidden="false" customHeight="false" outlineLevel="0" collapsed="false">
      <c r="T68" s="102"/>
    </row>
    <row r="69" customFormat="false" ht="12.75" hidden="false" customHeight="false" outlineLevel="0" collapsed="false">
      <c r="B69" s="130" t="s">
        <v>83</v>
      </c>
      <c r="C69" s="131" t="s">
        <v>83</v>
      </c>
      <c r="D69" s="131" t="s">
        <v>83</v>
      </c>
      <c r="E69" s="133" t="s">
        <v>83</v>
      </c>
      <c r="F69" s="133" t="s">
        <v>83</v>
      </c>
      <c r="G69" s="130" t="s">
        <v>83</v>
      </c>
      <c r="H69" s="134" t="s">
        <v>83</v>
      </c>
      <c r="I69" s="131" t="s">
        <v>83</v>
      </c>
      <c r="J69" s="135"/>
      <c r="K69" s="136"/>
      <c r="L69" s="136"/>
      <c r="M69" s="136"/>
      <c r="N69" s="136"/>
      <c r="O69" s="137"/>
      <c r="P69" s="136"/>
      <c r="Q69" s="138" t="s">
        <v>83</v>
      </c>
      <c r="R69" s="131"/>
      <c r="S69" s="130" t="s">
        <v>83</v>
      </c>
      <c r="T69" s="139" t="n">
        <f aca="false">SUM(T8:T67)</f>
        <v>1183725.4096</v>
      </c>
      <c r="U69" s="140"/>
      <c r="V69" s="134"/>
      <c r="W69" s="88"/>
      <c r="X69" s="88"/>
    </row>
    <row r="70" customFormat="false" ht="12.75" hidden="false" customHeight="false" outlineLevel="0" collapsed="false">
      <c r="B70" s="56"/>
      <c r="C70" s="60"/>
      <c r="D70" s="60"/>
      <c r="E70" s="61"/>
      <c r="F70" s="61"/>
      <c r="G70" s="62"/>
      <c r="H70" s="62"/>
      <c r="I70" s="60"/>
      <c r="J70" s="65"/>
      <c r="K70" s="65"/>
      <c r="L70" s="65"/>
      <c r="M70" s="65"/>
      <c r="N70" s="65"/>
      <c r="O70" s="66"/>
      <c r="P70" s="65"/>
      <c r="Q70" s="123"/>
      <c r="R70" s="124"/>
      <c r="S70" s="69"/>
      <c r="T70" s="69"/>
      <c r="U70" s="70"/>
      <c r="V70" s="71"/>
      <c r="W70" s="72"/>
      <c r="X70" s="72"/>
    </row>
    <row r="71" customFormat="false" ht="12.75" hidden="false" customHeight="false" outlineLevel="0" collapsed="false">
      <c r="B71" s="56"/>
      <c r="C71" s="60"/>
      <c r="D71" s="60"/>
      <c r="E71" s="61"/>
      <c r="F71" s="61"/>
      <c r="G71" s="62"/>
      <c r="H71" s="62"/>
      <c r="I71" s="60"/>
      <c r="J71" s="74"/>
      <c r="K71" s="65"/>
      <c r="L71" s="65"/>
      <c r="M71" s="65"/>
      <c r="N71" s="65"/>
      <c r="O71" s="66"/>
      <c r="P71" s="65"/>
      <c r="Q71" s="123"/>
      <c r="R71" s="124"/>
      <c r="S71" s="69"/>
      <c r="T71" s="69"/>
      <c r="U71" s="70"/>
      <c r="V71" s="71"/>
      <c r="W71" s="72"/>
      <c r="X71" s="72"/>
    </row>
    <row r="72" customFormat="false" ht="13.5" hidden="false" customHeight="false" outlineLevel="0" collapsed="false">
      <c r="B72" s="56"/>
      <c r="C72" s="60"/>
      <c r="D72" s="60"/>
      <c r="E72" s="61"/>
      <c r="F72" s="61"/>
      <c r="G72" s="62"/>
      <c r="H72" s="62"/>
      <c r="I72" s="60"/>
      <c r="J72" s="65"/>
      <c r="K72" s="65"/>
      <c r="L72" s="65"/>
      <c r="M72" s="65"/>
      <c r="N72" s="65"/>
      <c r="O72" s="66"/>
      <c r="P72" s="65"/>
      <c r="Q72" s="123"/>
      <c r="R72" s="124"/>
      <c r="S72" s="69"/>
      <c r="T72" s="125" t="n">
        <f aca="false">SUM(T69)</f>
        <v>1183725.4096</v>
      </c>
      <c r="U72" s="70" t="s">
        <v>281</v>
      </c>
      <c r="V72" s="71"/>
      <c r="W72" s="72"/>
      <c r="X72" s="72"/>
    </row>
    <row r="73" customFormat="false" ht="13.5" hidden="false" customHeight="false" outlineLevel="0" collapsed="false">
      <c r="B73" s="56"/>
      <c r="C73" s="60"/>
      <c r="D73" s="60"/>
      <c r="E73" s="61"/>
      <c r="F73" s="61"/>
      <c r="G73" s="62"/>
      <c r="H73" s="62"/>
      <c r="I73" s="60"/>
      <c r="J73" s="65"/>
      <c r="K73" s="65"/>
      <c r="L73" s="65"/>
      <c r="M73" s="65"/>
      <c r="N73" s="65"/>
      <c r="O73" s="66"/>
      <c r="P73" s="65"/>
      <c r="Q73" s="123"/>
      <c r="R73" s="124"/>
      <c r="S73" s="69"/>
      <c r="T73" s="69" t="n">
        <v>10000</v>
      </c>
      <c r="U73" s="70" t="s">
        <v>282</v>
      </c>
      <c r="V73" s="71"/>
      <c r="W73" s="126"/>
      <c r="X73" s="72"/>
    </row>
    <row r="74" customFormat="false" ht="12.75" hidden="false" customHeight="false" outlineLevel="0" collapsed="false">
      <c r="B74" s="56"/>
      <c r="C74" s="60"/>
      <c r="D74" s="60"/>
      <c r="E74" s="61"/>
      <c r="F74" s="61"/>
      <c r="G74" s="62"/>
      <c r="H74" s="62"/>
      <c r="I74" s="60"/>
      <c r="J74" s="65"/>
      <c r="K74" s="65"/>
      <c r="L74" s="65"/>
      <c r="M74" s="65"/>
      <c r="N74" s="65"/>
      <c r="O74" s="66"/>
      <c r="P74" s="65"/>
      <c r="Q74" s="123"/>
      <c r="R74" s="124"/>
      <c r="S74" s="69"/>
      <c r="T74" s="69"/>
      <c r="U74" s="70"/>
      <c r="V74" s="71"/>
      <c r="W74" s="72"/>
      <c r="X74" s="72"/>
    </row>
    <row r="75" customFormat="false" ht="12.75" hidden="false" customHeight="false" outlineLevel="0" collapsed="false">
      <c r="B75" s="56"/>
      <c r="C75" s="60"/>
      <c r="D75" s="60"/>
      <c r="E75" s="61"/>
      <c r="F75" s="61"/>
      <c r="G75" s="62"/>
      <c r="H75" s="62"/>
      <c r="I75" s="60"/>
      <c r="J75" s="65"/>
      <c r="K75" s="65"/>
      <c r="L75" s="65"/>
      <c r="M75" s="65"/>
      <c r="N75" s="65"/>
      <c r="O75" s="66"/>
      <c r="P75" s="65"/>
      <c r="Q75" s="123"/>
      <c r="R75" s="124"/>
      <c r="S75" s="69"/>
      <c r="T75" s="69"/>
      <c r="U75" s="70"/>
      <c r="V75" s="71"/>
      <c r="W75" s="72"/>
      <c r="X75" s="72"/>
    </row>
    <row r="76" customFormat="false" ht="12.75" hidden="false" customHeight="false" outlineLevel="0" collapsed="false">
      <c r="B76" s="56"/>
      <c r="C76" s="60"/>
      <c r="D76" s="60"/>
      <c r="E76" s="61"/>
      <c r="F76" s="61"/>
      <c r="G76" s="62"/>
      <c r="H76" s="62"/>
      <c r="I76" s="60"/>
      <c r="J76" s="74"/>
      <c r="K76" s="65"/>
      <c r="L76" s="65"/>
      <c r="M76" s="65"/>
      <c r="N76" s="65"/>
      <c r="O76" s="66"/>
      <c r="P76" s="65"/>
      <c r="Q76" s="123"/>
      <c r="R76" s="124"/>
      <c r="S76" s="126"/>
      <c r="T76" s="69"/>
      <c r="U76" s="70"/>
      <c r="V76" s="71"/>
      <c r="W76" s="72"/>
      <c r="X76" s="72"/>
    </row>
    <row r="77" customFormat="false" ht="12.75" hidden="false" customHeight="false" outlineLevel="0" collapsed="false">
      <c r="B77" s="56"/>
      <c r="C77" s="60"/>
      <c r="D77" s="60"/>
      <c r="E77" s="61"/>
      <c r="F77" s="61"/>
      <c r="G77" s="62"/>
      <c r="H77" s="62"/>
      <c r="I77" s="60"/>
      <c r="J77" s="74"/>
      <c r="K77" s="65"/>
      <c r="L77" s="65"/>
      <c r="M77" s="65"/>
      <c r="N77" s="65"/>
      <c r="O77" s="66"/>
      <c r="P77" s="65"/>
      <c r="Q77" s="123"/>
      <c r="R77" s="124"/>
      <c r="S77" s="126"/>
      <c r="T77" s="69"/>
      <c r="U77" s="70"/>
      <c r="V77" s="71"/>
      <c r="W77" s="72"/>
      <c r="X77" s="72"/>
    </row>
    <row r="78" customFormat="false" ht="12.75" hidden="false" customHeight="false" outlineLevel="0" collapsed="false">
      <c r="Q78" s="51"/>
      <c r="R78" s="51"/>
      <c r="S78" s="51"/>
      <c r="T78" s="51"/>
      <c r="U78" s="128"/>
      <c r="V78" s="129"/>
      <c r="W78" s="128"/>
    </row>
    <row r="79" customFormat="false" ht="12.75" hidden="false" customHeight="false" outlineLevel="0" collapsed="false">
      <c r="Q79" s="51"/>
      <c r="R79" s="51"/>
      <c r="S79" s="51"/>
      <c r="T79" s="51"/>
      <c r="U79" s="128"/>
      <c r="V79" s="129"/>
      <c r="W79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283</v>
      </c>
      <c r="D1" s="0" t="s">
        <v>284</v>
      </c>
      <c r="E1" s="0" t="s">
        <v>285</v>
      </c>
      <c r="F1" s="0" t="s">
        <v>286</v>
      </c>
      <c r="G1" s="0" t="s">
        <v>287</v>
      </c>
      <c r="H1" s="0" t="s">
        <v>288</v>
      </c>
      <c r="I1" s="0" t="s">
        <v>289</v>
      </c>
      <c r="J1" s="0" t="s">
        <v>290</v>
      </c>
      <c r="K1" s="0" t="s">
        <v>291</v>
      </c>
      <c r="L1" s="0" t="s">
        <v>292</v>
      </c>
      <c r="M1" s="0" t="s">
        <v>293</v>
      </c>
      <c r="N1" s="0" t="s">
        <v>294</v>
      </c>
      <c r="O1" s="0" t="s">
        <v>295</v>
      </c>
    </row>
    <row r="2" customFormat="false" ht="12.75" hidden="false" customHeight="false" outlineLevel="0" collapsed="false">
      <c r="B2" s="146"/>
      <c r="C2" s="146" t="s">
        <v>296</v>
      </c>
      <c r="D2" s="146" t="n">
        <v>37147</v>
      </c>
      <c r="E2" s="146" t="s">
        <v>297</v>
      </c>
      <c r="F2" s="146" t="s">
        <v>298</v>
      </c>
      <c r="G2" s="146" t="s">
        <v>298</v>
      </c>
      <c r="H2" s="147" t="n">
        <v>35582</v>
      </c>
      <c r="I2" s="146" t="s">
        <v>298</v>
      </c>
      <c r="J2" s="146" t="s">
        <v>298</v>
      </c>
      <c r="K2" s="146" t="n">
        <v>0</v>
      </c>
      <c r="L2" s="146" t="n">
        <v>0</v>
      </c>
      <c r="M2" s="146" t="n">
        <v>0</v>
      </c>
      <c r="N2" s="146" t="n">
        <v>0</v>
      </c>
      <c r="O2" s="146" t="n">
        <v>0</v>
      </c>
      <c r="P2" s="146" t="n">
        <v>0</v>
      </c>
      <c r="Q2" s="146" t="s">
        <v>298</v>
      </c>
    </row>
    <row r="3" customFormat="false" ht="12.75" hidden="false" customHeight="false" outlineLevel="0" collapsed="false">
      <c r="B3" s="148"/>
      <c r="C3" s="148" t="s">
        <v>296</v>
      </c>
      <c r="D3" s="148" t="n">
        <v>39149</v>
      </c>
      <c r="E3" s="148" t="s">
        <v>204</v>
      </c>
      <c r="F3" s="148" t="s">
        <v>298</v>
      </c>
      <c r="G3" s="148" t="s">
        <v>298</v>
      </c>
      <c r="H3" s="149" t="n">
        <v>35582</v>
      </c>
      <c r="I3" s="148" t="s">
        <v>298</v>
      </c>
      <c r="J3" s="148" t="s">
        <v>298</v>
      </c>
      <c r="K3" s="150" t="n">
        <v>500000</v>
      </c>
      <c r="L3" s="148" t="n">
        <v>0</v>
      </c>
      <c r="M3" s="150" t="n">
        <v>500000</v>
      </c>
      <c r="N3" s="148" t="n">
        <v>0</v>
      </c>
      <c r="O3" s="148" t="n">
        <v>0</v>
      </c>
      <c r="P3" s="148" t="n">
        <v>0</v>
      </c>
      <c r="Q3" s="148" t="s">
        <v>298</v>
      </c>
    </row>
    <row r="4" customFormat="false" ht="12.75" hidden="false" customHeight="false" outlineLevel="0" collapsed="false">
      <c r="B4" s="146"/>
      <c r="C4" s="146" t="s">
        <v>296</v>
      </c>
      <c r="D4" s="146" t="n">
        <v>39607</v>
      </c>
      <c r="E4" s="146" t="s">
        <v>299</v>
      </c>
      <c r="F4" s="146" t="s">
        <v>298</v>
      </c>
      <c r="G4" s="146" t="s">
        <v>298</v>
      </c>
      <c r="H4" s="147" t="n">
        <v>35582</v>
      </c>
      <c r="I4" s="146" t="s">
        <v>298</v>
      </c>
      <c r="J4" s="146" t="s">
        <v>298</v>
      </c>
      <c r="K4" s="151" t="n">
        <v>10000000</v>
      </c>
      <c r="L4" s="146" t="n">
        <v>0</v>
      </c>
      <c r="M4" s="151" t="n">
        <v>10000000</v>
      </c>
      <c r="N4" s="146" t="n">
        <v>0</v>
      </c>
      <c r="O4" s="146" t="n">
        <v>0</v>
      </c>
      <c r="P4" s="146" t="n">
        <v>0</v>
      </c>
      <c r="Q4" s="146" t="s">
        <v>298</v>
      </c>
    </row>
    <row r="5" customFormat="false" ht="12.75" hidden="false" customHeight="false" outlineLevel="0" collapsed="false">
      <c r="B5" s="148"/>
      <c r="C5" s="148" t="s">
        <v>296</v>
      </c>
      <c r="D5" s="148" t="n">
        <v>39764</v>
      </c>
      <c r="E5" s="148" t="s">
        <v>300</v>
      </c>
      <c r="F5" s="148" t="s">
        <v>298</v>
      </c>
      <c r="G5" s="148" t="s">
        <v>298</v>
      </c>
      <c r="H5" s="149" t="n">
        <v>35582</v>
      </c>
      <c r="I5" s="148" t="s">
        <v>298</v>
      </c>
      <c r="J5" s="148" t="s">
        <v>298</v>
      </c>
      <c r="K5" s="150" t="n">
        <v>60000</v>
      </c>
      <c r="L5" s="148" t="n">
        <v>0</v>
      </c>
      <c r="M5" s="150" t="n">
        <v>60000</v>
      </c>
      <c r="N5" s="148" t="n">
        <v>0</v>
      </c>
      <c r="O5" s="148" t="n">
        <v>0</v>
      </c>
      <c r="P5" s="148" t="n">
        <v>0</v>
      </c>
      <c r="Q5" s="148" t="s">
        <v>298</v>
      </c>
    </row>
    <row r="6" customFormat="false" ht="12.75" hidden="false" customHeight="false" outlineLevel="0" collapsed="false">
      <c r="B6" s="146"/>
      <c r="C6" s="146" t="s">
        <v>296</v>
      </c>
      <c r="D6" s="146" t="n">
        <v>40998</v>
      </c>
      <c r="E6" s="146" t="s">
        <v>301</v>
      </c>
      <c r="F6" s="146" t="s">
        <v>298</v>
      </c>
      <c r="G6" s="146" t="s">
        <v>298</v>
      </c>
      <c r="H6" s="147" t="n">
        <v>34393</v>
      </c>
      <c r="I6" s="146" t="s">
        <v>298</v>
      </c>
      <c r="J6" s="146" t="s">
        <v>298</v>
      </c>
      <c r="K6" s="151" t="n">
        <v>250000</v>
      </c>
      <c r="L6" s="146" t="n">
        <v>0</v>
      </c>
      <c r="M6" s="151" t="n">
        <v>250000</v>
      </c>
      <c r="N6" s="146" t="n">
        <v>0</v>
      </c>
      <c r="O6" s="146" t="n">
        <v>0</v>
      </c>
      <c r="P6" s="146" t="n">
        <v>0</v>
      </c>
      <c r="Q6" s="146" t="s">
        <v>298</v>
      </c>
    </row>
    <row r="7" customFormat="false" ht="12.75" hidden="false" customHeight="false" outlineLevel="0" collapsed="false">
      <c r="B7" s="148"/>
      <c r="C7" s="148" t="s">
        <v>296</v>
      </c>
      <c r="D7" s="148" t="n">
        <v>60094</v>
      </c>
      <c r="E7" s="148" t="s">
        <v>302</v>
      </c>
      <c r="F7" s="148" t="s">
        <v>298</v>
      </c>
      <c r="G7" s="148" t="s">
        <v>298</v>
      </c>
      <c r="H7" s="149" t="n">
        <v>35916</v>
      </c>
      <c r="I7" s="148" t="s">
        <v>298</v>
      </c>
      <c r="J7" s="148" t="s">
        <v>298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s">
        <v>298</v>
      </c>
    </row>
    <row r="8" customFormat="false" ht="12.75" hidden="false" customHeight="false" outlineLevel="0" collapsed="false">
      <c r="B8" s="146"/>
      <c r="C8" s="146" t="s">
        <v>296</v>
      </c>
      <c r="D8" s="146" t="n">
        <v>61822</v>
      </c>
      <c r="E8" s="146" t="s">
        <v>41</v>
      </c>
      <c r="F8" s="146" t="s">
        <v>298</v>
      </c>
      <c r="G8" s="146" t="s">
        <v>298</v>
      </c>
      <c r="H8" s="147" t="n">
        <v>36557</v>
      </c>
      <c r="I8" s="146" t="s">
        <v>298</v>
      </c>
      <c r="J8" s="146" t="n">
        <v>22429</v>
      </c>
      <c r="K8" s="151" t="n">
        <v>4000</v>
      </c>
      <c r="L8" s="146" t="n">
        <v>0</v>
      </c>
      <c r="M8" s="151" t="n">
        <v>4000</v>
      </c>
      <c r="N8" s="146" t="n">
        <v>0</v>
      </c>
      <c r="O8" s="146" t="n">
        <v>0</v>
      </c>
      <c r="P8" s="146" t="n">
        <v>0</v>
      </c>
      <c r="Q8" s="146" t="s">
        <v>298</v>
      </c>
    </row>
    <row r="9" customFormat="false" ht="12.75" hidden="false" customHeight="false" outlineLevel="0" collapsed="false">
      <c r="B9" s="148"/>
      <c r="C9" s="148" t="s">
        <v>296</v>
      </c>
      <c r="D9" s="148" t="n">
        <v>61825</v>
      </c>
      <c r="E9" s="148" t="s">
        <v>41</v>
      </c>
      <c r="F9" s="148" t="s">
        <v>298</v>
      </c>
      <c r="G9" s="148" t="s">
        <v>298</v>
      </c>
      <c r="H9" s="149" t="n">
        <v>36557</v>
      </c>
      <c r="I9" s="149" t="n">
        <v>36830</v>
      </c>
      <c r="J9" s="148" t="n">
        <v>22428</v>
      </c>
      <c r="K9" s="150" t="n">
        <v>8000</v>
      </c>
      <c r="L9" s="148" t="n">
        <v>0</v>
      </c>
      <c r="M9" s="150" t="n">
        <v>8000</v>
      </c>
      <c r="N9" s="148" t="n">
        <v>0</v>
      </c>
      <c r="O9" s="148" t="n">
        <v>0</v>
      </c>
      <c r="P9" s="148" t="n">
        <v>0</v>
      </c>
      <c r="Q9" s="148" t="s">
        <v>298</v>
      </c>
    </row>
    <row r="10" customFormat="false" ht="12.75" hidden="false" customHeight="false" outlineLevel="0" collapsed="false">
      <c r="B10" s="146"/>
      <c r="C10" s="146" t="s">
        <v>296</v>
      </c>
      <c r="D10" s="146" t="n">
        <v>61838</v>
      </c>
      <c r="E10" s="146" t="s">
        <v>41</v>
      </c>
      <c r="F10" s="146" t="s">
        <v>298</v>
      </c>
      <c r="G10" s="146" t="s">
        <v>298</v>
      </c>
      <c r="H10" s="147" t="n">
        <v>36557</v>
      </c>
      <c r="I10" s="146" t="s">
        <v>298</v>
      </c>
      <c r="J10" s="146" t="n">
        <v>22422</v>
      </c>
      <c r="K10" s="151" t="n">
        <v>1000</v>
      </c>
      <c r="L10" s="146" t="n">
        <v>0</v>
      </c>
      <c r="M10" s="151" t="n">
        <v>1000</v>
      </c>
      <c r="N10" s="146" t="n">
        <v>0</v>
      </c>
      <c r="O10" s="146" t="n">
        <v>0</v>
      </c>
      <c r="P10" s="146" t="n">
        <v>0</v>
      </c>
      <c r="Q10" s="146" t="s">
        <v>298</v>
      </c>
    </row>
    <row r="11" customFormat="false" ht="12.75" hidden="false" customHeight="false" outlineLevel="0" collapsed="false">
      <c r="B11" s="148"/>
      <c r="C11" s="148" t="s">
        <v>296</v>
      </c>
      <c r="D11" s="148" t="n">
        <v>61990</v>
      </c>
      <c r="E11" s="148" t="s">
        <v>41</v>
      </c>
      <c r="F11" s="148" t="s">
        <v>298</v>
      </c>
      <c r="G11" s="148" t="s">
        <v>298</v>
      </c>
      <c r="H11" s="149" t="n">
        <v>36557</v>
      </c>
      <c r="I11" s="148" t="s">
        <v>298</v>
      </c>
      <c r="J11" s="148" t="n">
        <v>22747</v>
      </c>
      <c r="K11" s="150" t="n">
        <v>2000</v>
      </c>
      <c r="L11" s="148" t="n">
        <v>0</v>
      </c>
      <c r="M11" s="150" t="n">
        <v>2000</v>
      </c>
      <c r="N11" s="148" t="n">
        <v>0</v>
      </c>
      <c r="O11" s="148" t="n">
        <v>0</v>
      </c>
      <c r="P11" s="148" t="n">
        <v>0</v>
      </c>
      <c r="Q11" s="148" t="s">
        <v>298</v>
      </c>
    </row>
    <row r="12" customFormat="false" ht="12.75" hidden="false" customHeight="false" outlineLevel="0" collapsed="false">
      <c r="B12" s="146"/>
      <c r="C12" s="146" t="s">
        <v>296</v>
      </c>
      <c r="D12" s="146" t="n">
        <v>62164</v>
      </c>
      <c r="E12" s="146" t="s">
        <v>41</v>
      </c>
      <c r="F12" s="146" t="s">
        <v>298</v>
      </c>
      <c r="G12" s="146" t="s">
        <v>298</v>
      </c>
      <c r="H12" s="147" t="n">
        <v>36557</v>
      </c>
      <c r="I12" s="147" t="n">
        <v>36891</v>
      </c>
      <c r="J12" s="146" t="n">
        <v>23652</v>
      </c>
      <c r="K12" s="151" t="n">
        <v>2000</v>
      </c>
      <c r="L12" s="146" t="n">
        <v>0</v>
      </c>
      <c r="M12" s="151" t="n">
        <v>2000</v>
      </c>
      <c r="N12" s="146" t="n">
        <v>0</v>
      </c>
      <c r="O12" s="146" t="n">
        <v>0</v>
      </c>
      <c r="P12" s="146" t="n">
        <v>0</v>
      </c>
      <c r="Q12" s="146" t="s">
        <v>298</v>
      </c>
    </row>
    <row r="13" customFormat="false" ht="12.75" hidden="false" customHeight="false" outlineLevel="0" collapsed="false">
      <c r="B13" s="148"/>
      <c r="C13" s="148" t="s">
        <v>296</v>
      </c>
      <c r="D13" s="148" t="n">
        <v>64034</v>
      </c>
      <c r="E13" s="148" t="s">
        <v>41</v>
      </c>
      <c r="F13" s="148" t="s">
        <v>298</v>
      </c>
      <c r="G13" s="148" t="s">
        <v>298</v>
      </c>
      <c r="H13" s="149" t="n">
        <v>36557</v>
      </c>
      <c r="I13" s="149" t="n">
        <v>36707</v>
      </c>
      <c r="J13" s="148" t="n">
        <v>25699</v>
      </c>
      <c r="K13" s="148" t="n">
        <v>911</v>
      </c>
      <c r="L13" s="148" t="n">
        <v>0</v>
      </c>
      <c r="M13" s="148" t="n">
        <v>911</v>
      </c>
      <c r="N13" s="148" t="n">
        <v>0</v>
      </c>
      <c r="O13" s="148" t="n">
        <v>0</v>
      </c>
      <c r="P13" s="148" t="n">
        <v>0</v>
      </c>
      <c r="Q13" s="148" t="s">
        <v>298</v>
      </c>
    </row>
    <row r="14" customFormat="false" ht="12.75" hidden="false" customHeight="false" outlineLevel="0" collapsed="false">
      <c r="B14" s="146"/>
      <c r="C14" s="146" t="s">
        <v>296</v>
      </c>
      <c r="D14" s="146" t="n">
        <v>64036</v>
      </c>
      <c r="E14" s="146" t="s">
        <v>41</v>
      </c>
      <c r="F14" s="146" t="s">
        <v>298</v>
      </c>
      <c r="G14" s="146" t="s">
        <v>298</v>
      </c>
      <c r="H14" s="147" t="n">
        <v>36557</v>
      </c>
      <c r="I14" s="147" t="n">
        <v>36707</v>
      </c>
      <c r="J14" s="146" t="n">
        <v>25712</v>
      </c>
      <c r="K14" s="146" t="n">
        <v>1</v>
      </c>
      <c r="L14" s="146" t="n">
        <v>0</v>
      </c>
      <c r="M14" s="146" t="n">
        <v>1</v>
      </c>
      <c r="N14" s="146" t="n">
        <v>0</v>
      </c>
      <c r="O14" s="146" t="n">
        <v>0</v>
      </c>
      <c r="P14" s="146" t="n">
        <v>0</v>
      </c>
      <c r="Q14" s="146" t="s">
        <v>298</v>
      </c>
    </row>
    <row r="15" customFormat="false" ht="12.75" hidden="false" customHeight="false" outlineLevel="0" collapsed="false">
      <c r="B15" s="148"/>
      <c r="C15" s="148" t="s">
        <v>296</v>
      </c>
      <c r="D15" s="148" t="n">
        <v>64328</v>
      </c>
      <c r="E15" s="148" t="s">
        <v>41</v>
      </c>
      <c r="F15" s="148" t="s">
        <v>298</v>
      </c>
      <c r="G15" s="148" t="s">
        <v>298</v>
      </c>
      <c r="H15" s="149" t="n">
        <v>36557</v>
      </c>
      <c r="I15" s="149" t="n">
        <v>36738</v>
      </c>
      <c r="J15" s="148" t="n">
        <v>25955</v>
      </c>
      <c r="K15" s="148" t="n">
        <v>51</v>
      </c>
      <c r="L15" s="148" t="n">
        <v>0</v>
      </c>
      <c r="M15" s="148" t="n">
        <v>51</v>
      </c>
      <c r="N15" s="148" t="n">
        <v>0</v>
      </c>
      <c r="O15" s="148" t="n">
        <v>0</v>
      </c>
      <c r="P15" s="148" t="n">
        <v>0</v>
      </c>
      <c r="Q15" s="148" t="s">
        <v>298</v>
      </c>
    </row>
    <row r="16" customFormat="false" ht="12.75" hidden="false" customHeight="false" outlineLevel="0" collapsed="false">
      <c r="B16" s="146"/>
      <c r="C16" s="146" t="s">
        <v>296</v>
      </c>
      <c r="D16" s="146" t="n">
        <v>64329</v>
      </c>
      <c r="E16" s="146" t="s">
        <v>41</v>
      </c>
      <c r="F16" s="146" t="s">
        <v>298</v>
      </c>
      <c r="G16" s="146" t="s">
        <v>298</v>
      </c>
      <c r="H16" s="147" t="n">
        <v>36557</v>
      </c>
      <c r="I16" s="147" t="n">
        <v>36738</v>
      </c>
      <c r="J16" s="146" t="n">
        <v>25965</v>
      </c>
      <c r="K16" s="146" t="n">
        <v>12</v>
      </c>
      <c r="L16" s="146" t="n">
        <v>0</v>
      </c>
      <c r="M16" s="146" t="n">
        <v>12</v>
      </c>
      <c r="N16" s="146" t="n">
        <v>0</v>
      </c>
      <c r="O16" s="146" t="n">
        <v>0</v>
      </c>
      <c r="P16" s="146" t="n">
        <v>0</v>
      </c>
      <c r="Q16" s="146" t="s">
        <v>298</v>
      </c>
    </row>
    <row r="17" customFormat="false" ht="12.75" hidden="false" customHeight="false" outlineLevel="0" collapsed="false">
      <c r="B17" s="148"/>
      <c r="C17" s="148" t="s">
        <v>296</v>
      </c>
      <c r="D17" s="148" t="n">
        <v>64356</v>
      </c>
      <c r="E17" s="148" t="s">
        <v>303</v>
      </c>
      <c r="F17" s="148" t="s">
        <v>304</v>
      </c>
      <c r="G17" s="148" t="s">
        <v>298</v>
      </c>
      <c r="H17" s="149" t="n">
        <v>36526</v>
      </c>
      <c r="I17" s="149" t="n">
        <v>36707</v>
      </c>
      <c r="J17" s="148" t="s">
        <v>298</v>
      </c>
      <c r="K17" s="150" t="n">
        <v>310000</v>
      </c>
      <c r="L17" s="148" t="n">
        <v>0</v>
      </c>
      <c r="M17" s="150" t="n">
        <v>310000</v>
      </c>
      <c r="N17" s="148" t="n">
        <v>0</v>
      </c>
      <c r="O17" s="148" t="n">
        <v>0</v>
      </c>
      <c r="P17" s="148" t="n">
        <v>0</v>
      </c>
      <c r="Q17" s="148"/>
    </row>
    <row r="18" customFormat="false" ht="12.75" hidden="false" customHeight="false" outlineLevel="0" collapsed="false">
      <c r="B18" s="146"/>
      <c r="C18" s="146" t="s">
        <v>296</v>
      </c>
      <c r="D18" s="146" t="n">
        <v>64651</v>
      </c>
      <c r="E18" s="146" t="s">
        <v>41</v>
      </c>
      <c r="F18" s="146" t="s">
        <v>298</v>
      </c>
      <c r="G18" s="146" t="s">
        <v>298</v>
      </c>
      <c r="H18" s="147" t="n">
        <v>36557</v>
      </c>
      <c r="I18" s="147" t="n">
        <v>36769</v>
      </c>
      <c r="J18" s="146" t="n">
        <v>26150</v>
      </c>
      <c r="K18" s="146" t="n">
        <v>64</v>
      </c>
      <c r="L18" s="146" t="n">
        <v>0</v>
      </c>
      <c r="M18" s="146" t="n">
        <v>64</v>
      </c>
      <c r="N18" s="146" t="n">
        <v>0</v>
      </c>
      <c r="O18" s="146" t="n">
        <v>0</v>
      </c>
      <c r="P18" s="146" t="n">
        <v>0</v>
      </c>
      <c r="Q18" s="146" t="s">
        <v>298</v>
      </c>
    </row>
    <row r="19" customFormat="false" ht="12.75" hidden="false" customHeight="false" outlineLevel="0" collapsed="false">
      <c r="B19" s="148"/>
      <c r="C19" s="148" t="s">
        <v>296</v>
      </c>
      <c r="D19" s="148" t="n">
        <v>64862</v>
      </c>
      <c r="E19" s="148" t="s">
        <v>41</v>
      </c>
      <c r="F19" s="148" t="s">
        <v>298</v>
      </c>
      <c r="G19" s="148" t="s">
        <v>298</v>
      </c>
      <c r="H19" s="149" t="n">
        <v>36557</v>
      </c>
      <c r="I19" s="149" t="n">
        <v>36799</v>
      </c>
      <c r="J19" s="148" t="n">
        <v>26503</v>
      </c>
      <c r="K19" s="148" t="n">
        <v>13</v>
      </c>
      <c r="L19" s="148" t="n">
        <v>0</v>
      </c>
      <c r="M19" s="148" t="n">
        <v>13</v>
      </c>
      <c r="N19" s="148" t="n">
        <v>0</v>
      </c>
      <c r="O19" s="148" t="n">
        <v>0</v>
      </c>
      <c r="P19" s="148" t="n">
        <v>0</v>
      </c>
      <c r="Q19" s="148" t="s">
        <v>298</v>
      </c>
    </row>
    <row r="20" customFormat="false" ht="12.75" hidden="false" customHeight="false" outlineLevel="0" collapsed="false">
      <c r="B20" s="146"/>
      <c r="C20" s="146" t="s">
        <v>296</v>
      </c>
      <c r="D20" s="146" t="n">
        <v>64939</v>
      </c>
      <c r="E20" s="146" t="s">
        <v>41</v>
      </c>
      <c r="F20" s="146" t="s">
        <v>298</v>
      </c>
      <c r="G20" s="146" t="s">
        <v>298</v>
      </c>
      <c r="H20" s="147" t="n">
        <v>36557</v>
      </c>
      <c r="I20" s="147" t="n">
        <v>36799</v>
      </c>
      <c r="J20" s="146" t="n">
        <v>26577</v>
      </c>
      <c r="K20" s="151" t="n">
        <v>2300</v>
      </c>
      <c r="L20" s="146" t="n">
        <v>0</v>
      </c>
      <c r="M20" s="151" t="n">
        <v>2300</v>
      </c>
      <c r="N20" s="146" t="n">
        <v>0</v>
      </c>
      <c r="O20" s="146" t="n">
        <v>0</v>
      </c>
      <c r="P20" s="146" t="n">
        <v>0</v>
      </c>
      <c r="Q20" s="146" t="s">
        <v>298</v>
      </c>
    </row>
    <row r="21" customFormat="false" ht="12.75" hidden="false" customHeight="false" outlineLevel="0" collapsed="false">
      <c r="B21" s="148"/>
      <c r="C21" s="148" t="s">
        <v>296</v>
      </c>
      <c r="D21" s="148" t="n">
        <v>65026</v>
      </c>
      <c r="E21" s="148" t="s">
        <v>41</v>
      </c>
      <c r="F21" s="148" t="s">
        <v>298</v>
      </c>
      <c r="G21" s="148" t="s">
        <v>298</v>
      </c>
      <c r="H21" s="149" t="n">
        <v>36557</v>
      </c>
      <c r="I21" s="149" t="n">
        <v>36830</v>
      </c>
      <c r="J21" s="148" t="n">
        <v>26726</v>
      </c>
      <c r="K21" s="148" t="n">
        <v>128</v>
      </c>
      <c r="L21" s="148" t="n">
        <v>0</v>
      </c>
      <c r="M21" s="148" t="n">
        <v>128</v>
      </c>
      <c r="N21" s="148" t="n">
        <v>0</v>
      </c>
      <c r="O21" s="148" t="n">
        <v>0</v>
      </c>
      <c r="P21" s="148" t="n">
        <v>0</v>
      </c>
      <c r="Q21" s="148" t="s">
        <v>298</v>
      </c>
    </row>
    <row r="22" customFormat="false" ht="12.75" hidden="false" customHeight="false" outlineLevel="0" collapsed="false">
      <c r="B22" s="146"/>
      <c r="C22" s="146" t="s">
        <v>296</v>
      </c>
      <c r="D22" s="146" t="n">
        <v>65041</v>
      </c>
      <c r="E22" s="146" t="s">
        <v>41</v>
      </c>
      <c r="F22" s="146" t="s">
        <v>298</v>
      </c>
      <c r="G22" s="146" t="s">
        <v>298</v>
      </c>
      <c r="H22" s="147" t="n">
        <v>36557</v>
      </c>
      <c r="I22" s="147" t="n">
        <v>36830</v>
      </c>
      <c r="J22" s="146" t="n">
        <v>26754</v>
      </c>
      <c r="K22" s="151" t="n">
        <v>9619</v>
      </c>
      <c r="L22" s="146" t="n">
        <v>0</v>
      </c>
      <c r="M22" s="151" t="n">
        <v>9619</v>
      </c>
      <c r="N22" s="146" t="n">
        <v>0</v>
      </c>
      <c r="O22" s="146" t="n">
        <v>0</v>
      </c>
      <c r="P22" s="146" t="n">
        <v>0</v>
      </c>
      <c r="Q22" s="146" t="s">
        <v>298</v>
      </c>
    </row>
    <row r="23" customFormat="false" ht="12.75" hidden="false" customHeight="false" outlineLevel="0" collapsed="false">
      <c r="B23" s="148"/>
      <c r="C23" s="148" t="s">
        <v>296</v>
      </c>
      <c r="D23" s="148" t="n">
        <v>65042</v>
      </c>
      <c r="E23" s="148" t="s">
        <v>41</v>
      </c>
      <c r="F23" s="148" t="s">
        <v>298</v>
      </c>
      <c r="G23" s="148" t="s">
        <v>298</v>
      </c>
      <c r="H23" s="149" t="n">
        <v>36557</v>
      </c>
      <c r="I23" s="149" t="n">
        <v>36830</v>
      </c>
      <c r="J23" s="148" t="n">
        <v>26753</v>
      </c>
      <c r="K23" s="150" t="n">
        <v>4427</v>
      </c>
      <c r="L23" s="148" t="n">
        <v>0</v>
      </c>
      <c r="M23" s="150" t="n">
        <v>4427</v>
      </c>
      <c r="N23" s="148" t="n">
        <v>0</v>
      </c>
      <c r="O23" s="148" t="n">
        <v>0</v>
      </c>
      <c r="P23" s="148" t="n">
        <v>0</v>
      </c>
      <c r="Q23" s="148" t="s">
        <v>298</v>
      </c>
    </row>
    <row r="24" customFormat="false" ht="12.75" hidden="false" customHeight="false" outlineLevel="0" collapsed="false">
      <c r="B24" s="146"/>
      <c r="C24" s="146" t="s">
        <v>296</v>
      </c>
      <c r="D24" s="146" t="n">
        <v>65071</v>
      </c>
      <c r="E24" s="146" t="s">
        <v>41</v>
      </c>
      <c r="F24" s="146" t="s">
        <v>298</v>
      </c>
      <c r="G24" s="146" t="s">
        <v>298</v>
      </c>
      <c r="H24" s="147" t="n">
        <v>36557</v>
      </c>
      <c r="I24" s="147" t="n">
        <v>36830</v>
      </c>
      <c r="J24" s="146" t="n">
        <v>26782</v>
      </c>
      <c r="K24" s="151" t="n">
        <v>7429</v>
      </c>
      <c r="L24" s="146" t="n">
        <v>0</v>
      </c>
      <c r="M24" s="151" t="n">
        <v>7035</v>
      </c>
      <c r="N24" s="146" t="n">
        <v>394</v>
      </c>
      <c r="O24" s="146" t="n">
        <v>0</v>
      </c>
      <c r="P24" s="146" t="n">
        <v>0</v>
      </c>
      <c r="Q24" s="146" t="s">
        <v>298</v>
      </c>
    </row>
    <row r="25" customFormat="false" ht="12.75" hidden="false" customHeight="false" outlineLevel="0" collapsed="false">
      <c r="B25" s="148"/>
      <c r="C25" s="148" t="s">
        <v>296</v>
      </c>
      <c r="D25" s="148" t="n">
        <v>65108</v>
      </c>
      <c r="E25" s="148" t="s">
        <v>41</v>
      </c>
      <c r="F25" s="148" t="s">
        <v>298</v>
      </c>
      <c r="G25" s="148" t="s">
        <v>298</v>
      </c>
      <c r="H25" s="149" t="n">
        <v>36557</v>
      </c>
      <c r="I25" s="149" t="n">
        <v>37011</v>
      </c>
      <c r="J25" s="148" t="s">
        <v>298</v>
      </c>
      <c r="K25" s="150" t="n">
        <v>5000</v>
      </c>
      <c r="L25" s="148" t="n">
        <v>0</v>
      </c>
      <c r="M25" s="150" t="n">
        <v>5000</v>
      </c>
      <c r="N25" s="148" t="n">
        <v>0</v>
      </c>
      <c r="O25" s="148" t="n">
        <v>0</v>
      </c>
      <c r="P25" s="148" t="n">
        <v>0</v>
      </c>
      <c r="Q25" s="148" t="s">
        <v>298</v>
      </c>
    </row>
    <row r="26" customFormat="false" ht="12.75" hidden="false" customHeight="false" outlineLevel="0" collapsed="false">
      <c r="B26" s="146"/>
      <c r="C26" s="146" t="s">
        <v>296</v>
      </c>
      <c r="D26" s="146" t="n">
        <v>65402</v>
      </c>
      <c r="E26" s="146" t="s">
        <v>41</v>
      </c>
      <c r="F26" s="146" t="s">
        <v>298</v>
      </c>
      <c r="G26" s="146" t="s">
        <v>298</v>
      </c>
      <c r="H26" s="147" t="n">
        <v>36557</v>
      </c>
      <c r="I26" s="147" t="n">
        <v>36830</v>
      </c>
      <c r="J26" s="146" t="n">
        <v>26694</v>
      </c>
      <c r="K26" s="151" t="n">
        <v>20000</v>
      </c>
      <c r="L26" s="146" t="n">
        <v>0</v>
      </c>
      <c r="M26" s="146" t="n">
        <v>0</v>
      </c>
      <c r="N26" s="151" t="n">
        <v>20000</v>
      </c>
      <c r="O26" s="146" t="n">
        <v>0</v>
      </c>
      <c r="P26" s="146" t="n">
        <v>0</v>
      </c>
      <c r="Q26" s="146" t="s">
        <v>298</v>
      </c>
    </row>
    <row r="27" customFormat="false" ht="12.75" hidden="false" customHeight="false" outlineLevel="0" collapsed="false">
      <c r="B27" s="148"/>
      <c r="C27" s="148" t="s">
        <v>296</v>
      </c>
      <c r="D27" s="148" t="n">
        <v>65403</v>
      </c>
      <c r="E27" s="148" t="s">
        <v>41</v>
      </c>
      <c r="F27" s="148" t="s">
        <v>298</v>
      </c>
      <c r="G27" s="148" t="s">
        <v>298</v>
      </c>
      <c r="H27" s="149" t="n">
        <v>36557</v>
      </c>
      <c r="I27" s="149" t="n">
        <v>37011</v>
      </c>
      <c r="J27" s="148" t="n">
        <v>26714</v>
      </c>
      <c r="K27" s="150" t="n">
        <v>19293</v>
      </c>
      <c r="L27" s="148" t="n">
        <v>0</v>
      </c>
      <c r="M27" s="150" t="n">
        <v>19293</v>
      </c>
      <c r="N27" s="148" t="n">
        <v>0</v>
      </c>
      <c r="O27" s="148" t="n">
        <v>0</v>
      </c>
      <c r="P27" s="148" t="n">
        <v>0</v>
      </c>
      <c r="Q27" s="148" t="s">
        <v>298</v>
      </c>
    </row>
    <row r="28" customFormat="false" ht="12.75" hidden="false" customHeight="false" outlineLevel="0" collapsed="false">
      <c r="B28" s="146"/>
      <c r="C28" s="146" t="s">
        <v>296</v>
      </c>
      <c r="D28" s="146" t="n">
        <v>65418</v>
      </c>
      <c r="E28" s="146" t="s">
        <v>41</v>
      </c>
      <c r="F28" s="146" t="s">
        <v>298</v>
      </c>
      <c r="G28" s="146" t="s">
        <v>298</v>
      </c>
      <c r="H28" s="147" t="n">
        <v>36557</v>
      </c>
      <c r="I28" s="146" t="s">
        <v>298</v>
      </c>
      <c r="J28" s="146" t="n">
        <v>26722</v>
      </c>
      <c r="K28" s="146" t="n">
        <v>500</v>
      </c>
      <c r="L28" s="146" t="n">
        <v>0</v>
      </c>
      <c r="M28" s="146" t="n">
        <v>500</v>
      </c>
      <c r="N28" s="146" t="n">
        <v>0</v>
      </c>
      <c r="O28" s="146" t="n">
        <v>0</v>
      </c>
      <c r="P28" s="146" t="n">
        <v>0</v>
      </c>
      <c r="Q28" s="146" t="s">
        <v>298</v>
      </c>
    </row>
    <row r="29" customFormat="false" ht="12.75" hidden="false" customHeight="false" outlineLevel="0" collapsed="false">
      <c r="B29" s="148"/>
      <c r="C29" s="148" t="s">
        <v>296</v>
      </c>
      <c r="D29" s="148" t="n">
        <v>65556</v>
      </c>
      <c r="E29" s="148" t="s">
        <v>41</v>
      </c>
      <c r="F29" s="148" t="s">
        <v>298</v>
      </c>
      <c r="G29" s="148" t="s">
        <v>298</v>
      </c>
      <c r="H29" s="149" t="n">
        <v>36557</v>
      </c>
      <c r="I29" s="149" t="n">
        <v>36860</v>
      </c>
      <c r="J29" s="148" t="n">
        <v>27127</v>
      </c>
      <c r="K29" s="148" t="n">
        <v>3</v>
      </c>
      <c r="L29" s="148" t="n">
        <v>0</v>
      </c>
      <c r="M29" s="148" t="n">
        <v>3</v>
      </c>
      <c r="N29" s="148" t="n">
        <v>0</v>
      </c>
      <c r="O29" s="148" t="n">
        <v>0</v>
      </c>
      <c r="P29" s="148" t="n">
        <v>0</v>
      </c>
      <c r="Q29" s="148" t="s">
        <v>298</v>
      </c>
    </row>
    <row r="30" customFormat="false" ht="12.75" hidden="false" customHeight="false" outlineLevel="0" collapsed="false">
      <c r="B30" s="146"/>
      <c r="C30" s="146" t="s">
        <v>296</v>
      </c>
      <c r="D30" s="146" t="n">
        <v>66280</v>
      </c>
      <c r="E30" s="146" t="s">
        <v>41</v>
      </c>
      <c r="F30" s="146" t="s">
        <v>298</v>
      </c>
      <c r="G30" s="146" t="s">
        <v>298</v>
      </c>
      <c r="H30" s="147" t="n">
        <v>36557</v>
      </c>
      <c r="I30" s="147" t="n">
        <v>36922</v>
      </c>
      <c r="J30" s="146" t="n">
        <v>27772</v>
      </c>
      <c r="K30" s="146" t="n">
        <v>5</v>
      </c>
      <c r="L30" s="146" t="n">
        <v>0</v>
      </c>
      <c r="M30" s="146" t="n">
        <v>5</v>
      </c>
      <c r="N30" s="146" t="n">
        <v>0</v>
      </c>
      <c r="O30" s="146" t="n">
        <v>0</v>
      </c>
      <c r="P30" s="146" t="n">
        <v>0</v>
      </c>
      <c r="Q30" s="146" t="s">
        <v>298</v>
      </c>
    </row>
    <row r="31" customFormat="false" ht="12.75" hidden="false" customHeight="false" outlineLevel="0" collapsed="false">
      <c r="B31" s="148"/>
      <c r="C31" s="148" t="s">
        <v>296</v>
      </c>
      <c r="D31" s="148" t="n">
        <v>66917</v>
      </c>
      <c r="E31" s="148" t="s">
        <v>204</v>
      </c>
      <c r="F31" s="148" t="s">
        <v>298</v>
      </c>
      <c r="G31" s="148" t="s">
        <v>298</v>
      </c>
      <c r="H31" s="149" t="n">
        <v>36617</v>
      </c>
      <c r="I31" s="148" t="s">
        <v>298</v>
      </c>
      <c r="J31" s="148" t="s">
        <v>298</v>
      </c>
      <c r="K31" s="150" t="n">
        <v>50000</v>
      </c>
      <c r="L31" s="148" t="n">
        <v>0</v>
      </c>
      <c r="M31" s="150" t="n">
        <v>50000</v>
      </c>
      <c r="N31" s="148" t="n">
        <v>0</v>
      </c>
      <c r="O31" s="148" t="n">
        <v>0</v>
      </c>
      <c r="P31" s="148" t="n">
        <v>0</v>
      </c>
      <c r="Q31" s="148" t="s">
        <v>298</v>
      </c>
    </row>
    <row r="32" customFormat="false" ht="12.75" hidden="false" customHeight="false" outlineLevel="0" collapsed="false">
      <c r="B32" s="146"/>
      <c r="C32" s="146" t="s">
        <v>296</v>
      </c>
      <c r="D32" s="146" t="n">
        <v>66930</v>
      </c>
      <c r="E32" s="146" t="s">
        <v>41</v>
      </c>
      <c r="F32" s="146" t="s">
        <v>298</v>
      </c>
      <c r="G32" s="146" t="s">
        <v>298</v>
      </c>
      <c r="H32" s="147" t="n">
        <v>36617</v>
      </c>
      <c r="I32" s="147" t="n">
        <v>36981</v>
      </c>
      <c r="J32" s="146" t="n">
        <v>28188</v>
      </c>
      <c r="K32" s="151" t="n">
        <v>4000</v>
      </c>
      <c r="L32" s="146" t="n">
        <v>0</v>
      </c>
      <c r="M32" s="151" t="n">
        <v>4000</v>
      </c>
      <c r="N32" s="146" t="n">
        <v>0</v>
      </c>
      <c r="O32" s="146" t="n">
        <v>0</v>
      </c>
      <c r="P32" s="146" t="n">
        <v>0</v>
      </c>
      <c r="Q32" s="146" t="s">
        <v>298</v>
      </c>
    </row>
    <row r="33" customFormat="false" ht="12.75" hidden="false" customHeight="false" outlineLevel="0" collapsed="false">
      <c r="B33" s="148"/>
      <c r="C33" s="148" t="s">
        <v>296</v>
      </c>
      <c r="D33" s="148" t="n">
        <v>66931</v>
      </c>
      <c r="E33" s="148" t="s">
        <v>41</v>
      </c>
      <c r="F33" s="148" t="s">
        <v>298</v>
      </c>
      <c r="G33" s="148" t="s">
        <v>298</v>
      </c>
      <c r="H33" s="149" t="n">
        <v>36617</v>
      </c>
      <c r="I33" s="149" t="n">
        <v>36981</v>
      </c>
      <c r="J33" s="148" t="n">
        <v>28189</v>
      </c>
      <c r="K33" s="150" t="n">
        <v>4000</v>
      </c>
      <c r="L33" s="148" t="n">
        <v>0</v>
      </c>
      <c r="M33" s="150" t="n">
        <v>4000</v>
      </c>
      <c r="N33" s="148" t="n">
        <v>0</v>
      </c>
      <c r="O33" s="148" t="n">
        <v>0</v>
      </c>
      <c r="P33" s="148" t="n">
        <v>0</v>
      </c>
      <c r="Q33" s="148" t="s">
        <v>298</v>
      </c>
    </row>
    <row r="34" customFormat="false" ht="12.75" hidden="false" customHeight="false" outlineLevel="0" collapsed="false">
      <c r="B34" s="146"/>
      <c r="C34" s="146" t="s">
        <v>296</v>
      </c>
      <c r="D34" s="146" t="n">
        <v>66932</v>
      </c>
      <c r="E34" s="146" t="s">
        <v>41</v>
      </c>
      <c r="F34" s="146" t="s">
        <v>298</v>
      </c>
      <c r="G34" s="146" t="s">
        <v>298</v>
      </c>
      <c r="H34" s="147" t="n">
        <v>36617</v>
      </c>
      <c r="I34" s="147" t="n">
        <v>36981</v>
      </c>
      <c r="J34" s="146" t="n">
        <v>28176</v>
      </c>
      <c r="K34" s="151" t="n">
        <v>4000</v>
      </c>
      <c r="L34" s="146" t="n">
        <v>0</v>
      </c>
      <c r="M34" s="151" t="n">
        <v>4000</v>
      </c>
      <c r="N34" s="146" t="n">
        <v>0</v>
      </c>
      <c r="O34" s="146" t="n">
        <v>0</v>
      </c>
      <c r="P34" s="146" t="n">
        <v>0</v>
      </c>
      <c r="Q34" s="146" t="s">
        <v>298</v>
      </c>
    </row>
    <row r="35" customFormat="false" ht="12.75" hidden="false" customHeight="false" outlineLevel="0" collapsed="false">
      <c r="B35" s="148"/>
      <c r="C35" s="148" t="s">
        <v>296</v>
      </c>
      <c r="D35" s="148" t="n">
        <v>66939</v>
      </c>
      <c r="E35" s="148" t="s">
        <v>41</v>
      </c>
      <c r="F35" s="148" t="s">
        <v>298</v>
      </c>
      <c r="G35" s="148" t="s">
        <v>298</v>
      </c>
      <c r="H35" s="149" t="n">
        <v>36617</v>
      </c>
      <c r="I35" s="149" t="n">
        <v>36981</v>
      </c>
      <c r="J35" s="148" t="n">
        <v>28332</v>
      </c>
      <c r="K35" s="148" t="n">
        <v>52</v>
      </c>
      <c r="L35" s="148" t="n">
        <v>0</v>
      </c>
      <c r="M35" s="148" t="n">
        <v>52</v>
      </c>
      <c r="N35" s="148" t="n">
        <v>0</v>
      </c>
      <c r="O35" s="148" t="n">
        <v>0</v>
      </c>
      <c r="P35" s="148" t="n">
        <v>0</v>
      </c>
      <c r="Q35" s="148" t="s">
        <v>298</v>
      </c>
    </row>
    <row r="36" customFormat="false" ht="12.75" hidden="false" customHeight="false" outlineLevel="0" collapsed="false">
      <c r="B36" s="146"/>
      <c r="C36" s="146" t="s">
        <v>296</v>
      </c>
      <c r="D36" s="146" t="n">
        <v>66940</v>
      </c>
      <c r="E36" s="146" t="s">
        <v>41</v>
      </c>
      <c r="F36" s="146" t="s">
        <v>298</v>
      </c>
      <c r="G36" s="146" t="s">
        <v>298</v>
      </c>
      <c r="H36" s="147" t="n">
        <v>36617</v>
      </c>
      <c r="I36" s="147" t="n">
        <v>36981</v>
      </c>
      <c r="J36" s="146" t="n">
        <v>28331</v>
      </c>
      <c r="K36" s="146" t="n">
        <v>2</v>
      </c>
      <c r="L36" s="146" t="n">
        <v>0</v>
      </c>
      <c r="M36" s="146" t="n">
        <v>2</v>
      </c>
      <c r="N36" s="146" t="n">
        <v>0</v>
      </c>
      <c r="O36" s="146" t="n">
        <v>0</v>
      </c>
      <c r="P36" s="146" t="n">
        <v>0</v>
      </c>
      <c r="Q36" s="146" t="s">
        <v>298</v>
      </c>
    </row>
    <row r="37" customFormat="false" ht="12.75" hidden="false" customHeight="false" outlineLevel="0" collapsed="false">
      <c r="B37" s="148"/>
      <c r="C37" s="148" t="s">
        <v>296</v>
      </c>
      <c r="D37" s="148" t="n">
        <v>66965</v>
      </c>
      <c r="E37" s="148" t="s">
        <v>214</v>
      </c>
      <c r="F37" s="148" t="s">
        <v>298</v>
      </c>
      <c r="G37" s="148" t="s">
        <v>298</v>
      </c>
      <c r="H37" s="149" t="n">
        <v>36617</v>
      </c>
      <c r="I37" s="149" t="n">
        <v>36830</v>
      </c>
      <c r="J37" s="148" t="n">
        <v>28226</v>
      </c>
      <c r="K37" s="150" t="n">
        <v>20000</v>
      </c>
      <c r="L37" s="148" t="n">
        <v>0</v>
      </c>
      <c r="M37" s="150" t="n">
        <v>20000</v>
      </c>
      <c r="N37" s="148" t="n">
        <v>0</v>
      </c>
      <c r="O37" s="148" t="n">
        <v>0</v>
      </c>
      <c r="P37" s="148" t="n">
        <v>0</v>
      </c>
      <c r="Q37" s="148" t="s">
        <v>298</v>
      </c>
    </row>
    <row r="38" customFormat="false" ht="12.75" hidden="false" customHeight="false" outlineLevel="0" collapsed="false">
      <c r="B38" s="146"/>
      <c r="C38" s="146" t="s">
        <v>296</v>
      </c>
      <c r="D38" s="146" t="n">
        <v>67693</v>
      </c>
      <c r="E38" s="146" t="s">
        <v>214</v>
      </c>
      <c r="F38" s="146" t="s">
        <v>298</v>
      </c>
      <c r="G38" s="146" t="s">
        <v>298</v>
      </c>
      <c r="H38" s="147" t="n">
        <v>36617</v>
      </c>
      <c r="I38" s="147" t="n">
        <v>36799</v>
      </c>
      <c r="J38" s="146" t="n">
        <v>28390</v>
      </c>
      <c r="K38" s="151" t="n">
        <v>54327</v>
      </c>
      <c r="L38" s="146" t="n">
        <v>0</v>
      </c>
      <c r="M38" s="151" t="n">
        <v>29827</v>
      </c>
      <c r="N38" s="151" t="n">
        <v>24500</v>
      </c>
      <c r="O38" s="146" t="n">
        <v>0</v>
      </c>
      <c r="P38" s="146" t="n">
        <v>0</v>
      </c>
      <c r="Q38" s="146" t="s">
        <v>298</v>
      </c>
    </row>
    <row r="39" customFormat="false" ht="12.75" hidden="false" customHeight="false" outlineLevel="0" collapsed="false">
      <c r="B39" s="148"/>
      <c r="C39" s="148" t="s">
        <v>296</v>
      </c>
      <c r="D39" s="148" t="n">
        <v>67712</v>
      </c>
      <c r="E39" s="148" t="s">
        <v>191</v>
      </c>
      <c r="F39" s="148" t="s">
        <v>298</v>
      </c>
      <c r="G39" s="148" t="s">
        <v>298</v>
      </c>
      <c r="H39" s="149" t="n">
        <v>36617</v>
      </c>
      <c r="I39" s="149" t="n">
        <v>36981</v>
      </c>
      <c r="J39" s="148" t="n">
        <v>28389</v>
      </c>
      <c r="K39" s="150" t="n">
        <v>108648</v>
      </c>
      <c r="L39" s="150" t="n">
        <v>6050607</v>
      </c>
      <c r="M39" s="150" t="n">
        <v>108648</v>
      </c>
      <c r="N39" s="148" t="n">
        <v>0</v>
      </c>
      <c r="O39" s="148" t="n">
        <v>0</v>
      </c>
      <c r="P39" s="148" t="n">
        <v>0</v>
      </c>
      <c r="Q39" s="148" t="n">
        <v>67713</v>
      </c>
    </row>
    <row r="40" customFormat="false" ht="12.75" hidden="false" customHeight="false" outlineLevel="0" collapsed="false">
      <c r="B40" s="146"/>
      <c r="C40" s="146" t="s">
        <v>296</v>
      </c>
      <c r="D40" s="146" t="n">
        <v>67713</v>
      </c>
      <c r="E40" s="146" t="s">
        <v>191</v>
      </c>
      <c r="F40" s="146" t="s">
        <v>298</v>
      </c>
      <c r="G40" s="146" t="s">
        <v>298</v>
      </c>
      <c r="H40" s="147" t="n">
        <v>36617</v>
      </c>
      <c r="I40" s="147" t="n">
        <v>36981</v>
      </c>
      <c r="J40" s="146" t="n">
        <v>28389</v>
      </c>
      <c r="K40" s="151" t="n">
        <v>108648</v>
      </c>
      <c r="L40" s="151" t="n">
        <v>6050607</v>
      </c>
      <c r="M40" s="151" t="n">
        <v>108648</v>
      </c>
      <c r="N40" s="146" t="n">
        <v>0</v>
      </c>
      <c r="O40" s="146" t="n">
        <v>0</v>
      </c>
      <c r="P40" s="146" t="n">
        <v>0</v>
      </c>
      <c r="Q40" s="146" t="n">
        <v>67713</v>
      </c>
    </row>
    <row r="41" customFormat="false" ht="12.75" hidden="false" customHeight="false" outlineLevel="0" collapsed="false">
      <c r="B41" s="148"/>
      <c r="C41" s="148" t="s">
        <v>296</v>
      </c>
      <c r="D41" s="148" t="n">
        <v>68188</v>
      </c>
      <c r="E41" s="148" t="s">
        <v>41</v>
      </c>
      <c r="F41" s="148" t="s">
        <v>298</v>
      </c>
      <c r="G41" s="148" t="s">
        <v>298</v>
      </c>
      <c r="H41" s="149" t="n">
        <v>36647</v>
      </c>
      <c r="I41" s="149" t="n">
        <v>37011</v>
      </c>
      <c r="J41" s="148" t="n">
        <v>28742</v>
      </c>
      <c r="K41" s="148" t="n">
        <v>1</v>
      </c>
      <c r="L41" s="148" t="n">
        <v>0</v>
      </c>
      <c r="M41" s="148" t="n">
        <v>1</v>
      </c>
      <c r="N41" s="148" t="n">
        <v>0</v>
      </c>
      <c r="O41" s="148" t="n">
        <v>0</v>
      </c>
      <c r="P41" s="148" t="n">
        <v>0</v>
      </c>
      <c r="Q41" s="148" t="s">
        <v>298</v>
      </c>
    </row>
    <row r="42" customFormat="false" ht="12.75" hidden="false" customHeight="false" outlineLevel="0" collapsed="false">
      <c r="B42" s="146"/>
      <c r="C42" s="146" t="s">
        <v>296</v>
      </c>
      <c r="D42" s="146" t="n">
        <v>68257</v>
      </c>
      <c r="E42" s="146" t="s">
        <v>41</v>
      </c>
      <c r="F42" s="146" t="s">
        <v>298</v>
      </c>
      <c r="G42" s="146" t="s">
        <v>298</v>
      </c>
      <c r="H42" s="147" t="n">
        <v>36647</v>
      </c>
      <c r="I42" s="147" t="n">
        <v>37011</v>
      </c>
      <c r="J42" s="146" t="n">
        <v>28631</v>
      </c>
      <c r="K42" s="146" t="n">
        <v>21</v>
      </c>
      <c r="L42" s="146" t="n">
        <v>0</v>
      </c>
      <c r="M42" s="146" t="n">
        <v>21</v>
      </c>
      <c r="N42" s="146" t="n">
        <v>0</v>
      </c>
      <c r="O42" s="146" t="n">
        <v>0</v>
      </c>
      <c r="P42" s="146" t="n">
        <v>0</v>
      </c>
      <c r="Q42" s="146"/>
    </row>
    <row r="43" customFormat="false" ht="12.75" hidden="false" customHeight="false" outlineLevel="0" collapsed="false">
      <c r="B43" s="148"/>
      <c r="C43" s="148" t="s">
        <v>296</v>
      </c>
      <c r="D43" s="148" t="n">
        <v>68308</v>
      </c>
      <c r="E43" s="148" t="s">
        <v>41</v>
      </c>
      <c r="F43" s="148" t="s">
        <v>298</v>
      </c>
      <c r="G43" s="148" t="s">
        <v>298</v>
      </c>
      <c r="H43" s="149" t="n">
        <v>36656</v>
      </c>
      <c r="I43" s="149" t="n">
        <v>36950</v>
      </c>
      <c r="J43" s="148" t="n">
        <v>28864</v>
      </c>
      <c r="K43" s="148" t="n">
        <v>9</v>
      </c>
      <c r="L43" s="148" t="n">
        <v>0</v>
      </c>
      <c r="M43" s="148" t="n">
        <v>9</v>
      </c>
      <c r="N43" s="148" t="n">
        <v>0</v>
      </c>
      <c r="O43" s="148" t="n">
        <v>0</v>
      </c>
      <c r="P43" s="148" t="n">
        <v>0</v>
      </c>
      <c r="Q43" s="148" t="s">
        <v>298</v>
      </c>
    </row>
    <row r="44" customFormat="false" ht="12.75" hidden="false" customHeight="false" outlineLevel="0" collapsed="false">
      <c r="B44" s="146"/>
      <c r="C44" s="146" t="s">
        <v>296</v>
      </c>
      <c r="D44" s="146" t="n">
        <v>68359</v>
      </c>
      <c r="E44" s="146" t="s">
        <v>41</v>
      </c>
      <c r="F44" s="146" t="s">
        <v>298</v>
      </c>
      <c r="G44" s="146" t="s">
        <v>298</v>
      </c>
      <c r="H44" s="147" t="n">
        <v>36678</v>
      </c>
      <c r="I44" s="147" t="n">
        <v>37042</v>
      </c>
      <c r="J44" s="146" t="n">
        <v>28933</v>
      </c>
      <c r="K44" s="146" t="n">
        <v>285</v>
      </c>
      <c r="L44" s="146" t="n">
        <v>0</v>
      </c>
      <c r="M44" s="146" t="n">
        <v>285</v>
      </c>
      <c r="N44" s="146" t="n">
        <v>0</v>
      </c>
      <c r="O44" s="146" t="n">
        <v>0</v>
      </c>
      <c r="P44" s="146" t="n">
        <v>0</v>
      </c>
      <c r="Q44" s="146" t="s">
        <v>298</v>
      </c>
    </row>
    <row r="45" customFormat="false" ht="12.75" hidden="false" customHeight="false" outlineLevel="0" collapsed="false">
      <c r="B45" s="148"/>
      <c r="C45" s="148" t="s">
        <v>296</v>
      </c>
      <c r="D45" s="148" t="n">
        <v>68384</v>
      </c>
      <c r="E45" s="148" t="s">
        <v>41</v>
      </c>
      <c r="F45" s="148" t="s">
        <v>298</v>
      </c>
      <c r="G45" s="148" t="s">
        <v>298</v>
      </c>
      <c r="H45" s="149" t="n">
        <v>36678</v>
      </c>
      <c r="I45" s="149" t="n">
        <v>37042</v>
      </c>
      <c r="J45" s="148" t="n">
        <v>28962</v>
      </c>
      <c r="K45" s="148" t="n">
        <v>218</v>
      </c>
      <c r="L45" s="148" t="n">
        <v>0</v>
      </c>
      <c r="M45" s="148" t="n">
        <v>218</v>
      </c>
      <c r="N45" s="148" t="n">
        <v>0</v>
      </c>
      <c r="O45" s="148" t="n">
        <v>0</v>
      </c>
      <c r="P45" s="148" t="n">
        <v>0</v>
      </c>
      <c r="Q45" s="148" t="s">
        <v>298</v>
      </c>
    </row>
    <row r="46" customFormat="false" ht="12.75" hidden="false" customHeight="false" outlineLevel="0" collapsed="false">
      <c r="B46" s="146"/>
      <c r="C46" s="146" t="s">
        <v>296</v>
      </c>
      <c r="D46" s="146" t="n">
        <v>68443</v>
      </c>
      <c r="E46" s="146" t="s">
        <v>214</v>
      </c>
      <c r="F46" s="146" t="s">
        <v>298</v>
      </c>
      <c r="G46" s="146" t="s">
        <v>298</v>
      </c>
      <c r="H46" s="147" t="n">
        <v>36678</v>
      </c>
      <c r="I46" s="147" t="n">
        <v>36707</v>
      </c>
      <c r="J46" s="146" t="n">
        <v>29005</v>
      </c>
      <c r="K46" s="151" t="n">
        <v>10000</v>
      </c>
      <c r="L46" s="146" t="n">
        <v>0</v>
      </c>
      <c r="M46" s="151" t="n">
        <v>10000</v>
      </c>
      <c r="N46" s="146" t="n">
        <v>0</v>
      </c>
      <c r="O46" s="146" t="n">
        <v>0</v>
      </c>
      <c r="P46" s="146" t="n">
        <v>0</v>
      </c>
      <c r="Q46" s="146" t="s">
        <v>298</v>
      </c>
    </row>
    <row r="47" customFormat="false" ht="12.75" hidden="false" customHeight="false" outlineLevel="0" collapsed="false">
      <c r="B47" s="148"/>
      <c r="C47" s="148" t="s">
        <v>296</v>
      </c>
      <c r="D47" s="148" t="n">
        <v>68447</v>
      </c>
      <c r="E47" s="148" t="s">
        <v>41</v>
      </c>
      <c r="F47" s="148" t="s">
        <v>298</v>
      </c>
      <c r="G47" s="148" t="s">
        <v>298</v>
      </c>
      <c r="H47" s="149" t="n">
        <v>36678</v>
      </c>
      <c r="I47" s="149" t="n">
        <v>36707</v>
      </c>
      <c r="J47" s="148" t="n">
        <v>29095</v>
      </c>
      <c r="K47" s="150" t="n">
        <v>7500</v>
      </c>
      <c r="L47" s="148" t="n">
        <v>0</v>
      </c>
      <c r="M47" s="150" t="n">
        <v>7500</v>
      </c>
      <c r="N47" s="148" t="n">
        <v>0</v>
      </c>
      <c r="O47" s="148" t="n">
        <v>0</v>
      </c>
      <c r="P47" s="148" t="n">
        <v>0</v>
      </c>
      <c r="Q47" s="148" t="s">
        <v>298</v>
      </c>
    </row>
    <row r="48" customFormat="false" ht="38.25" hidden="false" customHeight="false" outlineLevel="0" collapsed="false">
      <c r="B48" s="146"/>
      <c r="C48" s="146" t="s">
        <v>305</v>
      </c>
      <c r="D48" s="146" t="n">
        <v>37393</v>
      </c>
      <c r="E48" s="146" t="s">
        <v>306</v>
      </c>
      <c r="F48" s="146" t="s">
        <v>298</v>
      </c>
      <c r="G48" s="146" t="s">
        <v>298</v>
      </c>
      <c r="H48" s="147" t="n">
        <v>34274</v>
      </c>
      <c r="I48" s="146" t="s">
        <v>298</v>
      </c>
      <c r="J48" s="146" t="s">
        <v>298</v>
      </c>
      <c r="K48" s="151" t="n">
        <v>20000</v>
      </c>
      <c r="L48" s="146" t="n">
        <v>0</v>
      </c>
      <c r="M48" s="151" t="n">
        <v>20000</v>
      </c>
      <c r="N48" s="146" t="n">
        <v>0</v>
      </c>
      <c r="O48" s="146" t="n">
        <v>0</v>
      </c>
      <c r="P48" s="146" t="n">
        <v>0</v>
      </c>
      <c r="Q48" s="146" t="s">
        <v>298</v>
      </c>
    </row>
    <row r="49" customFormat="false" ht="38.25" hidden="false" customHeight="false" outlineLevel="0" collapsed="false">
      <c r="B49" s="148"/>
      <c r="C49" s="148" t="s">
        <v>305</v>
      </c>
      <c r="D49" s="148" t="n">
        <v>37556</v>
      </c>
      <c r="E49" s="148" t="s">
        <v>307</v>
      </c>
      <c r="F49" s="148" t="s">
        <v>298</v>
      </c>
      <c r="G49" s="148" t="s">
        <v>298</v>
      </c>
      <c r="H49" s="149" t="n">
        <v>34274</v>
      </c>
      <c r="I49" s="148" t="s">
        <v>298</v>
      </c>
      <c r="J49" s="148" t="s">
        <v>298</v>
      </c>
      <c r="K49" s="150" t="n">
        <v>300000</v>
      </c>
      <c r="L49" s="148" t="n">
        <v>0</v>
      </c>
      <c r="M49" s="150" t="n">
        <v>300000</v>
      </c>
      <c r="N49" s="148" t="n">
        <v>0</v>
      </c>
      <c r="O49" s="148" t="n">
        <v>0</v>
      </c>
      <c r="P49" s="148" t="n">
        <v>0</v>
      </c>
      <c r="Q49" s="148" t="s">
        <v>298</v>
      </c>
    </row>
    <row r="50" customFormat="false" ht="38.25" hidden="false" customHeight="false" outlineLevel="0" collapsed="false">
      <c r="B50" s="146"/>
      <c r="C50" s="146" t="s">
        <v>305</v>
      </c>
      <c r="D50" s="146" t="n">
        <v>37861</v>
      </c>
      <c r="E50" s="146" t="s">
        <v>308</v>
      </c>
      <c r="F50" s="146" t="s">
        <v>298</v>
      </c>
      <c r="G50" s="146" t="s">
        <v>298</v>
      </c>
      <c r="H50" s="147" t="n">
        <v>35582</v>
      </c>
      <c r="I50" s="146" t="s">
        <v>298</v>
      </c>
      <c r="J50" s="146" t="s">
        <v>298</v>
      </c>
      <c r="K50" s="151" t="n">
        <v>15000</v>
      </c>
      <c r="L50" s="146" t="n">
        <v>0</v>
      </c>
      <c r="M50" s="151" t="n">
        <v>15000</v>
      </c>
      <c r="N50" s="146" t="n">
        <v>0</v>
      </c>
      <c r="O50" s="146" t="n">
        <v>0</v>
      </c>
      <c r="P50" s="146" t="n">
        <v>0</v>
      </c>
      <c r="Q50" s="146" t="s">
        <v>298</v>
      </c>
    </row>
    <row r="51" customFormat="false" ht="38.25" hidden="false" customHeight="false" outlineLevel="0" collapsed="false">
      <c r="B51" s="148"/>
      <c r="C51" s="148" t="s">
        <v>305</v>
      </c>
      <c r="D51" s="148" t="n">
        <v>38641</v>
      </c>
      <c r="E51" s="148" t="s">
        <v>309</v>
      </c>
      <c r="F51" s="148" t="s">
        <v>298</v>
      </c>
      <c r="G51" s="148" t="s">
        <v>298</v>
      </c>
      <c r="H51" s="149" t="n">
        <v>34274</v>
      </c>
      <c r="I51" s="148" t="s">
        <v>298</v>
      </c>
      <c r="J51" s="148" t="s">
        <v>298</v>
      </c>
      <c r="K51" s="150" t="n">
        <v>450000</v>
      </c>
      <c r="L51" s="148" t="n">
        <v>0</v>
      </c>
      <c r="M51" s="150" t="n">
        <v>450000</v>
      </c>
      <c r="N51" s="148" t="n">
        <v>0</v>
      </c>
      <c r="O51" s="148" t="n">
        <v>0</v>
      </c>
      <c r="P51" s="148" t="n">
        <v>0</v>
      </c>
      <c r="Q51" s="148" t="s">
        <v>298</v>
      </c>
    </row>
    <row r="52" customFormat="false" ht="38.25" hidden="false" customHeight="false" outlineLevel="0" collapsed="false">
      <c r="B52" s="146"/>
      <c r="C52" s="146" t="s">
        <v>305</v>
      </c>
      <c r="D52" s="146" t="n">
        <v>39229</v>
      </c>
      <c r="E52" s="146" t="s">
        <v>297</v>
      </c>
      <c r="F52" s="146" t="s">
        <v>298</v>
      </c>
      <c r="G52" s="146" t="s">
        <v>298</v>
      </c>
      <c r="H52" s="147" t="n">
        <v>34274</v>
      </c>
      <c r="I52" s="146" t="s">
        <v>298</v>
      </c>
      <c r="J52" s="146" t="s">
        <v>298</v>
      </c>
      <c r="K52" s="146" t="n">
        <v>0</v>
      </c>
      <c r="L52" s="146" t="n">
        <v>0</v>
      </c>
      <c r="M52" s="146" t="n">
        <v>0</v>
      </c>
      <c r="N52" s="146" t="n">
        <v>0</v>
      </c>
      <c r="O52" s="146" t="n">
        <v>0</v>
      </c>
      <c r="P52" s="146" t="n">
        <v>0</v>
      </c>
      <c r="Q52" s="146" t="s">
        <v>298</v>
      </c>
    </row>
    <row r="53" customFormat="false" ht="38.25" hidden="false" customHeight="false" outlineLevel="0" collapsed="false">
      <c r="B53" s="148"/>
      <c r="C53" s="148" t="s">
        <v>305</v>
      </c>
      <c r="D53" s="148" t="n">
        <v>39266</v>
      </c>
      <c r="E53" s="148" t="s">
        <v>204</v>
      </c>
      <c r="F53" s="148" t="s">
        <v>298</v>
      </c>
      <c r="G53" s="148" t="s">
        <v>298</v>
      </c>
      <c r="H53" s="149" t="n">
        <v>34274</v>
      </c>
      <c r="I53" s="148" t="s">
        <v>298</v>
      </c>
      <c r="J53" s="148" t="s">
        <v>298</v>
      </c>
      <c r="K53" s="150" t="n">
        <v>300000</v>
      </c>
      <c r="L53" s="148" t="n">
        <v>0</v>
      </c>
      <c r="M53" s="150" t="n">
        <v>300000</v>
      </c>
      <c r="N53" s="148" t="n">
        <v>0</v>
      </c>
      <c r="O53" s="148" t="n">
        <v>0</v>
      </c>
      <c r="P53" s="148" t="n">
        <v>0</v>
      </c>
      <c r="Q53" s="148" t="s">
        <v>298</v>
      </c>
    </row>
    <row r="54" customFormat="false" ht="38.25" hidden="false" customHeight="false" outlineLevel="0" collapsed="false">
      <c r="B54" s="146"/>
      <c r="C54" s="146" t="s">
        <v>305</v>
      </c>
      <c r="D54" s="146" t="n">
        <v>42789</v>
      </c>
      <c r="E54" s="146" t="s">
        <v>306</v>
      </c>
      <c r="F54" s="146" t="s">
        <v>298</v>
      </c>
      <c r="G54" s="146" t="s">
        <v>298</v>
      </c>
      <c r="H54" s="147" t="n">
        <v>36557</v>
      </c>
      <c r="I54" s="146" t="s">
        <v>298</v>
      </c>
      <c r="J54" s="146" t="s">
        <v>298</v>
      </c>
      <c r="K54" s="151" t="n">
        <v>30000</v>
      </c>
      <c r="L54" s="146" t="n">
        <v>0</v>
      </c>
      <c r="M54" s="151" t="n">
        <v>30000</v>
      </c>
      <c r="N54" s="146" t="n">
        <v>0</v>
      </c>
      <c r="O54" s="146" t="n">
        <v>0</v>
      </c>
      <c r="P54" s="146" t="n">
        <v>0</v>
      </c>
      <c r="Q54" s="146" t="s">
        <v>298</v>
      </c>
    </row>
    <row r="55" customFormat="false" ht="38.25" hidden="false" customHeight="false" outlineLevel="0" collapsed="false">
      <c r="B55" s="148"/>
      <c r="C55" s="148" t="s">
        <v>305</v>
      </c>
      <c r="D55" s="148" t="n">
        <v>50250</v>
      </c>
      <c r="E55" s="148" t="s">
        <v>306</v>
      </c>
      <c r="F55" s="148" t="s">
        <v>298</v>
      </c>
      <c r="G55" s="148" t="s">
        <v>298</v>
      </c>
      <c r="H55" s="149" t="n">
        <v>36557</v>
      </c>
      <c r="I55" s="148" t="s">
        <v>298</v>
      </c>
      <c r="J55" s="148" t="s">
        <v>298</v>
      </c>
      <c r="K55" s="150" t="n">
        <v>20000</v>
      </c>
      <c r="L55" s="148" t="n">
        <v>0</v>
      </c>
      <c r="M55" s="150" t="n">
        <v>20000</v>
      </c>
      <c r="N55" s="148" t="n">
        <v>0</v>
      </c>
      <c r="O55" s="148" t="n">
        <v>0</v>
      </c>
      <c r="P55" s="148" t="n">
        <v>0</v>
      </c>
      <c r="Q55" s="148" t="s">
        <v>298</v>
      </c>
    </row>
    <row r="56" customFormat="false" ht="38.25" hidden="false" customHeight="false" outlineLevel="0" collapsed="false">
      <c r="B56" s="146"/>
      <c r="C56" s="146" t="s">
        <v>305</v>
      </c>
      <c r="D56" s="146" t="n">
        <v>58654</v>
      </c>
      <c r="E56" s="146" t="s">
        <v>308</v>
      </c>
      <c r="F56" s="146" t="s">
        <v>298</v>
      </c>
      <c r="G56" s="146" t="s">
        <v>298</v>
      </c>
      <c r="H56" s="147" t="n">
        <v>36557</v>
      </c>
      <c r="I56" s="146" t="s">
        <v>298</v>
      </c>
      <c r="J56" s="146" t="s">
        <v>298</v>
      </c>
      <c r="K56" s="151" t="n">
        <v>15000</v>
      </c>
      <c r="L56" s="146" t="n">
        <v>0</v>
      </c>
      <c r="M56" s="151" t="n">
        <v>15000</v>
      </c>
      <c r="N56" s="146" t="n">
        <v>0</v>
      </c>
      <c r="O56" s="146" t="n">
        <v>0</v>
      </c>
      <c r="P56" s="146" t="n">
        <v>0</v>
      </c>
      <c r="Q56" s="146" t="s">
        <v>298</v>
      </c>
    </row>
    <row r="57" customFormat="false" ht="38.25" hidden="false" customHeight="false" outlineLevel="0" collapsed="false">
      <c r="B57" s="148"/>
      <c r="C57" s="148" t="s">
        <v>305</v>
      </c>
      <c r="D57" s="148" t="n">
        <v>62408</v>
      </c>
      <c r="E57" s="148" t="s">
        <v>306</v>
      </c>
      <c r="F57" s="148" t="s">
        <v>298</v>
      </c>
      <c r="G57" s="148" t="s">
        <v>298</v>
      </c>
      <c r="H57" s="149" t="n">
        <v>36557</v>
      </c>
      <c r="I57" s="148" t="s">
        <v>298</v>
      </c>
      <c r="J57" s="148" t="s">
        <v>298</v>
      </c>
      <c r="K57" s="150" t="n">
        <v>40000</v>
      </c>
      <c r="L57" s="148" t="n">
        <v>0</v>
      </c>
      <c r="M57" s="150" t="n">
        <v>40000</v>
      </c>
      <c r="N57" s="148" t="n">
        <v>0</v>
      </c>
      <c r="O57" s="148" t="n">
        <v>0</v>
      </c>
      <c r="P57" s="148" t="n">
        <v>0</v>
      </c>
      <c r="Q57" s="148" t="s">
        <v>298</v>
      </c>
    </row>
    <row r="58" customFormat="false" ht="38.25" hidden="false" customHeight="false" outlineLevel="0" collapsed="false">
      <c r="B58" s="146"/>
      <c r="C58" s="146" t="s">
        <v>305</v>
      </c>
      <c r="D58" s="146" t="n">
        <v>63115</v>
      </c>
      <c r="E58" s="146" t="s">
        <v>308</v>
      </c>
      <c r="F58" s="146" t="s">
        <v>298</v>
      </c>
      <c r="G58" s="146" t="s">
        <v>298</v>
      </c>
      <c r="H58" s="147" t="n">
        <v>36557</v>
      </c>
      <c r="I58" s="147" t="n">
        <v>37346</v>
      </c>
      <c r="J58" s="146" t="n">
        <v>24770</v>
      </c>
      <c r="K58" s="151" t="n">
        <v>30000</v>
      </c>
      <c r="L58" s="146" t="n">
        <v>0</v>
      </c>
      <c r="M58" s="151" t="n">
        <v>30000</v>
      </c>
      <c r="N58" s="146" t="n">
        <v>0</v>
      </c>
      <c r="O58" s="146" t="n">
        <v>0</v>
      </c>
      <c r="P58" s="146" t="n">
        <v>0</v>
      </c>
      <c r="Q58" s="146" t="s">
        <v>298</v>
      </c>
    </row>
    <row r="59" customFormat="false" ht="38.25" hidden="false" customHeight="false" outlineLevel="0" collapsed="false">
      <c r="B59" s="148"/>
      <c r="C59" s="148" t="s">
        <v>305</v>
      </c>
      <c r="D59" s="148" t="n">
        <v>63922</v>
      </c>
      <c r="E59" s="148" t="s">
        <v>306</v>
      </c>
      <c r="F59" s="148" t="s">
        <v>298</v>
      </c>
      <c r="G59" s="148" t="s">
        <v>298</v>
      </c>
      <c r="H59" s="149" t="n">
        <v>36557</v>
      </c>
      <c r="I59" s="149" t="n">
        <v>38291</v>
      </c>
      <c r="J59" s="148" t="n">
        <v>25471</v>
      </c>
      <c r="K59" s="150" t="n">
        <v>25654</v>
      </c>
      <c r="L59" s="148" t="n">
        <v>0</v>
      </c>
      <c r="M59" s="150" t="n">
        <v>25654</v>
      </c>
      <c r="N59" s="148" t="n">
        <v>0</v>
      </c>
      <c r="O59" s="148" t="n">
        <v>0</v>
      </c>
      <c r="P59" s="148" t="n">
        <v>0</v>
      </c>
      <c r="Q59" s="148" t="s">
        <v>298</v>
      </c>
    </row>
    <row r="60" customFormat="false" ht="38.25" hidden="false" customHeight="false" outlineLevel="0" collapsed="false">
      <c r="B60" s="146"/>
      <c r="C60" s="146" t="s">
        <v>305</v>
      </c>
      <c r="D60" s="146" t="n">
        <v>64033</v>
      </c>
      <c r="E60" s="146" t="s">
        <v>308</v>
      </c>
      <c r="F60" s="146" t="s">
        <v>298</v>
      </c>
      <c r="G60" s="146" t="s">
        <v>298</v>
      </c>
      <c r="H60" s="147" t="n">
        <v>36557</v>
      </c>
      <c r="I60" s="147" t="n">
        <v>36707</v>
      </c>
      <c r="J60" s="146" t="n">
        <v>25713</v>
      </c>
      <c r="K60" s="146" t="n">
        <v>1</v>
      </c>
      <c r="L60" s="146" t="n">
        <v>0</v>
      </c>
      <c r="M60" s="146" t="n">
        <v>1</v>
      </c>
      <c r="N60" s="146" t="n">
        <v>0</v>
      </c>
      <c r="O60" s="146" t="n">
        <v>0</v>
      </c>
      <c r="P60" s="146" t="n">
        <v>0</v>
      </c>
      <c r="Q60" s="146" t="s">
        <v>298</v>
      </c>
    </row>
    <row r="61" customFormat="false" ht="38.25" hidden="false" customHeight="false" outlineLevel="0" collapsed="false">
      <c r="B61" s="148"/>
      <c r="C61" s="148" t="s">
        <v>305</v>
      </c>
      <c r="D61" s="148" t="n">
        <v>64035</v>
      </c>
      <c r="E61" s="148" t="s">
        <v>308</v>
      </c>
      <c r="F61" s="148" t="s">
        <v>298</v>
      </c>
      <c r="G61" s="148" t="s">
        <v>298</v>
      </c>
      <c r="H61" s="149" t="n">
        <v>36557</v>
      </c>
      <c r="I61" s="149" t="n">
        <v>36707</v>
      </c>
      <c r="J61" s="148" t="n">
        <v>25700</v>
      </c>
      <c r="K61" s="148" t="n">
        <v>931</v>
      </c>
      <c r="L61" s="148" t="n">
        <v>0</v>
      </c>
      <c r="M61" s="148" t="n">
        <v>931</v>
      </c>
      <c r="N61" s="148" t="n">
        <v>0</v>
      </c>
      <c r="O61" s="148" t="n">
        <v>0</v>
      </c>
      <c r="P61" s="148" t="n">
        <v>0</v>
      </c>
      <c r="Q61" s="148" t="s">
        <v>298</v>
      </c>
    </row>
    <row r="62" customFormat="false" ht="38.25" hidden="false" customHeight="false" outlineLevel="0" collapsed="false">
      <c r="B62" s="146"/>
      <c r="C62" s="146" t="s">
        <v>305</v>
      </c>
      <c r="D62" s="146" t="n">
        <v>64332</v>
      </c>
      <c r="E62" s="146" t="s">
        <v>308</v>
      </c>
      <c r="F62" s="146" t="s">
        <v>298</v>
      </c>
      <c r="G62" s="146" t="s">
        <v>298</v>
      </c>
      <c r="H62" s="147" t="n">
        <v>36557</v>
      </c>
      <c r="I62" s="147" t="n">
        <v>36738</v>
      </c>
      <c r="J62" s="146" t="n">
        <v>25966</v>
      </c>
      <c r="K62" s="146" t="n">
        <v>12</v>
      </c>
      <c r="L62" s="146" t="n">
        <v>0</v>
      </c>
      <c r="M62" s="146" t="n">
        <v>12</v>
      </c>
      <c r="N62" s="146" t="n">
        <v>0</v>
      </c>
      <c r="O62" s="146" t="n">
        <v>0</v>
      </c>
      <c r="P62" s="146" t="n">
        <v>0</v>
      </c>
      <c r="Q62" s="146" t="s">
        <v>298</v>
      </c>
    </row>
    <row r="63" customFormat="false" ht="38.25" hidden="false" customHeight="false" outlineLevel="0" collapsed="false">
      <c r="B63" s="148"/>
      <c r="C63" s="148" t="s">
        <v>305</v>
      </c>
      <c r="D63" s="148" t="n">
        <v>64334</v>
      </c>
      <c r="E63" s="148" t="s">
        <v>308</v>
      </c>
      <c r="F63" s="148" t="s">
        <v>298</v>
      </c>
      <c r="G63" s="148" t="s">
        <v>298</v>
      </c>
      <c r="H63" s="149" t="n">
        <v>36557</v>
      </c>
      <c r="I63" s="149" t="n">
        <v>36738</v>
      </c>
      <c r="J63" s="148" t="n">
        <v>25956</v>
      </c>
      <c r="K63" s="148" t="n">
        <v>52</v>
      </c>
      <c r="L63" s="148" t="n">
        <v>0</v>
      </c>
      <c r="M63" s="148" t="n">
        <v>52</v>
      </c>
      <c r="N63" s="148" t="n">
        <v>0</v>
      </c>
      <c r="O63" s="148" t="n">
        <v>0</v>
      </c>
      <c r="P63" s="148" t="n">
        <v>0</v>
      </c>
      <c r="Q63" s="148" t="s">
        <v>298</v>
      </c>
    </row>
    <row r="64" customFormat="false" ht="38.25" hidden="false" customHeight="false" outlineLevel="0" collapsed="false">
      <c r="B64" s="146"/>
      <c r="C64" s="146" t="s">
        <v>305</v>
      </c>
      <c r="D64" s="146" t="n">
        <v>64446</v>
      </c>
      <c r="E64" s="146" t="s">
        <v>308</v>
      </c>
      <c r="F64" s="146" t="s">
        <v>298</v>
      </c>
      <c r="G64" s="146" t="s">
        <v>298</v>
      </c>
      <c r="H64" s="147" t="n">
        <v>36557</v>
      </c>
      <c r="I64" s="147" t="n">
        <v>36738</v>
      </c>
      <c r="J64" s="146" t="n">
        <v>26081</v>
      </c>
      <c r="K64" s="146" t="n">
        <v>142</v>
      </c>
      <c r="L64" s="146" t="n">
        <v>0</v>
      </c>
      <c r="M64" s="146" t="n">
        <v>142</v>
      </c>
      <c r="N64" s="146" t="n">
        <v>0</v>
      </c>
      <c r="O64" s="146" t="n">
        <v>0</v>
      </c>
      <c r="P64" s="146" t="n">
        <v>0</v>
      </c>
      <c r="Q64" s="146" t="s">
        <v>298</v>
      </c>
    </row>
    <row r="65" customFormat="false" ht="38.25" hidden="false" customHeight="false" outlineLevel="0" collapsed="false">
      <c r="B65" s="148"/>
      <c r="C65" s="148" t="s">
        <v>305</v>
      </c>
      <c r="D65" s="148" t="n">
        <v>64502</v>
      </c>
      <c r="E65" s="148" t="s">
        <v>306</v>
      </c>
      <c r="F65" s="148" t="s">
        <v>298</v>
      </c>
      <c r="G65" s="148" t="s">
        <v>298</v>
      </c>
      <c r="H65" s="149" t="n">
        <v>36557</v>
      </c>
      <c r="I65" s="148" t="s">
        <v>298</v>
      </c>
      <c r="J65" s="148" t="s">
        <v>298</v>
      </c>
      <c r="K65" s="150" t="n">
        <v>29000</v>
      </c>
      <c r="L65" s="148" t="n">
        <v>0</v>
      </c>
      <c r="M65" s="150" t="n">
        <v>29000</v>
      </c>
      <c r="N65" s="148" t="n">
        <v>0</v>
      </c>
      <c r="O65" s="148" t="n">
        <v>0</v>
      </c>
      <c r="P65" s="148" t="n">
        <v>0</v>
      </c>
      <c r="Q65" s="148"/>
    </row>
    <row r="66" customFormat="false" ht="38.25" hidden="false" customHeight="false" outlineLevel="0" collapsed="false">
      <c r="B66" s="146"/>
      <c r="C66" s="146" t="s">
        <v>305</v>
      </c>
      <c r="D66" s="146" t="n">
        <v>64652</v>
      </c>
      <c r="E66" s="146" t="s">
        <v>308</v>
      </c>
      <c r="F66" s="146" t="s">
        <v>298</v>
      </c>
      <c r="G66" s="146" t="s">
        <v>298</v>
      </c>
      <c r="H66" s="147" t="n">
        <v>36557</v>
      </c>
      <c r="I66" s="147" t="n">
        <v>36769</v>
      </c>
      <c r="J66" s="146" t="n">
        <v>26151</v>
      </c>
      <c r="K66" s="146" t="n">
        <v>65</v>
      </c>
      <c r="L66" s="146" t="n">
        <v>0</v>
      </c>
      <c r="M66" s="146" t="n">
        <v>65</v>
      </c>
      <c r="N66" s="146" t="n">
        <v>0</v>
      </c>
      <c r="O66" s="146" t="n">
        <v>0</v>
      </c>
      <c r="P66" s="146" t="n">
        <v>0</v>
      </c>
      <c r="Q66" s="146" t="s">
        <v>298</v>
      </c>
    </row>
    <row r="67" customFormat="false" ht="38.25" hidden="false" customHeight="false" outlineLevel="0" collapsed="false">
      <c r="B67" s="148"/>
      <c r="C67" s="148" t="s">
        <v>305</v>
      </c>
      <c r="D67" s="148" t="n">
        <v>64863</v>
      </c>
      <c r="E67" s="148" t="s">
        <v>308</v>
      </c>
      <c r="F67" s="148" t="s">
        <v>298</v>
      </c>
      <c r="G67" s="148" t="s">
        <v>298</v>
      </c>
      <c r="H67" s="149" t="n">
        <v>36557</v>
      </c>
      <c r="I67" s="149" t="n">
        <v>36799</v>
      </c>
      <c r="J67" s="148" t="n">
        <v>26504</v>
      </c>
      <c r="K67" s="148" t="n">
        <v>13</v>
      </c>
      <c r="L67" s="148" t="n">
        <v>0</v>
      </c>
      <c r="M67" s="148" t="n">
        <v>13</v>
      </c>
      <c r="N67" s="148" t="n">
        <v>0</v>
      </c>
      <c r="O67" s="148" t="n">
        <v>0</v>
      </c>
      <c r="P67" s="148" t="n">
        <v>0</v>
      </c>
      <c r="Q67" s="148" t="s">
        <v>298</v>
      </c>
    </row>
    <row r="68" customFormat="false" ht="38.25" hidden="false" customHeight="false" outlineLevel="0" collapsed="false">
      <c r="B68" s="146"/>
      <c r="C68" s="146" t="s">
        <v>305</v>
      </c>
      <c r="D68" s="146" t="n">
        <v>64937</v>
      </c>
      <c r="E68" s="146" t="s">
        <v>306</v>
      </c>
      <c r="F68" s="146" t="s">
        <v>298</v>
      </c>
      <c r="G68" s="146" t="s">
        <v>298</v>
      </c>
      <c r="H68" s="147" t="n">
        <v>36434</v>
      </c>
      <c r="I68" s="146" t="s">
        <v>298</v>
      </c>
      <c r="J68" s="146" t="s">
        <v>298</v>
      </c>
      <c r="K68" s="151" t="n">
        <v>10000</v>
      </c>
      <c r="L68" s="146" t="n">
        <v>0</v>
      </c>
      <c r="M68" s="151" t="n">
        <v>10000</v>
      </c>
      <c r="N68" s="146" t="n">
        <v>0</v>
      </c>
      <c r="O68" s="146" t="n">
        <v>0</v>
      </c>
      <c r="P68" s="146" t="n">
        <v>0</v>
      </c>
      <c r="Q68" s="146" t="s">
        <v>298</v>
      </c>
    </row>
    <row r="69" customFormat="false" ht="38.25" hidden="false" customHeight="false" outlineLevel="0" collapsed="false">
      <c r="B69" s="148"/>
      <c r="C69" s="148" t="s">
        <v>305</v>
      </c>
      <c r="D69" s="148" t="n">
        <v>65027</v>
      </c>
      <c r="E69" s="148" t="s">
        <v>308</v>
      </c>
      <c r="F69" s="148" t="s">
        <v>298</v>
      </c>
      <c r="G69" s="148" t="s">
        <v>298</v>
      </c>
      <c r="H69" s="149" t="n">
        <v>36557</v>
      </c>
      <c r="I69" s="149" t="n">
        <v>36830</v>
      </c>
      <c r="J69" s="148" t="n">
        <v>26727</v>
      </c>
      <c r="K69" s="148" t="n">
        <v>131</v>
      </c>
      <c r="L69" s="148" t="n">
        <v>0</v>
      </c>
      <c r="M69" s="148" t="n">
        <v>131</v>
      </c>
      <c r="N69" s="148" t="n">
        <v>0</v>
      </c>
      <c r="O69" s="148" t="n">
        <v>0</v>
      </c>
      <c r="P69" s="148" t="n">
        <v>0</v>
      </c>
      <c r="Q69" s="148" t="s">
        <v>298</v>
      </c>
    </row>
    <row r="70" customFormat="false" ht="38.25" hidden="false" customHeight="false" outlineLevel="0" collapsed="false">
      <c r="B70" s="146"/>
      <c r="C70" s="146" t="s">
        <v>305</v>
      </c>
      <c r="D70" s="146" t="n">
        <v>65072</v>
      </c>
      <c r="E70" s="146" t="s">
        <v>308</v>
      </c>
      <c r="F70" s="146" t="s">
        <v>298</v>
      </c>
      <c r="G70" s="146" t="s">
        <v>298</v>
      </c>
      <c r="H70" s="147" t="n">
        <v>36617</v>
      </c>
      <c r="I70" s="147" t="n">
        <v>36830</v>
      </c>
      <c r="J70" s="146" t="n">
        <v>26785</v>
      </c>
      <c r="K70" s="151" t="n">
        <v>7391</v>
      </c>
      <c r="L70" s="146" t="n">
        <v>0</v>
      </c>
      <c r="M70" s="151" t="n">
        <v>6987</v>
      </c>
      <c r="N70" s="146" t="n">
        <v>404</v>
      </c>
      <c r="O70" s="146" t="n">
        <v>0</v>
      </c>
      <c r="P70" s="146" t="n">
        <v>0</v>
      </c>
      <c r="Q70" s="146" t="s">
        <v>298</v>
      </c>
    </row>
    <row r="71" customFormat="false" ht="38.25" hidden="false" customHeight="false" outlineLevel="0" collapsed="false">
      <c r="B71" s="148"/>
      <c r="C71" s="148" t="s">
        <v>305</v>
      </c>
      <c r="D71" s="148" t="n">
        <v>65557</v>
      </c>
      <c r="E71" s="148" t="s">
        <v>308</v>
      </c>
      <c r="F71" s="148" t="s">
        <v>298</v>
      </c>
      <c r="G71" s="148" t="s">
        <v>298</v>
      </c>
      <c r="H71" s="149" t="n">
        <v>36557</v>
      </c>
      <c r="I71" s="149" t="n">
        <v>36860</v>
      </c>
      <c r="J71" s="148" t="n">
        <v>27128</v>
      </c>
      <c r="K71" s="148" t="n">
        <v>3</v>
      </c>
      <c r="L71" s="148" t="n">
        <v>0</v>
      </c>
      <c r="M71" s="148" t="n">
        <v>3</v>
      </c>
      <c r="N71" s="148" t="n">
        <v>0</v>
      </c>
      <c r="O71" s="148" t="n">
        <v>0</v>
      </c>
      <c r="P71" s="148" t="n">
        <v>0</v>
      </c>
      <c r="Q71" s="148" t="s">
        <v>298</v>
      </c>
    </row>
    <row r="72" customFormat="false" ht="38.25" hidden="false" customHeight="false" outlineLevel="0" collapsed="false">
      <c r="B72" s="146"/>
      <c r="C72" s="146" t="s">
        <v>305</v>
      </c>
      <c r="D72" s="146" t="n">
        <v>66283</v>
      </c>
      <c r="E72" s="146" t="s">
        <v>308</v>
      </c>
      <c r="F72" s="146" t="s">
        <v>298</v>
      </c>
      <c r="G72" s="146" t="s">
        <v>298</v>
      </c>
      <c r="H72" s="147" t="n">
        <v>36557</v>
      </c>
      <c r="I72" s="147" t="n">
        <v>36922</v>
      </c>
      <c r="J72" s="146" t="n">
        <v>27775</v>
      </c>
      <c r="K72" s="146" t="n">
        <v>5</v>
      </c>
      <c r="L72" s="146" t="n">
        <v>0</v>
      </c>
      <c r="M72" s="146" t="n">
        <v>5</v>
      </c>
      <c r="N72" s="146" t="n">
        <v>0</v>
      </c>
      <c r="O72" s="146" t="n">
        <v>0</v>
      </c>
      <c r="P72" s="146" t="n">
        <v>0</v>
      </c>
      <c r="Q72" s="146" t="s">
        <v>298</v>
      </c>
    </row>
    <row r="73" customFormat="false" ht="38.25" hidden="false" customHeight="false" outlineLevel="0" collapsed="false">
      <c r="B73" s="148"/>
      <c r="C73" s="148" t="s">
        <v>305</v>
      </c>
      <c r="D73" s="148" t="n">
        <v>66941</v>
      </c>
      <c r="E73" s="148" t="s">
        <v>308</v>
      </c>
      <c r="F73" s="148" t="s">
        <v>298</v>
      </c>
      <c r="G73" s="148" t="s">
        <v>298</v>
      </c>
      <c r="H73" s="149" t="n">
        <v>36617</v>
      </c>
      <c r="I73" s="149" t="n">
        <v>36981</v>
      </c>
      <c r="J73" s="148" t="n">
        <v>28330</v>
      </c>
      <c r="K73" s="148" t="n">
        <v>53</v>
      </c>
      <c r="L73" s="148" t="n">
        <v>0</v>
      </c>
      <c r="M73" s="148" t="n">
        <v>53</v>
      </c>
      <c r="N73" s="148" t="n">
        <v>0</v>
      </c>
      <c r="O73" s="148" t="n">
        <v>0</v>
      </c>
      <c r="P73" s="148" t="n">
        <v>0</v>
      </c>
      <c r="Q73" s="148" t="s">
        <v>298</v>
      </c>
    </row>
    <row r="74" customFormat="false" ht="38.25" hidden="false" customHeight="false" outlineLevel="0" collapsed="false">
      <c r="B74" s="146"/>
      <c r="C74" s="146" t="s">
        <v>305</v>
      </c>
      <c r="D74" s="146" t="n">
        <v>66973</v>
      </c>
      <c r="E74" s="146" t="s">
        <v>306</v>
      </c>
      <c r="F74" s="146" t="s">
        <v>298</v>
      </c>
      <c r="G74" s="146" t="s">
        <v>298</v>
      </c>
      <c r="H74" s="147" t="n">
        <v>36678</v>
      </c>
      <c r="I74" s="147" t="n">
        <v>36981</v>
      </c>
      <c r="J74" s="146" t="s">
        <v>298</v>
      </c>
      <c r="K74" s="151" t="n">
        <v>10000</v>
      </c>
      <c r="L74" s="146" t="n">
        <v>0</v>
      </c>
      <c r="M74" s="151" t="n">
        <v>10000</v>
      </c>
      <c r="N74" s="146" t="n">
        <v>0</v>
      </c>
      <c r="O74" s="146" t="n">
        <v>0</v>
      </c>
      <c r="P74" s="146" t="n">
        <v>0</v>
      </c>
      <c r="Q74" s="146" t="s">
        <v>298</v>
      </c>
    </row>
    <row r="75" customFormat="false" ht="38.25" hidden="false" customHeight="false" outlineLevel="0" collapsed="false">
      <c r="B75" s="148"/>
      <c r="C75" s="148" t="s">
        <v>305</v>
      </c>
      <c r="D75" s="148" t="n">
        <v>68281</v>
      </c>
      <c r="E75" s="148" t="s">
        <v>308</v>
      </c>
      <c r="F75" s="148" t="s">
        <v>298</v>
      </c>
      <c r="G75" s="148" t="s">
        <v>298</v>
      </c>
      <c r="H75" s="149" t="n">
        <v>36647</v>
      </c>
      <c r="I75" s="149" t="n">
        <v>37011</v>
      </c>
      <c r="J75" s="148" t="n">
        <v>28632</v>
      </c>
      <c r="K75" s="148" t="n">
        <v>21</v>
      </c>
      <c r="L75" s="148" t="n">
        <v>0</v>
      </c>
      <c r="M75" s="148" t="n">
        <v>21</v>
      </c>
      <c r="N75" s="148" t="n">
        <v>0</v>
      </c>
      <c r="O75" s="148" t="n">
        <v>0</v>
      </c>
      <c r="P75" s="148" t="n">
        <v>0</v>
      </c>
      <c r="Q75" s="148"/>
    </row>
    <row r="76" customFormat="false" ht="38.25" hidden="false" customHeight="false" outlineLevel="0" collapsed="false">
      <c r="B76" s="146"/>
      <c r="C76" s="146" t="s">
        <v>305</v>
      </c>
      <c r="D76" s="146" t="n">
        <v>68309</v>
      </c>
      <c r="E76" s="146" t="s">
        <v>308</v>
      </c>
      <c r="F76" s="146" t="s">
        <v>298</v>
      </c>
      <c r="G76" s="146" t="s">
        <v>298</v>
      </c>
      <c r="H76" s="147" t="n">
        <v>36656</v>
      </c>
      <c r="I76" s="147" t="n">
        <v>36950</v>
      </c>
      <c r="J76" s="146" t="n">
        <v>28865</v>
      </c>
      <c r="K76" s="146" t="n">
        <v>9</v>
      </c>
      <c r="L76" s="146" t="n">
        <v>0</v>
      </c>
      <c r="M76" s="146" t="n">
        <v>9</v>
      </c>
      <c r="N76" s="146" t="n">
        <v>0</v>
      </c>
      <c r="O76" s="146" t="n">
        <v>0</v>
      </c>
      <c r="P76" s="146" t="n">
        <v>0</v>
      </c>
      <c r="Q76" s="146" t="s">
        <v>298</v>
      </c>
    </row>
    <row r="77" customFormat="false" ht="38.25" hidden="false" customHeight="false" outlineLevel="0" collapsed="false">
      <c r="B77" s="148"/>
      <c r="C77" s="148" t="s">
        <v>305</v>
      </c>
      <c r="D77" s="148" t="n">
        <v>68360</v>
      </c>
      <c r="E77" s="148" t="s">
        <v>308</v>
      </c>
      <c r="F77" s="148" t="s">
        <v>298</v>
      </c>
      <c r="G77" s="148" t="s">
        <v>298</v>
      </c>
      <c r="H77" s="149" t="n">
        <v>36678</v>
      </c>
      <c r="I77" s="149" t="n">
        <v>37042</v>
      </c>
      <c r="J77" s="148" t="n">
        <v>28934</v>
      </c>
      <c r="K77" s="148" t="n">
        <v>291</v>
      </c>
      <c r="L77" s="148" t="n">
        <v>0</v>
      </c>
      <c r="M77" s="148" t="n">
        <v>291</v>
      </c>
      <c r="N77" s="148" t="n">
        <v>0</v>
      </c>
      <c r="O77" s="148" t="n">
        <v>0</v>
      </c>
      <c r="P77" s="148" t="n">
        <v>0</v>
      </c>
      <c r="Q77" s="148" t="s">
        <v>298</v>
      </c>
    </row>
    <row r="78" customFormat="false" ht="38.25" hidden="false" customHeight="false" outlineLevel="0" collapsed="false">
      <c r="B78" s="146"/>
      <c r="C78" s="146" t="s">
        <v>305</v>
      </c>
      <c r="D78" s="146" t="n">
        <v>68385</v>
      </c>
      <c r="E78" s="146" t="s">
        <v>308</v>
      </c>
      <c r="F78" s="146" t="s">
        <v>298</v>
      </c>
      <c r="G78" s="146" t="s">
        <v>298</v>
      </c>
      <c r="H78" s="147" t="n">
        <v>36678</v>
      </c>
      <c r="I78" s="147" t="n">
        <v>37042</v>
      </c>
      <c r="J78" s="146" t="n">
        <v>28963</v>
      </c>
      <c r="K78" s="146" t="n">
        <v>223</v>
      </c>
      <c r="L78" s="146" t="n">
        <v>0</v>
      </c>
      <c r="M78" s="146" t="n">
        <v>223</v>
      </c>
      <c r="N78" s="146" t="n">
        <v>0</v>
      </c>
      <c r="O78" s="146" t="n">
        <v>0</v>
      </c>
      <c r="P78" s="146" t="n">
        <v>0</v>
      </c>
      <c r="Q78" s="146" t="s">
        <v>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