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Spot Deals" sheetId="2" state="visible" r:id="rId4"/>
    <sheet name="CGAS" sheetId="3" state="visible" r:id="rId5"/>
    <sheet name="Pricing" sheetId="4" state="visible" r:id="rId6"/>
    <sheet name="NEW Retail East" sheetId="5" state="visible" r:id="rId7"/>
    <sheet name="New Retail Mrkt" sheetId="6" state="visible" r:id="rId8"/>
    <sheet name="Sheet1" sheetId="7" state="visible" r:id="rId9"/>
    <sheet name="Sheet2" sheetId="8" state="visible" r:id="rId10"/>
  </sheets>
  <definedNames>
    <definedName function="false" hidden="false" localSheetId="4" name="_xlnm.Print_Area" vbProcedure="false">'NEW Retail East'!$A$1:$AC$81</definedName>
    <definedName function="false" hidden="false" localSheetId="5" name="_xlnm.Print_Area" vbProcedure="false">'New Retail Mrkt'!$A$18:$W$70</definedName>
    <definedName function="false" hidden="false" localSheetId="0" name="_xlnm.Print_Area" vbProcedure="false">'Pricing Notes'!$A$1:$N$72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purchased gas from 3rd party.  ENA will purchase this gas from New Power at the FOM index price.  See deal 477669.  New Power purchased this gas from Marathon.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6</xdr:col>
                <xdr:colOff>32</xdr:colOff>
                <xdr:row>10</xdr:row>
                <xdr:rowOff>16</xdr:rowOff>
              </xdr:to>
            </anchor>
          </commentPr>
        </mc:Choice>
        <mc:Fallback/>
      </mc:AlternateContent>
    </commen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cgerman: New Power purchased 5000 day from ENA at $5.68 plus variable transport cost.  This volume is included in the Citygate deal ticket.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6</xdr:col>
                <xdr:colOff>21</xdr:colOff>
                <xdr:row>9</xdr:row>
                <xdr:rowOff>1</xdr:rowOff>
              </xdr:to>
            </anchor>
          </commentPr>
        </mc:Choice>
        <mc:Fallback/>
      </mc:AlternateContent>
    </commen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purchased from D Jenkins at the pool, price = $5.83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</xdr:row>
                <xdr:rowOff>7</xdr:rowOff>
              </xdr:from>
              <xdr:to>
                <xdr:col>7</xdr:col>
                <xdr:colOff>16</xdr:colOff>
                <xdr:row>8</xdr:row>
                <xdr:rowOff>7</xdr:rowOff>
              </xdr:to>
            </anchor>
          </commentPr>
        </mc:Choice>
        <mc:Fallback/>
      </mc:AlternateContent>
    </commen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purchased from S Hendrickson at the pool, price = $6.02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</xdr:row>
                <xdr:rowOff>7</xdr:rowOff>
              </xdr:from>
              <xdr:to>
                <xdr:col>6</xdr:col>
                <xdr:colOff>55</xdr:colOff>
                <xdr:row>7</xdr:row>
                <xdr:rowOff>13</xdr:rowOff>
              </xdr:to>
            </anchor>
          </commentPr>
        </mc:Choice>
        <mc:Fallback/>
      </mc:AlternateContent>
    </commen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is purchasing from ENA at Broad Run.  Price varies by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</xdr:row>
                <xdr:rowOff>7</xdr:rowOff>
              </xdr:from>
              <xdr:to>
                <xdr:col>11</xdr:col>
                <xdr:colOff>41</xdr:colOff>
                <xdr:row>10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34</xdr:colOff>
                <xdr:row>3</xdr:row>
                <xdr:rowOff>7</xdr:rowOff>
              </xdr:from>
              <xdr:to>
                <xdr:col>7</xdr:col>
                <xdr:colOff>17</xdr:colOff>
                <xdr:row>6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<sst xmlns="http://schemas.openxmlformats.org/spreadsheetml/2006/main" count="2146" uniqueCount="404">
  <si>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</si>
  <si>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</si>
  <si>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</si>
  <si>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</si>
  <si>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</si>
  <si>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</si>
  <si>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</si>
  <si>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</si>
  <si>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</si>
  <si>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</si>
  <si>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</si>
  <si>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</si>
  <si>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</si>
  <si>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</si>
  <si>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</si>
  <si>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</si>
  <si>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</si>
  <si>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</si>
  <si>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</si>
  <si>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</si>
  <si>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</si>
  <si>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</si>
  <si>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</si>
  <si>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</si>
  <si>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</si>
  <si>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</si>
  <si>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</si>
  <si>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</si>
  <si>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</si>
  <si>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</si>
  <si>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</si>
  <si>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</si>
  <si>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</si>
  <si>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</si>
  <si>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</si>
  <si>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</si>
  <si>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</si>
  <si>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</si>
  <si>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</si>
  <si>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</si>
  <si>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</si>
  <si>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</si>
  <si>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</si>
  <si>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</si>
  <si>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</si>
  <si>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</si>
  <si>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</si>
  <si>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</si>
  <si>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</si>
  <si>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</si>
  <si>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</si>
  <si>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</si>
  <si>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</si>
  <si>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</si>
  <si>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</si>
  <si>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</si>
  <si>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</si>
  <si>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</si>
  <si>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</si>
  <si>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</si>
  <si>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</si>
  <si>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</si>
  <si>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</si>
  <si>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</si>
  <si>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</si>
  <si>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Comment</t>
  </si>
  <si>
    <t xml:space="preserve">Total</t>
  </si>
  <si>
    <t xml:space="preserve">Deal</t>
  </si>
  <si>
    <t xml:space="preserve">Storage</t>
  </si>
  <si>
    <t xml:space="preserve">Actuals</t>
  </si>
  <si>
    <t xml:space="preserve">Actuals Less</t>
  </si>
  <si>
    <t xml:space="preserve">456341</t>
  </si>
  <si>
    <t xml:space="preserve">Gross</t>
  </si>
  <si>
    <t xml:space="preserve">Net</t>
  </si>
  <si>
    <t xml:space="preserve"> From ENA</t>
  </si>
  <si>
    <t xml:space="preserve">FOM</t>
  </si>
  <si>
    <t xml:space="preserve">Spot Deals</t>
  </si>
  <si>
    <t xml:space="preserve">Purch</t>
  </si>
  <si>
    <t xml:space="preserve">Gas Daily</t>
  </si>
  <si>
    <t xml:space="preserve"> &lt;== Total Undertakes</t>
  </si>
  <si>
    <t xml:space="preserve">CNG</t>
  </si>
  <si>
    <t xml:space="preserve">FT</t>
  </si>
  <si>
    <t xml:space="preserve">Index</t>
  </si>
  <si>
    <t xml:space="preserve">Index Prem</t>
  </si>
  <si>
    <t xml:space="preserve">Comm</t>
  </si>
  <si>
    <t xml:space="preserve">Surcharges</t>
  </si>
  <si>
    <t xml:space="preserve">Fuel</t>
  </si>
  <si>
    <t xml:space="preserve">Transport</t>
  </si>
  <si>
    <t xml:space="preserve">Demand For ENA Trans</t>
  </si>
  <si>
    <t xml:space="preserve">Deal 384397</t>
  </si>
  <si>
    <t xml:space="preserve">FTS</t>
  </si>
  <si>
    <t xml:space="preserve">ENA Trsp</t>
  </si>
  <si>
    <t xml:space="preserve">Storage Injection:</t>
  </si>
  <si>
    <t xml:space="preserve">Inj Comm</t>
  </si>
  <si>
    <t xml:space="preserve">Deal 377076</t>
  </si>
  <si>
    <t xml:space="preserve">Deal 377245</t>
  </si>
  <si>
    <t xml:space="preserve">Does not apply for September.</t>
  </si>
  <si>
    <t xml:space="preserve">Other Deals</t>
  </si>
  <si>
    <t xml:space="preserve">Bookout - deal 289587 with deal 376880.  Deal 376880 is a NYMX plus sale to New Power.  ENA purchased the gas back</t>
  </si>
  <si>
    <t xml:space="preserve">at CGAS IF + $.0075 at the pool and includes the volume in the FOM citygate deal.</t>
  </si>
  <si>
    <t xml:space="preserve">Bookout - deal 378935 with deal 377268.   Deal 377268 is a NYMX plus deal for deliveries to WGL.  New Power is taking all deliveries to WGL</t>
  </si>
  <si>
    <t xml:space="preserve">on CGAS with CGAS FOM pricing.  I will purchase the TRCO gas back at the FOM CGAS citygate price of $4.9476.</t>
  </si>
  <si>
    <t xml:space="preserve">Bookout - deal 378939 with deal 377264.   Deal 377264 is a NYMX plus deal for deliveries to WGL.  New Power is taking all deliveries to WGL</t>
  </si>
  <si>
    <t xml:space="preserve">CGLF</t>
  </si>
  <si>
    <t xml:space="preserve">FT-1</t>
  </si>
  <si>
    <t xml:space="preserve">Volume</t>
  </si>
  <si>
    <t xml:space="preserve">Deal 378894 (bookout with deal 380571)</t>
  </si>
  <si>
    <t xml:space="preserve">Deals 433359 and 433385</t>
  </si>
  <si>
    <t xml:space="preserve">Deal 227081, 227113</t>
  </si>
  <si>
    <t xml:space="preserve">Note:  New Power purchased gas from ENA at CGLF Mainline (deal 202939).  ENA will buy this gas back at the CGLF Onshore Index plus $.05,</t>
  </si>
  <si>
    <t xml:space="preserve">and sell the gas back to New Power at CGAS pool at CGLFOnshore Index +$.05 + variable cost from Mainline to Leach.</t>
  </si>
  <si>
    <t xml:space="preserve">ENA will buy the CGAS Pool gas back at the FOM price for CGAS.</t>
  </si>
  <si>
    <t xml:space="preserve">IT</t>
  </si>
  <si>
    <t xml:space="preserve">Delivered Price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</si>
  <si>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</si>
  <si>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</si>
  <si>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</si>
  <si>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</si>
  <si>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</si>
  <si>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</si>
  <si>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</si>
  <si>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</si>
  <si>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</si>
  <si>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</si>
  <si>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</si>
  <si>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</si>
  <si>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</si>
  <si>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</si>
  <si>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</si>
  <si>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</si>
  <si>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</si>
  <si>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</si>
  <si>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</si>
  <si>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</si>
  <si>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</si>
  <si>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</si>
  <si>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</si>
  <si>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</si>
  <si>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</si>
  <si>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</si>
  <si>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</si>
  <si>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</si>
  <si>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</si>
  <si>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</si>
  <si>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La</t>
  </si>
  <si>
    <t xml:space="preserve">Deal 231744</t>
  </si>
  <si>
    <t xml:space="preserve">New Power East Desk Transportation Capacity for November,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</si>
  <si>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</si>
  <si>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</si>
  <si>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</si>
  <si>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</si>
  <si>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</si>
  <si>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</si>
  <si>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</si>
  <si>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</si>
  <si>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</si>
  <si>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</si>
  <si>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</si>
  <si>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</si>
  <si>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</si>
  <si>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</si>
  <si>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</si>
  <si>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</si>
  <si>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</si>
  <si>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</si>
  <si>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</si>
  <si>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</si>
  <si>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</si>
  <si>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</si>
  <si>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</si>
  <si>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</si>
  <si>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</si>
  <si>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</si>
  <si>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</si>
  <si>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</si>
  <si>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</si>
  <si>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</si>
  <si>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</si>
  <si>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</si>
  <si>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</si>
  <si>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CVA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</si>
  <si>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</si>
  <si>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</si>
  <si>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</si>
  <si>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</si>
  <si>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</si>
  <si>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</si>
  <si>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</si>
  <si>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</si>
  <si>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</si>
  <si>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</si>
  <si>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</si>
  <si>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</si>
  <si>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</si>
  <si>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</si>
  <si>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Z3</t>
  </si>
  <si>
    <t xml:space="preserve">FSNG101</t>
  </si>
  <si>
    <t xml:space="preserve">2000002290</t>
  </si>
  <si>
    <t xml:space="preserve">2000002195</t>
  </si>
  <si>
    <t xml:space="preserve">Z2</t>
  </si>
  <si>
    <t xml:space="preserve">2000002209</t>
  </si>
  <si>
    <t xml:space="preserve">z3</t>
  </si>
  <si>
    <t xml:space="preserve">2000002303</t>
  </si>
  <si>
    <t xml:space="preserve">2000002236</t>
  </si>
  <si>
    <t xml:space="preserve">SGA</t>
  </si>
  <si>
    <t xml:space="preserve">FSGA25</t>
  </si>
  <si>
    <t xml:space="preserve">2000001581</t>
  </si>
  <si>
    <t xml:space="preserve">2000002184</t>
  </si>
  <si>
    <t xml:space="preserve">Tenn</t>
  </si>
  <si>
    <t xml:space="preserve">Atlanta</t>
  </si>
  <si>
    <t xml:space="preserve">10/31/000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</si>
  <si>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</si>
  <si>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</si>
  <si>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</si>
  <si>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</si>
  <si>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</si>
  <si>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St 30</t>
  </si>
  <si>
    <t xml:space="preserve">6484 Atlanta</t>
  </si>
  <si>
    <t xml:space="preserve">FT -R</t>
  </si>
  <si>
    <t xml:space="preserve">#021351</t>
  </si>
  <si>
    <t xml:space="preserve">St 45</t>
  </si>
  <si>
    <t xml:space="preserve">#021874</t>
  </si>
  <si>
    <t xml:space="preserve">*</t>
  </si>
  <si>
    <t xml:space="preserve">#021349</t>
  </si>
  <si>
    <t xml:space="preserve">6971 St 85</t>
  </si>
  <si>
    <t xml:space="preserve">FTCHR</t>
  </si>
  <si>
    <t xml:space="preserve">#021350</t>
  </si>
  <si>
    <t xml:space="preserve">#021875</t>
  </si>
  <si>
    <t xml:space="preserve">#021876</t>
  </si>
  <si>
    <t xml:space="preserve">Wss</t>
  </si>
  <si>
    <t xml:space="preserve">#22048</t>
  </si>
  <si>
    <t xml:space="preserve">WSR Capacity</t>
  </si>
  <si>
    <t xml:space="preserve">WSR</t>
  </si>
  <si>
    <t xml:space="preserve">#021920</t>
  </si>
  <si>
    <t xml:space="preserve">WSR Demand</t>
  </si>
  <si>
    <t xml:space="preserve">#021378</t>
  </si>
  <si>
    <t xml:space="preserve">9/31/2003</t>
  </si>
  <si>
    <t xml:space="preserve">ESR Capacity</t>
  </si>
  <si>
    <t xml:space="preserve">ESR</t>
  </si>
  <si>
    <t xml:space="preserve">#021377</t>
  </si>
  <si>
    <t xml:space="preserve">ESR Demand</t>
  </si>
  <si>
    <t xml:space="preserve">#021919</t>
  </si>
  <si>
    <t xml:space="preserve">Z4 Holmsville</t>
  </si>
  <si>
    <t xml:space="preserve">7c</t>
  </si>
  <si>
    <t xml:space="preserve">#021878</t>
  </si>
  <si>
    <t xml:space="preserve">Sta 85</t>
  </si>
  <si>
    <t xml:space="preserve">FTSCR</t>
  </si>
  <si>
    <t xml:space="preserve">#021964</t>
  </si>
  <si>
    <t xml:space="preserve">#021963</t>
  </si>
  <si>
    <t xml:space="preserve">`</t>
  </si>
  <si>
    <t xml:space="preserve">Cust / LDC</t>
  </si>
  <si>
    <t xml:space="preserve">Questions</t>
  </si>
  <si>
    <t xml:space="preserve">GSSTE</t>
  </si>
  <si>
    <t xml:space="preserve">#14174</t>
  </si>
  <si>
    <t xml:space="preserve">#14376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</si>
  <si>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</si>
  <si>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</si>
  <si>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</si>
  <si>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</si>
  <si>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</si>
  <si>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CES</t>
  </si>
  <si>
    <t xml:space="preserve">Coh 7-9</t>
  </si>
  <si>
    <t xml:space="preserve">#23652</t>
  </si>
  <si>
    <t xml:space="preserve">Ashland</t>
  </si>
  <si>
    <t xml:space="preserve">#30705</t>
  </si>
  <si>
    <t xml:space="preserve">CES / BG&amp;E</t>
  </si>
  <si>
    <t xml:space="preserve">801 - Leach</t>
  </si>
  <si>
    <t xml:space="preserve">BG&amp;E-10</t>
  </si>
  <si>
    <t xml:space="preserve">No offer</t>
  </si>
  <si>
    <t xml:space="preserve">CES / CMD</t>
  </si>
  <si>
    <t xml:space="preserve">CMD-08, CMD-04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</si>
  <si>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</si>
  <si>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</si>
  <si>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</si>
  <si>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</si>
  <si>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</si>
  <si>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</si>
  <si>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</si>
  <si>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</si>
  <si>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</si>
  <si>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</si>
  <si>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</si>
  <si>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</si>
  <si>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</si>
  <si>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</si>
  <si>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</si>
  <si>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</si>
  <si>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</si>
  <si>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</si>
  <si>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</si>
  <si>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</si>
  <si>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</si>
  <si>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</si>
  <si>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</si>
  <si>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OPT 10-30</t>
  </si>
  <si>
    <t xml:space="preserve">#28631</t>
  </si>
  <si>
    <t xml:space="preserve">#27991</t>
  </si>
  <si>
    <t xml:space="preserve">CES / CVA</t>
  </si>
  <si>
    <t xml:space="preserve">CGV-30</t>
  </si>
  <si>
    <t xml:space="preserve">#28933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</si>
  <si>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</si>
  <si>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</si>
  <si>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</si>
  <si>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</si>
  <si>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</si>
  <si>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</si>
  <si>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</si>
  <si>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</si>
  <si>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</si>
  <si>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</si>
  <si>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</si>
  <si>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</si>
  <si>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</si>
  <si>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</si>
  <si>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</si>
  <si>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</si>
  <si>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</si>
  <si>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</si>
  <si>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734462  Crossroads</t>
  </si>
  <si>
    <t xml:space="preserve">#29558</t>
  </si>
  <si>
    <t xml:space="preserve">372285 / 450454</t>
  </si>
  <si>
    <t xml:space="preserve">#29555</t>
  </si>
  <si>
    <t xml:space="preserve">#29635</t>
  </si>
  <si>
    <t xml:space="preserve">CGV-10-30</t>
  </si>
  <si>
    <t xml:space="preserve">#29636</t>
  </si>
  <si>
    <t xml:space="preserve">19e, 19-32, 19-27, 19-26</t>
  </si>
  <si>
    <t xml:space="preserve">#29880</t>
  </si>
  <si>
    <t xml:space="preserve">19-26, 19-27, 19e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</si>
  <si>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</si>
  <si>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</si>
  <si>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</si>
  <si>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</si>
  <si>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</si>
  <si>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</si>
  <si>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4-25  CPA 4-25</t>
  </si>
  <si>
    <t xml:space="preserve">#30529, CPA released to CES (offer 30496 k#69702), CES re-released to ENA</t>
  </si>
  <si>
    <t xml:space="preserve">450163 / 450185</t>
  </si>
  <si>
    <t xml:space="preserve">A05  Delmont</t>
  </si>
  <si>
    <t xml:space="preserve">CPA 8, various</t>
  </si>
  <si>
    <t xml:space="preserve">#30530, CPA released to CES (offer 30497, k#69692), CES re-released to ENA</t>
  </si>
  <si>
    <t xml:space="preserve">450214 / 450232</t>
  </si>
  <si>
    <t xml:space="preserve">A06 McClellandtown</t>
  </si>
  <si>
    <t xml:space="preserve">19-26  CMD 8-26</t>
  </si>
  <si>
    <t xml:space="preserve">#30532, CMD released to CES (offer 30485 k#69691), CES re-released to ENA</t>
  </si>
  <si>
    <t xml:space="preserve">450249 / 450254</t>
  </si>
  <si>
    <t xml:space="preserve">19-27  CMD 8-27</t>
  </si>
  <si>
    <t xml:space="preserve">19-32  CMD 8-32</t>
  </si>
  <si>
    <t xml:space="preserve">19E  CMD 4-25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</si>
  <si>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</si>
  <si>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</si>
  <si>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</si>
  <si>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Equit</t>
  </si>
  <si>
    <t xml:space="preserve">Envirogas</t>
  </si>
  <si>
    <t xml:space="preserve">11089</t>
  </si>
  <si>
    <t xml:space="preserve">TEPE 0144</t>
  </si>
  <si>
    <t xml:space="preserve">Deal 211642</t>
  </si>
  <si>
    <t xml:space="preserve">100% Reimbursed from CES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</si>
  <si>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</si>
  <si>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</si>
  <si>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</si>
  <si>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</si>
  <si>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</si>
  <si>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</si>
  <si>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</si>
  <si>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</si>
  <si>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</si>
  <si>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</si>
  <si>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</si>
  <si>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</si>
  <si>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</si>
  <si>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</si>
  <si>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</si>
  <si>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</si>
  <si>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</si>
  <si>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</si>
  <si>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</si>
  <si>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</si>
  <si>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</si>
  <si>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</si>
  <si>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</si>
  <si>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</si>
  <si>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</si>
  <si>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</si>
  <si>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</si>
  <si>
    <t xml:space="preserve">734462 Cygnet</t>
  </si>
  <si>
    <t xml:space="preserve">23N-7 Sandusky</t>
  </si>
  <si>
    <t xml:space="preserve">#22429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</si>
  <si>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</si>
  <si>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</si>
  <si>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</si>
  <si>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</si>
  <si>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Just added to march</t>
  </si>
  <si>
    <t xml:space="preserve">CPA-04</t>
  </si>
  <si>
    <t xml:space="preserve">#26753</t>
  </si>
  <si>
    <t xml:space="preserve">#30496</t>
  </si>
  <si>
    <t xml:space="preserve">#26722</t>
  </si>
  <si>
    <t xml:space="preserve">#29290</t>
  </si>
  <si>
    <t xml:space="preserve">4 BG&amp;E</t>
  </si>
  <si>
    <t xml:space="preserve">#26714 ENA purchased from CES</t>
  </si>
  <si>
    <t xml:space="preserve">ENA Bought 19,293 @.18 see annuity deal 327906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</si>
  <si>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</si>
  <si>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</si>
  <si>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#30484</t>
  </si>
  <si>
    <t xml:space="preserve">6/31/01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</si>
</sst>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[$-409]#,##0_);[RED]\(#,##0\)"/>
    <numFmt numFmtId="170" formatCode="\$#,##0.0000_);&quot;($&quot;#,##0.0000\)"/>
    <numFmt numFmtId="171" formatCode="0%"/>
    <numFmt numFmtId="172" formatCode="0.0000%"/>
    <numFmt numFmtId="173" formatCode="\$#,##0.00_);&quot;($&quot;#,##0.00\)"/>
    <numFmt numFmtId="174" formatCode="0.00%"/>
    <numFmt numFmtId="175" formatCode="0.000%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  <numFmt numFmtId="186" formatCode="#,##0.0000_);[RED]\(#,##0.00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00FF"/>
        <bgColor rgb="FFFF00FF"/>
      </patternFill>
    </fill>
    <fill>
      <patternFill patternType="solid">
        <fgColor rgb="FFCC9CCC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1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7" activeCellId="0" sqref="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7" min="2" style="5" width="12.99"/>
    <col collapsed="false" customWidth="true" hidden="false" outlineLevel="0" max="8" min="8" style="0" width="4.14"/>
  </cols>
  <sheetData>
    <row r="2" customFormat="false" ht="12.75" hidden="false" customHeight="false" outlineLevel="0" collapsed="false">
      <c r="A2" s="6"/>
    </row>
    <row r="3" customFormat="false" ht="12.75" hidden="false" customHeight="false" outlineLevel="0" collapsed="false">
      <c r="A3" s="6"/>
    </row>
    <row r="4" customFormat="false" ht="12.75" hidden="false" customHeight="false" outlineLevel="0" collapsed="false">
      <c r="A4" s="6"/>
    </row>
    <row r="5" customFormat="false" ht="12.75" hidden="false" customHeight="false" outlineLevel="0" collapsed="false">
      <c r="A5" s="6"/>
      <c r="B5" s="5" t="s">
        <v>65</v>
      </c>
      <c r="I5" s="0" t="s">
        <v>66</v>
      </c>
    </row>
    <row r="6" customFormat="false" ht="12.75" hidden="false" customHeight="false" outlineLevel="0" collapsed="false">
      <c r="A6" s="6" t="n">
        <v>1</v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I6" s="5" t="n">
        <f aca="false">SUM(B6:H6)</f>
        <v>0</v>
      </c>
    </row>
    <row r="7" customFormat="false" ht="12.75" hidden="false" customHeight="false" outlineLevel="0" collapsed="false">
      <c r="A7" s="6" t="n">
        <f aca="false">+A6+1</f>
        <v>2</v>
      </c>
      <c r="B7" s="5" t="n">
        <f aca="false">+B6</f>
        <v>0</v>
      </c>
      <c r="C7" s="5" t="n">
        <f aca="false">+C6</f>
        <v>0</v>
      </c>
      <c r="D7" s="5" t="n">
        <f aca="false">+D6</f>
        <v>0</v>
      </c>
      <c r="E7" s="5" t="n">
        <f aca="false">+E6</f>
        <v>0</v>
      </c>
      <c r="F7" s="5" t="n">
        <f aca="false">+F6</f>
        <v>0</v>
      </c>
      <c r="G7" s="5" t="n">
        <f aca="false">+G6</f>
        <v>0</v>
      </c>
      <c r="I7" s="5" t="n">
        <f aca="false">SUM(B7:H7)</f>
        <v>0</v>
      </c>
    </row>
    <row r="8" customFormat="false" ht="12.75" hidden="false" customHeight="false" outlineLevel="0" collapsed="false">
      <c r="A8" s="6" t="n">
        <f aca="false">+A7+1</f>
        <v>3</v>
      </c>
      <c r="B8" s="5" t="n">
        <f aca="false">+B7</f>
        <v>0</v>
      </c>
      <c r="C8" s="5" t="n">
        <f aca="false">+C7</f>
        <v>0</v>
      </c>
      <c r="D8" s="5" t="n">
        <f aca="false">+D7</f>
        <v>0</v>
      </c>
      <c r="E8" s="5" t="n">
        <f aca="false">+E7</f>
        <v>0</v>
      </c>
      <c r="F8" s="5" t="n">
        <f aca="false">+F7</f>
        <v>0</v>
      </c>
      <c r="G8" s="5" t="n">
        <f aca="false">+G7</f>
        <v>0</v>
      </c>
      <c r="I8" s="5" t="n">
        <f aca="false">SUM(B8:H8)</f>
        <v>0</v>
      </c>
    </row>
    <row r="9" customFormat="false" ht="12.75" hidden="false" customHeight="false" outlineLevel="0" collapsed="false">
      <c r="A9" s="6" t="n">
        <f aca="false">+A8+1</f>
        <v>4</v>
      </c>
      <c r="B9" s="5" t="n">
        <f aca="false">+B8</f>
        <v>0</v>
      </c>
      <c r="C9" s="5" t="n">
        <f aca="false">+C8</f>
        <v>0</v>
      </c>
      <c r="D9" s="5" t="n">
        <f aca="false">+D8</f>
        <v>0</v>
      </c>
      <c r="E9" s="5" t="n">
        <f aca="false">+E8</f>
        <v>0</v>
      </c>
      <c r="F9" s="5" t="n">
        <f aca="false">+F8</f>
        <v>0</v>
      </c>
      <c r="G9" s="5" t="n">
        <f aca="false">+G8</f>
        <v>0</v>
      </c>
      <c r="I9" s="5" t="n">
        <f aca="false">SUM(B9:H9)</f>
        <v>0</v>
      </c>
    </row>
    <row r="10" customFormat="false" ht="12.75" hidden="false" customHeight="false" outlineLevel="0" collapsed="false">
      <c r="A10" s="6" t="n">
        <f aca="false">+A9+1</f>
        <v>5</v>
      </c>
      <c r="B10" s="5" t="n">
        <f aca="false">+B9</f>
        <v>0</v>
      </c>
      <c r="C10" s="5" t="n">
        <f aca="false">+C9</f>
        <v>0</v>
      </c>
      <c r="D10" s="5" t="n">
        <f aca="false">+D9</f>
        <v>0</v>
      </c>
      <c r="E10" s="5" t="n">
        <f aca="false">+E9</f>
        <v>0</v>
      </c>
      <c r="F10" s="5" t="n">
        <f aca="false">+F9</f>
        <v>0</v>
      </c>
      <c r="G10" s="5" t="n">
        <f aca="false">+G9</f>
        <v>0</v>
      </c>
      <c r="I10" s="5" t="n">
        <f aca="false">SUM(B10:H10)</f>
        <v>0</v>
      </c>
    </row>
    <row r="11" customFormat="false" ht="12.75" hidden="false" customHeight="false" outlineLevel="0" collapsed="false">
      <c r="A11" s="6" t="n">
        <f aca="false">+A10+1</f>
        <v>6</v>
      </c>
      <c r="B11" s="5" t="n">
        <f aca="false">+B10</f>
        <v>0</v>
      </c>
      <c r="C11" s="5" t="n">
        <f aca="false">+C10</f>
        <v>0</v>
      </c>
      <c r="D11" s="5" t="n">
        <f aca="false">+D10</f>
        <v>0</v>
      </c>
      <c r="E11" s="5" t="n">
        <f aca="false">+E10</f>
        <v>0</v>
      </c>
      <c r="F11" s="5" t="n">
        <f aca="false">+F10</f>
        <v>0</v>
      </c>
      <c r="G11" s="5" t="n">
        <f aca="false">+G10</f>
        <v>0</v>
      </c>
      <c r="I11" s="5" t="n">
        <f aca="false">SUM(B11:H11)</f>
        <v>0</v>
      </c>
    </row>
    <row r="12" customFormat="false" ht="12.75" hidden="false" customHeight="false" outlineLevel="0" collapsed="false">
      <c r="A12" s="6" t="n">
        <f aca="false">+A11+1</f>
        <v>7</v>
      </c>
      <c r="B12" s="5" t="n">
        <f aca="false">+B11</f>
        <v>0</v>
      </c>
      <c r="C12" s="5" t="n">
        <f aca="false">+C11</f>
        <v>0</v>
      </c>
      <c r="D12" s="5" t="n">
        <f aca="false">+D11</f>
        <v>0</v>
      </c>
      <c r="E12" s="5" t="n">
        <f aca="false">+E11</f>
        <v>0</v>
      </c>
      <c r="F12" s="5" t="n">
        <f aca="false">+F11</f>
        <v>0</v>
      </c>
      <c r="G12" s="5" t="n">
        <f aca="false">+G11</f>
        <v>0</v>
      </c>
      <c r="I12" s="5" t="n">
        <f aca="false">SUM(B12:H12)</f>
        <v>0</v>
      </c>
    </row>
    <row r="13" customFormat="false" ht="12.75" hidden="false" customHeight="false" outlineLevel="0" collapsed="false">
      <c r="A13" s="6" t="n">
        <f aca="false">+A12+1</f>
        <v>8</v>
      </c>
      <c r="B13" s="5" t="n">
        <f aca="false">+B12</f>
        <v>0</v>
      </c>
      <c r="C13" s="5" t="n">
        <f aca="false">+C12</f>
        <v>0</v>
      </c>
      <c r="D13" s="5" t="n">
        <f aca="false">+D12</f>
        <v>0</v>
      </c>
      <c r="E13" s="5" t="n">
        <f aca="false">+E12</f>
        <v>0</v>
      </c>
      <c r="F13" s="5" t="n">
        <f aca="false">+F12</f>
        <v>0</v>
      </c>
      <c r="G13" s="5" t="n">
        <f aca="false">+G12</f>
        <v>0</v>
      </c>
      <c r="I13" s="5" t="n">
        <f aca="false">SUM(B13:H13)</f>
        <v>0</v>
      </c>
    </row>
    <row r="14" customFormat="false" ht="12.75" hidden="false" customHeight="false" outlineLevel="0" collapsed="false">
      <c r="A14" s="6" t="n">
        <f aca="false">+A13+1</f>
        <v>9</v>
      </c>
      <c r="B14" s="5" t="n">
        <f aca="false">+B13</f>
        <v>0</v>
      </c>
      <c r="C14" s="5" t="n">
        <f aca="false">+C13</f>
        <v>0</v>
      </c>
      <c r="D14" s="5" t="n">
        <f aca="false">+D13</f>
        <v>0</v>
      </c>
      <c r="E14" s="5" t="n">
        <f aca="false">+E13</f>
        <v>0</v>
      </c>
      <c r="F14" s="5" t="n">
        <f aca="false">+F13</f>
        <v>0</v>
      </c>
      <c r="G14" s="5" t="n">
        <f aca="false">+G13</f>
        <v>0</v>
      </c>
      <c r="I14" s="5" t="n">
        <f aca="false">SUM(B14:H14)</f>
        <v>0</v>
      </c>
    </row>
    <row r="15" customFormat="false" ht="12.75" hidden="false" customHeight="false" outlineLevel="0" collapsed="false">
      <c r="A15" s="6" t="n">
        <f aca="false">+A14+1</f>
        <v>10</v>
      </c>
      <c r="B15" s="5" t="n">
        <v>10000</v>
      </c>
      <c r="C15" s="5" t="n">
        <v>5000</v>
      </c>
      <c r="D15" s="5" t="n">
        <f aca="false">+D14</f>
        <v>0</v>
      </c>
      <c r="E15" s="5" t="n">
        <f aca="false">+E14</f>
        <v>0</v>
      </c>
      <c r="F15" s="5" t="n">
        <f aca="false">+F14</f>
        <v>0</v>
      </c>
      <c r="G15" s="5" t="n">
        <f aca="false">+G14</f>
        <v>0</v>
      </c>
      <c r="I15" s="5" t="n">
        <f aca="false">SUM(B15:H15)</f>
        <v>15000</v>
      </c>
    </row>
    <row r="16" customFormat="false" ht="12.75" hidden="false" customHeight="false" outlineLevel="0" collapsed="false">
      <c r="A16" s="6" t="n">
        <f aca="false">+A15+1</f>
        <v>11</v>
      </c>
      <c r="B16" s="5" t="n">
        <f aca="false">+B15</f>
        <v>10000</v>
      </c>
      <c r="C16" s="5" t="n">
        <f aca="false">+C15</f>
        <v>5000</v>
      </c>
      <c r="D16" s="5" t="n">
        <f aca="false">+D15</f>
        <v>0</v>
      </c>
      <c r="E16" s="5" t="n">
        <f aca="false">+E15</f>
        <v>0</v>
      </c>
      <c r="F16" s="5" t="n">
        <f aca="false">+F15</f>
        <v>0</v>
      </c>
      <c r="G16" s="5" t="n">
        <f aca="false">+G15</f>
        <v>0</v>
      </c>
      <c r="I16" s="5" t="n">
        <f aca="false">SUM(B16:H16)</f>
        <v>15000</v>
      </c>
    </row>
    <row r="17" customFormat="false" ht="12.75" hidden="false" customHeight="false" outlineLevel="0" collapsed="false">
      <c r="A17" s="6" t="n">
        <f aca="false">+A16+1</f>
        <v>12</v>
      </c>
      <c r="B17" s="5" t="n">
        <f aca="false">+B16</f>
        <v>10000</v>
      </c>
      <c r="C17" s="5" t="n">
        <f aca="false">+C16</f>
        <v>5000</v>
      </c>
      <c r="D17" s="5" t="n">
        <f aca="false">+D16</f>
        <v>0</v>
      </c>
      <c r="E17" s="5" t="n">
        <f aca="false">+E16</f>
        <v>0</v>
      </c>
      <c r="F17" s="5" t="n">
        <f aca="false">+F16</f>
        <v>0</v>
      </c>
      <c r="G17" s="5" t="n">
        <f aca="false">+G16</f>
        <v>0</v>
      </c>
      <c r="I17" s="5" t="n">
        <f aca="false">SUM(B17:H17)</f>
        <v>15000</v>
      </c>
    </row>
    <row r="18" customFormat="false" ht="12.75" hidden="false" customHeight="false" outlineLevel="0" collapsed="false">
      <c r="A18" s="6" t="n">
        <f aca="false">+A17+1</f>
        <v>13</v>
      </c>
      <c r="B18" s="5" t="n">
        <f aca="false">+B17</f>
        <v>10000</v>
      </c>
      <c r="C18" s="5" t="n">
        <f aca="false">+C17</f>
        <v>5000</v>
      </c>
      <c r="D18" s="5" t="n">
        <f aca="false">+D17</f>
        <v>0</v>
      </c>
      <c r="E18" s="5" t="n">
        <f aca="false">+E17</f>
        <v>0</v>
      </c>
      <c r="F18" s="5" t="n">
        <f aca="false">+F17</f>
        <v>0</v>
      </c>
      <c r="G18" s="5" t="n">
        <f aca="false">+G17</f>
        <v>0</v>
      </c>
      <c r="I18" s="5" t="n">
        <f aca="false">SUM(B18:H18)</f>
        <v>15000</v>
      </c>
    </row>
    <row r="19" customFormat="false" ht="12.75" hidden="false" customHeight="false" outlineLevel="0" collapsed="false">
      <c r="A19" s="6" t="n">
        <f aca="false">+A18+1</f>
        <v>14</v>
      </c>
      <c r="B19" s="5" t="n">
        <f aca="false">+B18</f>
        <v>10000</v>
      </c>
      <c r="C19" s="5" t="n">
        <f aca="false">+C18</f>
        <v>5000</v>
      </c>
      <c r="D19" s="5" t="n">
        <v>15000</v>
      </c>
      <c r="E19" s="5" t="n">
        <f aca="false">+E18</f>
        <v>0</v>
      </c>
      <c r="F19" s="5" t="n">
        <f aca="false">+F18</f>
        <v>0</v>
      </c>
      <c r="G19" s="5" t="n">
        <f aca="false">+G18</f>
        <v>0</v>
      </c>
      <c r="I19" s="5" t="n">
        <f aca="false">SUM(B19:H19)</f>
        <v>30000</v>
      </c>
    </row>
    <row r="20" customFormat="false" ht="12.75" hidden="false" customHeight="false" outlineLevel="0" collapsed="false">
      <c r="A20" s="6" t="n">
        <f aca="false">+A19+1</f>
        <v>15</v>
      </c>
      <c r="B20" s="5" t="n">
        <v>0</v>
      </c>
      <c r="C20" s="5" t="n">
        <f aca="false">+C19</f>
        <v>5000</v>
      </c>
      <c r="D20" s="5" t="n">
        <f aca="false">+D19</f>
        <v>15000</v>
      </c>
      <c r="E20" s="5" t="n">
        <v>30000</v>
      </c>
      <c r="F20" s="5" t="n">
        <f aca="false">+F19</f>
        <v>0</v>
      </c>
      <c r="G20" s="5" t="n">
        <f aca="false">+G19</f>
        <v>0</v>
      </c>
      <c r="I20" s="5" t="n">
        <f aca="false">SUM(B20:H20)</f>
        <v>50000</v>
      </c>
    </row>
    <row r="21" customFormat="false" ht="12.75" hidden="false" customHeight="false" outlineLevel="0" collapsed="false">
      <c r="A21" s="6" t="n">
        <f aca="false">+A20+1</f>
        <v>16</v>
      </c>
      <c r="B21" s="5" t="n">
        <f aca="false">+B20</f>
        <v>0</v>
      </c>
      <c r="C21" s="5" t="n">
        <f aca="false">+C20</f>
        <v>5000</v>
      </c>
      <c r="D21" s="5" t="n">
        <f aca="false">+D20</f>
        <v>15000</v>
      </c>
      <c r="E21" s="5" t="n">
        <f aca="false">+E20</f>
        <v>30000</v>
      </c>
      <c r="F21" s="5" t="n">
        <f aca="false">+F20</f>
        <v>0</v>
      </c>
      <c r="G21" s="5" t="n">
        <f aca="false">+G20</f>
        <v>0</v>
      </c>
      <c r="I21" s="5" t="n">
        <f aca="false">SUM(B21:H21)</f>
        <v>50000</v>
      </c>
    </row>
    <row r="22" customFormat="false" ht="12.75" hidden="false" customHeight="false" outlineLevel="0" collapsed="false">
      <c r="A22" s="6" t="n">
        <f aca="false">+A21+1</f>
        <v>17</v>
      </c>
      <c r="B22" s="5" t="n">
        <f aca="false">+B21</f>
        <v>0</v>
      </c>
      <c r="C22" s="5" t="n">
        <f aca="false">+C21</f>
        <v>5000</v>
      </c>
      <c r="D22" s="5" t="n">
        <f aca="false">+D21</f>
        <v>15000</v>
      </c>
      <c r="E22" s="5" t="n">
        <f aca="false">+E21</f>
        <v>30000</v>
      </c>
      <c r="F22" s="5" t="n">
        <v>4108</v>
      </c>
      <c r="G22" s="5" t="n">
        <f aca="false">+G21</f>
        <v>0</v>
      </c>
      <c r="I22" s="5" t="n">
        <f aca="false">SUM(B22:H22)</f>
        <v>54108</v>
      </c>
    </row>
    <row r="23" customFormat="false" ht="12.75" hidden="false" customHeight="false" outlineLevel="0" collapsed="false">
      <c r="A23" s="6" t="n">
        <f aca="false">+A22+1</f>
        <v>18</v>
      </c>
      <c r="B23" s="5" t="n">
        <f aca="false">+B22</f>
        <v>0</v>
      </c>
      <c r="C23" s="5" t="n">
        <f aca="false">+C22</f>
        <v>5000</v>
      </c>
      <c r="D23" s="5" t="n">
        <v>0</v>
      </c>
      <c r="E23" s="5" t="n">
        <f aca="false">+E22</f>
        <v>30000</v>
      </c>
      <c r="F23" s="5" t="n">
        <f aca="false">+F22</f>
        <v>4108</v>
      </c>
      <c r="G23" s="5" t="n">
        <f aca="false">+G22</f>
        <v>0</v>
      </c>
      <c r="I23" s="5" t="n">
        <f aca="false">SUM(B23:H23)</f>
        <v>39108</v>
      </c>
    </row>
    <row r="24" customFormat="false" ht="12.75" hidden="false" customHeight="false" outlineLevel="0" collapsed="false">
      <c r="A24" s="6" t="n">
        <f aca="false">+A23+1</f>
        <v>19</v>
      </c>
      <c r="B24" s="5" t="n">
        <f aca="false">+B23</f>
        <v>0</v>
      </c>
      <c r="C24" s="5" t="n">
        <f aca="false">+C23</f>
        <v>5000</v>
      </c>
      <c r="D24" s="5" t="n">
        <f aca="false">+D23</f>
        <v>0</v>
      </c>
      <c r="E24" s="5" t="n">
        <f aca="false">+E23</f>
        <v>30000</v>
      </c>
      <c r="F24" s="5" t="n">
        <f aca="false">+F23</f>
        <v>4108</v>
      </c>
      <c r="G24" s="5" t="n">
        <f aca="false">+G23</f>
        <v>0</v>
      </c>
      <c r="I24" s="5" t="n">
        <f aca="false">SUM(B24:H24)</f>
        <v>39108</v>
      </c>
    </row>
    <row r="25" customFormat="false" ht="12.75" hidden="false" customHeight="false" outlineLevel="0" collapsed="false">
      <c r="A25" s="6" t="n">
        <f aca="false">+A24+1</f>
        <v>20</v>
      </c>
      <c r="B25" s="5" t="n">
        <f aca="false">+B24</f>
        <v>0</v>
      </c>
      <c r="C25" s="5" t="n">
        <f aca="false">+C24</f>
        <v>5000</v>
      </c>
      <c r="D25" s="5" t="n">
        <f aca="false">+D24</f>
        <v>0</v>
      </c>
      <c r="E25" s="5" t="n">
        <f aca="false">+E24</f>
        <v>30000</v>
      </c>
      <c r="F25" s="5" t="n">
        <f aca="false">+F24</f>
        <v>4108</v>
      </c>
      <c r="G25" s="5" t="n">
        <f aca="false">+G24</f>
        <v>0</v>
      </c>
      <c r="I25" s="5" t="n">
        <f aca="false">SUM(B25:H25)</f>
        <v>39108</v>
      </c>
    </row>
    <row r="26" customFormat="false" ht="12.75" hidden="false" customHeight="false" outlineLevel="0" collapsed="false">
      <c r="A26" s="6" t="n">
        <f aca="false">+A25+1</f>
        <v>21</v>
      </c>
      <c r="B26" s="5" t="n">
        <f aca="false">+B25</f>
        <v>0</v>
      </c>
      <c r="C26" s="5" t="n">
        <f aca="false">+C25</f>
        <v>5000</v>
      </c>
      <c r="D26" s="5" t="n">
        <f aca="false">+D25</f>
        <v>0</v>
      </c>
      <c r="E26" s="5" t="n">
        <f aca="false">+E25</f>
        <v>30000</v>
      </c>
      <c r="F26" s="5" t="n">
        <f aca="false">+F25</f>
        <v>4108</v>
      </c>
      <c r="G26" s="5" t="n">
        <f aca="false">+G25</f>
        <v>0</v>
      </c>
      <c r="I26" s="5" t="n">
        <f aca="false">SUM(B26:H26)</f>
        <v>39108</v>
      </c>
    </row>
    <row r="27" customFormat="false" ht="12.75" hidden="false" customHeight="false" outlineLevel="0" collapsed="false">
      <c r="A27" s="6" t="n">
        <f aca="false">+A26+1</f>
        <v>22</v>
      </c>
      <c r="B27" s="5" t="n">
        <f aca="false">+B26</f>
        <v>0</v>
      </c>
      <c r="C27" s="5" t="n">
        <f aca="false">+C26</f>
        <v>5000</v>
      </c>
      <c r="D27" s="5" t="n">
        <f aca="false">+D26</f>
        <v>0</v>
      </c>
      <c r="E27" s="5" t="n">
        <f aca="false">+E26</f>
        <v>30000</v>
      </c>
      <c r="F27" s="5" t="n">
        <f aca="false">+F26</f>
        <v>4108</v>
      </c>
      <c r="G27" s="5" t="n">
        <f aca="false">+G26</f>
        <v>0</v>
      </c>
      <c r="I27" s="5" t="n">
        <f aca="false">SUM(B27:H27)</f>
        <v>39108</v>
      </c>
    </row>
    <row r="28" customFormat="false" ht="12.75" hidden="false" customHeight="false" outlineLevel="0" collapsed="false">
      <c r="A28" s="6" t="n">
        <f aca="false">+A27+1</f>
        <v>23</v>
      </c>
      <c r="B28" s="5" t="n">
        <f aca="false">+B27</f>
        <v>0</v>
      </c>
      <c r="C28" s="5" t="n">
        <f aca="false">+C27</f>
        <v>5000</v>
      </c>
      <c r="D28" s="5" t="n">
        <f aca="false">+D27</f>
        <v>0</v>
      </c>
      <c r="E28" s="5" t="n">
        <f aca="false">+E27</f>
        <v>30000</v>
      </c>
      <c r="F28" s="5" t="n">
        <f aca="false">+F27</f>
        <v>4108</v>
      </c>
      <c r="G28" s="5" t="n">
        <f aca="false">+G27</f>
        <v>0</v>
      </c>
      <c r="I28" s="5" t="n">
        <f aca="false">SUM(B28:H28)</f>
        <v>39108</v>
      </c>
    </row>
    <row r="29" customFormat="false" ht="12.75" hidden="false" customHeight="false" outlineLevel="0" collapsed="false">
      <c r="A29" s="6" t="n">
        <f aca="false">+A28+1</f>
        <v>24</v>
      </c>
      <c r="B29" s="5" t="n">
        <f aca="false">+B28</f>
        <v>0</v>
      </c>
      <c r="C29" s="5" t="n">
        <f aca="false">+C28</f>
        <v>5000</v>
      </c>
      <c r="D29" s="5" t="n">
        <f aca="false">+D28</f>
        <v>0</v>
      </c>
      <c r="E29" s="5" t="n">
        <f aca="false">+E28</f>
        <v>30000</v>
      </c>
      <c r="F29" s="5" t="n">
        <f aca="false">+F28</f>
        <v>4108</v>
      </c>
      <c r="G29" s="5" t="n">
        <f aca="false">+G28</f>
        <v>0</v>
      </c>
      <c r="I29" s="5" t="n">
        <f aca="false">SUM(B29:H29)</f>
        <v>39108</v>
      </c>
    </row>
    <row r="30" customFormat="false" ht="12.75" hidden="false" customHeight="false" outlineLevel="0" collapsed="false">
      <c r="A30" s="6" t="n">
        <f aca="false">+A29+1</f>
        <v>25</v>
      </c>
      <c r="B30" s="5" t="n">
        <f aca="false">+B29</f>
        <v>0</v>
      </c>
      <c r="C30" s="5" t="n">
        <f aca="false">+C29</f>
        <v>5000</v>
      </c>
      <c r="D30" s="5" t="n">
        <f aca="false">+D29</f>
        <v>0</v>
      </c>
      <c r="E30" s="5" t="n">
        <f aca="false">+E29</f>
        <v>30000</v>
      </c>
      <c r="F30" s="5" t="n">
        <f aca="false">+F29</f>
        <v>4108</v>
      </c>
      <c r="G30" s="5" t="n">
        <f aca="false">+G29</f>
        <v>0</v>
      </c>
      <c r="I30" s="5" t="n">
        <f aca="false">SUM(B30:H30)</f>
        <v>39108</v>
      </c>
    </row>
    <row r="31" customFormat="false" ht="12.75" hidden="false" customHeight="false" outlineLevel="0" collapsed="false">
      <c r="A31" s="6" t="n">
        <f aca="false">+A30+1</f>
        <v>26</v>
      </c>
      <c r="B31" s="5" t="n">
        <f aca="false">+B30</f>
        <v>0</v>
      </c>
      <c r="C31" s="5" t="n">
        <f aca="false">+C30</f>
        <v>5000</v>
      </c>
      <c r="D31" s="5" t="n">
        <f aca="false">+D30</f>
        <v>0</v>
      </c>
      <c r="E31" s="5" t="n">
        <f aca="false">+E30</f>
        <v>30000</v>
      </c>
      <c r="F31" s="5" t="n">
        <f aca="false">+F30</f>
        <v>4108</v>
      </c>
      <c r="G31" s="5" t="n">
        <f aca="false">+G30</f>
        <v>0</v>
      </c>
      <c r="I31" s="5" t="n">
        <f aca="false">SUM(B31:H31)</f>
        <v>39108</v>
      </c>
    </row>
    <row r="32" customFormat="false" ht="12.75" hidden="false" customHeight="false" outlineLevel="0" collapsed="false">
      <c r="A32" s="6" t="n">
        <f aca="false">+A31+1</f>
        <v>27</v>
      </c>
      <c r="B32" s="5" t="n">
        <f aca="false">+B31</f>
        <v>0</v>
      </c>
      <c r="C32" s="5" t="n">
        <f aca="false">+C31</f>
        <v>5000</v>
      </c>
      <c r="D32" s="5" t="n">
        <f aca="false">+D31</f>
        <v>0</v>
      </c>
      <c r="E32" s="5" t="n">
        <f aca="false">+E31</f>
        <v>30000</v>
      </c>
      <c r="F32" s="5" t="n">
        <f aca="false">+F31</f>
        <v>4108</v>
      </c>
      <c r="G32" s="5" t="n">
        <f aca="false">+G31</f>
        <v>0</v>
      </c>
      <c r="I32" s="5" t="n">
        <f aca="false">SUM(B32:H32)</f>
        <v>39108</v>
      </c>
    </row>
    <row r="33" customFormat="false" ht="12.75" hidden="false" customHeight="false" outlineLevel="0" collapsed="false">
      <c r="A33" s="6" t="n">
        <f aca="false">+A32+1</f>
        <v>28</v>
      </c>
      <c r="B33" s="5" t="n">
        <f aca="false">+B32</f>
        <v>0</v>
      </c>
      <c r="C33" s="5" t="n">
        <f aca="false">+C32</f>
        <v>5000</v>
      </c>
      <c r="D33" s="5" t="n">
        <f aca="false">+D32</f>
        <v>0</v>
      </c>
      <c r="E33" s="5" t="n">
        <f aca="false">+E32</f>
        <v>30000</v>
      </c>
      <c r="F33" s="5" t="n">
        <v>0</v>
      </c>
      <c r="G33" s="5" t="n">
        <f aca="false">+G32</f>
        <v>0</v>
      </c>
      <c r="I33" s="5" t="n">
        <f aca="false">SUM(B33:H33)</f>
        <v>35000</v>
      </c>
    </row>
    <row r="34" customFormat="false" ht="12.75" hidden="false" customHeight="false" outlineLevel="0" collapsed="false">
      <c r="A34" s="6" t="n">
        <f aca="false">+A33+1</f>
        <v>29</v>
      </c>
      <c r="B34" s="5" t="n">
        <f aca="false">+B33</f>
        <v>0</v>
      </c>
      <c r="C34" s="5" t="n">
        <f aca="false">+C33</f>
        <v>5000</v>
      </c>
      <c r="D34" s="5" t="n">
        <f aca="false">+D33</f>
        <v>0</v>
      </c>
      <c r="E34" s="5" t="n">
        <f aca="false">+E33</f>
        <v>30000</v>
      </c>
      <c r="F34" s="5" t="n">
        <f aca="false">+F33</f>
        <v>0</v>
      </c>
      <c r="G34" s="5" t="n">
        <f aca="false">+G33</f>
        <v>0</v>
      </c>
      <c r="I34" s="5" t="n">
        <f aca="false">SUM(B34:H34)</f>
        <v>35000</v>
      </c>
    </row>
    <row r="35" customFormat="false" ht="12.75" hidden="false" customHeight="false" outlineLevel="0" collapsed="false">
      <c r="A35" s="6" t="n">
        <f aca="false">+A34+1</f>
        <v>30</v>
      </c>
      <c r="B35" s="5" t="n">
        <f aca="false">+B34</f>
        <v>0</v>
      </c>
      <c r="C35" s="5" t="n">
        <f aca="false">+C34</f>
        <v>5000</v>
      </c>
      <c r="D35" s="5" t="n">
        <f aca="false">+D34</f>
        <v>0</v>
      </c>
      <c r="E35" s="5" t="n">
        <f aca="false">+E34</f>
        <v>30000</v>
      </c>
      <c r="F35" s="5" t="n">
        <f aca="false">+F34</f>
        <v>0</v>
      </c>
      <c r="G35" s="5" t="n">
        <f aca="false">+G34</f>
        <v>0</v>
      </c>
      <c r="I35" s="5" t="n">
        <f aca="false">SUM(B35:H35)</f>
        <v>35000</v>
      </c>
    </row>
    <row r="36" customFormat="false" ht="12.75" hidden="false" customHeight="false" outlineLevel="0" collapsed="false">
      <c r="A36" s="6" t="n">
        <f aca="false">+A35+1</f>
        <v>31</v>
      </c>
      <c r="B36" s="5" t="n">
        <f aca="false">+B35</f>
        <v>0</v>
      </c>
      <c r="C36" s="5" t="n">
        <f aca="false">+C35</f>
        <v>5000</v>
      </c>
      <c r="D36" s="5" t="n">
        <f aca="false">+D35</f>
        <v>0</v>
      </c>
      <c r="E36" s="5" t="n">
        <f aca="false">+E35</f>
        <v>30000</v>
      </c>
      <c r="F36" s="5" t="n">
        <f aca="false">+F35</f>
        <v>0</v>
      </c>
      <c r="G36" s="5" t="n">
        <f aca="false">+G35</f>
        <v>0</v>
      </c>
      <c r="I36" s="5" t="n">
        <f aca="false">SUM(B36:H36)</f>
        <v>35000</v>
      </c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J16" activeCellId="0" sqref="J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3" min="3" style="4" width="4.7"/>
    <col collapsed="false" customWidth="true" hidden="false" outlineLevel="0" max="4" min="4" style="4" width="12.85"/>
    <col collapsed="false" customWidth="true" hidden="false" outlineLevel="0" max="5" min="5" style="4" width="10.41"/>
    <col collapsed="false" customWidth="true" hidden="false" outlineLevel="0" max="6" min="6" style="4" width="3.28"/>
    <col collapsed="false" customWidth="true" hidden="false" outlineLevel="0" max="7" min="7" style="4" width="12.85"/>
    <col collapsed="false" customWidth="false" hidden="false" outlineLevel="0" max="8" min="8" style="4" width="9.14"/>
    <col collapsed="false" customWidth="true" hidden="false" outlineLevel="0" max="9" min="9" style="4" width="10.99"/>
    <col collapsed="false" customWidth="true" hidden="false" outlineLevel="0" max="10" min="10" style="4" width="12.85"/>
    <col collapsed="false" customWidth="true" hidden="false" outlineLevel="0" max="11" min="11" style="4" width="10.28"/>
    <col collapsed="false" customWidth="true" hidden="false" outlineLevel="0" max="12" min="12" style="4" width="3.56"/>
    <col collapsed="false" customWidth="true" hidden="false" outlineLevel="0" max="13" min="13" style="4" width="12.99"/>
    <col collapsed="false" customWidth="true" hidden="false" outlineLevel="0" max="14" min="14" style="4" width="4.14"/>
    <col collapsed="false" customWidth="true" hidden="false" outlineLevel="0" max="15" min="15" style="4" width="12.28"/>
    <col collapsed="false" customWidth="true" hidden="false" outlineLevel="0" max="16" min="16" style="4" width="13.85"/>
    <col collapsed="false" customWidth="false" hidden="false" outlineLevel="0" max="19" min="17" style="4" width="9.14"/>
    <col collapsed="false" customWidth="true" hidden="false" outlineLevel="0" max="20" min="20" style="4" width="13.85"/>
    <col collapsed="false" customWidth="false" hidden="false" outlineLevel="0" max="257" min="21" style="4" width="9.14"/>
  </cols>
  <sheetData>
    <row r="2" customFormat="false" ht="12.75" hidden="false" customHeight="fals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false" ht="12.75" hidden="false" customHeight="false" outlineLevel="0" collapsed="false">
      <c r="A4" s="6"/>
      <c r="B4" s="6" t="s">
        <v>67</v>
      </c>
      <c r="C4" s="6"/>
      <c r="D4" s="7" t="s">
        <v>68</v>
      </c>
      <c r="E4" s="8" t="s">
        <v>68</v>
      </c>
      <c r="F4" s="6"/>
      <c r="G4" s="6" t="s">
        <v>69</v>
      </c>
      <c r="H4" s="6"/>
      <c r="I4" s="6"/>
      <c r="J4" s="6"/>
      <c r="K4" s="6" t="s">
        <v>66</v>
      </c>
      <c r="L4" s="6"/>
      <c r="M4" s="6" t="s">
        <v>70</v>
      </c>
      <c r="N4" s="6"/>
      <c r="O4" s="6"/>
      <c r="P4" s="6"/>
    </row>
    <row r="5" customFormat="false" ht="12.75" hidden="false" customHeight="false" outlineLevel="0" collapsed="false">
      <c r="A5" s="6"/>
      <c r="B5" s="6" t="s">
        <v>71</v>
      </c>
      <c r="C5" s="6"/>
      <c r="D5" s="9" t="s">
        <v>72</v>
      </c>
      <c r="E5" s="10" t="s">
        <v>73</v>
      </c>
      <c r="F5" s="6"/>
      <c r="G5" s="6" t="s">
        <v>74</v>
      </c>
      <c r="H5" s="6"/>
      <c r="I5" s="6" t="s">
        <v>75</v>
      </c>
      <c r="J5" s="6" t="s">
        <v>76</v>
      </c>
      <c r="K5" s="11" t="s">
        <v>77</v>
      </c>
      <c r="L5" s="6"/>
      <c r="M5" s="6" t="s">
        <v>77</v>
      </c>
      <c r="N5" s="6"/>
      <c r="O5" s="6" t="s">
        <v>78</v>
      </c>
      <c r="P5" s="6"/>
    </row>
    <row r="6" customFormat="false" ht="12.75" hidden="false" customHeight="false" outlineLevel="0" collapsed="false">
      <c r="A6" s="12" t="n">
        <v>1</v>
      </c>
      <c r="B6" s="12" t="n">
        <v>33542</v>
      </c>
      <c r="C6" s="12"/>
      <c r="D6" s="12" t="n">
        <v>10782</v>
      </c>
      <c r="E6" s="12" t="n">
        <f aca="false">ROUND(+D6*(1-0.02184),0)</f>
        <v>10547</v>
      </c>
      <c r="F6" s="12"/>
      <c r="G6" s="12" t="n">
        <f aca="false">+B6-E6</f>
        <v>22995</v>
      </c>
      <c r="H6" s="12"/>
      <c r="I6" s="12" t="n">
        <v>28290</v>
      </c>
      <c r="J6" s="12" t="n">
        <f aca="false">+'Spot Deals'!I6</f>
        <v>0</v>
      </c>
      <c r="K6" s="12" t="n">
        <f aca="false">+J6+I6</f>
        <v>28290</v>
      </c>
      <c r="L6" s="12"/>
      <c r="M6" s="12" t="n">
        <f aca="false">+G6-K6</f>
        <v>-5295</v>
      </c>
      <c r="N6" s="12"/>
      <c r="O6" s="13"/>
      <c r="P6" s="14" t="n">
        <f aca="false">+O6*M6</f>
        <v>-0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n">
        <f aca="false">+A6+1</f>
        <v>2</v>
      </c>
      <c r="B7" s="12" t="n">
        <v>18740</v>
      </c>
      <c r="C7" s="12"/>
      <c r="D7" s="12" t="n">
        <v>1682</v>
      </c>
      <c r="E7" s="12" t="n">
        <f aca="false">ROUND(+D7*(1-0.02184),0)</f>
        <v>1645</v>
      </c>
      <c r="F7" s="12"/>
      <c r="G7" s="12" t="n">
        <f aca="false">+B7-E7</f>
        <v>17095</v>
      </c>
      <c r="H7" s="12"/>
      <c r="I7" s="12" t="n">
        <f aca="false">+I6</f>
        <v>28290</v>
      </c>
      <c r="J7" s="12" t="n">
        <f aca="false">+'Spot Deals'!I7</f>
        <v>0</v>
      </c>
      <c r="K7" s="12" t="n">
        <f aca="false">+J7+I7</f>
        <v>28290</v>
      </c>
      <c r="L7" s="12"/>
      <c r="M7" s="12" t="n">
        <f aca="false">+G7-K7</f>
        <v>-11195</v>
      </c>
      <c r="N7" s="12"/>
      <c r="O7" s="13"/>
      <c r="P7" s="14" t="n">
        <f aca="false">+O7*M7</f>
        <v>-0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n">
        <f aca="false">+A7+1</f>
        <v>3</v>
      </c>
      <c r="B8" s="12" t="n">
        <v>29915</v>
      </c>
      <c r="C8" s="12"/>
      <c r="D8" s="12" t="n">
        <v>15322</v>
      </c>
      <c r="E8" s="12" t="n">
        <f aca="false">ROUND(+D8*(1-0.02184),0)</f>
        <v>14987</v>
      </c>
      <c r="F8" s="12"/>
      <c r="G8" s="12" t="n">
        <f aca="false">+B8-E8</f>
        <v>14928</v>
      </c>
      <c r="H8" s="12"/>
      <c r="I8" s="12" t="n">
        <f aca="false">+I7</f>
        <v>28290</v>
      </c>
      <c r="J8" s="12" t="n">
        <f aca="false">+'Spot Deals'!I8</f>
        <v>0</v>
      </c>
      <c r="K8" s="12" t="n">
        <f aca="false">+J8+I8</f>
        <v>28290</v>
      </c>
      <c r="L8" s="12"/>
      <c r="M8" s="12" t="n">
        <f aca="false">+G8-K8</f>
        <v>-13362</v>
      </c>
      <c r="N8" s="12"/>
      <c r="O8" s="13"/>
      <c r="P8" s="14" t="n">
        <f aca="false">+O8*M8</f>
        <v>-0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n">
        <f aca="false">+A8+1</f>
        <v>4</v>
      </c>
      <c r="B9" s="12" t="n">
        <v>52453</v>
      </c>
      <c r="C9" s="12"/>
      <c r="D9" s="12" t="n">
        <v>38367</v>
      </c>
      <c r="E9" s="12" t="n">
        <f aca="false">ROUND(+D9*(1-0.02184),0)</f>
        <v>37529</v>
      </c>
      <c r="F9" s="12"/>
      <c r="G9" s="12" t="n">
        <f aca="false">+B9-E9</f>
        <v>14924</v>
      </c>
      <c r="H9" s="12"/>
      <c r="I9" s="12" t="n">
        <f aca="false">+I8</f>
        <v>28290</v>
      </c>
      <c r="J9" s="12" t="n">
        <f aca="false">+'Spot Deals'!I9</f>
        <v>0</v>
      </c>
      <c r="K9" s="12" t="n">
        <f aca="false">+J9+I9</f>
        <v>28290</v>
      </c>
      <c r="L9" s="12"/>
      <c r="M9" s="12" t="n">
        <f aca="false">+G9-K9</f>
        <v>-13366</v>
      </c>
      <c r="N9" s="12"/>
      <c r="O9" s="13"/>
      <c r="P9" s="14" t="n">
        <f aca="false">+O9*M9</f>
        <v>-0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 t="n">
        <f aca="false">+A9+1</f>
        <v>5</v>
      </c>
      <c r="B10" s="12" t="n">
        <v>55959</v>
      </c>
      <c r="C10" s="12"/>
      <c r="D10" s="12" t="n">
        <v>41952</v>
      </c>
      <c r="E10" s="12" t="n">
        <f aca="false">ROUND(+D10*(1-0.02184),0)</f>
        <v>41036</v>
      </c>
      <c r="F10" s="12"/>
      <c r="G10" s="12" t="n">
        <f aca="false">+B10-E10</f>
        <v>14923</v>
      </c>
      <c r="H10" s="12"/>
      <c r="I10" s="12" t="n">
        <f aca="false">+I9</f>
        <v>28290</v>
      </c>
      <c r="J10" s="12" t="n">
        <f aca="false">+'Spot Deals'!I10</f>
        <v>0</v>
      </c>
      <c r="K10" s="12" t="n">
        <f aca="false">+J10+I10</f>
        <v>28290</v>
      </c>
      <c r="L10" s="12"/>
      <c r="M10" s="12" t="n">
        <f aca="false">+G10-K10</f>
        <v>-13367</v>
      </c>
      <c r="N10" s="12"/>
      <c r="O10" s="13"/>
      <c r="P10" s="14" t="n">
        <f aca="false">+O10*M10</f>
        <v>-0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 t="n">
        <f aca="false">+A10+1</f>
        <v>6</v>
      </c>
      <c r="B11" s="12" t="n">
        <v>38024</v>
      </c>
      <c r="C11" s="12"/>
      <c r="D11" s="12" t="n">
        <v>23614</v>
      </c>
      <c r="E11" s="12" t="n">
        <f aca="false">ROUND(+D11*(1-0.02184),0)</f>
        <v>23098</v>
      </c>
      <c r="F11" s="12"/>
      <c r="G11" s="12" t="n">
        <f aca="false">+B11-E11</f>
        <v>14926</v>
      </c>
      <c r="H11" s="12"/>
      <c r="I11" s="12" t="n">
        <f aca="false">+I10</f>
        <v>28290</v>
      </c>
      <c r="J11" s="12" t="n">
        <f aca="false">+'Spot Deals'!I11</f>
        <v>0</v>
      </c>
      <c r="K11" s="12" t="n">
        <f aca="false">+J11+I11</f>
        <v>28290</v>
      </c>
      <c r="L11" s="12"/>
      <c r="M11" s="12" t="n">
        <f aca="false">+G11-K11</f>
        <v>-13364</v>
      </c>
      <c r="N11" s="12"/>
      <c r="O11" s="13"/>
      <c r="P11" s="14" t="n">
        <f aca="false">+O11*M11</f>
        <v>-0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 t="n">
        <f aca="false">+A11+1</f>
        <v>7</v>
      </c>
      <c r="B12" s="12" t="n">
        <v>27619</v>
      </c>
      <c r="C12" s="12"/>
      <c r="D12" s="12" t="n">
        <v>5626</v>
      </c>
      <c r="E12" s="12" t="n">
        <f aca="false">ROUND(+D12*(1-0.02184),0)</f>
        <v>5503</v>
      </c>
      <c r="F12" s="12"/>
      <c r="G12" s="12" t="n">
        <f aca="false">+B12-E12</f>
        <v>22116</v>
      </c>
      <c r="H12" s="12"/>
      <c r="I12" s="12" t="n">
        <f aca="false">+I11</f>
        <v>28290</v>
      </c>
      <c r="J12" s="12" t="n">
        <f aca="false">+'Spot Deals'!I12</f>
        <v>0</v>
      </c>
      <c r="K12" s="12" t="n">
        <f aca="false">+J12+I12</f>
        <v>28290</v>
      </c>
      <c r="L12" s="12"/>
      <c r="M12" s="12" t="n">
        <f aca="false">+G12-K12</f>
        <v>-6174</v>
      </c>
      <c r="N12" s="12"/>
      <c r="O12" s="13"/>
      <c r="P12" s="14" t="n">
        <f aca="false">+O12*M12</f>
        <v>-0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 t="n">
        <f aca="false">+A12+1</f>
        <v>8</v>
      </c>
      <c r="B13" s="12" t="n">
        <v>26651</v>
      </c>
      <c r="C13" s="12"/>
      <c r="D13" s="12" t="n">
        <v>2277</v>
      </c>
      <c r="E13" s="12" t="n">
        <f aca="false">ROUND(+D13*(1-0.02184),0)</f>
        <v>2227</v>
      </c>
      <c r="F13" s="12"/>
      <c r="G13" s="12" t="n">
        <f aca="false">+B13-E13</f>
        <v>24424</v>
      </c>
      <c r="H13" s="12"/>
      <c r="I13" s="12" t="n">
        <f aca="false">+I12</f>
        <v>28290</v>
      </c>
      <c r="J13" s="12" t="n">
        <f aca="false">+'Spot Deals'!I13</f>
        <v>0</v>
      </c>
      <c r="K13" s="12" t="n">
        <f aca="false">+J13+I13</f>
        <v>28290</v>
      </c>
      <c r="L13" s="12"/>
      <c r="M13" s="12" t="n">
        <f aca="false">+G13-K13</f>
        <v>-3866</v>
      </c>
      <c r="N13" s="12"/>
      <c r="O13" s="13"/>
      <c r="P13" s="14" t="n">
        <f aca="false">+O13*M13</f>
        <v>-0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 t="n">
        <f aca="false">+A13+1</f>
        <v>9</v>
      </c>
      <c r="B14" s="12" t="n">
        <v>28768</v>
      </c>
      <c r="C14" s="12"/>
      <c r="D14" s="12" t="n">
        <v>313</v>
      </c>
      <c r="E14" s="12" t="n">
        <f aca="false">ROUND(+D14*(1-0.02184),0)</f>
        <v>306</v>
      </c>
      <c r="F14" s="12"/>
      <c r="G14" s="12" t="n">
        <f aca="false">+B14-E14</f>
        <v>28462</v>
      </c>
      <c r="H14" s="12"/>
      <c r="I14" s="12" t="n">
        <f aca="false">+I13</f>
        <v>28290</v>
      </c>
      <c r="J14" s="12" t="n">
        <f aca="false">+'Spot Deals'!I14</f>
        <v>0</v>
      </c>
      <c r="K14" s="12" t="n">
        <f aca="false">+J14+I14</f>
        <v>28290</v>
      </c>
      <c r="L14" s="12"/>
      <c r="M14" s="12" t="n">
        <f aca="false">+G14-K14</f>
        <v>172</v>
      </c>
      <c r="N14" s="12"/>
      <c r="O14" s="13"/>
      <c r="P14" s="14" t="n">
        <f aca="false">+O14*M14</f>
        <v>0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 t="n">
        <f aca="false">+A14+1</f>
        <v>10</v>
      </c>
      <c r="B15" s="12" t="n">
        <v>57531</v>
      </c>
      <c r="C15" s="12"/>
      <c r="D15" s="12" t="n">
        <v>6368</v>
      </c>
      <c r="E15" s="12" t="n">
        <f aca="false">ROUND(+D15*(1-0.02184),0)</f>
        <v>6229</v>
      </c>
      <c r="F15" s="12"/>
      <c r="G15" s="12" t="n">
        <f aca="false">+B15-E15</f>
        <v>51302</v>
      </c>
      <c r="H15" s="12"/>
      <c r="I15" s="12" t="n">
        <f aca="false">+I14</f>
        <v>28290</v>
      </c>
      <c r="J15" s="12" t="n">
        <f aca="false">+'Spot Deals'!I15</f>
        <v>15000</v>
      </c>
      <c r="K15" s="12" t="n">
        <f aca="false">+J15+I15</f>
        <v>43290</v>
      </c>
      <c r="L15" s="12"/>
      <c r="M15" s="12" t="n">
        <f aca="false">+G15-K15</f>
        <v>8012</v>
      </c>
      <c r="N15" s="12"/>
      <c r="O15" s="13"/>
      <c r="P15" s="14" t="n">
        <f aca="false">+O15*M15</f>
        <v>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 t="n">
        <f aca="false">+A15+1</f>
        <v>11</v>
      </c>
      <c r="B16" s="12" t="n">
        <v>56544</v>
      </c>
      <c r="C16" s="12"/>
      <c r="D16" s="12" t="n">
        <v>5076</v>
      </c>
      <c r="E16" s="12" t="n">
        <f aca="false">ROUND(+D16*(1-0.02184),0)</f>
        <v>4965</v>
      </c>
      <c r="F16" s="12"/>
      <c r="G16" s="12" t="n">
        <f aca="false">+B16-E16</f>
        <v>51579</v>
      </c>
      <c r="H16" s="12"/>
      <c r="I16" s="12" t="n">
        <f aca="false">+I15</f>
        <v>28290</v>
      </c>
      <c r="J16" s="12" t="n">
        <f aca="false">+'Spot Deals'!I16</f>
        <v>15000</v>
      </c>
      <c r="K16" s="12" t="n">
        <f aca="false">+J16+I16</f>
        <v>43290</v>
      </c>
      <c r="L16" s="12"/>
      <c r="M16" s="12" t="n">
        <f aca="false">+G16-K16</f>
        <v>8289</v>
      </c>
      <c r="N16" s="12"/>
      <c r="O16" s="13"/>
      <c r="P16" s="14" t="n">
        <f aca="false">+O16*M16</f>
        <v>0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 t="n">
        <f aca="false">+A16+1</f>
        <v>12</v>
      </c>
      <c r="B17" s="12" t="n">
        <v>63044</v>
      </c>
      <c r="C17" s="12"/>
      <c r="D17" s="12" t="n">
        <v>12902</v>
      </c>
      <c r="E17" s="12" t="n">
        <f aca="false">ROUND(+D17*(1-0.02184),0)</f>
        <v>12620</v>
      </c>
      <c r="F17" s="12"/>
      <c r="G17" s="12" t="n">
        <f aca="false">+B17-E17</f>
        <v>50424</v>
      </c>
      <c r="H17" s="12"/>
      <c r="I17" s="12" t="n">
        <f aca="false">+I16</f>
        <v>28290</v>
      </c>
      <c r="J17" s="12" t="n">
        <f aca="false">+'Spot Deals'!I17</f>
        <v>15000</v>
      </c>
      <c r="K17" s="12" t="n">
        <f aca="false">+J17+I17</f>
        <v>43290</v>
      </c>
      <c r="L17" s="12"/>
      <c r="M17" s="12" t="n">
        <f aca="false">+G17-K17</f>
        <v>7134</v>
      </c>
      <c r="N17" s="12"/>
      <c r="O17" s="13"/>
      <c r="P17" s="14" t="n">
        <f aca="false">+O17*M17</f>
        <v>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 t="n">
        <f aca="false">+A17+1</f>
        <v>13</v>
      </c>
      <c r="B18" s="12" t="n">
        <v>65264</v>
      </c>
      <c r="C18" s="12"/>
      <c r="D18" s="12" t="n">
        <v>15923</v>
      </c>
      <c r="E18" s="12" t="n">
        <f aca="false">ROUND(+D18*(1-0.02184),0)</f>
        <v>15575</v>
      </c>
      <c r="F18" s="12"/>
      <c r="G18" s="12" t="n">
        <f aca="false">+B18-E18</f>
        <v>49689</v>
      </c>
      <c r="H18" s="12"/>
      <c r="I18" s="12" t="n">
        <f aca="false">+I17</f>
        <v>28290</v>
      </c>
      <c r="J18" s="12" t="n">
        <f aca="false">+'Spot Deals'!I18</f>
        <v>15000</v>
      </c>
      <c r="K18" s="12" t="n">
        <f aca="false">+J18+I18</f>
        <v>43290</v>
      </c>
      <c r="L18" s="12"/>
      <c r="M18" s="12" t="n">
        <f aca="false">+G18-K18</f>
        <v>6399</v>
      </c>
      <c r="N18" s="12"/>
      <c r="O18" s="13"/>
      <c r="P18" s="14" t="n">
        <f aca="false">+O18*M18</f>
        <v>0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 t="n">
        <f aca="false">+A18+1</f>
        <v>14</v>
      </c>
      <c r="B19" s="12" t="n">
        <v>79319</v>
      </c>
      <c r="C19" s="12"/>
      <c r="D19" s="12" t="n">
        <v>28089</v>
      </c>
      <c r="E19" s="12" t="n">
        <f aca="false">ROUND(+D19*(1-0.02184),0)</f>
        <v>27476</v>
      </c>
      <c r="F19" s="12"/>
      <c r="G19" s="12" t="n">
        <f aca="false">+B19-E19</f>
        <v>51843</v>
      </c>
      <c r="H19" s="12"/>
      <c r="I19" s="12" t="n">
        <f aca="false">+I18</f>
        <v>28290</v>
      </c>
      <c r="J19" s="12" t="n">
        <f aca="false">+'Spot Deals'!I19</f>
        <v>30000</v>
      </c>
      <c r="K19" s="12" t="n">
        <f aca="false">+J19+I19</f>
        <v>58290</v>
      </c>
      <c r="L19" s="12"/>
      <c r="M19" s="12" t="n">
        <f aca="false">+G19-K19</f>
        <v>-6447</v>
      </c>
      <c r="N19" s="12"/>
      <c r="O19" s="13"/>
      <c r="P19" s="14" t="n">
        <f aca="false">+O19*M19</f>
        <v>-0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 t="n">
        <f aca="false">+A19+1</f>
        <v>15</v>
      </c>
      <c r="B20" s="12" t="n">
        <v>78935</v>
      </c>
      <c r="C20" s="12"/>
      <c r="D20" s="12" t="n">
        <v>1743</v>
      </c>
      <c r="E20" s="12" t="n">
        <f aca="false">ROUND(+D20*(1-0.02184),0)</f>
        <v>1705</v>
      </c>
      <c r="F20" s="12"/>
      <c r="G20" s="12" t="n">
        <f aca="false">+B20-E20</f>
        <v>77230</v>
      </c>
      <c r="H20" s="12"/>
      <c r="I20" s="12" t="n">
        <f aca="false">+I19</f>
        <v>28290</v>
      </c>
      <c r="J20" s="12" t="n">
        <f aca="false">+'Spot Deals'!I20</f>
        <v>50000</v>
      </c>
      <c r="K20" s="12" t="n">
        <f aca="false">+J20+I20</f>
        <v>78290</v>
      </c>
      <c r="L20" s="12"/>
      <c r="M20" s="12" t="n">
        <f aca="false">+G20-K20</f>
        <v>-1060</v>
      </c>
      <c r="N20" s="12"/>
      <c r="O20" s="13"/>
      <c r="P20" s="14" t="n">
        <f aca="false">+O20*M20</f>
        <v>-0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 t="n">
        <f aca="false">+A20+1</f>
        <v>16</v>
      </c>
      <c r="B21" s="12" t="n">
        <v>66914</v>
      </c>
      <c r="C21" s="12"/>
      <c r="D21" s="12" t="n">
        <v>941</v>
      </c>
      <c r="E21" s="12" t="n">
        <f aca="false">ROUND(+D21*(1-0.02184),0)</f>
        <v>920</v>
      </c>
      <c r="F21" s="12"/>
      <c r="G21" s="12" t="n">
        <f aca="false">+B21-E21</f>
        <v>65994</v>
      </c>
      <c r="H21" s="12"/>
      <c r="I21" s="12" t="n">
        <f aca="false">+I20</f>
        <v>28290</v>
      </c>
      <c r="J21" s="12" t="n">
        <f aca="false">+'Spot Deals'!I21</f>
        <v>50000</v>
      </c>
      <c r="K21" s="12" t="n">
        <f aca="false">+J21+I21</f>
        <v>78290</v>
      </c>
      <c r="L21" s="12"/>
      <c r="M21" s="12" t="n">
        <f aca="false">+G21-K21</f>
        <v>-12296</v>
      </c>
      <c r="N21" s="12"/>
      <c r="O21" s="13"/>
      <c r="P21" s="14" t="n">
        <f aca="false">+O21*M21</f>
        <v>-0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 t="n">
        <f aca="false">+A21+1</f>
        <v>17</v>
      </c>
      <c r="B22" s="12" t="n">
        <v>86974</v>
      </c>
      <c r="C22" s="12"/>
      <c r="D22" s="12" t="n">
        <v>11415</v>
      </c>
      <c r="E22" s="12" t="n">
        <f aca="false">ROUND(+D22*(1-0.02184),0)</f>
        <v>11166</v>
      </c>
      <c r="F22" s="12"/>
      <c r="G22" s="12" t="n">
        <f aca="false">+B22-E22</f>
        <v>75808</v>
      </c>
      <c r="H22" s="12"/>
      <c r="I22" s="12" t="n">
        <f aca="false">+I21</f>
        <v>28290</v>
      </c>
      <c r="J22" s="12" t="n">
        <f aca="false">+'Spot Deals'!I22</f>
        <v>54108</v>
      </c>
      <c r="K22" s="12" t="n">
        <f aca="false">+J22+I22</f>
        <v>82398</v>
      </c>
      <c r="L22" s="12"/>
      <c r="M22" s="12" t="n">
        <f aca="false">+G22-K22</f>
        <v>-6590</v>
      </c>
      <c r="N22" s="12"/>
      <c r="O22" s="13"/>
      <c r="P22" s="14" t="n">
        <f aca="false">+O22*M22</f>
        <v>-0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 t="n">
        <f aca="false">+A22+1</f>
        <v>18</v>
      </c>
      <c r="B23" s="12" t="n">
        <v>89222</v>
      </c>
      <c r="C23" s="12"/>
      <c r="D23" s="12" t="n">
        <v>40241</v>
      </c>
      <c r="E23" s="12" t="n">
        <f aca="false">ROUND(+D23*(1-0.02184),0)</f>
        <v>39362</v>
      </c>
      <c r="F23" s="12"/>
      <c r="G23" s="12" t="n">
        <f aca="false">+B23-E23</f>
        <v>49860</v>
      </c>
      <c r="H23" s="12"/>
      <c r="I23" s="12" t="n">
        <f aca="false">+I22</f>
        <v>28290</v>
      </c>
      <c r="J23" s="12" t="n">
        <f aca="false">+'Spot Deals'!I23</f>
        <v>39108</v>
      </c>
      <c r="K23" s="12" t="n">
        <f aca="false">+J23+I23</f>
        <v>67398</v>
      </c>
      <c r="L23" s="12"/>
      <c r="M23" s="12" t="n">
        <f aca="false">+G23-K23</f>
        <v>-17538</v>
      </c>
      <c r="N23" s="12"/>
      <c r="O23" s="13"/>
      <c r="P23" s="14" t="n">
        <f aca="false">+O23*M23</f>
        <v>-0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 t="n">
        <f aca="false">+A23+1</f>
        <v>19</v>
      </c>
      <c r="B24" s="12" t="n">
        <v>74637</v>
      </c>
      <c r="C24" s="12"/>
      <c r="D24" s="12" t="n">
        <v>28148</v>
      </c>
      <c r="E24" s="12" t="n">
        <f aca="false">ROUND(+D24*(1-0.02184),0)</f>
        <v>27533</v>
      </c>
      <c r="F24" s="12"/>
      <c r="G24" s="12" t="n">
        <f aca="false">+B24-E24</f>
        <v>47104</v>
      </c>
      <c r="H24" s="12"/>
      <c r="I24" s="12" t="n">
        <f aca="false">+I23</f>
        <v>28290</v>
      </c>
      <c r="J24" s="12" t="n">
        <f aca="false">+'Spot Deals'!I24</f>
        <v>39108</v>
      </c>
      <c r="K24" s="12" t="n">
        <f aca="false">+J24+I24</f>
        <v>67398</v>
      </c>
      <c r="L24" s="12"/>
      <c r="M24" s="12" t="n">
        <f aca="false">+G24-K24</f>
        <v>-20294</v>
      </c>
      <c r="N24" s="12"/>
      <c r="O24" s="13"/>
      <c r="P24" s="14" t="n">
        <f aca="false">+O24*M24</f>
        <v>-0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6" t="n">
        <f aca="false">+A24+1</f>
        <v>20</v>
      </c>
      <c r="B25" s="6" t="n">
        <v>99574</v>
      </c>
      <c r="C25" s="6"/>
      <c r="D25" s="6" t="n">
        <v>44213</v>
      </c>
      <c r="E25" s="6" t="n">
        <f aca="false">ROUND(+D25*(1-0.02184),0)</f>
        <v>43247</v>
      </c>
      <c r="F25" s="6"/>
      <c r="G25" s="6" t="n">
        <f aca="false">+B25-E25</f>
        <v>56327</v>
      </c>
      <c r="H25" s="6"/>
      <c r="I25" s="6" t="n">
        <f aca="false">+I24</f>
        <v>28290</v>
      </c>
      <c r="J25" s="6" t="n">
        <f aca="false">+'Spot Deals'!I25</f>
        <v>39108</v>
      </c>
      <c r="K25" s="6" t="n">
        <f aca="false">+J25+I25</f>
        <v>67398</v>
      </c>
      <c r="L25" s="6"/>
      <c r="M25" s="6" t="n">
        <f aca="false">+G25-K25</f>
        <v>-11071</v>
      </c>
      <c r="N25" s="6"/>
      <c r="O25" s="16"/>
      <c r="P25" s="17" t="n">
        <f aca="false">+O25*M25</f>
        <v>-0</v>
      </c>
    </row>
    <row r="26" customFormat="false" ht="12.75" hidden="false" customHeight="false" outlineLevel="0" collapsed="false">
      <c r="A26" s="6" t="n">
        <f aca="false">+A25+1</f>
        <v>21</v>
      </c>
      <c r="B26" s="6" t="n">
        <v>111129</v>
      </c>
      <c r="C26" s="6"/>
      <c r="D26" s="6" t="n">
        <v>74601</v>
      </c>
      <c r="E26" s="6" t="n">
        <f aca="false">ROUND(+D26*(1-0.02184),0)</f>
        <v>72972</v>
      </c>
      <c r="F26" s="6"/>
      <c r="G26" s="6" t="n">
        <f aca="false">+B26-E26</f>
        <v>38157</v>
      </c>
      <c r="H26" s="6"/>
      <c r="I26" s="6" t="n">
        <f aca="false">+I25</f>
        <v>28290</v>
      </c>
      <c r="J26" s="6" t="n">
        <f aca="false">+'Spot Deals'!I26</f>
        <v>39108</v>
      </c>
      <c r="K26" s="6" t="n">
        <f aca="false">+J26+I26</f>
        <v>67398</v>
      </c>
      <c r="L26" s="6"/>
      <c r="M26" s="6" t="n">
        <f aca="false">+G26-K26</f>
        <v>-29241</v>
      </c>
      <c r="N26" s="6"/>
      <c r="O26" s="16"/>
      <c r="P26" s="17" t="n">
        <f aca="false">+O26*M26</f>
        <v>-0</v>
      </c>
    </row>
    <row r="27" customFormat="false" ht="12.75" hidden="false" customHeight="false" outlineLevel="0" collapsed="false">
      <c r="A27" s="6" t="n">
        <f aca="false">+A26+1</f>
        <v>22</v>
      </c>
      <c r="B27" s="6" t="n">
        <v>104236</v>
      </c>
      <c r="C27" s="6"/>
      <c r="D27" s="6" t="n">
        <v>73846</v>
      </c>
      <c r="E27" s="6" t="n">
        <f aca="false">ROUND(+D27*(1-0.02184),0)</f>
        <v>72233</v>
      </c>
      <c r="F27" s="6"/>
      <c r="G27" s="6" t="n">
        <f aca="false">+B27-E27</f>
        <v>32003</v>
      </c>
      <c r="H27" s="6"/>
      <c r="I27" s="6" t="n">
        <f aca="false">+I26</f>
        <v>28290</v>
      </c>
      <c r="J27" s="6" t="n">
        <f aca="false">+'Spot Deals'!I27</f>
        <v>39108</v>
      </c>
      <c r="K27" s="6" t="n">
        <f aca="false">+J27+I27</f>
        <v>67398</v>
      </c>
      <c r="L27" s="6"/>
      <c r="M27" s="6" t="n">
        <f aca="false">+G27-K27</f>
        <v>-35395</v>
      </c>
      <c r="N27" s="6"/>
      <c r="O27" s="16"/>
      <c r="P27" s="17" t="n">
        <f aca="false">+O27*M27</f>
        <v>-0</v>
      </c>
    </row>
    <row r="28" customFormat="false" ht="12.75" hidden="false" customHeight="false" outlineLevel="0" collapsed="false">
      <c r="A28" s="6" t="n">
        <f aca="false">+A27+1</f>
        <v>23</v>
      </c>
      <c r="B28" s="6" t="n">
        <v>97643</v>
      </c>
      <c r="C28" s="6"/>
      <c r="D28" s="6" t="n">
        <v>67639</v>
      </c>
      <c r="E28" s="6" t="n">
        <f aca="false">ROUND(+D28*(1-0.02184),0)</f>
        <v>66162</v>
      </c>
      <c r="F28" s="6"/>
      <c r="G28" s="6" t="n">
        <f aca="false">+B28-E28</f>
        <v>31481</v>
      </c>
      <c r="H28" s="6"/>
      <c r="I28" s="6" t="n">
        <f aca="false">+I27</f>
        <v>28290</v>
      </c>
      <c r="J28" s="6" t="n">
        <f aca="false">+'Spot Deals'!I28</f>
        <v>39108</v>
      </c>
      <c r="K28" s="6" t="n">
        <f aca="false">+J28+I28</f>
        <v>67398</v>
      </c>
      <c r="L28" s="6"/>
      <c r="M28" s="6" t="n">
        <f aca="false">+G28-K28</f>
        <v>-35917</v>
      </c>
      <c r="N28" s="6"/>
      <c r="O28" s="16"/>
      <c r="P28" s="17" t="n">
        <f aca="false">+O28*M28</f>
        <v>-0</v>
      </c>
    </row>
    <row r="29" customFormat="false" ht="12.75" hidden="false" customHeight="false" outlineLevel="0" collapsed="false">
      <c r="A29" s="6" t="n">
        <f aca="false">+A28+1</f>
        <v>24</v>
      </c>
      <c r="B29" s="6" t="n">
        <v>77772</v>
      </c>
      <c r="C29" s="6"/>
      <c r="D29" s="6" t="n">
        <v>49173</v>
      </c>
      <c r="E29" s="6" t="n">
        <f aca="false">ROUND(+D29*(1-0.02184),0)</f>
        <v>48099</v>
      </c>
      <c r="F29" s="6"/>
      <c r="G29" s="6" t="n">
        <f aca="false">+B29-E29</f>
        <v>29673</v>
      </c>
      <c r="H29" s="6"/>
      <c r="I29" s="6" t="n">
        <f aca="false">+I28</f>
        <v>28290</v>
      </c>
      <c r="J29" s="6" t="n">
        <f aca="false">+'Spot Deals'!I29</f>
        <v>39108</v>
      </c>
      <c r="K29" s="6" t="n">
        <f aca="false">+J29+I29</f>
        <v>67398</v>
      </c>
      <c r="L29" s="6"/>
      <c r="M29" s="6" t="n">
        <f aca="false">+G29-K29</f>
        <v>-37725</v>
      </c>
      <c r="N29" s="6"/>
      <c r="O29" s="16"/>
      <c r="P29" s="17" t="n">
        <f aca="false">+O29*M29</f>
        <v>-0</v>
      </c>
    </row>
    <row r="30" customFormat="false" ht="12.75" hidden="false" customHeight="false" outlineLevel="0" collapsed="false">
      <c r="A30" s="6" t="n">
        <f aca="false">+A29+1</f>
        <v>25</v>
      </c>
      <c r="B30" s="6" t="n">
        <v>58824</v>
      </c>
      <c r="C30" s="6"/>
      <c r="D30" s="6" t="n">
        <v>37050</v>
      </c>
      <c r="E30" s="6" t="n">
        <f aca="false">ROUND(+D30*(1-0.02184),0)</f>
        <v>36241</v>
      </c>
      <c r="F30" s="6"/>
      <c r="G30" s="6" t="n">
        <f aca="false">+B30-E30</f>
        <v>22583</v>
      </c>
      <c r="H30" s="6"/>
      <c r="I30" s="6" t="n">
        <f aca="false">+I29</f>
        <v>28290</v>
      </c>
      <c r="J30" s="6" t="n">
        <f aca="false">+'Spot Deals'!I30</f>
        <v>39108</v>
      </c>
      <c r="K30" s="6" t="n">
        <f aca="false">+J30+I30</f>
        <v>67398</v>
      </c>
      <c r="L30" s="6"/>
      <c r="M30" s="6" t="n">
        <f aca="false">+G30-K30</f>
        <v>-44815</v>
      </c>
      <c r="N30" s="6"/>
      <c r="O30" s="16"/>
      <c r="P30" s="17" t="n">
        <f aca="false">+O30*M30</f>
        <v>-0</v>
      </c>
      <c r="S30" s="16"/>
      <c r="T30" s="17"/>
    </row>
    <row r="31" customFormat="false" ht="12.75" hidden="false" customHeight="false" outlineLevel="0" collapsed="false">
      <c r="A31" s="6" t="n">
        <f aca="false">+A30+1</f>
        <v>26</v>
      </c>
      <c r="B31" s="6" t="n">
        <v>62810</v>
      </c>
      <c r="C31" s="6"/>
      <c r="D31" s="6" t="n">
        <v>41350</v>
      </c>
      <c r="E31" s="6" t="n">
        <f aca="false">ROUND(+D31*(1-0.02184),0)</f>
        <v>40447</v>
      </c>
      <c r="F31" s="6"/>
      <c r="G31" s="6" t="n">
        <f aca="false">+B31-E31</f>
        <v>22363</v>
      </c>
      <c r="H31" s="6"/>
      <c r="I31" s="6" t="n">
        <f aca="false">+I30</f>
        <v>28290</v>
      </c>
      <c r="J31" s="6" t="n">
        <f aca="false">+'Spot Deals'!I31</f>
        <v>39108</v>
      </c>
      <c r="K31" s="6" t="n">
        <f aca="false">+J31+I31</f>
        <v>67398</v>
      </c>
      <c r="L31" s="6"/>
      <c r="M31" s="6" t="n">
        <f aca="false">+G31-K31</f>
        <v>-45035</v>
      </c>
      <c r="N31" s="6"/>
      <c r="O31" s="16"/>
      <c r="P31" s="17" t="n">
        <f aca="false">+O31*M31</f>
        <v>-0</v>
      </c>
      <c r="S31" s="16"/>
      <c r="T31" s="17"/>
    </row>
    <row r="32" customFormat="false" ht="12.75" hidden="false" customHeight="false" outlineLevel="0" collapsed="false">
      <c r="A32" s="6" t="n">
        <f aca="false">+A31+1</f>
        <v>27</v>
      </c>
      <c r="B32" s="6" t="n">
        <v>71114</v>
      </c>
      <c r="C32" s="6"/>
      <c r="D32" s="6" t="n">
        <v>49013</v>
      </c>
      <c r="E32" s="6" t="n">
        <f aca="false">ROUND(+D32*(1-0.02184),0)</f>
        <v>47943</v>
      </c>
      <c r="F32" s="6"/>
      <c r="G32" s="6" t="n">
        <f aca="false">+B32-E32</f>
        <v>23171</v>
      </c>
      <c r="H32" s="6"/>
      <c r="I32" s="6" t="n">
        <f aca="false">+I31</f>
        <v>28290</v>
      </c>
      <c r="J32" s="6" t="n">
        <f aca="false">+'Spot Deals'!I32</f>
        <v>39108</v>
      </c>
      <c r="K32" s="6" t="n">
        <f aca="false">+J32+I32</f>
        <v>67398</v>
      </c>
      <c r="L32" s="6"/>
      <c r="M32" s="6" t="n">
        <f aca="false">+G32-K32</f>
        <v>-44227</v>
      </c>
      <c r="N32" s="6"/>
      <c r="O32" s="16"/>
      <c r="P32" s="17" t="n">
        <f aca="false">+O32*M32</f>
        <v>-0</v>
      </c>
      <c r="S32" s="16"/>
      <c r="T32" s="17"/>
    </row>
    <row r="33" customFormat="false" ht="12.75" hidden="false" customHeight="false" outlineLevel="0" collapsed="false">
      <c r="A33" s="6" t="n">
        <f aca="false">+A32+1</f>
        <v>28</v>
      </c>
      <c r="B33" s="6" t="n">
        <v>58290</v>
      </c>
      <c r="C33" s="6"/>
      <c r="D33" s="6" t="n">
        <v>63037</v>
      </c>
      <c r="E33" s="6" t="n">
        <f aca="false">ROUND(+D33*(1-0.02184),0)</f>
        <v>61660</v>
      </c>
      <c r="F33" s="6"/>
      <c r="G33" s="6" t="n">
        <f aca="false">+B33-E33</f>
        <v>-3370</v>
      </c>
      <c r="H33" s="6"/>
      <c r="I33" s="6" t="n">
        <f aca="false">+I32</f>
        <v>28290</v>
      </c>
      <c r="J33" s="6" t="n">
        <f aca="false">+'Spot Deals'!I33</f>
        <v>35000</v>
      </c>
      <c r="K33" s="6" t="n">
        <f aca="false">+J33+I33</f>
        <v>63290</v>
      </c>
      <c r="L33" s="6"/>
      <c r="M33" s="6" t="n">
        <f aca="false">+G33-K33</f>
        <v>-66660</v>
      </c>
      <c r="N33" s="6"/>
      <c r="O33" s="16"/>
      <c r="P33" s="17" t="n">
        <f aca="false">+O33*M33</f>
        <v>-0</v>
      </c>
      <c r="S33" s="16"/>
      <c r="T33" s="17"/>
    </row>
    <row r="34" customFormat="false" ht="12.75" hidden="false" customHeight="false" outlineLevel="0" collapsed="false">
      <c r="A34" s="6" t="n">
        <f aca="false">+A33+1</f>
        <v>29</v>
      </c>
      <c r="B34" s="6" t="n">
        <f aca="false">+B33</f>
        <v>58290</v>
      </c>
      <c r="C34" s="6"/>
      <c r="D34" s="6" t="n">
        <f aca="false">+D33</f>
        <v>63037</v>
      </c>
      <c r="E34" s="6" t="n">
        <f aca="false">ROUND(+D34*(1-0.02184),0)</f>
        <v>61660</v>
      </c>
      <c r="F34" s="6"/>
      <c r="G34" s="6" t="n">
        <f aca="false">+B34-E34</f>
        <v>-3370</v>
      </c>
      <c r="H34" s="6"/>
      <c r="I34" s="6" t="n">
        <f aca="false">+I33</f>
        <v>28290</v>
      </c>
      <c r="J34" s="6" t="n">
        <f aca="false">+'Spot Deals'!I34</f>
        <v>35000</v>
      </c>
      <c r="K34" s="6" t="n">
        <f aca="false">+J34+I34</f>
        <v>63290</v>
      </c>
      <c r="L34" s="6"/>
      <c r="M34" s="6" t="n">
        <f aca="false">+G34-K34</f>
        <v>-66660</v>
      </c>
      <c r="N34" s="6"/>
      <c r="O34" s="16"/>
      <c r="P34" s="17" t="n">
        <f aca="false">+O34*M34</f>
        <v>-0</v>
      </c>
      <c r="S34" s="16"/>
      <c r="T34" s="17"/>
    </row>
    <row r="35" customFormat="false" ht="12.75" hidden="false" customHeight="false" outlineLevel="0" collapsed="false">
      <c r="A35" s="6" t="n">
        <f aca="false">+A34+1</f>
        <v>30</v>
      </c>
      <c r="B35" s="6" t="n">
        <f aca="false">+B34</f>
        <v>58290</v>
      </c>
      <c r="C35" s="6"/>
      <c r="D35" s="6" t="n">
        <f aca="false">+D34</f>
        <v>63037</v>
      </c>
      <c r="E35" s="6" t="n">
        <f aca="false">ROUND(+D35*(1-0.02184),0)</f>
        <v>61660</v>
      </c>
      <c r="F35" s="6"/>
      <c r="G35" s="6" t="n">
        <f aca="false">+B35-E35</f>
        <v>-3370</v>
      </c>
      <c r="H35" s="6"/>
      <c r="I35" s="6" t="n">
        <f aca="false">+I34</f>
        <v>28290</v>
      </c>
      <c r="J35" s="6" t="n">
        <f aca="false">+'Spot Deals'!I35</f>
        <v>35000</v>
      </c>
      <c r="K35" s="6" t="n">
        <f aca="false">+J35+I35</f>
        <v>63290</v>
      </c>
      <c r="L35" s="6"/>
      <c r="M35" s="6" t="n">
        <f aca="false">+G35-K35</f>
        <v>-66660</v>
      </c>
      <c r="N35" s="6"/>
      <c r="O35" s="16"/>
      <c r="P35" s="17" t="n">
        <f aca="false">+O35*M35</f>
        <v>-0</v>
      </c>
      <c r="S35" s="16"/>
      <c r="T35" s="17"/>
    </row>
    <row r="36" customFormat="false" ht="12.75" hidden="false" customHeight="fals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6"/>
      <c r="P36" s="17"/>
      <c r="S36" s="16"/>
      <c r="T36" s="17"/>
    </row>
    <row r="37" customFormat="false" ht="12.7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customFormat="false" ht="12.75" hidden="false" customHeight="false" outlineLevel="0" collapsed="false">
      <c r="A38" s="6"/>
      <c r="B38" s="6" t="n">
        <f aca="false">SUM(B6:B37)</f>
        <v>1888027</v>
      </c>
      <c r="C38" s="6"/>
      <c r="D38" s="6" t="n">
        <f aca="false">SUM(D6:D37)</f>
        <v>916777</v>
      </c>
      <c r="E38" s="6" t="n">
        <f aca="false">SUM(E6:E37)</f>
        <v>896753</v>
      </c>
      <c r="F38" s="6"/>
      <c r="G38" s="6" t="n">
        <f aca="false">SUM(G6:G37)</f>
        <v>991274</v>
      </c>
      <c r="H38" s="6"/>
      <c r="I38" s="6" t="n">
        <f aca="false">SUM(I6:I37)</f>
        <v>848700</v>
      </c>
      <c r="J38" s="6" t="n">
        <f aca="false">SUM(J6:J37)</f>
        <v>740188</v>
      </c>
      <c r="K38" s="6" t="n">
        <f aca="false">SUM(K6:K37)</f>
        <v>1588888</v>
      </c>
      <c r="L38" s="6"/>
      <c r="M38" s="6" t="n">
        <f aca="false">SUM(M6:M37)</f>
        <v>-597614</v>
      </c>
      <c r="N38" s="6" t="s">
        <v>79</v>
      </c>
      <c r="O38" s="6"/>
      <c r="P38" s="17" t="n">
        <f aca="false">SUM(P6:P34)</f>
        <v>0</v>
      </c>
      <c r="R38" s="6"/>
      <c r="T38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8" width="15.56"/>
    <col collapsed="false" customWidth="false" hidden="false" outlineLevel="0" max="2" min="2" style="18" width="9.14"/>
    <col collapsed="false" customWidth="true" hidden="false" outlineLevel="0" max="3" min="3" style="18" width="12.42"/>
    <col collapsed="false" customWidth="true" hidden="false" outlineLevel="0" max="4" min="4" style="18" width="12.14"/>
    <col collapsed="false" customWidth="true" hidden="false" outlineLevel="0" max="5" min="5" style="18" width="10.99"/>
    <col collapsed="false" customWidth="false" hidden="false" outlineLevel="0" max="6" min="6" style="18" width="9.14"/>
    <col collapsed="false" customWidth="true" hidden="false" outlineLevel="0" max="7" min="7" style="18" width="14.99"/>
    <col collapsed="false" customWidth="false" hidden="false" outlineLevel="0" max="11" min="8" style="18" width="9.14"/>
    <col collapsed="false" customWidth="true" hidden="false" outlineLevel="0" max="12" min="12" style="18" width="14.7"/>
    <col collapsed="false" customWidth="false" hidden="false" outlineLevel="0" max="257" min="13" style="18" width="9.14"/>
  </cols>
  <sheetData>
    <row r="1" customFormat="false" ht="12.75" hidden="false" customHeight="false" outlineLevel="0" collapsed="false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customFormat="false" ht="12.75" hidden="false" customHeight="false" outlineLevel="0" collapsed="false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customFormat="false" ht="12.75" hidden="false" customHeight="false" outlineLevel="0" collapsed="false">
      <c r="A3" s="20" t="s">
        <v>80</v>
      </c>
      <c r="C3" s="18" t="s">
        <v>81</v>
      </c>
      <c r="E3" s="19"/>
      <c r="F3" s="19"/>
      <c r="G3" s="19"/>
      <c r="H3" s="19"/>
      <c r="I3" s="19"/>
      <c r="J3" s="19"/>
      <c r="K3" s="19"/>
      <c r="L3" s="19"/>
      <c r="M3" s="19"/>
      <c r="N3" s="19"/>
    </row>
    <row r="4" customFormat="false" ht="12.75" hidden="false" customHeight="false" outlineLevel="0" collapsed="false">
      <c r="A4" s="18" t="s">
        <v>82</v>
      </c>
      <c r="B4" s="18" t="s">
        <v>37</v>
      </c>
      <c r="C4" s="21" t="n">
        <v>4.85</v>
      </c>
      <c r="E4" s="19"/>
      <c r="F4" s="19"/>
      <c r="G4" s="19"/>
      <c r="H4" s="19"/>
      <c r="I4" s="19"/>
      <c r="J4" s="19"/>
      <c r="K4" s="19"/>
      <c r="L4" s="19"/>
      <c r="M4" s="19"/>
      <c r="N4" s="19"/>
    </row>
    <row r="5" customFormat="false" ht="12.75" hidden="false" customHeight="false" outlineLevel="0" collapsed="false">
      <c r="A5" s="18" t="s">
        <v>83</v>
      </c>
      <c r="C5" s="21" t="n">
        <v>0.0075</v>
      </c>
      <c r="E5" s="19"/>
      <c r="F5" s="19"/>
      <c r="G5" s="19"/>
      <c r="H5" s="19"/>
      <c r="I5" s="19"/>
      <c r="J5" s="19"/>
      <c r="K5" s="19"/>
      <c r="L5" s="19"/>
      <c r="M5" s="19"/>
      <c r="N5" s="19"/>
    </row>
    <row r="6" customFormat="false" ht="12.75" hidden="false" customHeight="false" outlineLevel="0" collapsed="false">
      <c r="A6" s="18" t="s">
        <v>84</v>
      </c>
      <c r="C6" s="21" t="n">
        <v>0.044</v>
      </c>
      <c r="E6" s="19"/>
      <c r="F6" s="19"/>
      <c r="G6" s="19"/>
      <c r="H6" s="19"/>
      <c r="I6" s="19"/>
      <c r="J6" s="19"/>
      <c r="K6" s="19"/>
      <c r="L6" s="19"/>
      <c r="M6" s="19"/>
      <c r="N6" s="19"/>
    </row>
    <row r="7" customFormat="false" ht="12.75" hidden="false" customHeight="false" outlineLevel="0" collapsed="false">
      <c r="A7" s="18" t="s">
        <v>85</v>
      </c>
      <c r="C7" s="21" t="n">
        <v>0.0022</v>
      </c>
      <c r="E7" s="19"/>
      <c r="F7" s="19"/>
      <c r="G7" s="19"/>
      <c r="H7" s="19"/>
      <c r="I7" s="19"/>
      <c r="J7" s="19"/>
      <c r="K7" s="19"/>
      <c r="L7" s="19"/>
      <c r="M7" s="19"/>
      <c r="N7" s="19"/>
    </row>
    <row r="8" customFormat="false" ht="12.75" hidden="false" customHeight="false" outlineLevel="0" collapsed="false">
      <c r="A8" s="18" t="s">
        <v>86</v>
      </c>
      <c r="C8" s="22" t="n">
        <v>0.0228</v>
      </c>
      <c r="E8" s="19"/>
      <c r="F8" s="19"/>
      <c r="G8" s="19"/>
      <c r="H8" s="19"/>
      <c r="I8" s="19"/>
      <c r="J8" s="19"/>
      <c r="K8" s="19"/>
      <c r="L8" s="19"/>
      <c r="M8" s="19"/>
      <c r="N8" s="19"/>
    </row>
    <row r="9" customFormat="false" ht="12.75" hidden="false" customHeight="false" outlineLevel="0" collapsed="false">
      <c r="A9" s="18" t="s">
        <v>87</v>
      </c>
      <c r="C9" s="23" t="n">
        <f aca="false">ROUND((+C4+C5)/(1-C8)+(C6+C7),4)-C4-C5</f>
        <v>0.159500000000001</v>
      </c>
      <c r="E9" s="19"/>
      <c r="F9" s="19"/>
      <c r="G9" s="19"/>
      <c r="H9" s="19"/>
      <c r="I9" s="19"/>
      <c r="J9" s="19"/>
      <c r="K9" s="19"/>
      <c r="L9" s="19"/>
      <c r="M9" s="19"/>
      <c r="N9" s="19"/>
    </row>
    <row r="10" customFormat="false" ht="12.75" hidden="false" customHeight="false" outlineLevel="0" collapsed="false">
      <c r="A10" s="18" t="s">
        <v>88</v>
      </c>
      <c r="C10" s="24" t="n">
        <v>0.02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customFormat="false" ht="13.5" hidden="false" customHeight="false" outlineLevel="0" collapsed="false">
      <c r="C11" s="25" t="n">
        <f aca="false">SUM(C4:C5,C9,C10)</f>
        <v>5.037</v>
      </c>
      <c r="D11" s="18" t="s">
        <v>89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customFormat="false" ht="13.5" hidden="false" customHeight="fals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customFormat="false" ht="12.75" hidden="false" customHeight="false" outlineLevel="0" collapsed="false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customFormat="false" ht="12.75" hidden="false" customHeight="false" outlineLevel="0" collapsed="false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customFormat="false" ht="12.75" hidden="false" customHeight="false" outlineLevel="0" collapsed="false">
      <c r="A15" s="20" t="s">
        <v>37</v>
      </c>
      <c r="C15" s="18" t="s">
        <v>90</v>
      </c>
      <c r="E15" s="18" t="s">
        <v>91</v>
      </c>
      <c r="F15" s="19"/>
      <c r="G15" s="19"/>
      <c r="H15" s="19"/>
      <c r="I15" s="19"/>
      <c r="J15" s="19"/>
      <c r="K15" s="19"/>
      <c r="L15" s="19"/>
      <c r="M15" s="19"/>
      <c r="N15" s="19"/>
    </row>
    <row r="16" customFormat="false" ht="12.75" hidden="false" customHeight="false" outlineLevel="0" collapsed="false">
      <c r="A16" s="18" t="s">
        <v>82</v>
      </c>
      <c r="B16" s="18" t="s">
        <v>37</v>
      </c>
      <c r="C16" s="21" t="n">
        <v>4.81</v>
      </c>
      <c r="E16" s="21" t="n">
        <v>4.81</v>
      </c>
      <c r="F16" s="19"/>
      <c r="G16" s="19" t="s">
        <v>92</v>
      </c>
      <c r="H16" s="19"/>
      <c r="I16" s="21" t="n">
        <f aca="false">+C22</f>
        <v>4.9476</v>
      </c>
      <c r="J16" s="19"/>
      <c r="K16" s="19"/>
      <c r="L16" s="19"/>
      <c r="M16" s="19"/>
      <c r="N16" s="19"/>
    </row>
    <row r="17" customFormat="false" ht="12.75" hidden="false" customHeight="false" outlineLevel="0" collapsed="false">
      <c r="A17" s="18" t="s">
        <v>83</v>
      </c>
      <c r="C17" s="21" t="n">
        <v>0.0075</v>
      </c>
      <c r="E17" s="21" t="n">
        <v>0.0075</v>
      </c>
      <c r="F17" s="19"/>
      <c r="G17" s="19"/>
      <c r="H17" s="19"/>
      <c r="I17" s="21" t="n">
        <v>0</v>
      </c>
      <c r="J17" s="19"/>
      <c r="K17" s="19"/>
      <c r="L17" s="19"/>
      <c r="M17" s="19"/>
      <c r="N17" s="19"/>
    </row>
    <row r="18" customFormat="false" ht="12.75" hidden="false" customHeight="false" outlineLevel="0" collapsed="false">
      <c r="A18" s="18" t="s">
        <v>84</v>
      </c>
      <c r="C18" s="21" t="n">
        <v>0.0133</v>
      </c>
      <c r="E18" s="21" t="n">
        <v>0.0133</v>
      </c>
      <c r="F18" s="19"/>
      <c r="G18" s="19" t="s">
        <v>93</v>
      </c>
      <c r="H18" s="19"/>
      <c r="I18" s="21" t="n">
        <v>0.0153</v>
      </c>
      <c r="J18" s="19"/>
      <c r="K18" s="19"/>
      <c r="L18" s="19"/>
      <c r="M18" s="19"/>
      <c r="N18" s="19"/>
    </row>
    <row r="19" customFormat="false" ht="12.75" hidden="false" customHeight="false" outlineLevel="0" collapsed="false">
      <c r="A19" s="18" t="s">
        <v>85</v>
      </c>
      <c r="C19" s="21" t="n">
        <v>0.0094</v>
      </c>
      <c r="E19" s="21" t="n">
        <v>0.0094</v>
      </c>
      <c r="F19" s="19"/>
      <c r="G19" s="19" t="s">
        <v>86</v>
      </c>
      <c r="H19" s="19"/>
      <c r="I19" s="22" t="n">
        <v>0.0017</v>
      </c>
      <c r="J19" s="19"/>
      <c r="K19" s="19"/>
      <c r="L19" s="19"/>
      <c r="M19" s="19"/>
      <c r="N19" s="19"/>
    </row>
    <row r="20" customFormat="false" ht="12.75" hidden="false" customHeight="false" outlineLevel="0" collapsed="false">
      <c r="A20" s="18" t="s">
        <v>86</v>
      </c>
      <c r="C20" s="22" t="n">
        <v>0.02184</v>
      </c>
      <c r="E20" s="22" t="n">
        <v>0.02184</v>
      </c>
      <c r="F20" s="19"/>
      <c r="G20" s="19"/>
      <c r="H20" s="19"/>
      <c r="I20" s="23" t="n">
        <f aca="false">ROUND(+I16/(1-I19)+I18,4)-I16</f>
        <v>0.0236999999999998</v>
      </c>
      <c r="J20" s="19"/>
      <c r="K20" s="19"/>
      <c r="L20" s="19"/>
      <c r="M20" s="19"/>
      <c r="N20" s="19"/>
    </row>
    <row r="21" customFormat="false" ht="13.5" hidden="false" customHeight="false" outlineLevel="0" collapsed="false">
      <c r="A21" s="18" t="s">
        <v>87</v>
      </c>
      <c r="C21" s="23" t="n">
        <f aca="false">ROUND(+C16/(1-C20)+(C18+C19),4)-C16</f>
        <v>0.130100000000001</v>
      </c>
      <c r="E21" s="23" t="n">
        <f aca="false">ROUND(+E16/(1-E20)+(E18+E19),4)-E16</f>
        <v>0.130100000000001</v>
      </c>
      <c r="F21" s="19"/>
      <c r="G21" s="19"/>
      <c r="H21" s="19"/>
      <c r="I21" s="25" t="n">
        <f aca="false">I16+I20</f>
        <v>4.9713</v>
      </c>
      <c r="J21" s="19" t="s">
        <v>94</v>
      </c>
      <c r="K21" s="19"/>
      <c r="L21" s="26"/>
      <c r="M21" s="19"/>
      <c r="N21" s="19"/>
    </row>
    <row r="22" customFormat="false" ht="14.25" hidden="false" customHeight="false" outlineLevel="0" collapsed="false">
      <c r="C22" s="25" t="n">
        <f aca="false">SUM(C16,C17,C21)</f>
        <v>4.9476</v>
      </c>
      <c r="D22" s="18" t="s">
        <v>95</v>
      </c>
      <c r="E22" s="23" t="n">
        <v>0.02</v>
      </c>
      <c r="F22" s="19"/>
      <c r="G22" s="19"/>
      <c r="H22" s="19"/>
      <c r="I22" s="27"/>
      <c r="J22" s="19"/>
      <c r="K22" s="19"/>
      <c r="L22" s="26"/>
      <c r="M22" s="19"/>
      <c r="N22" s="19"/>
    </row>
    <row r="23" customFormat="false" ht="14.25" hidden="false" customHeight="false" outlineLevel="0" collapsed="false">
      <c r="E23" s="25" t="n">
        <f aca="false">+E22+E21+E16</f>
        <v>4.9601</v>
      </c>
      <c r="F23" s="18" t="s">
        <v>96</v>
      </c>
      <c r="H23" s="19"/>
      <c r="I23" s="28"/>
      <c r="J23" s="19"/>
      <c r="K23" s="19"/>
      <c r="L23" s="26"/>
      <c r="M23" s="19"/>
      <c r="N23" s="19"/>
    </row>
    <row r="24" customFormat="false" ht="13.5" hidden="false" customHeight="false" outlineLevel="0" collapsed="false">
      <c r="C24" s="29"/>
      <c r="E24" s="29"/>
      <c r="H24" s="19"/>
      <c r="I24" s="28"/>
      <c r="J24" s="19"/>
      <c r="K24" s="19"/>
      <c r="L24" s="26"/>
      <c r="M24" s="19"/>
      <c r="N24" s="19"/>
    </row>
    <row r="25" customFormat="false" ht="12.75" hidden="false" customHeight="false" outlineLevel="0" collapsed="false">
      <c r="A25" s="18" t="s">
        <v>97</v>
      </c>
      <c r="C25" s="29"/>
      <c r="E25" s="29"/>
      <c r="H25" s="19"/>
      <c r="I25" s="28"/>
      <c r="J25" s="19"/>
      <c r="K25" s="19"/>
      <c r="L25" s="26"/>
      <c r="M25" s="19"/>
      <c r="N25" s="19"/>
    </row>
    <row r="26" customFormat="false" ht="12.75" hidden="false" customHeight="false" outlineLevel="0" collapsed="false">
      <c r="B26" s="18" t="s">
        <v>98</v>
      </c>
      <c r="C26" s="29"/>
      <c r="E26" s="29"/>
      <c r="H26" s="19"/>
      <c r="I26" s="28"/>
      <c r="J26" s="19"/>
      <c r="K26" s="19"/>
      <c r="L26" s="26"/>
      <c r="M26" s="19"/>
      <c r="N26" s="19"/>
    </row>
    <row r="27" customFormat="false" ht="12.75" hidden="false" customHeight="false" outlineLevel="0" collapsed="false">
      <c r="C27" s="29" t="s">
        <v>99</v>
      </c>
      <c r="E27" s="29"/>
      <c r="H27" s="19"/>
      <c r="I27" s="28"/>
      <c r="J27" s="19"/>
      <c r="K27" s="19"/>
      <c r="L27" s="26"/>
      <c r="M27" s="19"/>
      <c r="N27" s="19"/>
    </row>
    <row r="28" customFormat="false" ht="12.75" hidden="false" customHeight="false" outlineLevel="0" collapsed="false">
      <c r="C28" s="29"/>
      <c r="E28" s="29"/>
      <c r="H28" s="19"/>
      <c r="I28" s="28"/>
      <c r="J28" s="19"/>
      <c r="K28" s="19"/>
      <c r="L28" s="26"/>
      <c r="M28" s="19"/>
      <c r="N28" s="19"/>
    </row>
    <row r="29" customFormat="false" ht="12.75" hidden="false" customHeight="false" outlineLevel="0" collapsed="false">
      <c r="B29" s="18" t="s">
        <v>100</v>
      </c>
      <c r="C29" s="29"/>
      <c r="E29" s="29"/>
      <c r="H29" s="19"/>
      <c r="I29" s="28"/>
      <c r="J29" s="19"/>
      <c r="K29" s="19"/>
      <c r="L29" s="26"/>
      <c r="M29" s="19"/>
      <c r="N29" s="19"/>
    </row>
    <row r="30" customFormat="false" ht="12.75" hidden="false" customHeight="false" outlineLevel="0" collapsed="false">
      <c r="C30" s="29" t="s">
        <v>101</v>
      </c>
      <c r="E30" s="29"/>
      <c r="H30" s="19"/>
      <c r="I30" s="28"/>
      <c r="J30" s="19"/>
      <c r="K30" s="19"/>
      <c r="L30" s="26"/>
      <c r="M30" s="19"/>
      <c r="N30" s="19"/>
    </row>
    <row r="31" customFormat="false" ht="12.75" hidden="false" customHeight="false" outlineLevel="0" collapsed="false">
      <c r="C31" s="29"/>
      <c r="E31" s="29"/>
      <c r="H31" s="19"/>
      <c r="I31" s="28"/>
      <c r="J31" s="19"/>
      <c r="K31" s="19"/>
      <c r="L31" s="26"/>
      <c r="M31" s="19"/>
      <c r="N31" s="19"/>
    </row>
    <row r="32" customFormat="false" ht="12.75" hidden="false" customHeight="false" outlineLevel="0" collapsed="false">
      <c r="B32" s="18" t="s">
        <v>102</v>
      </c>
      <c r="C32" s="29"/>
      <c r="E32" s="29"/>
      <c r="H32" s="19"/>
      <c r="I32" s="28"/>
      <c r="J32" s="19"/>
      <c r="K32" s="19"/>
      <c r="L32" s="26"/>
      <c r="M32" s="19"/>
      <c r="N32" s="19"/>
    </row>
    <row r="33" customFormat="false" ht="12.75" hidden="false" customHeight="false" outlineLevel="0" collapsed="false">
      <c r="C33" s="29" t="s">
        <v>101</v>
      </c>
      <c r="E33" s="29"/>
      <c r="H33" s="19"/>
      <c r="I33" s="28"/>
      <c r="J33" s="19"/>
      <c r="K33" s="19"/>
      <c r="L33" s="26"/>
      <c r="M33" s="19"/>
      <c r="N33" s="19"/>
    </row>
    <row r="34" customFormat="false" ht="12.75" hidden="false" customHeight="false" outlineLevel="0" collapsed="false">
      <c r="C34" s="29"/>
      <c r="E34" s="29"/>
      <c r="H34" s="19"/>
      <c r="I34" s="28"/>
      <c r="J34" s="19"/>
      <c r="K34" s="19"/>
      <c r="L34" s="26"/>
      <c r="M34" s="19"/>
      <c r="N34" s="19"/>
    </row>
    <row r="35" customFormat="false" ht="12.75" hidden="false" customHeight="false" outlineLevel="0" collapsed="false">
      <c r="C35" s="30"/>
      <c r="E35" s="30"/>
      <c r="H35" s="19"/>
      <c r="I35" s="19"/>
      <c r="J35" s="19"/>
      <c r="K35" s="19"/>
      <c r="L35" s="26"/>
      <c r="M35" s="19"/>
      <c r="N35" s="19"/>
    </row>
    <row r="36" customFormat="false" ht="12.75" hidden="false" customHeight="false" outlineLevel="0" collapsed="false">
      <c r="C36" s="30"/>
      <c r="E36" s="30"/>
      <c r="H36" s="19"/>
      <c r="I36" s="19"/>
      <c r="J36" s="19"/>
      <c r="K36" s="19"/>
      <c r="L36" s="26"/>
      <c r="M36" s="19"/>
      <c r="N36" s="19"/>
    </row>
    <row r="37" customFormat="false" ht="12.75" hidden="false" customHeight="false" outlineLevel="0" collapsed="false">
      <c r="C37" s="30"/>
      <c r="E37" s="30"/>
      <c r="H37" s="19"/>
      <c r="I37" s="19"/>
      <c r="J37" s="19"/>
      <c r="K37" s="19"/>
      <c r="L37" s="26"/>
      <c r="M37" s="19"/>
      <c r="N37" s="19"/>
    </row>
    <row r="38" customFormat="false" ht="12.75" hidden="false" customHeight="false" outlineLevel="0" collapsed="false">
      <c r="A38" s="20" t="s">
        <v>103</v>
      </c>
      <c r="C38" s="18" t="s">
        <v>104</v>
      </c>
      <c r="D38" s="31" t="s">
        <v>105</v>
      </c>
      <c r="E38" s="31"/>
      <c r="F38" s="32"/>
      <c r="G38" s="32"/>
      <c r="H38" s="32"/>
      <c r="I38" s="32"/>
      <c r="J38" s="19"/>
      <c r="K38" s="19"/>
      <c r="L38" s="19"/>
      <c r="M38" s="19"/>
      <c r="N38" s="19"/>
    </row>
    <row r="39" customFormat="false" ht="12.75" hidden="false" customHeight="false" outlineLevel="0" collapsed="false">
      <c r="A39" s="18" t="s">
        <v>82</v>
      </c>
      <c r="B39" s="18" t="s">
        <v>103</v>
      </c>
      <c r="C39" s="21" t="n">
        <v>4.59</v>
      </c>
      <c r="D39" s="33" t="n">
        <v>1142</v>
      </c>
      <c r="E39" s="31" t="s">
        <v>106</v>
      </c>
      <c r="F39" s="32"/>
      <c r="G39" s="32"/>
      <c r="H39" s="32"/>
      <c r="I39" s="27"/>
      <c r="J39" s="19"/>
      <c r="K39" s="19"/>
      <c r="L39" s="19"/>
      <c r="M39" s="19"/>
      <c r="N39" s="19"/>
    </row>
    <row r="40" customFormat="false" ht="12.75" hidden="false" customHeight="false" outlineLevel="0" collapsed="false">
      <c r="A40" s="18" t="s">
        <v>83</v>
      </c>
      <c r="C40" s="21" t="n">
        <v>0.05</v>
      </c>
      <c r="D40" s="31"/>
      <c r="E40" s="27"/>
      <c r="F40" s="32"/>
      <c r="G40" s="32"/>
      <c r="H40" s="32"/>
      <c r="I40" s="27"/>
      <c r="J40" s="19"/>
      <c r="K40" s="19"/>
      <c r="L40" s="19"/>
      <c r="M40" s="19"/>
      <c r="N40" s="19"/>
    </row>
    <row r="41" customFormat="false" ht="12.75" hidden="false" customHeight="false" outlineLevel="0" collapsed="false">
      <c r="A41" s="18" t="s">
        <v>84</v>
      </c>
      <c r="C41" s="21" t="n">
        <v>0.017</v>
      </c>
      <c r="D41" s="31"/>
      <c r="E41" s="27"/>
      <c r="F41" s="32"/>
      <c r="G41" s="32"/>
      <c r="H41" s="32"/>
      <c r="I41" s="27"/>
      <c r="J41" s="19"/>
      <c r="K41" s="19"/>
      <c r="L41" s="19"/>
      <c r="M41" s="19"/>
      <c r="N41" s="19"/>
    </row>
    <row r="42" customFormat="false" ht="12.75" hidden="false" customHeight="false" outlineLevel="0" collapsed="false">
      <c r="A42" s="18" t="s">
        <v>85</v>
      </c>
      <c r="C42" s="21" t="n">
        <v>0.0022</v>
      </c>
      <c r="D42" s="31"/>
      <c r="E42" s="27"/>
      <c r="F42" s="32"/>
      <c r="G42" s="32"/>
      <c r="H42" s="32"/>
      <c r="I42" s="22"/>
      <c r="J42" s="19"/>
      <c r="K42" s="19"/>
      <c r="L42" s="19"/>
      <c r="M42" s="19"/>
      <c r="N42" s="19"/>
    </row>
    <row r="43" customFormat="false" ht="12.75" hidden="false" customHeight="false" outlineLevel="0" collapsed="false">
      <c r="A43" s="18" t="s">
        <v>86</v>
      </c>
      <c r="C43" s="22" t="n">
        <v>0.0282</v>
      </c>
      <c r="D43" s="31" t="n">
        <f aca="false">ROUND(+D39*(1-C43),0)</f>
        <v>1110</v>
      </c>
      <c r="E43" s="22" t="s">
        <v>107</v>
      </c>
      <c r="F43" s="32"/>
      <c r="G43" s="32"/>
      <c r="H43" s="32"/>
      <c r="I43" s="27"/>
      <c r="J43" s="19"/>
      <c r="K43" s="19"/>
      <c r="L43" s="19"/>
      <c r="M43" s="19"/>
      <c r="N43" s="19"/>
    </row>
    <row r="44" customFormat="false" ht="12.75" hidden="false" customHeight="false" outlineLevel="0" collapsed="false">
      <c r="A44" s="18" t="s">
        <v>87</v>
      </c>
      <c r="C44" s="23" t="n">
        <f aca="false">ROUND((+C39+C40)/(1-C43)+(C41+C42),4)-C39-C40</f>
        <v>0.1538</v>
      </c>
      <c r="D44" s="31"/>
      <c r="E44" s="27"/>
      <c r="F44" s="32"/>
      <c r="G44" s="32"/>
      <c r="H44" s="32"/>
      <c r="I44" s="27"/>
      <c r="J44" s="19"/>
      <c r="K44" s="19"/>
      <c r="L44" s="26"/>
      <c r="M44" s="19"/>
      <c r="N44" s="19"/>
    </row>
    <row r="45" customFormat="false" ht="13.5" hidden="false" customHeight="false" outlineLevel="0" collapsed="false">
      <c r="C45" s="25" t="n">
        <f aca="false">SUM(C39,C40,C44)</f>
        <v>4.7938</v>
      </c>
      <c r="D45" s="31"/>
      <c r="E45" s="27"/>
      <c r="F45" s="32"/>
      <c r="G45" s="32"/>
      <c r="H45" s="32"/>
      <c r="I45" s="27"/>
      <c r="J45" s="19"/>
      <c r="K45" s="19"/>
      <c r="L45" s="26"/>
      <c r="M45" s="19"/>
      <c r="N45" s="19"/>
    </row>
    <row r="46" customFormat="false" ht="13.5" hidden="false" customHeight="false" outlineLevel="0" collapsed="false">
      <c r="A46" s="18" t="s">
        <v>108</v>
      </c>
      <c r="D46" s="31"/>
      <c r="E46" s="27"/>
      <c r="F46" s="31"/>
      <c r="G46" s="31"/>
      <c r="H46" s="32"/>
      <c r="I46" s="32"/>
      <c r="J46" s="19"/>
      <c r="K46" s="19"/>
      <c r="L46" s="26"/>
      <c r="M46" s="19"/>
      <c r="N46" s="19"/>
    </row>
    <row r="47" customFormat="false" ht="12.75" hidden="false" customHeight="false" outlineLevel="0" collapsed="false">
      <c r="C47" s="29"/>
      <c r="E47" s="29"/>
      <c r="H47" s="19"/>
      <c r="I47" s="19"/>
      <c r="J47" s="19"/>
      <c r="K47" s="19"/>
      <c r="L47" s="26"/>
      <c r="M47" s="19"/>
      <c r="N47" s="19"/>
    </row>
    <row r="48" customFormat="false" ht="12.75" hidden="false" customHeight="false" outlineLevel="0" collapsed="false">
      <c r="A48" s="18" t="s">
        <v>109</v>
      </c>
      <c r="C48" s="30"/>
      <c r="E48" s="30"/>
      <c r="H48" s="19"/>
      <c r="I48" s="19"/>
      <c r="J48" s="19"/>
      <c r="K48" s="19"/>
      <c r="L48" s="26"/>
      <c r="M48" s="19"/>
      <c r="N48" s="19"/>
    </row>
    <row r="49" customFormat="false" ht="12.75" hidden="false" customHeight="false" outlineLevel="0" collapsed="false">
      <c r="B49" s="18" t="s">
        <v>110</v>
      </c>
      <c r="C49" s="21"/>
      <c r="H49" s="19"/>
      <c r="I49" s="19"/>
      <c r="J49" s="19"/>
      <c r="K49" s="19"/>
      <c r="L49" s="26"/>
      <c r="M49" s="19"/>
      <c r="N49" s="19"/>
    </row>
    <row r="50" customFormat="false" ht="12.75" hidden="false" customHeight="false" outlineLevel="0" collapsed="false">
      <c r="A50" s="19"/>
      <c r="B50" s="19" t="s">
        <v>111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customFormat="false" ht="12.75" hidden="false" customHeight="false" outlineLevel="0" collapsed="false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customFormat="false" ht="12.75" hidden="false" customHeight="false" outlineLevel="0" collapsed="false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customFormat="false" ht="12.75" hidden="false" customHeight="false" outlineLevel="0" collapsed="false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customFormat="false" ht="12.75" hidden="false" customHeight="false" outlineLevel="0" collapsed="false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customFormat="false" ht="12.75" hidden="false" customHeight="false" outlineLevel="0" collapsed="false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customFormat="false" ht="12.75" hidden="false" customHeight="false" outlineLevel="0" collapsed="false">
      <c r="A56" s="20" t="s">
        <v>60</v>
      </c>
      <c r="C56" s="34" t="s">
        <v>90</v>
      </c>
      <c r="E56" s="34" t="s">
        <v>112</v>
      </c>
      <c r="G56" s="19"/>
      <c r="H56" s="19"/>
      <c r="I56" s="19"/>
      <c r="J56" s="19"/>
      <c r="K56" s="19"/>
      <c r="L56" s="19"/>
      <c r="M56" s="19"/>
      <c r="N56" s="19"/>
    </row>
    <row r="57" customFormat="false" ht="12.75" hidden="false" customHeight="false" outlineLevel="0" collapsed="false">
      <c r="A57" s="18" t="s">
        <v>82</v>
      </c>
      <c r="B57" s="18" t="s">
        <v>80</v>
      </c>
      <c r="C57" s="21" t="n">
        <v>4.56</v>
      </c>
      <c r="E57" s="21" t="n">
        <v>4.56</v>
      </c>
      <c r="G57" s="19"/>
      <c r="H57" s="19"/>
      <c r="I57" s="19"/>
      <c r="J57" s="19"/>
      <c r="K57" s="19"/>
      <c r="L57" s="19"/>
      <c r="M57" s="19"/>
      <c r="N57" s="19"/>
    </row>
    <row r="58" customFormat="false" ht="12.75" hidden="false" customHeight="false" outlineLevel="0" collapsed="false">
      <c r="A58" s="18" t="s">
        <v>83</v>
      </c>
      <c r="C58" s="21" t="n">
        <v>0.0275</v>
      </c>
      <c r="E58" s="21" t="n">
        <v>0.0275</v>
      </c>
      <c r="G58" s="19"/>
      <c r="H58" s="19"/>
      <c r="I58" s="19"/>
      <c r="J58" s="19"/>
      <c r="K58" s="19"/>
      <c r="L58" s="19"/>
      <c r="M58" s="19"/>
      <c r="N58" s="19"/>
    </row>
    <row r="59" customFormat="false" ht="12.75" hidden="false" customHeight="false" outlineLevel="0" collapsed="false">
      <c r="A59" s="18" t="s">
        <v>84</v>
      </c>
      <c r="C59" s="21" t="n">
        <v>0.0092</v>
      </c>
      <c r="E59" s="21" t="n">
        <v>0.2127</v>
      </c>
      <c r="G59" s="19"/>
      <c r="H59" s="19"/>
      <c r="I59" s="19"/>
      <c r="J59" s="19"/>
      <c r="K59" s="19"/>
      <c r="L59" s="19"/>
      <c r="M59" s="19"/>
      <c r="N59" s="19"/>
    </row>
    <row r="60" customFormat="false" ht="12.75" hidden="false" customHeight="false" outlineLevel="0" collapsed="false">
      <c r="A60" s="18" t="s">
        <v>85</v>
      </c>
      <c r="C60" s="21" t="n">
        <v>0.0094</v>
      </c>
      <c r="E60" s="21" t="n">
        <v>0.0094</v>
      </c>
      <c r="F60" s="19"/>
      <c r="G60" s="19"/>
      <c r="H60" s="19"/>
      <c r="I60" s="19"/>
      <c r="J60" s="19"/>
      <c r="K60" s="19"/>
      <c r="L60" s="19"/>
      <c r="M60" s="19"/>
      <c r="N60" s="19"/>
    </row>
    <row r="61" customFormat="false" ht="12.75" hidden="false" customHeight="false" outlineLevel="0" collapsed="false">
      <c r="A61" s="18" t="s">
        <v>86</v>
      </c>
      <c r="C61" s="35" t="n">
        <v>0.03</v>
      </c>
      <c r="E61" s="35" t="n">
        <v>0.03</v>
      </c>
      <c r="F61" s="19"/>
      <c r="G61" s="19"/>
      <c r="H61" s="19"/>
      <c r="I61" s="19"/>
      <c r="J61" s="19"/>
      <c r="K61" s="19"/>
      <c r="L61" s="19"/>
      <c r="M61" s="19"/>
      <c r="N61" s="19"/>
    </row>
    <row r="62" customFormat="false" ht="12.75" hidden="false" customHeight="false" outlineLevel="0" collapsed="false">
      <c r="A62" s="18" t="s">
        <v>87</v>
      </c>
      <c r="C62" s="23" t="n">
        <f aca="false">ROUND((+C57+C58)/(1-C61)-(C57+C58)+C59+C60,4)</f>
        <v>0.1605</v>
      </c>
      <c r="E62" s="23" t="n">
        <f aca="false">ROUND((+E57+E58)/(1-E61)-(E57+E58)+E59+E60,4)</f>
        <v>0.364</v>
      </c>
      <c r="F62" s="19"/>
      <c r="G62" s="19"/>
      <c r="H62" s="19"/>
      <c r="I62" s="19"/>
      <c r="J62" s="19"/>
      <c r="K62" s="19"/>
      <c r="L62" s="19"/>
      <c r="M62" s="19"/>
      <c r="N62" s="19"/>
    </row>
    <row r="63" customFormat="false" ht="13.5" hidden="false" customHeight="false" outlineLevel="0" collapsed="false">
      <c r="A63" s="18" t="s">
        <v>113</v>
      </c>
      <c r="C63" s="25" t="n">
        <f aca="false">SUM(C62,C57:C58)</f>
        <v>4.748</v>
      </c>
      <c r="E63" s="25" t="n">
        <f aca="false">SUM(E62,E57:E58)</f>
        <v>4.9515</v>
      </c>
      <c r="F63" s="19"/>
      <c r="G63" s="19"/>
      <c r="H63" s="19"/>
      <c r="I63" s="19"/>
      <c r="J63" s="19"/>
      <c r="K63" s="19"/>
      <c r="L63" s="19"/>
      <c r="M63" s="19"/>
      <c r="N63" s="19"/>
    </row>
    <row r="64" customFormat="false" ht="13.5" hidden="false" customHeight="false" outlineLevel="0" collapsed="false">
      <c r="F64" s="19"/>
      <c r="G64" s="19"/>
      <c r="H64" s="19"/>
      <c r="I64" s="19"/>
      <c r="J64" s="19"/>
      <c r="K64" s="19"/>
      <c r="L64" s="19"/>
      <c r="M64" s="19"/>
      <c r="N64" s="19"/>
    </row>
    <row r="65" customFormat="false" ht="12.75" hidden="false" customHeight="false" outlineLevel="0" collapsed="false">
      <c r="A65" s="18" t="s">
        <v>114</v>
      </c>
      <c r="F65" s="19"/>
      <c r="G65" s="19"/>
      <c r="H65" s="19"/>
      <c r="I65" s="19"/>
      <c r="J65" s="19"/>
      <c r="K65" s="19"/>
      <c r="L65" s="19"/>
      <c r="M65" s="19"/>
      <c r="N65" s="19"/>
    </row>
    <row r="66" customFormat="false" ht="12.75" hidden="false" customHeight="false" outlineLevel="0" collapsed="false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customFormat="false" ht="12.75" hidden="false" customHeight="false" outlineLevel="0" collapsed="false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customFormat="false" ht="12.75" hidden="false" customHeight="false" outlineLevel="0" collapsed="false">
      <c r="A68" s="20" t="s">
        <v>115</v>
      </c>
      <c r="F68" s="19"/>
      <c r="G68" s="19"/>
      <c r="H68" s="19"/>
      <c r="I68" s="19"/>
      <c r="J68" s="19"/>
      <c r="K68" s="19"/>
      <c r="L68" s="19"/>
      <c r="M68" s="19"/>
      <c r="N68" s="19"/>
    </row>
    <row r="69" customFormat="false" ht="12.75" hidden="false" customHeight="false" outlineLevel="0" collapsed="false">
      <c r="A69" s="18" t="s">
        <v>82</v>
      </c>
      <c r="B69" s="18" t="s">
        <v>116</v>
      </c>
      <c r="C69" s="21" t="n">
        <v>4.29</v>
      </c>
      <c r="F69" s="19"/>
      <c r="G69" s="19"/>
      <c r="H69" s="19"/>
      <c r="I69" s="19"/>
      <c r="J69" s="19"/>
      <c r="K69" s="19"/>
      <c r="L69" s="19"/>
      <c r="M69" s="19"/>
      <c r="N69" s="19"/>
    </row>
    <row r="70" customFormat="false" ht="12.75" hidden="false" customHeight="false" outlineLevel="0" collapsed="false">
      <c r="A70" s="18" t="s">
        <v>83</v>
      </c>
      <c r="C70" s="21" t="n">
        <v>0.01</v>
      </c>
      <c r="F70" s="19"/>
      <c r="G70" s="19"/>
      <c r="H70" s="19"/>
      <c r="I70" s="19"/>
      <c r="J70" s="19"/>
      <c r="K70" s="19"/>
      <c r="L70" s="19"/>
      <c r="M70" s="19"/>
      <c r="N70" s="19"/>
    </row>
    <row r="71" customFormat="false" ht="12.75" hidden="false" customHeight="false" outlineLevel="0" collapsed="false">
      <c r="A71" s="18" t="s">
        <v>84</v>
      </c>
      <c r="C71" s="21" t="n">
        <v>0.1126</v>
      </c>
      <c r="F71" s="19"/>
      <c r="G71" s="19"/>
      <c r="H71" s="19"/>
      <c r="I71" s="19"/>
      <c r="J71" s="19"/>
      <c r="K71" s="19"/>
      <c r="L71" s="19"/>
      <c r="M71" s="19"/>
      <c r="N71" s="19"/>
    </row>
    <row r="72" customFormat="false" ht="12.75" hidden="false" customHeight="false" outlineLevel="0" collapsed="false">
      <c r="A72" s="18" t="s">
        <v>85</v>
      </c>
      <c r="C72" s="21" t="n">
        <v>0.0094</v>
      </c>
      <c r="F72" s="19"/>
      <c r="G72" s="19"/>
      <c r="H72" s="19"/>
      <c r="I72" s="19"/>
      <c r="J72" s="19"/>
      <c r="K72" s="19"/>
      <c r="L72" s="19"/>
      <c r="M72" s="19"/>
      <c r="N72" s="19"/>
    </row>
    <row r="73" customFormat="false" ht="12.75" hidden="false" customHeight="false" outlineLevel="0" collapsed="false">
      <c r="A73" s="18" t="s">
        <v>86</v>
      </c>
      <c r="C73" s="35" t="n">
        <v>0.0597</v>
      </c>
      <c r="F73" s="19"/>
      <c r="G73" s="19"/>
      <c r="H73" s="19"/>
      <c r="I73" s="19"/>
      <c r="J73" s="19"/>
      <c r="K73" s="19"/>
      <c r="L73" s="19"/>
      <c r="M73" s="19"/>
      <c r="N73" s="19"/>
    </row>
    <row r="74" customFormat="false" ht="12.75" hidden="false" customHeight="false" outlineLevel="0" collapsed="false">
      <c r="A74" s="18" t="s">
        <v>87</v>
      </c>
      <c r="C74" s="23" t="n">
        <f aca="false">ROUND((+C69+C70)/(1-C73)-(C69+C70)+C71+C72,4)</f>
        <v>0.395</v>
      </c>
      <c r="F74" s="19"/>
      <c r="G74" s="19"/>
      <c r="H74" s="19"/>
      <c r="I74" s="19"/>
      <c r="J74" s="19"/>
      <c r="K74" s="19"/>
      <c r="L74" s="19"/>
      <c r="M74" s="19"/>
      <c r="N74" s="19"/>
    </row>
    <row r="75" customFormat="false" ht="13.5" hidden="false" customHeight="false" outlineLevel="0" collapsed="false">
      <c r="C75" s="25" t="n">
        <f aca="false">SUM(C74,C69:C70)</f>
        <v>4.695</v>
      </c>
      <c r="D75" s="18" t="s">
        <v>117</v>
      </c>
      <c r="F75" s="19"/>
      <c r="G75" s="19"/>
      <c r="H75" s="19"/>
      <c r="I75" s="19"/>
      <c r="J75" s="19"/>
      <c r="K75" s="19"/>
      <c r="L75" s="19"/>
      <c r="M75" s="19"/>
      <c r="N75" s="19"/>
    </row>
    <row r="76" customFormat="false" ht="13.5" hidden="false" customHeight="false" outlineLevel="0" collapsed="false"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customFormat="false" ht="12.75" hidden="false" customHeight="false" outlineLevel="0" collapsed="false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customFormat="false" ht="12.75" hidden="false" customHeight="false" outlineLevel="0" collapsed="false">
      <c r="A78" s="20" t="s">
        <v>44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customFormat="false" ht="12.75" hidden="false" customHeight="false" outlineLevel="0" collapsed="false">
      <c r="A79" s="18" t="s">
        <v>82</v>
      </c>
      <c r="B79" s="18" t="s">
        <v>118</v>
      </c>
      <c r="C79" s="21" t="n">
        <v>4.3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customFormat="false" ht="12.75" hidden="false" customHeight="false" outlineLevel="0" collapsed="false">
      <c r="A80" s="18" t="s">
        <v>83</v>
      </c>
      <c r="C80" s="21" t="n">
        <v>0.01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customFormat="false" ht="12.75" hidden="false" customHeight="false" outlineLevel="0" collapsed="false">
      <c r="A81" s="18" t="s">
        <v>84</v>
      </c>
      <c r="C81" s="21" t="n">
        <v>0.1012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customFormat="false" ht="12.75" hidden="false" customHeight="false" outlineLevel="0" collapsed="false">
      <c r="A82" s="18" t="s">
        <v>85</v>
      </c>
      <c r="C82" s="21" t="n">
        <v>0.0094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customFormat="false" ht="12.75" hidden="false" customHeight="false" outlineLevel="0" collapsed="false">
      <c r="A83" s="18" t="s">
        <v>86</v>
      </c>
      <c r="C83" s="35" t="n">
        <v>0.0705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customFormat="false" ht="12.75" hidden="false" customHeight="false" outlineLevel="0" collapsed="false">
      <c r="A84" s="18" t="s">
        <v>87</v>
      </c>
      <c r="C84" s="23" t="n">
        <f aca="false">ROUND((+C79+C80)/(1-C83)-(C79+C80)+C81+C82,4)</f>
        <v>0.4375</v>
      </c>
      <c r="D84" s="18" t="s">
        <v>119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customFormat="false" ht="13.5" hidden="false" customHeight="false" outlineLevel="0" collapsed="false">
      <c r="C85" s="25" t="n">
        <f aca="false">SUM(C84,C79:C80)</f>
        <v>4.7475</v>
      </c>
      <c r="D85" s="18" t="s">
        <v>120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customFormat="false" ht="13.5" hidden="false" customHeight="false" outlineLevel="0" collapsed="false"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customFormat="false" ht="12.75" hidden="false" customHeight="false" outlineLevel="0" collapsed="false">
      <c r="A87" s="18" t="s">
        <v>121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customFormat="false" ht="12.75" hidden="false" customHeight="false" outlineLevel="0" collapsed="false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customFormat="false" ht="12.75" hidden="false" customHeight="false" outlineLevel="0" collapsed="false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customFormat="false" ht="12.75" hidden="false" customHeight="false" outlineLevel="0" collapsed="false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customFormat="false" ht="12.75" hidden="false" customHeight="false" outlineLevel="0" collapsed="false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customFormat="false" ht="12.75" hidden="false" customHeight="false" outlineLevel="0" collapsed="false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customFormat="false" ht="12.75" hidden="false" customHeight="false" outlineLevel="0" collapsed="false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customFormat="false" ht="12.75" hidden="false" customHeight="false" outlineLevel="0" collapsed="false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customFormat="false" ht="12.75" hidden="false" customHeight="false" outlineLevel="0" collapsed="false">
      <c r="A95" s="36" t="s">
        <v>62</v>
      </c>
      <c r="G95" s="37"/>
      <c r="H95" s="37"/>
    </row>
    <row r="96" customFormat="false" ht="12.75" hidden="false" customHeight="false" outlineLevel="0" collapsed="false">
      <c r="D96" s="38"/>
      <c r="F96" s="33"/>
      <c r="G96" s="37"/>
    </row>
    <row r="97" customFormat="false" ht="12" hidden="false" customHeight="false" outlineLevel="0" collapsed="false">
      <c r="A97" s="18" t="s">
        <v>122</v>
      </c>
      <c r="E97" s="31"/>
      <c r="F97" s="31"/>
      <c r="G97" s="31"/>
      <c r="H97" s="31"/>
      <c r="I97" s="31"/>
      <c r="J97" s="31"/>
      <c r="K97" s="31"/>
      <c r="L97" s="31"/>
    </row>
    <row r="98" customFormat="false" ht="12.75" hidden="false" customHeight="false" outlineLevel="0" collapsed="false">
      <c r="A98" s="18" t="s">
        <v>82</v>
      </c>
      <c r="B98" s="18" t="s">
        <v>123</v>
      </c>
      <c r="C98" s="21" t="n">
        <v>4.36</v>
      </c>
      <c r="E98" s="31"/>
      <c r="F98" s="31"/>
      <c r="G98" s="27"/>
      <c r="H98" s="31"/>
      <c r="I98" s="31"/>
      <c r="J98" s="31"/>
      <c r="K98" s="27"/>
      <c r="L98" s="39"/>
    </row>
    <row r="99" customFormat="false" ht="12.75" hidden="false" customHeight="false" outlineLevel="0" collapsed="false">
      <c r="C99" s="21" t="n">
        <v>0.0075</v>
      </c>
      <c r="E99" s="31"/>
      <c r="F99" s="31"/>
      <c r="G99" s="27"/>
      <c r="H99" s="31"/>
      <c r="I99" s="31"/>
      <c r="J99" s="31"/>
      <c r="K99" s="27"/>
      <c r="L99" s="39"/>
    </row>
    <row r="100" customFormat="false" ht="12.75" hidden="false" customHeight="false" outlineLevel="0" collapsed="false">
      <c r="A100" s="18" t="s">
        <v>84</v>
      </c>
      <c r="B100" s="37"/>
      <c r="C100" s="21" t="n">
        <v>0.0274</v>
      </c>
      <c r="E100" s="31"/>
      <c r="F100" s="39"/>
      <c r="G100" s="27"/>
      <c r="H100" s="31"/>
      <c r="I100" s="31"/>
      <c r="J100" s="39"/>
      <c r="K100" s="27"/>
      <c r="L100" s="39"/>
    </row>
    <row r="101" customFormat="false" ht="12.75" hidden="false" customHeight="false" outlineLevel="0" collapsed="false">
      <c r="A101" s="18" t="s">
        <v>85</v>
      </c>
      <c r="B101" s="37"/>
      <c r="C101" s="21" t="n">
        <v>0.0225</v>
      </c>
      <c r="E101" s="31"/>
      <c r="F101" s="39"/>
      <c r="G101" s="27"/>
      <c r="H101" s="31"/>
      <c r="I101" s="31"/>
      <c r="J101" s="39"/>
      <c r="K101" s="27"/>
      <c r="L101" s="39"/>
    </row>
    <row r="102" customFormat="false" ht="12.75" hidden="false" customHeight="false" outlineLevel="0" collapsed="false">
      <c r="A102" s="18" t="s">
        <v>86</v>
      </c>
      <c r="B102" s="40"/>
      <c r="C102" s="35" t="n">
        <v>0.0472</v>
      </c>
      <c r="E102" s="31"/>
      <c r="F102" s="40"/>
      <c r="G102" s="35"/>
      <c r="H102" s="31"/>
      <c r="I102" s="31"/>
      <c r="J102" s="40"/>
      <c r="K102" s="35"/>
      <c r="L102" s="39"/>
    </row>
    <row r="103" customFormat="false" ht="12.75" hidden="false" customHeight="false" outlineLevel="0" collapsed="false">
      <c r="A103" s="18" t="s">
        <v>87</v>
      </c>
      <c r="C103" s="23" t="n">
        <f aca="false">ROUND((+C98+C99)/(1-C102)+(C100+C101),4)-C98-C99</f>
        <v>0.2663</v>
      </c>
      <c r="E103" s="31"/>
      <c r="F103" s="31"/>
      <c r="G103" s="27"/>
      <c r="H103" s="31"/>
      <c r="I103" s="31"/>
      <c r="J103" s="31"/>
      <c r="K103" s="27"/>
      <c r="L103" s="39"/>
    </row>
    <row r="104" customFormat="false" ht="13.5" hidden="false" customHeight="false" outlineLevel="0" collapsed="false">
      <c r="C104" s="25" t="n">
        <f aca="false">SUM(C103,C98:C99)</f>
        <v>4.6338</v>
      </c>
      <c r="D104" s="18" t="s">
        <v>124</v>
      </c>
      <c r="E104" s="31"/>
      <c r="F104" s="31"/>
      <c r="G104" s="31"/>
      <c r="H104" s="31"/>
      <c r="I104" s="31"/>
      <c r="J104" s="31"/>
      <c r="K104" s="31"/>
      <c r="L104" s="39"/>
      <c r="M104" s="33"/>
      <c r="N104" s="21"/>
    </row>
    <row r="105" customFormat="false" ht="13.5" hidden="false" customHeight="false" outlineLevel="0" collapsed="false">
      <c r="B105" s="37"/>
      <c r="C105" s="21"/>
      <c r="G105" s="33"/>
      <c r="H105" s="41"/>
    </row>
    <row r="106" customFormat="false" ht="12.75" hidden="false" customHeight="false" outlineLevel="0" collapsed="false">
      <c r="K106" s="37"/>
      <c r="L106" s="21"/>
    </row>
    <row r="107" customFormat="false" ht="12.75" hidden="false" customHeight="false" outlineLevel="0" collapsed="false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customFormat="false" ht="12" hidden="false" customHeight="false" outlineLevel="0" collapsed="false">
      <c r="A108" s="18" t="s">
        <v>125</v>
      </c>
      <c r="E108" s="31"/>
      <c r="F108" s="31"/>
      <c r="G108" s="31"/>
      <c r="H108" s="31"/>
      <c r="I108" s="31"/>
      <c r="J108" s="31"/>
      <c r="K108" s="31"/>
      <c r="L108" s="31"/>
    </row>
    <row r="109" customFormat="false" ht="12.75" hidden="false" customHeight="false" outlineLevel="0" collapsed="false">
      <c r="A109" s="18" t="s">
        <v>82</v>
      </c>
      <c r="B109" s="18" t="s">
        <v>123</v>
      </c>
      <c r="C109" s="21" t="n">
        <v>4.36</v>
      </c>
      <c r="E109" s="31"/>
      <c r="F109" s="31"/>
      <c r="G109" s="27"/>
      <c r="H109" s="31"/>
      <c r="I109" s="31"/>
      <c r="J109" s="31"/>
      <c r="K109" s="27"/>
      <c r="L109" s="39"/>
    </row>
    <row r="110" customFormat="false" ht="12.75" hidden="false" customHeight="false" outlineLevel="0" collapsed="false">
      <c r="C110" s="21" t="n">
        <v>0.0075</v>
      </c>
      <c r="E110" s="31"/>
      <c r="F110" s="31"/>
      <c r="G110" s="27"/>
      <c r="H110" s="31"/>
      <c r="I110" s="31"/>
      <c r="J110" s="31"/>
      <c r="K110" s="27"/>
      <c r="L110" s="39"/>
    </row>
    <row r="111" customFormat="false" ht="12.75" hidden="false" customHeight="false" outlineLevel="0" collapsed="false">
      <c r="A111" s="18" t="s">
        <v>84</v>
      </c>
      <c r="B111" s="37"/>
      <c r="C111" s="21" t="n">
        <v>0.014</v>
      </c>
      <c r="E111" s="31"/>
      <c r="F111" s="39"/>
      <c r="G111" s="27"/>
      <c r="H111" s="31"/>
      <c r="I111" s="31"/>
      <c r="J111" s="39"/>
      <c r="K111" s="27"/>
      <c r="L111" s="39"/>
    </row>
    <row r="112" customFormat="false" ht="12.75" hidden="false" customHeight="false" outlineLevel="0" collapsed="false">
      <c r="A112" s="18" t="s">
        <v>85</v>
      </c>
      <c r="B112" s="37"/>
      <c r="C112" s="21" t="n">
        <v>0.0225</v>
      </c>
      <c r="E112" s="31"/>
      <c r="F112" s="39"/>
      <c r="G112" s="27"/>
      <c r="H112" s="31"/>
      <c r="I112" s="31"/>
      <c r="J112" s="39"/>
      <c r="K112" s="27"/>
      <c r="L112" s="39"/>
    </row>
    <row r="113" customFormat="false" ht="12.75" hidden="false" customHeight="false" outlineLevel="0" collapsed="false">
      <c r="A113" s="18" t="s">
        <v>86</v>
      </c>
      <c r="B113" s="40"/>
      <c r="C113" s="35" t="n">
        <v>0.0235</v>
      </c>
      <c r="E113" s="31"/>
      <c r="F113" s="40"/>
      <c r="G113" s="35"/>
      <c r="H113" s="31"/>
      <c r="I113" s="31"/>
      <c r="J113" s="40"/>
      <c r="K113" s="35"/>
      <c r="L113" s="39"/>
    </row>
    <row r="114" customFormat="false" ht="12.75" hidden="false" customHeight="false" outlineLevel="0" collapsed="false">
      <c r="A114" s="18" t="s">
        <v>87</v>
      </c>
      <c r="C114" s="23" t="n">
        <f aca="false">ROUND((+C109+C110)/(1-C113)+(C111+C112),4)-C109-C110</f>
        <v>0.1416</v>
      </c>
      <c r="E114" s="31"/>
      <c r="F114" s="31"/>
      <c r="G114" s="27"/>
      <c r="H114" s="31"/>
      <c r="I114" s="31"/>
      <c r="J114" s="31"/>
      <c r="K114" s="27"/>
      <c r="L114" s="39"/>
    </row>
    <row r="115" customFormat="false" ht="13.5" hidden="false" customHeight="false" outlineLevel="0" collapsed="false">
      <c r="C115" s="25" t="n">
        <f aca="false">SUM(C114,C109:C110)</f>
        <v>4.5091</v>
      </c>
      <c r="D115" s="18" t="s">
        <v>126</v>
      </c>
      <c r="E115" s="31"/>
      <c r="F115" s="31"/>
      <c r="G115" s="31"/>
      <c r="H115" s="31"/>
      <c r="I115" s="31"/>
      <c r="J115" s="31"/>
      <c r="K115" s="31"/>
      <c r="L115" s="39"/>
      <c r="M115" s="33"/>
      <c r="N115" s="21"/>
    </row>
    <row r="116" customFormat="false" ht="13.5" hidden="false" customHeight="false" outlineLevel="0" collapsed="false">
      <c r="B116" s="37"/>
      <c r="C116" s="21"/>
      <c r="G116" s="33"/>
      <c r="H116" s="41"/>
    </row>
    <row r="117" customFormat="false" ht="12.75" hidden="false" customHeight="false" outlineLevel="0" collapsed="false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customFormat="false" ht="12.75" hidden="false" customHeight="false" outlineLevel="0" collapsed="false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customFormat="false" ht="12" hidden="false" customHeight="false" outlineLevel="0" collapsed="false">
      <c r="A119" s="18" t="s">
        <v>127</v>
      </c>
      <c r="I119" s="18" t="s">
        <v>128</v>
      </c>
    </row>
    <row r="120" customFormat="false" ht="12.75" hidden="false" customHeight="false" outlineLevel="0" collapsed="false">
      <c r="A120" s="18" t="s">
        <v>82</v>
      </c>
      <c r="B120" s="18" t="s">
        <v>129</v>
      </c>
      <c r="C120" s="21" t="n">
        <v>4.37</v>
      </c>
      <c r="I120" s="18" t="s">
        <v>82</v>
      </c>
      <c r="J120" s="18" t="s">
        <v>129</v>
      </c>
      <c r="K120" s="21" t="n">
        <v>4.37</v>
      </c>
      <c r="L120" s="37"/>
    </row>
    <row r="121" customFormat="false" ht="12.75" hidden="false" customHeight="false" outlineLevel="0" collapsed="false">
      <c r="A121" s="18" t="s">
        <v>83</v>
      </c>
      <c r="C121" s="21" t="n">
        <v>0.0175</v>
      </c>
      <c r="K121" s="21" t="n">
        <v>0.0175</v>
      </c>
      <c r="L121" s="37"/>
    </row>
    <row r="122" customFormat="false" ht="12.75" hidden="false" customHeight="false" outlineLevel="0" collapsed="false">
      <c r="A122" s="18" t="s">
        <v>84</v>
      </c>
      <c r="B122" s="37"/>
      <c r="C122" s="21" t="n">
        <v>0.0115</v>
      </c>
      <c r="I122" s="18" t="s">
        <v>84</v>
      </c>
      <c r="J122" s="37"/>
      <c r="K122" s="21" t="n">
        <v>0.0023</v>
      </c>
      <c r="L122" s="37"/>
    </row>
    <row r="123" customFormat="false" ht="12.75" hidden="false" customHeight="false" outlineLevel="0" collapsed="false">
      <c r="A123" s="18" t="s">
        <v>85</v>
      </c>
      <c r="B123" s="37"/>
      <c r="C123" s="21" t="n">
        <v>0.0094</v>
      </c>
      <c r="D123" s="18" t="s">
        <v>130</v>
      </c>
      <c r="I123" s="18" t="s">
        <v>85</v>
      </c>
      <c r="J123" s="37"/>
      <c r="K123" s="21" t="n">
        <v>0.0094</v>
      </c>
      <c r="L123" s="18" t="s">
        <v>130</v>
      </c>
    </row>
    <row r="124" customFormat="false" ht="12.75" hidden="false" customHeight="false" outlineLevel="0" collapsed="false">
      <c r="A124" s="18" t="s">
        <v>86</v>
      </c>
      <c r="B124" s="40"/>
      <c r="C124" s="35" t="n">
        <v>0.019</v>
      </c>
      <c r="I124" s="18" t="s">
        <v>86</v>
      </c>
      <c r="J124" s="40"/>
      <c r="K124" s="35" t="n">
        <v>0.019</v>
      </c>
      <c r="L124" s="37"/>
    </row>
    <row r="125" customFormat="false" ht="12.75" hidden="false" customHeight="false" outlineLevel="0" collapsed="false">
      <c r="A125" s="18" t="s">
        <v>87</v>
      </c>
      <c r="C125" s="23" t="n">
        <f aca="false">ROUND((+C120+C121)/(1-C124)+(C122+C123),4)-C120-C121</f>
        <v>0.1059</v>
      </c>
      <c r="I125" s="18" t="s">
        <v>87</v>
      </c>
      <c r="K125" s="23" t="n">
        <f aca="false">ROUND((+K120+K121)/(1-K124)+(K122+K123),4)-K120-K121</f>
        <v>0.0967000000000003</v>
      </c>
      <c r="L125" s="37"/>
    </row>
    <row r="126" customFormat="false" ht="13.5" hidden="false" customHeight="false" outlineLevel="0" collapsed="false">
      <c r="A126" s="18" t="s">
        <v>113</v>
      </c>
      <c r="C126" s="25" t="n">
        <f aca="false">SUM(C125,C120:C121)</f>
        <v>4.4934</v>
      </c>
      <c r="D126" s="18" t="s">
        <v>131</v>
      </c>
      <c r="I126" s="31" t="s">
        <v>113</v>
      </c>
      <c r="J126" s="31"/>
      <c r="K126" s="25" t="n">
        <f aca="false">SUM(K125,K120:K121)</f>
        <v>4.4842</v>
      </c>
      <c r="L126" s="37" t="s">
        <v>132</v>
      </c>
      <c r="M126" s="33"/>
      <c r="N126" s="21"/>
    </row>
    <row r="127" customFormat="false" ht="13.5" hidden="false" customHeight="false" outlineLevel="0" collapsed="false">
      <c r="B127" s="37"/>
      <c r="C127" s="21"/>
      <c r="G127" s="33"/>
      <c r="H127" s="41"/>
    </row>
    <row r="128" customFormat="false" ht="12.75" hidden="false" customHeight="false" outlineLevel="0" collapsed="false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customFormat="false" ht="12" hidden="false" customHeight="false" outlineLevel="0" collapsed="false">
      <c r="A129" s="18" t="s">
        <v>133</v>
      </c>
    </row>
    <row r="130" customFormat="false" ht="12" hidden="false" customHeight="false" outlineLevel="0" collapsed="false">
      <c r="A130" s="18" t="s">
        <v>82</v>
      </c>
      <c r="B130" s="18" t="s">
        <v>129</v>
      </c>
      <c r="C130" s="21" t="n">
        <v>4.37</v>
      </c>
      <c r="D130" s="18" t="s">
        <v>134</v>
      </c>
    </row>
    <row r="131" customFormat="false" ht="12.75" hidden="false" customHeight="false" outlineLevel="0" collapsed="false">
      <c r="A131" s="18" t="s">
        <v>84</v>
      </c>
      <c r="B131" s="37"/>
      <c r="C131" s="21" t="n">
        <v>0.0203</v>
      </c>
    </row>
    <row r="132" customFormat="false" ht="12.75" hidden="false" customHeight="false" outlineLevel="0" collapsed="false">
      <c r="A132" s="18" t="s">
        <v>85</v>
      </c>
      <c r="B132" s="37"/>
      <c r="C132" s="21" t="n">
        <v>0.0225</v>
      </c>
    </row>
    <row r="133" customFormat="false" ht="12" hidden="false" customHeight="false" outlineLevel="0" collapsed="false">
      <c r="A133" s="18" t="s">
        <v>86</v>
      </c>
      <c r="B133" s="40"/>
      <c r="C133" s="35" t="n">
        <v>0.0343</v>
      </c>
    </row>
    <row r="134" customFormat="false" ht="12" hidden="false" customHeight="false" outlineLevel="0" collapsed="false">
      <c r="A134" s="18" t="s">
        <v>87</v>
      </c>
      <c r="C134" s="23" t="n">
        <v>0.1428</v>
      </c>
    </row>
    <row r="135" customFormat="false" ht="12" hidden="false" customHeight="false" outlineLevel="0" collapsed="false">
      <c r="A135" s="18" t="s">
        <v>135</v>
      </c>
      <c r="C135" s="24" t="n">
        <v>0.27</v>
      </c>
    </row>
    <row r="136" customFormat="false" ht="12.75" hidden="false" customHeight="false" outlineLevel="0" collapsed="false">
      <c r="A136" s="18" t="s">
        <v>113</v>
      </c>
      <c r="C136" s="25" t="n">
        <v>3.0428</v>
      </c>
      <c r="D136" s="18" t="s">
        <v>136</v>
      </c>
    </row>
    <row r="137" customFormat="false" ht="12.75" hidden="false" customHeight="false" outlineLevel="0" collapsed="false">
      <c r="D137" s="18" t="s">
        <v>137</v>
      </c>
    </row>
    <row r="138" customFormat="false" ht="12" hidden="false" customHeight="false" outlineLevel="0" collapsed="false">
      <c r="D138" s="18" t="s">
        <v>138</v>
      </c>
    </row>
    <row r="142" customFormat="false" ht="12" hidden="false" customHeight="false" outlineLevel="0" collapsed="false">
      <c r="A142" s="18" t="s">
        <v>139</v>
      </c>
    </row>
    <row r="143" customFormat="false" ht="12" hidden="false" customHeight="false" outlineLevel="0" collapsed="false">
      <c r="A143" s="18" t="s">
        <v>82</v>
      </c>
      <c r="B143" s="18" t="s">
        <v>123</v>
      </c>
      <c r="C143" s="21" t="n">
        <v>4.36</v>
      </c>
    </row>
    <row r="144" customFormat="false" ht="12" hidden="false" customHeight="false" outlineLevel="0" collapsed="false">
      <c r="C144" s="21" t="n">
        <v>0.0075</v>
      </c>
    </row>
    <row r="145" customFormat="false" ht="12.75" hidden="false" customHeight="false" outlineLevel="0" collapsed="false">
      <c r="A145" s="18" t="s">
        <v>84</v>
      </c>
      <c r="B145" s="37"/>
      <c r="C145" s="21" t="n">
        <v>0.0228</v>
      </c>
    </row>
    <row r="146" customFormat="false" ht="12.75" hidden="false" customHeight="false" outlineLevel="0" collapsed="false">
      <c r="A146" s="18" t="s">
        <v>85</v>
      </c>
      <c r="B146" s="37"/>
      <c r="C146" s="21" t="n">
        <v>0.0225</v>
      </c>
    </row>
    <row r="147" customFormat="false" ht="12" hidden="false" customHeight="false" outlineLevel="0" collapsed="false">
      <c r="A147" s="18" t="s">
        <v>86</v>
      </c>
      <c r="B147" s="40"/>
      <c r="C147" s="35" t="n">
        <v>0.0388</v>
      </c>
    </row>
    <row r="148" customFormat="false" ht="12" hidden="false" customHeight="false" outlineLevel="0" collapsed="false">
      <c r="A148" s="18" t="s">
        <v>87</v>
      </c>
      <c r="C148" s="23" t="n">
        <f aca="false">ROUND((+C143+C144)/(1-C147)+(C145+C146),4)-C143-C144</f>
        <v>0.2216</v>
      </c>
    </row>
    <row r="149" customFormat="false" ht="12.75" hidden="false" customHeight="false" outlineLevel="0" collapsed="false">
      <c r="A149" s="18" t="s">
        <v>113</v>
      </c>
      <c r="C149" s="25" t="n">
        <f aca="false">SUM(C148,C143:C144)</f>
        <v>4.5891</v>
      </c>
      <c r="D149" s="18" t="s">
        <v>140</v>
      </c>
    </row>
    <row r="150" customFormat="false" ht="12.75" hidden="false" customHeight="false" outlineLevel="0" collapsed="false"/>
    <row r="156" customFormat="false" ht="12" hidden="false" customHeight="false" outlineLevel="0" collapsed="false">
      <c r="A156" s="20" t="s">
        <v>141</v>
      </c>
    </row>
    <row r="157" customFormat="false" ht="12" hidden="false" customHeight="false" outlineLevel="0" collapsed="false">
      <c r="A157" s="18" t="s">
        <v>82</v>
      </c>
      <c r="B157" s="18" t="s">
        <v>142</v>
      </c>
      <c r="C157" s="21" t="n">
        <v>4.33</v>
      </c>
    </row>
    <row r="158" customFormat="false" ht="12" hidden="false" customHeight="false" outlineLevel="0" collapsed="false">
      <c r="A158" s="18" t="s">
        <v>83</v>
      </c>
      <c r="C158" s="21" t="n">
        <v>-0.01</v>
      </c>
    </row>
    <row r="159" customFormat="false" ht="12" hidden="false" customHeight="false" outlineLevel="0" collapsed="false">
      <c r="A159" s="18" t="s">
        <v>84</v>
      </c>
      <c r="C159" s="21" t="n">
        <v>0.0323</v>
      </c>
    </row>
    <row r="160" customFormat="false" ht="12" hidden="false" customHeight="false" outlineLevel="0" collapsed="false">
      <c r="A160" s="18" t="s">
        <v>85</v>
      </c>
      <c r="C160" s="21" t="n">
        <v>0.0094</v>
      </c>
    </row>
    <row r="161" customFormat="false" ht="12" hidden="false" customHeight="false" outlineLevel="0" collapsed="false">
      <c r="A161" s="18" t="s">
        <v>86</v>
      </c>
      <c r="C161" s="35" t="n">
        <v>0.0268</v>
      </c>
    </row>
    <row r="162" customFormat="false" ht="12" hidden="false" customHeight="false" outlineLevel="0" collapsed="false">
      <c r="A162" s="18" t="s">
        <v>87</v>
      </c>
      <c r="C162" s="23" t="n">
        <f aca="false">ROUND((+C157+C158)/(1-C161)+(C159+C160),4)-C157-C158</f>
        <v>0.1607</v>
      </c>
    </row>
    <row r="163" customFormat="false" ht="12.75" hidden="false" customHeight="false" outlineLevel="0" collapsed="false">
      <c r="A163" s="18" t="s">
        <v>113</v>
      </c>
      <c r="C163" s="25" t="n">
        <f aca="false">SUM(C162,C157:C158)</f>
        <v>4.4807</v>
      </c>
      <c r="D163" s="18" t="s">
        <v>143</v>
      </c>
    </row>
    <row r="164" customFormat="false" ht="12.75" hidden="false" customHeight="false" outlineLevel="0" collapsed="false"/>
    <row r="166" customFormat="false" ht="12" hidden="false" customHeight="false" outlineLevel="0" collapsed="false">
      <c r="A166" s="20" t="s">
        <v>63</v>
      </c>
    </row>
    <row r="167" customFormat="false" ht="12" hidden="false" customHeight="false" outlineLevel="0" collapsed="false">
      <c r="A167" s="18" t="s">
        <v>82</v>
      </c>
      <c r="B167" s="18" t="s">
        <v>144</v>
      </c>
      <c r="C167" s="21" t="n">
        <v>4.35</v>
      </c>
    </row>
    <row r="168" customFormat="false" ht="12" hidden="false" customHeight="false" outlineLevel="0" collapsed="false">
      <c r="A168" s="18" t="s">
        <v>83</v>
      </c>
      <c r="C168" s="21" t="n">
        <v>0.0075</v>
      </c>
    </row>
    <row r="169" customFormat="false" ht="12" hidden="false" customHeight="false" outlineLevel="0" collapsed="false">
      <c r="A169" s="18" t="s">
        <v>84</v>
      </c>
      <c r="C169" s="21" t="n">
        <v>0.021</v>
      </c>
    </row>
    <row r="170" customFormat="false" ht="12" hidden="false" customHeight="false" outlineLevel="0" collapsed="false">
      <c r="A170" s="18" t="s">
        <v>85</v>
      </c>
      <c r="C170" s="21" t="n">
        <f aca="false">0.0022+0.0072</f>
        <v>0.0094</v>
      </c>
    </row>
    <row r="171" customFormat="false" ht="12" hidden="false" customHeight="false" outlineLevel="0" collapsed="false">
      <c r="A171" s="18" t="s">
        <v>86</v>
      </c>
      <c r="C171" s="35" t="n">
        <v>0.026</v>
      </c>
    </row>
    <row r="172" customFormat="false" ht="12" hidden="false" customHeight="false" outlineLevel="0" collapsed="false">
      <c r="A172" s="18" t="s">
        <v>87</v>
      </c>
      <c r="C172" s="23" t="n">
        <f aca="false">ROUND((+C167+C168)/(1-C171)-(C167+C168)+C169+C170,4)</f>
        <v>0.1467</v>
      </c>
    </row>
    <row r="173" customFormat="false" ht="12.75" hidden="false" customHeight="false" outlineLevel="0" collapsed="false">
      <c r="A173" s="18" t="s">
        <v>113</v>
      </c>
      <c r="C173" s="25" t="n">
        <f aca="false">SUM(C172,C167:C168)</f>
        <v>4.5042</v>
      </c>
      <c r="D173" s="18" t="s">
        <v>145</v>
      </c>
    </row>
    <row r="174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7" width="9.99"/>
    <col collapsed="false" customWidth="false" hidden="false" outlineLevel="0" max="3" min="3" style="37" width="9.14"/>
    <col collapsed="false" customWidth="true" hidden="false" outlineLevel="0" max="4" min="4" style="37" width="10.56"/>
    <col collapsed="false" customWidth="true" hidden="false" outlineLevel="0" max="5" min="5" style="37" width="9.28"/>
    <col collapsed="false" customWidth="true" hidden="false" outlineLevel="0" max="6" min="6" style="37" width="9.56"/>
    <col collapsed="false" customWidth="true" hidden="false" outlineLevel="0" max="7" min="7" style="42" width="12.42"/>
    <col collapsed="false" customWidth="true" hidden="false" outlineLevel="0" max="8" min="8" style="42" width="13.99"/>
    <col collapsed="false" customWidth="true" hidden="false" outlineLevel="0" max="9" min="9" style="37" width="10.71"/>
    <col collapsed="false" customWidth="true" hidden="false" outlineLevel="0" max="10" min="10" style="37" width="7.7"/>
    <col collapsed="false" customWidth="true" hidden="true" outlineLevel="0" max="14" min="11" style="37" width="9.06"/>
    <col collapsed="false" customWidth="true" hidden="true" outlineLevel="0" max="15" min="15" style="43" width="9.06"/>
    <col collapsed="false" customWidth="true" hidden="true" outlineLevel="0" max="16" min="16" style="37" width="9.06"/>
    <col collapsed="false" customWidth="true" hidden="false" outlineLevel="0" max="17" min="17" style="37" width="11.7"/>
    <col collapsed="false" customWidth="true" hidden="false" outlineLevel="0" max="18" min="18" style="37" width="9.41"/>
    <col collapsed="false" customWidth="true" hidden="false" outlineLevel="0" max="19" min="19" style="37" width="12.28"/>
    <col collapsed="false" customWidth="true" hidden="false" outlineLevel="0" max="20" min="20" style="37" width="10.71"/>
    <col collapsed="false" customWidth="true" hidden="false" outlineLevel="0" max="21" min="21" style="37" width="11.85"/>
    <col collapsed="false" customWidth="true" hidden="false" outlineLevel="0" max="22" min="22" style="44" width="14.85"/>
    <col collapsed="false" customWidth="true" hidden="false" outlineLevel="0" max="23" min="23" style="42" width="42.28"/>
    <col collapsed="false" customWidth="false" hidden="false" outlineLevel="0" max="25" min="24" style="44" width="9.14"/>
    <col collapsed="false" customWidth="true" hidden="false" outlineLevel="0" max="26" min="26" style="37" width="12.42"/>
    <col collapsed="false" customWidth="false" hidden="false" outlineLevel="0" max="257" min="27" style="37" width="9.14"/>
  </cols>
  <sheetData>
    <row r="1" customFormat="false" ht="12.75" hidden="false" customHeight="false" outlineLevel="0" collapsed="false">
      <c r="B1" s="45" t="s">
        <v>146</v>
      </c>
      <c r="C1" s="46"/>
      <c r="D1" s="46"/>
      <c r="E1" s="47"/>
      <c r="F1" s="47"/>
      <c r="G1" s="48"/>
      <c r="H1" s="48"/>
      <c r="I1" s="46" t="s">
        <v>147</v>
      </c>
      <c r="J1" s="49" t="n">
        <v>30</v>
      </c>
      <c r="K1" s="50" t="s">
        <v>148</v>
      </c>
      <c r="L1" s="51"/>
      <c r="M1" s="51"/>
      <c r="N1" s="51"/>
      <c r="O1" s="52"/>
      <c r="P1" s="51"/>
      <c r="Q1" s="53"/>
      <c r="R1" s="54"/>
      <c r="S1" s="55"/>
      <c r="T1" s="55"/>
      <c r="U1" s="55"/>
      <c r="V1" s="56"/>
      <c r="W1" s="57"/>
      <c r="X1" s="58"/>
      <c r="Y1" s="58"/>
    </row>
    <row r="2" customFormat="false" ht="12.75" hidden="false" customHeight="false" outlineLevel="0" collapsed="false">
      <c r="B2" s="48" t="s">
        <v>149</v>
      </c>
      <c r="C2" s="48"/>
      <c r="D2" s="48"/>
      <c r="E2" s="47"/>
      <c r="F2" s="47"/>
      <c r="G2" s="48"/>
      <c r="H2" s="48"/>
      <c r="I2" s="46"/>
      <c r="J2" s="49"/>
      <c r="K2" s="50" t="s">
        <v>150</v>
      </c>
      <c r="L2" s="51"/>
      <c r="M2" s="51"/>
      <c r="N2" s="51"/>
      <c r="O2" s="52"/>
      <c r="P2" s="51"/>
      <c r="Q2" s="53"/>
      <c r="R2" s="54"/>
      <c r="S2" s="55"/>
      <c r="T2" s="55"/>
      <c r="U2" s="55"/>
      <c r="V2" s="56"/>
      <c r="W2" s="57"/>
      <c r="X2" s="58"/>
      <c r="Y2" s="58"/>
    </row>
    <row r="3" customFormat="false" ht="12.75" hidden="false" customHeight="false" outlineLevel="0" collapsed="false">
      <c r="B3" s="48" t="s">
        <v>151</v>
      </c>
      <c r="C3" s="48"/>
      <c r="D3" s="48"/>
      <c r="E3" s="47"/>
      <c r="F3" s="47"/>
      <c r="G3" s="59" t="s">
        <v>143</v>
      </c>
      <c r="H3" s="48" t="s">
        <v>143</v>
      </c>
      <c r="I3" s="54" t="s">
        <v>143</v>
      </c>
      <c r="J3" s="60"/>
      <c r="K3" s="61" t="s">
        <v>143</v>
      </c>
      <c r="L3" s="51"/>
      <c r="M3" s="61" t="s">
        <v>143</v>
      </c>
      <c r="N3" s="51"/>
      <c r="O3" s="52"/>
      <c r="P3" s="61" t="s">
        <v>143</v>
      </c>
      <c r="Q3" s="53"/>
      <c r="R3" s="54"/>
      <c r="S3" s="55"/>
      <c r="T3" s="55"/>
      <c r="U3" s="55"/>
      <c r="V3" s="56"/>
      <c r="W3" s="57"/>
      <c r="X3" s="58"/>
      <c r="Y3" s="58"/>
    </row>
    <row r="4" customFormat="false" ht="12.75" hidden="false" customHeight="false" outlineLevel="0" collapsed="false">
      <c r="B4" s="48"/>
      <c r="C4" s="46"/>
      <c r="D4" s="46"/>
      <c r="E4" s="47"/>
      <c r="F4" s="47"/>
      <c r="G4" s="62"/>
      <c r="H4" s="48"/>
      <c r="I4" s="62"/>
      <c r="J4" s="60"/>
      <c r="K4" s="62"/>
      <c r="L4" s="51"/>
      <c r="M4" s="62"/>
      <c r="N4" s="54"/>
      <c r="O4" s="52"/>
      <c r="P4" s="54"/>
      <c r="Q4" s="53"/>
      <c r="R4" s="54"/>
      <c r="S4" s="55"/>
      <c r="T4" s="63"/>
      <c r="U4" s="63"/>
      <c r="V4" s="64"/>
      <c r="W4" s="57"/>
      <c r="X4" s="58"/>
      <c r="Y4" s="58"/>
    </row>
    <row r="5" customFormat="false" ht="12.75" hidden="false" customHeight="false" outlineLevel="0" collapsed="false">
      <c r="B5" s="48" t="s">
        <v>152</v>
      </c>
      <c r="C5" s="46"/>
      <c r="D5" s="48"/>
      <c r="E5" s="47"/>
      <c r="F5" s="47"/>
      <c r="G5" s="62"/>
      <c r="H5" s="48"/>
      <c r="I5" s="62"/>
      <c r="J5" s="60"/>
      <c r="K5" s="62"/>
      <c r="L5" s="51"/>
      <c r="M5" s="62"/>
      <c r="N5" s="54"/>
      <c r="O5" s="52"/>
      <c r="P5" s="54"/>
      <c r="Q5" s="53"/>
      <c r="R5" s="54"/>
      <c r="S5" s="55"/>
      <c r="T5" s="63"/>
      <c r="U5" s="63"/>
      <c r="V5" s="64"/>
      <c r="W5" s="57"/>
      <c r="X5" s="58"/>
      <c r="Y5" s="58"/>
    </row>
    <row r="6" customFormat="false" ht="12.75" hidden="false" customHeight="false" outlineLevel="0" collapsed="false">
      <c r="B6" s="48"/>
      <c r="C6" s="46" t="s">
        <v>153</v>
      </c>
      <c r="D6" s="46"/>
      <c r="E6" s="47"/>
      <c r="F6" s="47"/>
      <c r="G6" s="62"/>
      <c r="H6" s="48"/>
      <c r="I6" s="62"/>
      <c r="J6" s="60"/>
      <c r="K6" s="62"/>
      <c r="L6" s="51"/>
      <c r="M6" s="62"/>
      <c r="N6" s="54"/>
      <c r="O6" s="52"/>
      <c r="P6" s="54"/>
      <c r="Q6" s="53"/>
      <c r="R6" s="54"/>
      <c r="S6" s="55"/>
      <c r="T6" s="63"/>
      <c r="U6" s="63"/>
      <c r="V6" s="64"/>
      <c r="W6" s="57"/>
      <c r="X6" s="58"/>
      <c r="Y6" s="58"/>
    </row>
    <row r="7" customFormat="false" ht="12.75" hidden="false" customHeight="false" outlineLevel="0" collapsed="false">
      <c r="B7" s="48"/>
      <c r="C7" s="46"/>
      <c r="D7" s="46"/>
      <c r="E7" s="47"/>
      <c r="F7" s="47"/>
      <c r="G7" s="62"/>
      <c r="H7" s="48"/>
      <c r="I7" s="62"/>
      <c r="J7" s="60"/>
      <c r="K7" s="62"/>
      <c r="L7" s="51"/>
      <c r="M7" s="62"/>
      <c r="N7" s="54"/>
      <c r="O7" s="52"/>
      <c r="P7" s="54"/>
      <c r="Q7" s="53"/>
      <c r="R7" s="54"/>
      <c r="S7" s="55"/>
      <c r="T7" s="63"/>
      <c r="U7" s="63"/>
      <c r="V7" s="64"/>
      <c r="W7" s="57"/>
      <c r="X7" s="58"/>
      <c r="Y7" s="58"/>
    </row>
    <row r="8" customFormat="false" ht="12.75" hidden="false" customHeight="false" outlineLevel="0" collapsed="false">
      <c r="B8" s="48"/>
      <c r="C8" s="46"/>
      <c r="D8" s="46"/>
      <c r="E8" s="47"/>
      <c r="F8" s="47"/>
      <c r="G8" s="62"/>
      <c r="H8" s="48"/>
      <c r="I8" s="62"/>
      <c r="J8" s="60"/>
      <c r="K8" s="62"/>
      <c r="L8" s="51"/>
      <c r="M8" s="62"/>
      <c r="N8" s="54"/>
      <c r="O8" s="52"/>
      <c r="P8" s="54"/>
      <c r="Q8" s="53"/>
      <c r="R8" s="54"/>
      <c r="S8" s="55"/>
      <c r="T8" s="63"/>
      <c r="U8" s="63"/>
      <c r="V8" s="64"/>
      <c r="W8" s="57"/>
      <c r="X8" s="58"/>
      <c r="Y8" s="58"/>
    </row>
    <row r="9" customFormat="false" ht="12.75" hidden="false" customHeight="false" outlineLevel="0" collapsed="false">
      <c r="B9" s="48"/>
      <c r="C9" s="46"/>
      <c r="D9" s="46"/>
      <c r="E9" s="47"/>
      <c r="F9" s="47"/>
      <c r="G9" s="62"/>
      <c r="H9" s="48"/>
      <c r="I9" s="62"/>
      <c r="J9" s="60"/>
      <c r="K9" s="62"/>
      <c r="L9" s="51"/>
      <c r="M9" s="62"/>
      <c r="N9" s="54"/>
      <c r="O9" s="52"/>
      <c r="P9" s="54"/>
      <c r="Q9" s="53"/>
      <c r="R9" s="54"/>
      <c r="S9" s="55"/>
      <c r="T9" s="63"/>
      <c r="U9" s="63"/>
      <c r="V9" s="64"/>
      <c r="W9" s="57"/>
      <c r="X9" s="58"/>
      <c r="Y9" s="58"/>
    </row>
    <row r="10" customFormat="false" ht="12.75" hidden="false" customHeight="false" outlineLevel="0" collapsed="false">
      <c r="B10" s="48"/>
      <c r="C10" s="46"/>
      <c r="D10" s="46"/>
      <c r="E10" s="47"/>
      <c r="F10" s="47"/>
      <c r="G10" s="62"/>
      <c r="H10" s="48"/>
      <c r="I10" s="62"/>
      <c r="J10" s="60"/>
      <c r="K10" s="62"/>
      <c r="L10" s="51"/>
      <c r="M10" s="62"/>
      <c r="N10" s="54"/>
      <c r="O10" s="52"/>
      <c r="P10" s="54"/>
      <c r="Q10" s="53"/>
      <c r="R10" s="54"/>
      <c r="S10" s="55"/>
      <c r="T10" s="63"/>
      <c r="U10" s="63"/>
      <c r="V10" s="64"/>
      <c r="W10" s="57"/>
      <c r="X10" s="58"/>
      <c r="Y10" s="58"/>
    </row>
    <row r="11" customFormat="false" ht="12.75" hidden="false" customHeight="false" outlineLevel="0" collapsed="false">
      <c r="B11" s="65" t="s">
        <v>154</v>
      </c>
      <c r="C11" s="66" t="s">
        <v>155</v>
      </c>
      <c r="D11" s="66" t="s">
        <v>156</v>
      </c>
      <c r="E11" s="67" t="s">
        <v>157</v>
      </c>
      <c r="F11" s="67"/>
      <c r="G11" s="65" t="s">
        <v>158</v>
      </c>
      <c r="H11" s="65" t="s">
        <v>159</v>
      </c>
      <c r="I11" s="66" t="s">
        <v>160</v>
      </c>
      <c r="J11" s="68" t="s">
        <v>161</v>
      </c>
      <c r="K11" s="66" t="s">
        <v>162</v>
      </c>
      <c r="L11" s="66" t="s">
        <v>163</v>
      </c>
      <c r="M11" s="66" t="s">
        <v>164</v>
      </c>
      <c r="N11" s="66" t="s">
        <v>165</v>
      </c>
      <c r="O11" s="69" t="s">
        <v>166</v>
      </c>
      <c r="P11" s="66" t="s">
        <v>167</v>
      </c>
      <c r="Q11" s="70" t="s">
        <v>168</v>
      </c>
      <c r="R11" s="66" t="s">
        <v>169</v>
      </c>
      <c r="S11" s="65" t="s">
        <v>170</v>
      </c>
      <c r="T11" s="71" t="s">
        <v>171</v>
      </c>
      <c r="U11" s="71" t="s">
        <v>172</v>
      </c>
      <c r="V11" s="72" t="s">
        <v>173</v>
      </c>
      <c r="W11" s="73" t="e">
        <f aca="false">+#REF!</f>
        <v>#REF!</v>
      </c>
      <c r="X11" s="74"/>
      <c r="Y11" s="74"/>
    </row>
    <row r="12" customFormat="false" ht="12.75" hidden="false" customHeight="false" outlineLevel="0" collapsed="false">
      <c r="A12" s="75"/>
      <c r="B12" s="48" t="s">
        <v>174</v>
      </c>
      <c r="C12" s="46" t="s">
        <v>175</v>
      </c>
      <c r="D12" s="46" t="s">
        <v>176</v>
      </c>
      <c r="E12" s="76" t="n">
        <v>36495</v>
      </c>
      <c r="F12" s="76" t="n">
        <v>36860</v>
      </c>
      <c r="G12" s="48" t="s">
        <v>177</v>
      </c>
      <c r="H12" s="48" t="s">
        <v>178</v>
      </c>
      <c r="I12" s="46" t="s">
        <v>179</v>
      </c>
      <c r="J12" s="60" t="n">
        <f aca="false">3.145/J$1</f>
        <v>0.104833333333333</v>
      </c>
      <c r="K12" s="51" t="n">
        <v>0.0132</v>
      </c>
      <c r="L12" s="51" t="n">
        <v>0.0022</v>
      </c>
      <c r="M12" s="51" t="n">
        <v>0</v>
      </c>
      <c r="N12" s="51" t="n">
        <v>0</v>
      </c>
      <c r="O12" s="52" t="n">
        <v>0.02116</v>
      </c>
      <c r="P12" s="51" t="n">
        <f aca="false">SUM(J12:N12)</f>
        <v>0.120233333333333</v>
      </c>
      <c r="Q12" s="77" t="n">
        <v>65557</v>
      </c>
      <c r="R12" s="78" t="n">
        <v>3</v>
      </c>
      <c r="S12" s="48"/>
      <c r="T12" s="79" t="n">
        <f aca="false">J12*J$1*R12</f>
        <v>9.435</v>
      </c>
      <c r="U12" s="79"/>
      <c r="V12" s="80" t="n">
        <v>156669</v>
      </c>
      <c r="W12" s="48"/>
      <c r="X12" s="74"/>
      <c r="Y12" s="74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</row>
    <row r="13" customFormat="false" ht="12.75" hidden="false" customHeight="false" outlineLevel="0" collapsed="false">
      <c r="A13" s="75"/>
      <c r="B13" s="48" t="s">
        <v>174</v>
      </c>
      <c r="C13" s="46" t="s">
        <v>175</v>
      </c>
      <c r="D13" s="46" t="s">
        <v>176</v>
      </c>
      <c r="E13" s="76" t="n">
        <v>36557</v>
      </c>
      <c r="F13" s="76" t="n">
        <v>36922</v>
      </c>
      <c r="G13" s="48" t="s">
        <v>177</v>
      </c>
      <c r="H13" s="48" t="s">
        <v>178</v>
      </c>
      <c r="I13" s="46" t="s">
        <v>179</v>
      </c>
      <c r="J13" s="60" t="n">
        <f aca="false">3.145/J$1</f>
        <v>0.104833333333333</v>
      </c>
      <c r="K13" s="51"/>
      <c r="L13" s="51"/>
      <c r="M13" s="51"/>
      <c r="N13" s="51"/>
      <c r="O13" s="52"/>
      <c r="P13" s="51"/>
      <c r="Q13" s="77" t="n">
        <v>66283</v>
      </c>
      <c r="R13" s="78" t="n">
        <v>5</v>
      </c>
      <c r="S13" s="48"/>
      <c r="T13" s="81" t="n">
        <f aca="false">+J13*R13*31</f>
        <v>16.2491666666667</v>
      </c>
      <c r="U13" s="79"/>
      <c r="V13" s="80" t="n">
        <v>156674</v>
      </c>
      <c r="W13" s="48"/>
      <c r="X13" s="74"/>
      <c r="Y13" s="74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</row>
    <row r="14" customFormat="false" ht="12.75" hidden="false" customHeight="false" outlineLevel="0" collapsed="false">
      <c r="A14" s="75"/>
      <c r="B14" s="48" t="s">
        <v>174</v>
      </c>
      <c r="C14" s="46" t="s">
        <v>175</v>
      </c>
      <c r="D14" s="46" t="s">
        <v>176</v>
      </c>
      <c r="E14" s="76" t="n">
        <v>36617</v>
      </c>
      <c r="F14" s="76" t="n">
        <v>36981</v>
      </c>
      <c r="G14" s="48" t="s">
        <v>177</v>
      </c>
      <c r="H14" s="48" t="s">
        <v>178</v>
      </c>
      <c r="I14" s="46" t="s">
        <v>179</v>
      </c>
      <c r="J14" s="60" t="n">
        <f aca="false">3.145/J$1</f>
        <v>0.104833333333333</v>
      </c>
      <c r="K14" s="51"/>
      <c r="L14" s="51"/>
      <c r="M14" s="51"/>
      <c r="N14" s="51"/>
      <c r="O14" s="52"/>
      <c r="P14" s="51"/>
      <c r="Q14" s="77" t="n">
        <v>66941</v>
      </c>
      <c r="R14" s="78" t="n">
        <v>53</v>
      </c>
      <c r="S14" s="48"/>
      <c r="T14" s="81" t="n">
        <f aca="false">+J14*R14*31</f>
        <v>172.241166666667</v>
      </c>
      <c r="U14" s="79"/>
      <c r="V14" s="80" t="n">
        <v>228122</v>
      </c>
      <c r="W14" s="48"/>
      <c r="X14" s="74"/>
      <c r="Y14" s="74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</row>
    <row r="15" customFormat="false" ht="12.75" hidden="false" customHeight="false" outlineLevel="0" collapsed="false">
      <c r="A15" s="75"/>
      <c r="B15" s="48" t="s">
        <v>174</v>
      </c>
      <c r="C15" s="46" t="s">
        <v>175</v>
      </c>
      <c r="D15" s="46" t="s">
        <v>180</v>
      </c>
      <c r="E15" s="76" t="n">
        <v>36647</v>
      </c>
      <c r="F15" s="76" t="n">
        <v>37011</v>
      </c>
      <c r="G15" s="48" t="s">
        <v>177</v>
      </c>
      <c r="H15" s="48" t="s">
        <v>178</v>
      </c>
      <c r="I15" s="46" t="s">
        <v>179</v>
      </c>
      <c r="J15" s="60" t="n">
        <f aca="false">3.145/J$1</f>
        <v>0.104833333333333</v>
      </c>
      <c r="K15" s="51"/>
      <c r="L15" s="51"/>
      <c r="M15" s="51"/>
      <c r="N15" s="51"/>
      <c r="O15" s="52"/>
      <c r="P15" s="51"/>
      <c r="Q15" s="77" t="n">
        <v>68281</v>
      </c>
      <c r="R15" s="78" t="n">
        <v>21</v>
      </c>
      <c r="S15" s="48" t="s">
        <v>181</v>
      </c>
      <c r="T15" s="79" t="n">
        <f aca="false">+R15*J15*$J$1</f>
        <v>66.045</v>
      </c>
      <c r="U15" s="79"/>
      <c r="V15" s="80" t="n">
        <v>256413</v>
      </c>
      <c r="W15" s="48"/>
      <c r="X15" s="74"/>
      <c r="Y15" s="74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  <c r="IW15" s="75"/>
    </row>
    <row r="16" customFormat="false" ht="12.75" hidden="false" customHeight="false" outlineLevel="0" collapsed="false">
      <c r="A16" s="75"/>
      <c r="B16" s="48" t="s">
        <v>174</v>
      </c>
      <c r="C16" s="46" t="s">
        <v>175</v>
      </c>
      <c r="D16" s="46" t="s">
        <v>176</v>
      </c>
      <c r="E16" s="76" t="n">
        <v>36656</v>
      </c>
      <c r="F16" s="76" t="n">
        <v>36950</v>
      </c>
      <c r="G16" s="48" t="s">
        <v>177</v>
      </c>
      <c r="H16" s="48" t="s">
        <v>178</v>
      </c>
      <c r="I16" s="46" t="s">
        <v>179</v>
      </c>
      <c r="J16" s="60" t="n">
        <f aca="false">3.145/J$1</f>
        <v>0.104833333333333</v>
      </c>
      <c r="K16" s="51"/>
      <c r="L16" s="51"/>
      <c r="M16" s="51"/>
      <c r="N16" s="51"/>
      <c r="O16" s="52"/>
      <c r="P16" s="51"/>
      <c r="Q16" s="77" t="n">
        <v>68309</v>
      </c>
      <c r="R16" s="78" t="n">
        <v>9</v>
      </c>
      <c r="S16" s="48"/>
      <c r="T16" s="79" t="n">
        <f aca="false">+R16*J16*$J$1</f>
        <v>28.305</v>
      </c>
      <c r="U16" s="79"/>
      <c r="V16" s="80" t="n">
        <v>262090</v>
      </c>
      <c r="W16" s="48" t="s">
        <v>182</v>
      </c>
      <c r="X16" s="74"/>
      <c r="Y16" s="74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</row>
    <row r="17" customFormat="false" ht="12.75" hidden="false" customHeight="false" outlineLevel="0" collapsed="false">
      <c r="A17" s="75"/>
      <c r="B17" s="48" t="s">
        <v>174</v>
      </c>
      <c r="C17" s="46" t="s">
        <v>175</v>
      </c>
      <c r="D17" s="46" t="s">
        <v>180</v>
      </c>
      <c r="E17" s="76" t="n">
        <v>36678</v>
      </c>
      <c r="F17" s="76" t="n">
        <v>37042</v>
      </c>
      <c r="G17" s="48" t="s">
        <v>177</v>
      </c>
      <c r="H17" s="48" t="s">
        <v>178</v>
      </c>
      <c r="I17" s="46" t="s">
        <v>179</v>
      </c>
      <c r="J17" s="60" t="n">
        <f aca="false">3.145/J$1</f>
        <v>0.104833333333333</v>
      </c>
      <c r="K17" s="51" t="n">
        <v>0.0132</v>
      </c>
      <c r="L17" s="51" t="n">
        <v>0.0022</v>
      </c>
      <c r="M17" s="51" t="n">
        <v>0</v>
      </c>
      <c r="N17" s="51" t="n">
        <v>0</v>
      </c>
      <c r="O17" s="52" t="n">
        <v>0.02116</v>
      </c>
      <c r="P17" s="51" t="n">
        <f aca="false">SUM(J17:N17)</f>
        <v>0.120233333333333</v>
      </c>
      <c r="Q17" s="77" t="n">
        <v>68360</v>
      </c>
      <c r="R17" s="78" t="n">
        <v>291</v>
      </c>
      <c r="S17" s="48"/>
      <c r="T17" s="79" t="n">
        <f aca="false">J17*J$1*R17</f>
        <v>915.195</v>
      </c>
      <c r="U17" s="79"/>
      <c r="V17" s="80" t="n">
        <v>271311</v>
      </c>
      <c r="W17" s="48"/>
      <c r="X17" s="74"/>
      <c r="Y17" s="74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  <c r="IW17" s="75"/>
    </row>
    <row r="18" customFormat="false" ht="12.75" hidden="false" customHeight="false" outlineLevel="0" collapsed="false">
      <c r="A18" s="75"/>
      <c r="B18" s="48" t="s">
        <v>174</v>
      </c>
      <c r="C18" s="46" t="s">
        <v>175</v>
      </c>
      <c r="D18" s="46" t="s">
        <v>176</v>
      </c>
      <c r="E18" s="76" t="n">
        <v>36678</v>
      </c>
      <c r="F18" s="76" t="n">
        <v>37042</v>
      </c>
      <c r="G18" s="48" t="s">
        <v>177</v>
      </c>
      <c r="H18" s="48" t="s">
        <v>178</v>
      </c>
      <c r="I18" s="46" t="s">
        <v>179</v>
      </c>
      <c r="J18" s="60" t="n">
        <f aca="false">3.145/J$1</f>
        <v>0.104833333333333</v>
      </c>
      <c r="K18" s="51" t="n">
        <v>0.0132</v>
      </c>
      <c r="L18" s="51" t="n">
        <v>0.0022</v>
      </c>
      <c r="M18" s="51" t="n">
        <v>0</v>
      </c>
      <c r="N18" s="51" t="n">
        <v>0</v>
      </c>
      <c r="O18" s="52" t="n">
        <v>0.02116</v>
      </c>
      <c r="P18" s="51" t="n">
        <f aca="false">SUM(J18:N18)</f>
        <v>0.120233333333333</v>
      </c>
      <c r="Q18" s="77" t="n">
        <v>68385</v>
      </c>
      <c r="R18" s="78" t="n">
        <v>223</v>
      </c>
      <c r="S18" s="48"/>
      <c r="T18" s="79" t="n">
        <f aca="false">J18*J$1*R18</f>
        <v>701.335</v>
      </c>
      <c r="U18" s="79"/>
      <c r="V18" s="80" t="n">
        <v>280550</v>
      </c>
      <c r="W18" s="48"/>
      <c r="X18" s="74"/>
      <c r="Y18" s="74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</row>
    <row r="19" customFormat="false" ht="12.75" hidden="false" customHeight="false" outlineLevel="0" collapsed="false">
      <c r="A19" s="75"/>
      <c r="B19" s="48" t="s">
        <v>174</v>
      </c>
      <c r="C19" s="46" t="s">
        <v>175</v>
      </c>
      <c r="D19" s="46" t="s">
        <v>180</v>
      </c>
      <c r="E19" s="76" t="n">
        <v>36708</v>
      </c>
      <c r="F19" s="76" t="n">
        <v>37072</v>
      </c>
      <c r="G19" s="48" t="s">
        <v>177</v>
      </c>
      <c r="H19" s="48" t="s">
        <v>178</v>
      </c>
      <c r="I19" s="46" t="s">
        <v>179</v>
      </c>
      <c r="J19" s="60" t="n">
        <f aca="false">3.145/J$1</f>
        <v>0.104833333333333</v>
      </c>
      <c r="K19" s="51" t="n">
        <v>0.0132</v>
      </c>
      <c r="L19" s="51" t="n">
        <v>0.0022</v>
      </c>
      <c r="M19" s="51" t="n">
        <v>0</v>
      </c>
      <c r="N19" s="51" t="n">
        <v>0</v>
      </c>
      <c r="O19" s="52" t="n">
        <v>0.02116</v>
      </c>
      <c r="P19" s="51" t="n">
        <f aca="false">SUM(J19:N19)</f>
        <v>0.120233333333333</v>
      </c>
      <c r="Q19" s="77" t="n">
        <v>68615</v>
      </c>
      <c r="R19" s="78" t="n">
        <v>920</v>
      </c>
      <c r="S19" s="48"/>
      <c r="T19" s="79" t="n">
        <f aca="false">J19*J$1*R19</f>
        <v>2893.4</v>
      </c>
      <c r="U19" s="79"/>
      <c r="V19" s="80" t="n">
        <v>309873</v>
      </c>
      <c r="W19" s="48"/>
      <c r="X19" s="74"/>
      <c r="Y19" s="74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</row>
    <row r="20" customFormat="false" ht="12.75" hidden="false" customHeight="false" outlineLevel="0" collapsed="false">
      <c r="A20" s="75"/>
      <c r="B20" s="48" t="s">
        <v>174</v>
      </c>
      <c r="C20" s="46" t="s">
        <v>175</v>
      </c>
      <c r="D20" s="46" t="s">
        <v>180</v>
      </c>
      <c r="E20" s="76" t="n">
        <v>36708</v>
      </c>
      <c r="F20" s="76" t="s">
        <v>183</v>
      </c>
      <c r="G20" s="48" t="s">
        <v>177</v>
      </c>
      <c r="H20" s="48" t="s">
        <v>178</v>
      </c>
      <c r="I20" s="46" t="s">
        <v>179</v>
      </c>
      <c r="J20" s="60" t="n">
        <f aca="false">3.145/J$1</f>
        <v>0.104833333333333</v>
      </c>
      <c r="K20" s="51"/>
      <c r="L20" s="51"/>
      <c r="M20" s="51"/>
      <c r="N20" s="51"/>
      <c r="O20" s="52"/>
      <c r="P20" s="51"/>
      <c r="Q20" s="77" t="n">
        <v>68634</v>
      </c>
      <c r="R20" s="78" t="n">
        <v>1</v>
      </c>
      <c r="S20" s="48"/>
      <c r="T20" s="79" t="n">
        <f aca="false">J20*J$1*R20</f>
        <v>3.145</v>
      </c>
      <c r="U20" s="79"/>
      <c r="V20" s="80" t="n">
        <v>312338</v>
      </c>
      <c r="W20" s="48"/>
      <c r="X20" s="74"/>
      <c r="Y20" s="74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</row>
    <row r="21" customFormat="false" ht="12.75" hidden="false" customHeight="false" outlineLevel="0" collapsed="false">
      <c r="A21" s="75"/>
      <c r="B21" s="48" t="s">
        <v>174</v>
      </c>
      <c r="C21" s="46" t="s">
        <v>175</v>
      </c>
      <c r="D21" s="46" t="s">
        <v>176</v>
      </c>
      <c r="E21" s="76" t="n">
        <v>36739</v>
      </c>
      <c r="F21" s="76" t="n">
        <v>37103</v>
      </c>
      <c r="G21" s="48" t="s">
        <v>177</v>
      </c>
      <c r="H21" s="48" t="s">
        <v>178</v>
      </c>
      <c r="I21" s="46" t="s">
        <v>179</v>
      </c>
      <c r="J21" s="60" t="n">
        <f aca="false">3.145/J$1</f>
        <v>0.104833333333333</v>
      </c>
      <c r="K21" s="51"/>
      <c r="L21" s="51"/>
      <c r="M21" s="51"/>
      <c r="N21" s="51"/>
      <c r="O21" s="52"/>
      <c r="P21" s="51"/>
      <c r="Q21" s="77" t="n">
        <v>68927</v>
      </c>
      <c r="R21" s="78" t="n">
        <v>4</v>
      </c>
      <c r="S21" s="48" t="s">
        <v>184</v>
      </c>
      <c r="T21" s="79" t="n">
        <f aca="false">+R21*J21*$J$1</f>
        <v>12.58</v>
      </c>
      <c r="U21" s="79"/>
      <c r="V21" s="80" t="n">
        <v>345112</v>
      </c>
      <c r="W21" s="48"/>
      <c r="X21" s="74"/>
      <c r="Y21" s="74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  <c r="IW21" s="75"/>
    </row>
    <row r="22" customFormat="false" ht="12.75" hidden="false" customHeight="false" outlineLevel="0" collapsed="false">
      <c r="A22" s="75"/>
      <c r="B22" s="48" t="s">
        <v>174</v>
      </c>
      <c r="C22" s="46" t="s">
        <v>175</v>
      </c>
      <c r="D22" s="46" t="s">
        <v>176</v>
      </c>
      <c r="E22" s="76" t="n">
        <v>36739</v>
      </c>
      <c r="F22" s="76" t="n">
        <v>37103</v>
      </c>
      <c r="G22" s="48" t="s">
        <v>177</v>
      </c>
      <c r="H22" s="48" t="s">
        <v>178</v>
      </c>
      <c r="I22" s="46" t="s">
        <v>179</v>
      </c>
      <c r="J22" s="60" t="n">
        <f aca="false">3.145/J$1</f>
        <v>0.104833333333333</v>
      </c>
      <c r="K22" s="51"/>
      <c r="L22" s="51"/>
      <c r="M22" s="51"/>
      <c r="N22" s="51"/>
      <c r="O22" s="52"/>
      <c r="P22" s="51"/>
      <c r="Q22" s="77" t="n">
        <v>68929</v>
      </c>
      <c r="R22" s="78" t="n">
        <v>48</v>
      </c>
      <c r="S22" s="48" t="s">
        <v>185</v>
      </c>
      <c r="T22" s="79" t="n">
        <f aca="false">+R22*J22*$J$1</f>
        <v>150.96</v>
      </c>
      <c r="U22" s="79"/>
      <c r="V22" s="80" t="n">
        <v>345091</v>
      </c>
      <c r="W22" s="48"/>
      <c r="X22" s="74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</row>
    <row r="23" customFormat="false" ht="12.75" hidden="false" customHeight="false" outlineLevel="0" collapsed="false">
      <c r="A23" s="75"/>
      <c r="B23" s="48" t="s">
        <v>174</v>
      </c>
      <c r="C23" s="46" t="s">
        <v>175</v>
      </c>
      <c r="D23" s="46" t="s">
        <v>176</v>
      </c>
      <c r="E23" s="76" t="n">
        <v>36770</v>
      </c>
      <c r="F23" s="76" t="n">
        <v>37104</v>
      </c>
      <c r="G23" s="48" t="s">
        <v>177</v>
      </c>
      <c r="H23" s="48" t="s">
        <v>178</v>
      </c>
      <c r="I23" s="46" t="s">
        <v>179</v>
      </c>
      <c r="J23" s="60" t="n">
        <f aca="false">3.145/J$1</f>
        <v>0.104833333333333</v>
      </c>
      <c r="K23" s="51"/>
      <c r="L23" s="51"/>
      <c r="M23" s="51"/>
      <c r="N23" s="51"/>
      <c r="O23" s="52"/>
      <c r="P23" s="51"/>
      <c r="Q23" s="77" t="n">
        <v>69145</v>
      </c>
      <c r="R23" s="78" t="n">
        <v>63</v>
      </c>
      <c r="S23" s="48" t="s">
        <v>186</v>
      </c>
      <c r="T23" s="79" t="n">
        <f aca="false">+R23*J23*J2</f>
        <v>0</v>
      </c>
      <c r="U23" s="79"/>
      <c r="V23" s="80" t="n">
        <v>372169</v>
      </c>
      <c r="W23" s="48"/>
      <c r="X23" s="74"/>
      <c r="Y23" s="74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</row>
    <row r="24" customFormat="false" ht="12.75" hidden="false" customHeight="false" outlineLevel="0" collapsed="false">
      <c r="A24" s="75"/>
      <c r="B24" s="48" t="s">
        <v>174</v>
      </c>
      <c r="C24" s="46" t="s">
        <v>175</v>
      </c>
      <c r="D24" s="46" t="s">
        <v>176</v>
      </c>
      <c r="E24" s="76" t="n">
        <v>36800</v>
      </c>
      <c r="F24" s="76" t="n">
        <v>37164</v>
      </c>
      <c r="G24" s="48" t="s">
        <v>177</v>
      </c>
      <c r="H24" s="48" t="s">
        <v>178</v>
      </c>
      <c r="I24" s="46" t="s">
        <v>179</v>
      </c>
      <c r="J24" s="60" t="n">
        <f aca="false">3.145/J$1</f>
        <v>0.104833333333333</v>
      </c>
      <c r="K24" s="51"/>
      <c r="L24" s="51"/>
      <c r="M24" s="51"/>
      <c r="N24" s="51"/>
      <c r="O24" s="52"/>
      <c r="P24" s="51"/>
      <c r="Q24" s="77" t="n">
        <v>69357</v>
      </c>
      <c r="R24" s="78" t="n">
        <v>13</v>
      </c>
      <c r="S24" s="48" t="s">
        <v>187</v>
      </c>
      <c r="T24" s="79" t="n">
        <f aca="false">+R24*J24*J1</f>
        <v>40.885</v>
      </c>
      <c r="U24" s="79"/>
      <c r="V24" s="80" t="n">
        <v>418249</v>
      </c>
      <c r="W24" s="48"/>
      <c r="X24" s="74"/>
      <c r="Y24" s="74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</row>
    <row r="25" customFormat="false" ht="12.75" hidden="false" customHeight="false" outlineLevel="0" collapsed="false">
      <c r="A25" s="75"/>
      <c r="B25" s="48" t="s">
        <v>174</v>
      </c>
      <c r="C25" s="46" t="s">
        <v>175</v>
      </c>
      <c r="D25" s="46" t="s">
        <v>176</v>
      </c>
      <c r="E25" s="76" t="n">
        <v>36831</v>
      </c>
      <c r="F25" s="76" t="n">
        <v>37195</v>
      </c>
      <c r="G25" s="48" t="s">
        <v>177</v>
      </c>
      <c r="H25" s="48" t="s">
        <v>178</v>
      </c>
      <c r="I25" s="46" t="s">
        <v>179</v>
      </c>
      <c r="J25" s="60" t="n">
        <f aca="false">3.145/J$1</f>
        <v>0.104833333333333</v>
      </c>
      <c r="K25" s="51"/>
      <c r="L25" s="51"/>
      <c r="M25" s="51"/>
      <c r="N25" s="51"/>
      <c r="O25" s="52"/>
      <c r="P25" s="51"/>
      <c r="Q25" s="77" t="n">
        <v>69710</v>
      </c>
      <c r="R25" s="78" t="n">
        <v>129</v>
      </c>
      <c r="S25" s="48" t="s">
        <v>188</v>
      </c>
      <c r="T25" s="79" t="n">
        <f aca="false">+R25*J25*J2</f>
        <v>0</v>
      </c>
      <c r="U25" s="79"/>
      <c r="V25" s="80" t="n">
        <v>418249</v>
      </c>
      <c r="W25" s="48"/>
      <c r="X25" s="74"/>
      <c r="Y25" s="74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</row>
    <row r="27" customFormat="false" ht="12.75" hidden="false" customHeight="false" outlineLevel="0" collapsed="false">
      <c r="A27" s="75"/>
      <c r="B27" s="48"/>
      <c r="C27" s="46"/>
      <c r="D27" s="46"/>
      <c r="E27" s="47"/>
      <c r="F27" s="47"/>
      <c r="G27" s="48"/>
      <c r="H27" s="48"/>
      <c r="I27" s="46"/>
      <c r="J27" s="60"/>
      <c r="K27" s="51"/>
      <c r="L27" s="51"/>
      <c r="M27" s="51"/>
      <c r="N27" s="51"/>
      <c r="O27" s="52"/>
      <c r="P27" s="51"/>
      <c r="Q27" s="53"/>
      <c r="R27" s="46"/>
      <c r="S27" s="48"/>
      <c r="T27" s="79"/>
      <c r="U27" s="79"/>
      <c r="V27" s="80"/>
      <c r="W27" s="48"/>
      <c r="X27" s="74"/>
      <c r="Y27" s="74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  <c r="IW27" s="75"/>
    </row>
    <row r="28" customFormat="false" ht="12.75" hidden="false" customHeight="false" outlineLevel="0" collapsed="false">
      <c r="B28" s="48"/>
      <c r="C28" s="46"/>
      <c r="D28" s="46"/>
      <c r="E28" s="47"/>
      <c r="F28" s="47"/>
      <c r="G28" s="48"/>
      <c r="H28" s="48"/>
      <c r="I28" s="46"/>
      <c r="J28" s="60"/>
      <c r="K28" s="51"/>
      <c r="L28" s="82"/>
      <c r="M28" s="51"/>
      <c r="N28" s="51"/>
      <c r="O28" s="52"/>
      <c r="P28" s="51"/>
      <c r="Q28" s="53"/>
      <c r="R28" s="54" t="n">
        <f aca="false">SUM(R12:R26)</f>
        <v>1783</v>
      </c>
      <c r="S28" s="46"/>
      <c r="T28" s="79" t="n">
        <f aca="false">SUM(T12:T27)</f>
        <v>5009.77533333333</v>
      </c>
      <c r="U28" s="79"/>
      <c r="V28" s="80"/>
      <c r="W28" s="48"/>
      <c r="X28" s="74"/>
      <c r="Y28" s="74"/>
    </row>
    <row r="29" customFormat="false" ht="12.75" hidden="false" customHeight="false" outlineLevel="0" collapsed="false">
      <c r="B29" s="65" t="s">
        <v>154</v>
      </c>
      <c r="C29" s="66" t="s">
        <v>155</v>
      </c>
      <c r="D29" s="66" t="s">
        <v>156</v>
      </c>
      <c r="E29" s="67" t="s">
        <v>157</v>
      </c>
      <c r="F29" s="67"/>
      <c r="G29" s="65" t="s">
        <v>158</v>
      </c>
      <c r="H29" s="65" t="s">
        <v>159</v>
      </c>
      <c r="I29" s="66" t="s">
        <v>160</v>
      </c>
      <c r="J29" s="68" t="s">
        <v>161</v>
      </c>
      <c r="K29" s="66" t="s">
        <v>162</v>
      </c>
      <c r="L29" s="66" t="s">
        <v>163</v>
      </c>
      <c r="M29" s="66" t="s">
        <v>164</v>
      </c>
      <c r="N29" s="66" t="s">
        <v>165</v>
      </c>
      <c r="O29" s="69" t="s">
        <v>166</v>
      </c>
      <c r="P29" s="66" t="s">
        <v>167</v>
      </c>
      <c r="Q29" s="70" t="s">
        <v>168</v>
      </c>
      <c r="R29" s="66" t="s">
        <v>169</v>
      </c>
      <c r="S29" s="65" t="s">
        <v>170</v>
      </c>
      <c r="T29" s="71" t="s">
        <v>171</v>
      </c>
      <c r="U29" s="71" t="s">
        <v>172</v>
      </c>
      <c r="V29" s="72" t="s">
        <v>173</v>
      </c>
      <c r="W29" s="73" t="e">
        <f aca="false">+#REF!</f>
        <v>#REF!</v>
      </c>
      <c r="X29" s="74"/>
      <c r="Y29" s="74"/>
    </row>
    <row r="30" customFormat="false" ht="12" hidden="false" customHeight="true" outlineLevel="0" collapsed="false">
      <c r="A30" s="83"/>
      <c r="B30" s="84" t="s">
        <v>174</v>
      </c>
      <c r="C30" s="78" t="s">
        <v>189</v>
      </c>
      <c r="D30" s="78" t="s">
        <v>190</v>
      </c>
      <c r="E30" s="76" t="n">
        <v>36831</v>
      </c>
      <c r="F30" s="76" t="n">
        <v>36860</v>
      </c>
      <c r="G30" s="84"/>
      <c r="H30" s="84"/>
      <c r="I30" s="78" t="s">
        <v>191</v>
      </c>
      <c r="J30" s="85" t="n">
        <v>0.02834</v>
      </c>
      <c r="K30" s="86" t="n">
        <v>0</v>
      </c>
      <c r="L30" s="86" t="n">
        <v>0.0022</v>
      </c>
      <c r="M30" s="86" t="n">
        <v>0.0072</v>
      </c>
      <c r="N30" s="86" t="n">
        <v>0</v>
      </c>
      <c r="O30" s="87" t="n">
        <v>0</v>
      </c>
      <c r="P30" s="86" t="n">
        <f aca="false">SUM(J30:N30)</f>
        <v>0.03774</v>
      </c>
      <c r="Q30" s="77" t="s">
        <v>192</v>
      </c>
      <c r="R30" s="78" t="n">
        <v>247026</v>
      </c>
      <c r="S30" s="84" t="s">
        <v>193</v>
      </c>
      <c r="T30" s="88" t="n">
        <f aca="false">+J30*R30</f>
        <v>7000.71684</v>
      </c>
      <c r="U30" s="88"/>
      <c r="V30" s="89" t="n">
        <v>459079</v>
      </c>
      <c r="W30" s="90"/>
      <c r="X30" s="91"/>
      <c r="Y30" s="91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  <c r="IU30" s="83"/>
      <c r="IV30" s="83"/>
      <c r="IW30" s="83"/>
    </row>
    <row r="31" customFormat="false" ht="12" hidden="false" customHeight="true" outlineLevel="0" collapsed="false">
      <c r="A31" s="83"/>
      <c r="B31" s="84" t="s">
        <v>174</v>
      </c>
      <c r="C31" s="78" t="s">
        <v>189</v>
      </c>
      <c r="D31" s="78" t="s">
        <v>190</v>
      </c>
      <c r="E31" s="76" t="n">
        <v>36831</v>
      </c>
      <c r="F31" s="76" t="n">
        <v>36860</v>
      </c>
      <c r="G31" s="84"/>
      <c r="H31" s="84"/>
      <c r="I31" s="78" t="s">
        <v>191</v>
      </c>
      <c r="J31" s="85" t="n">
        <f aca="false">1.544/J1</f>
        <v>0.0514666666666667</v>
      </c>
      <c r="K31" s="86" t="n">
        <v>0</v>
      </c>
      <c r="L31" s="86" t="n">
        <v>0.0022</v>
      </c>
      <c r="M31" s="86" t="n">
        <v>0.0072</v>
      </c>
      <c r="N31" s="86" t="n">
        <v>0</v>
      </c>
      <c r="O31" s="87" t="n">
        <v>0</v>
      </c>
      <c r="P31" s="86" t="n">
        <f aca="false">SUM(J31:N31)</f>
        <v>0.0608666666666667</v>
      </c>
      <c r="Q31" s="77" t="s">
        <v>192</v>
      </c>
      <c r="R31" s="78" t="n">
        <v>4988</v>
      </c>
      <c r="S31" s="84" t="s">
        <v>194</v>
      </c>
      <c r="T31" s="88" t="n">
        <f aca="false">+J31*R31*30</f>
        <v>7701.472</v>
      </c>
      <c r="U31" s="88"/>
      <c r="V31" s="89" t="n">
        <v>459079</v>
      </c>
      <c r="W31" s="90"/>
      <c r="X31" s="91"/>
      <c r="Y31" s="91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  <c r="IV31" s="83"/>
      <c r="IW31" s="83"/>
    </row>
    <row r="32" customFormat="false" ht="12" hidden="false" customHeight="true" outlineLevel="0" collapsed="false">
      <c r="A32" s="83"/>
      <c r="B32" s="84" t="s">
        <v>174</v>
      </c>
      <c r="C32" s="78" t="s">
        <v>189</v>
      </c>
      <c r="D32" s="78" t="s">
        <v>190</v>
      </c>
      <c r="E32" s="76" t="n">
        <v>36831</v>
      </c>
      <c r="F32" s="76" t="n">
        <v>36860</v>
      </c>
      <c r="G32" s="84"/>
      <c r="H32" s="84"/>
      <c r="I32" s="78" t="s">
        <v>191</v>
      </c>
      <c r="J32" s="85" t="n">
        <v>0.02834</v>
      </c>
      <c r="K32" s="86" t="n">
        <v>0</v>
      </c>
      <c r="L32" s="86" t="n">
        <v>0.0022</v>
      </c>
      <c r="M32" s="86" t="n">
        <v>0.0072</v>
      </c>
      <c r="N32" s="86" t="n">
        <v>0</v>
      </c>
      <c r="O32" s="87" t="n">
        <v>0</v>
      </c>
      <c r="P32" s="86" t="n">
        <f aca="false">SUM(J32:N32)</f>
        <v>0.03774</v>
      </c>
      <c r="Q32" s="77" t="s">
        <v>192</v>
      </c>
      <c r="R32" s="78" t="n">
        <v>4113</v>
      </c>
      <c r="S32" s="84" t="s">
        <v>193</v>
      </c>
      <c r="T32" s="88" t="n">
        <f aca="false">+J32*R32</f>
        <v>116.56242</v>
      </c>
      <c r="U32" s="88"/>
      <c r="V32" s="89" t="n">
        <v>459091</v>
      </c>
      <c r="W32" s="90"/>
      <c r="X32" s="91"/>
      <c r="Y32" s="91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  <c r="IW32" s="83"/>
    </row>
    <row r="33" customFormat="false" ht="12" hidden="false" customHeight="true" outlineLevel="0" collapsed="false">
      <c r="A33" s="83"/>
      <c r="B33" s="84" t="s">
        <v>174</v>
      </c>
      <c r="C33" s="78" t="s">
        <v>189</v>
      </c>
      <c r="D33" s="78" t="s">
        <v>190</v>
      </c>
      <c r="E33" s="76" t="n">
        <v>36831</v>
      </c>
      <c r="F33" s="76" t="n">
        <v>36860</v>
      </c>
      <c r="G33" s="84"/>
      <c r="H33" s="84"/>
      <c r="I33" s="78" t="s">
        <v>191</v>
      </c>
      <c r="J33" s="85" t="n">
        <f aca="false">1.544/J1</f>
        <v>0.0514666666666667</v>
      </c>
      <c r="K33" s="86" t="n">
        <v>0</v>
      </c>
      <c r="L33" s="86" t="n">
        <v>0.0022</v>
      </c>
      <c r="M33" s="86" t="n">
        <v>0.0072</v>
      </c>
      <c r="N33" s="86" t="n">
        <v>0</v>
      </c>
      <c r="O33" s="87" t="n">
        <v>0</v>
      </c>
      <c r="P33" s="86" t="n">
        <f aca="false">SUM(J33:N33)</f>
        <v>0.0608666666666667</v>
      </c>
      <c r="Q33" s="77" t="s">
        <v>192</v>
      </c>
      <c r="R33" s="78" t="n">
        <v>84</v>
      </c>
      <c r="S33" s="84" t="s">
        <v>194</v>
      </c>
      <c r="T33" s="88" t="n">
        <f aca="false">+J33*R33*30</f>
        <v>129.696</v>
      </c>
      <c r="U33" s="88"/>
      <c r="V33" s="89" t="n">
        <v>459091</v>
      </c>
      <c r="W33" s="90"/>
      <c r="X33" s="91"/>
      <c r="Y33" s="91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  <c r="IW33" s="83"/>
    </row>
    <row r="34" customFormat="false" ht="12" hidden="false" customHeight="true" outlineLevel="0" collapsed="false">
      <c r="A34" s="83"/>
      <c r="B34" s="84" t="s">
        <v>174</v>
      </c>
      <c r="C34" s="78" t="s">
        <v>189</v>
      </c>
      <c r="D34" s="78" t="s">
        <v>190</v>
      </c>
      <c r="E34" s="76" t="n">
        <v>36831</v>
      </c>
      <c r="F34" s="76" t="n">
        <v>36860</v>
      </c>
      <c r="G34" s="84"/>
      <c r="H34" s="84"/>
      <c r="I34" s="78" t="s">
        <v>191</v>
      </c>
      <c r="J34" s="85" t="n">
        <v>0.02834</v>
      </c>
      <c r="K34" s="86" t="n">
        <v>0</v>
      </c>
      <c r="L34" s="86" t="n">
        <v>0.0022</v>
      </c>
      <c r="M34" s="86" t="n">
        <v>0.0072</v>
      </c>
      <c r="N34" s="86" t="n">
        <v>0</v>
      </c>
      <c r="O34" s="87" t="n">
        <v>0</v>
      </c>
      <c r="P34" s="86" t="n">
        <f aca="false">SUM(J34:N34)</f>
        <v>0.03774</v>
      </c>
      <c r="Q34" s="77" t="s">
        <v>192</v>
      </c>
      <c r="R34" s="78" t="n">
        <v>576393</v>
      </c>
      <c r="S34" s="84" t="s">
        <v>193</v>
      </c>
      <c r="T34" s="88" t="n">
        <f aca="false">+J34*R34</f>
        <v>16334.97762</v>
      </c>
      <c r="U34" s="88"/>
      <c r="V34" s="89" t="n">
        <v>458997</v>
      </c>
      <c r="W34" s="84"/>
      <c r="X34" s="91"/>
      <c r="Y34" s="91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" hidden="false" customHeight="true" outlineLevel="0" collapsed="false">
      <c r="A35" s="83"/>
      <c r="B35" s="84" t="s">
        <v>174</v>
      </c>
      <c r="C35" s="78" t="s">
        <v>189</v>
      </c>
      <c r="D35" s="78" t="s">
        <v>190</v>
      </c>
      <c r="E35" s="76" t="n">
        <v>36831</v>
      </c>
      <c r="F35" s="76" t="n">
        <v>36860</v>
      </c>
      <c r="G35" s="84"/>
      <c r="H35" s="84"/>
      <c r="I35" s="78" t="s">
        <v>191</v>
      </c>
      <c r="J35" s="85" t="n">
        <f aca="false">1.544/31</f>
        <v>0.0498064516129032</v>
      </c>
      <c r="K35" s="86" t="n">
        <v>0</v>
      </c>
      <c r="L35" s="86" t="n">
        <v>0.0022</v>
      </c>
      <c r="M35" s="86" t="n">
        <v>0.0072</v>
      </c>
      <c r="N35" s="86" t="n">
        <v>0</v>
      </c>
      <c r="O35" s="87" t="n">
        <v>0</v>
      </c>
      <c r="P35" s="86" t="n">
        <f aca="false">SUM(J35:N35)</f>
        <v>0.0592064516129032</v>
      </c>
      <c r="Q35" s="77" t="s">
        <v>192</v>
      </c>
      <c r="R35" s="78" t="n">
        <v>11638</v>
      </c>
      <c r="S35" s="84" t="s">
        <v>194</v>
      </c>
      <c r="T35" s="88" t="n">
        <f aca="false">+J35*R35*30</f>
        <v>17389.424516129</v>
      </c>
      <c r="U35" s="88"/>
      <c r="V35" s="89" t="n">
        <v>380799</v>
      </c>
      <c r="W35" s="84"/>
      <c r="X35" s="91"/>
      <c r="Y35" s="91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</row>
    <row r="36" customFormat="false" ht="12" hidden="false" customHeight="true" outlineLevel="0" collapsed="false">
      <c r="A36" s="83"/>
      <c r="B36" s="84" t="s">
        <v>174</v>
      </c>
      <c r="C36" s="78" t="s">
        <v>189</v>
      </c>
      <c r="D36" s="78" t="s">
        <v>190</v>
      </c>
      <c r="E36" s="76" t="n">
        <v>36831</v>
      </c>
      <c r="F36" s="76" t="n">
        <v>36860</v>
      </c>
      <c r="G36" s="84" t="s">
        <v>116</v>
      </c>
      <c r="H36" s="84" t="s">
        <v>195</v>
      </c>
      <c r="I36" s="78" t="s">
        <v>81</v>
      </c>
      <c r="J36" s="85" t="n">
        <f aca="false">10.913/J1</f>
        <v>0.363766666666667</v>
      </c>
      <c r="K36" s="86"/>
      <c r="L36" s="86"/>
      <c r="M36" s="86"/>
      <c r="N36" s="86"/>
      <c r="O36" s="87"/>
      <c r="P36" s="86"/>
      <c r="Q36" s="77" t="s">
        <v>196</v>
      </c>
      <c r="R36" s="78" t="n">
        <v>11618</v>
      </c>
      <c r="S36" s="92" t="n">
        <v>2000002276</v>
      </c>
      <c r="T36" s="88" t="n">
        <f aca="false">+J36*R36*30</f>
        <v>126787.234</v>
      </c>
      <c r="U36" s="88"/>
      <c r="V36" s="89" t="n">
        <v>456747</v>
      </c>
      <c r="W36" s="84"/>
      <c r="X36" s="91"/>
      <c r="Y36" s="91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  <c r="IW36" s="83"/>
    </row>
    <row r="37" customFormat="false" ht="12" hidden="false" customHeight="true" outlineLevel="0" collapsed="false">
      <c r="A37" s="83"/>
      <c r="B37" s="84" t="s">
        <v>174</v>
      </c>
      <c r="C37" s="78" t="s">
        <v>189</v>
      </c>
      <c r="D37" s="78" t="s">
        <v>190</v>
      </c>
      <c r="E37" s="76" t="n">
        <v>36831</v>
      </c>
      <c r="F37" s="76" t="n">
        <v>36860</v>
      </c>
      <c r="G37" s="84" t="s">
        <v>116</v>
      </c>
      <c r="H37" s="84" t="s">
        <v>195</v>
      </c>
      <c r="I37" s="78" t="s">
        <v>81</v>
      </c>
      <c r="J37" s="85" t="n">
        <f aca="false">10.913/J1</f>
        <v>0.363766666666667</v>
      </c>
      <c r="K37" s="86"/>
      <c r="L37" s="86"/>
      <c r="M37" s="86"/>
      <c r="N37" s="86"/>
      <c r="O37" s="87"/>
      <c r="P37" s="86"/>
      <c r="Q37" s="77" t="s">
        <v>196</v>
      </c>
      <c r="R37" s="78" t="n">
        <v>4979</v>
      </c>
      <c r="S37" s="90" t="s">
        <v>197</v>
      </c>
      <c r="T37" s="88" t="n">
        <f aca="false">+R37*J37*30</f>
        <v>54335.827</v>
      </c>
      <c r="U37" s="88"/>
      <c r="V37" s="89" t="n">
        <v>456509</v>
      </c>
      <c r="W37" s="84"/>
      <c r="X37" s="91"/>
      <c r="Y37" s="91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  <c r="IW37" s="83"/>
    </row>
    <row r="38" customFormat="false" ht="12" hidden="false" customHeight="true" outlineLevel="0" collapsed="false">
      <c r="A38" s="83"/>
      <c r="B38" s="84" t="s">
        <v>174</v>
      </c>
      <c r="C38" s="78" t="s">
        <v>189</v>
      </c>
      <c r="D38" s="78" t="s">
        <v>190</v>
      </c>
      <c r="E38" s="76" t="n">
        <v>36831</v>
      </c>
      <c r="F38" s="76" t="n">
        <v>36860</v>
      </c>
      <c r="G38" s="84"/>
      <c r="H38" s="84"/>
      <c r="I38" s="78" t="s">
        <v>81</v>
      </c>
      <c r="J38" s="85" t="n">
        <f aca="false">10.913/30</f>
        <v>0.363766666666667</v>
      </c>
      <c r="K38" s="86"/>
      <c r="L38" s="86"/>
      <c r="M38" s="86"/>
      <c r="N38" s="86"/>
      <c r="O38" s="87"/>
      <c r="P38" s="86"/>
      <c r="Q38" s="77" t="s">
        <v>196</v>
      </c>
      <c r="R38" s="78" t="n">
        <v>1965</v>
      </c>
      <c r="S38" s="90" t="s">
        <v>198</v>
      </c>
      <c r="T38" s="88" t="n">
        <f aca="false">+J38*R38*30</f>
        <v>21444.045</v>
      </c>
      <c r="U38" s="88"/>
      <c r="V38" s="89" t="n">
        <v>454377</v>
      </c>
      <c r="W38" s="84"/>
      <c r="X38" s="91"/>
      <c r="Y38" s="91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  <c r="IV38" s="83"/>
      <c r="IW38" s="83"/>
    </row>
    <row r="39" customFormat="false" ht="12" hidden="false" customHeight="true" outlineLevel="0" collapsed="false">
      <c r="A39" s="83"/>
      <c r="B39" s="84" t="s">
        <v>174</v>
      </c>
      <c r="C39" s="78" t="s">
        <v>189</v>
      </c>
      <c r="D39" s="78" t="s">
        <v>190</v>
      </c>
      <c r="E39" s="76" t="n">
        <v>36770</v>
      </c>
      <c r="F39" s="76" t="n">
        <v>37864</v>
      </c>
      <c r="G39" s="84" t="s">
        <v>116</v>
      </c>
      <c r="H39" s="84" t="s">
        <v>199</v>
      </c>
      <c r="I39" s="78" t="s">
        <v>81</v>
      </c>
      <c r="J39" s="85" t="n">
        <f aca="false">8.223/J1</f>
        <v>0.2741</v>
      </c>
      <c r="K39" s="86"/>
      <c r="L39" s="86"/>
      <c r="M39" s="86"/>
      <c r="N39" s="86"/>
      <c r="O39" s="87"/>
      <c r="P39" s="86"/>
      <c r="Q39" s="77" t="s">
        <v>196</v>
      </c>
      <c r="R39" s="78" t="n">
        <f aca="false">340*1.02</f>
        <v>346.8</v>
      </c>
      <c r="S39" s="93" t="n">
        <v>2000001604</v>
      </c>
      <c r="T39" s="88" t="n">
        <f aca="false">+R39*J39*30</f>
        <v>2851.7364</v>
      </c>
      <c r="U39" s="88"/>
      <c r="V39" s="89" t="n">
        <v>380777</v>
      </c>
      <c r="W39" s="84"/>
      <c r="X39" s="91"/>
      <c r="Y39" s="91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  <c r="IU39" s="83"/>
      <c r="IV39" s="83"/>
      <c r="IW39" s="83"/>
    </row>
    <row r="40" customFormat="false" ht="12" hidden="false" customHeight="true" outlineLevel="0" collapsed="false">
      <c r="A40" s="83"/>
      <c r="B40" s="84" t="s">
        <v>174</v>
      </c>
      <c r="C40" s="78" t="s">
        <v>189</v>
      </c>
      <c r="D40" s="78" t="s">
        <v>190</v>
      </c>
      <c r="E40" s="76" t="n">
        <v>36831</v>
      </c>
      <c r="F40" s="76" t="n">
        <v>36860</v>
      </c>
      <c r="G40" s="84"/>
      <c r="H40" s="84"/>
      <c r="I40" s="78" t="s">
        <v>81</v>
      </c>
      <c r="J40" s="85" t="n">
        <f aca="false">10.91/30</f>
        <v>0.363666666666667</v>
      </c>
      <c r="K40" s="86"/>
      <c r="L40" s="86"/>
      <c r="M40" s="86"/>
      <c r="N40" s="86"/>
      <c r="O40" s="87"/>
      <c r="P40" s="86"/>
      <c r="Q40" s="77" t="s">
        <v>196</v>
      </c>
      <c r="R40" s="78" t="n">
        <v>4585</v>
      </c>
      <c r="S40" s="93" t="s">
        <v>200</v>
      </c>
      <c r="T40" s="88" t="n">
        <f aca="false">+R40*J40*30</f>
        <v>50022.35</v>
      </c>
      <c r="U40" s="88"/>
      <c r="V40" s="89" t="n">
        <v>456599</v>
      </c>
      <c r="W40" s="84"/>
      <c r="X40" s="91"/>
      <c r="Y40" s="91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  <c r="IV40" s="83"/>
      <c r="IW40" s="83"/>
    </row>
    <row r="41" customFormat="false" ht="12" hidden="false" customHeight="true" outlineLevel="0" collapsed="false">
      <c r="A41" s="83"/>
      <c r="B41" s="84" t="s">
        <v>174</v>
      </c>
      <c r="C41" s="78" t="s">
        <v>189</v>
      </c>
      <c r="D41" s="78" t="s">
        <v>190</v>
      </c>
      <c r="E41" s="76" t="n">
        <v>36831</v>
      </c>
      <c r="F41" s="76" t="n">
        <v>36860</v>
      </c>
      <c r="G41" s="84" t="s">
        <v>116</v>
      </c>
      <c r="H41" s="84" t="s">
        <v>201</v>
      </c>
      <c r="I41" s="78" t="s">
        <v>81</v>
      </c>
      <c r="J41" s="85" t="n">
        <f aca="false">10.913/J1</f>
        <v>0.363766666666667</v>
      </c>
      <c r="K41" s="86"/>
      <c r="L41" s="86"/>
      <c r="M41" s="86"/>
      <c r="N41" s="86"/>
      <c r="O41" s="87"/>
      <c r="P41" s="86"/>
      <c r="Q41" s="77" t="s">
        <v>196</v>
      </c>
      <c r="R41" s="78" t="n">
        <v>9269</v>
      </c>
      <c r="S41" s="93" t="n">
        <v>2000002301</v>
      </c>
      <c r="T41" s="88" t="n">
        <f aca="false">+R41*J41*30</f>
        <v>101152.597</v>
      </c>
      <c r="U41" s="88"/>
      <c r="V41" s="89" t="n">
        <v>456751</v>
      </c>
      <c r="W41" s="84"/>
      <c r="X41" s="91"/>
      <c r="Y41" s="91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  <c r="IW41" s="83"/>
    </row>
    <row r="42" customFormat="false" ht="12" hidden="false" customHeight="true" outlineLevel="0" collapsed="false">
      <c r="A42" s="83"/>
      <c r="B42" s="84" t="s">
        <v>174</v>
      </c>
      <c r="C42" s="78" t="s">
        <v>189</v>
      </c>
      <c r="D42" s="78" t="s">
        <v>190</v>
      </c>
      <c r="E42" s="76" t="n">
        <v>36831</v>
      </c>
      <c r="F42" s="76" t="n">
        <v>36860</v>
      </c>
      <c r="G42" s="84"/>
      <c r="H42" s="84"/>
      <c r="I42" s="78" t="s">
        <v>81</v>
      </c>
      <c r="J42" s="85" t="n">
        <f aca="false">10.913/J1</f>
        <v>0.363766666666667</v>
      </c>
      <c r="K42" s="86"/>
      <c r="L42" s="86"/>
      <c r="M42" s="86"/>
      <c r="N42" s="86"/>
      <c r="O42" s="87"/>
      <c r="P42" s="86"/>
      <c r="Q42" s="77" t="s">
        <v>196</v>
      </c>
      <c r="R42" s="78" t="n">
        <v>3972</v>
      </c>
      <c r="S42" s="84" t="s">
        <v>202</v>
      </c>
      <c r="T42" s="88" t="n">
        <f aca="false">J42*J$1*R42</f>
        <v>43346.436</v>
      </c>
      <c r="U42" s="88"/>
      <c r="V42" s="89" t="n">
        <v>456563</v>
      </c>
      <c r="W42" s="84"/>
      <c r="X42" s="91"/>
      <c r="Y42" s="91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  <c r="IW42" s="83"/>
    </row>
    <row r="43" customFormat="false" ht="12" hidden="false" customHeight="true" outlineLevel="0" collapsed="false">
      <c r="A43" s="83"/>
      <c r="B43" s="84" t="s">
        <v>174</v>
      </c>
      <c r="C43" s="78" t="s">
        <v>189</v>
      </c>
      <c r="D43" s="78" t="s">
        <v>190</v>
      </c>
      <c r="E43" s="76" t="n">
        <v>36831</v>
      </c>
      <c r="F43" s="76" t="n">
        <v>36860</v>
      </c>
      <c r="G43" s="84"/>
      <c r="H43" s="84"/>
      <c r="I43" s="78" t="s">
        <v>81</v>
      </c>
      <c r="J43" s="85" t="n">
        <f aca="false">8.223/J1</f>
        <v>0.2741</v>
      </c>
      <c r="K43" s="86"/>
      <c r="L43" s="86"/>
      <c r="M43" s="86"/>
      <c r="N43" s="86"/>
      <c r="O43" s="87"/>
      <c r="P43" s="86"/>
      <c r="Q43" s="77" t="s">
        <v>196</v>
      </c>
      <c r="R43" s="78" t="n">
        <v>150</v>
      </c>
      <c r="S43" s="90" t="s">
        <v>203</v>
      </c>
      <c r="T43" s="88" t="n">
        <f aca="false">J43*J$1*R43</f>
        <v>1233.45</v>
      </c>
      <c r="U43" s="88"/>
      <c r="V43" s="89" t="n">
        <v>454372</v>
      </c>
      <c r="W43" s="84"/>
      <c r="X43" s="91"/>
      <c r="Y43" s="91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  <c r="IW43" s="83"/>
    </row>
    <row r="44" customFormat="false" ht="12" hidden="false" customHeight="true" outlineLevel="0" collapsed="false">
      <c r="A44" s="83"/>
      <c r="B44" s="84" t="s">
        <v>174</v>
      </c>
      <c r="C44" s="78" t="s">
        <v>204</v>
      </c>
      <c r="D44" s="78" t="s">
        <v>190</v>
      </c>
      <c r="E44" s="76" t="n">
        <v>36804</v>
      </c>
      <c r="F44" s="76" t="n">
        <v>36830</v>
      </c>
      <c r="G44" s="84" t="s">
        <v>116</v>
      </c>
      <c r="H44" s="84" t="s">
        <v>116</v>
      </c>
      <c r="I44" s="78" t="s">
        <v>81</v>
      </c>
      <c r="J44" s="85" t="n">
        <f aca="false">4.75/J1</f>
        <v>0.158333333333333</v>
      </c>
      <c r="K44" s="86"/>
      <c r="L44" s="86"/>
      <c r="M44" s="86"/>
      <c r="N44" s="86"/>
      <c r="O44" s="87"/>
      <c r="P44" s="86"/>
      <c r="Q44" s="77" t="s">
        <v>205</v>
      </c>
      <c r="R44" s="78" t="n">
        <v>351</v>
      </c>
      <c r="S44" s="90" t="s">
        <v>206</v>
      </c>
      <c r="T44" s="88" t="n">
        <f aca="false">J44*J$1*R44</f>
        <v>1667.25</v>
      </c>
      <c r="U44" s="88"/>
      <c r="V44" s="89" t="n">
        <v>380767</v>
      </c>
      <c r="W44" s="84"/>
      <c r="X44" s="91"/>
      <c r="Y44" s="91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  <c r="IW44" s="83"/>
    </row>
    <row r="45" customFormat="false" ht="12" hidden="false" customHeight="true" outlineLevel="0" collapsed="false">
      <c r="A45" s="83"/>
      <c r="B45" s="84" t="s">
        <v>174</v>
      </c>
      <c r="C45" s="78" t="s">
        <v>204</v>
      </c>
      <c r="D45" s="78" t="s">
        <v>190</v>
      </c>
      <c r="E45" s="76" t="n">
        <v>36860</v>
      </c>
      <c r="F45" s="76" t="n">
        <v>36860</v>
      </c>
      <c r="G45" s="84" t="s">
        <v>116</v>
      </c>
      <c r="H45" s="84" t="s">
        <v>116</v>
      </c>
      <c r="I45" s="78" t="s">
        <v>81</v>
      </c>
      <c r="J45" s="85" t="n">
        <f aca="false">10.913/31</f>
        <v>0.352032258064516</v>
      </c>
      <c r="K45" s="86"/>
      <c r="L45" s="86"/>
      <c r="M45" s="86"/>
      <c r="N45" s="86"/>
      <c r="O45" s="87"/>
      <c r="P45" s="86"/>
      <c r="Q45" s="77" t="s">
        <v>205</v>
      </c>
      <c r="R45" s="78" t="n">
        <v>235</v>
      </c>
      <c r="S45" s="84" t="s">
        <v>207</v>
      </c>
      <c r="T45" s="88" t="n">
        <f aca="false">J45*J$1*R45</f>
        <v>2481.82741935484</v>
      </c>
      <c r="U45" s="88"/>
      <c r="V45" s="89" t="n">
        <v>454384</v>
      </c>
      <c r="W45" s="84"/>
      <c r="X45" s="91"/>
      <c r="Y45" s="91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  <c r="IU45" s="83"/>
      <c r="IV45" s="83"/>
      <c r="IW45" s="83"/>
    </row>
    <row r="46" customFormat="false" ht="12" hidden="false" customHeight="true" outlineLevel="0" collapsed="false">
      <c r="A46" s="75"/>
      <c r="B46" s="48"/>
      <c r="C46" s="46"/>
      <c r="D46" s="46"/>
      <c r="E46" s="47"/>
      <c r="F46" s="47"/>
      <c r="G46" s="48"/>
      <c r="H46" s="48"/>
      <c r="I46" s="46"/>
      <c r="J46" s="60"/>
      <c r="K46" s="51"/>
      <c r="L46" s="51"/>
      <c r="M46" s="51"/>
      <c r="N46" s="51"/>
      <c r="O46" s="52"/>
      <c r="P46" s="51"/>
      <c r="Q46" s="53"/>
      <c r="R46" s="46"/>
      <c r="S46" s="48"/>
      <c r="T46" s="79"/>
      <c r="U46" s="79"/>
      <c r="V46" s="80"/>
      <c r="W46" s="48"/>
      <c r="X46" s="74"/>
      <c r="Y46" s="74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75"/>
      <c r="HS46" s="75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75"/>
      <c r="II46" s="75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  <c r="IW46" s="75"/>
    </row>
    <row r="47" customFormat="false" ht="12.75" hidden="false" customHeight="false" outlineLevel="0" collapsed="false">
      <c r="A47" s="75"/>
      <c r="B47" s="48"/>
      <c r="C47" s="46"/>
      <c r="D47" s="46"/>
      <c r="E47" s="47"/>
      <c r="F47" s="47"/>
      <c r="G47" s="48"/>
      <c r="H47" s="48"/>
      <c r="I47" s="46"/>
      <c r="J47" s="60"/>
      <c r="K47" s="51"/>
      <c r="L47" s="51"/>
      <c r="M47" s="51"/>
      <c r="N47" s="51"/>
      <c r="O47" s="52"/>
      <c r="P47" s="51"/>
      <c r="Q47" s="53"/>
      <c r="R47" s="46"/>
      <c r="S47" s="48"/>
      <c r="T47" s="79" t="n">
        <f aca="false">SUM(T30:T46)</f>
        <v>453995.602215484</v>
      </c>
      <c r="U47" s="79"/>
      <c r="V47" s="80"/>
      <c r="W47" s="48"/>
      <c r="X47" s="74"/>
      <c r="Y47" s="74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75"/>
      <c r="IC47" s="75"/>
      <c r="ID47" s="75"/>
      <c r="IE47" s="75"/>
      <c r="IF47" s="75"/>
      <c r="IG47" s="75"/>
      <c r="IH47" s="75"/>
      <c r="II47" s="75"/>
      <c r="IJ47" s="75"/>
      <c r="IK47" s="75"/>
      <c r="IL47" s="75"/>
      <c r="IM47" s="75"/>
      <c r="IN47" s="75"/>
      <c r="IO47" s="75"/>
      <c r="IP47" s="75"/>
      <c r="IQ47" s="75"/>
      <c r="IR47" s="75"/>
      <c r="IS47" s="75"/>
      <c r="IT47" s="75"/>
      <c r="IU47" s="75"/>
      <c r="IV47" s="75"/>
      <c r="IW47" s="75"/>
    </row>
    <row r="48" customFormat="false" ht="12.75" hidden="false" customHeight="false" outlineLevel="0" collapsed="false">
      <c r="B48" s="65" t="s">
        <v>154</v>
      </c>
      <c r="C48" s="66" t="s">
        <v>155</v>
      </c>
      <c r="D48" s="66" t="s">
        <v>156</v>
      </c>
      <c r="E48" s="67" t="s">
        <v>157</v>
      </c>
      <c r="F48" s="67"/>
      <c r="G48" s="65" t="s">
        <v>158</v>
      </c>
      <c r="H48" s="65" t="s">
        <v>159</v>
      </c>
      <c r="I48" s="66" t="s">
        <v>160</v>
      </c>
      <c r="J48" s="68" t="s">
        <v>161</v>
      </c>
      <c r="K48" s="66" t="s">
        <v>162</v>
      </c>
      <c r="L48" s="66" t="s">
        <v>163</v>
      </c>
      <c r="M48" s="66" t="s">
        <v>164</v>
      </c>
      <c r="N48" s="66" t="s">
        <v>165</v>
      </c>
      <c r="O48" s="69" t="s">
        <v>166</v>
      </c>
      <c r="P48" s="66" t="s">
        <v>167</v>
      </c>
      <c r="Q48" s="70" t="s">
        <v>168</v>
      </c>
      <c r="R48" s="66" t="s">
        <v>169</v>
      </c>
      <c r="S48" s="65" t="s">
        <v>170</v>
      </c>
      <c r="T48" s="71" t="s">
        <v>171</v>
      </c>
      <c r="U48" s="71" t="s">
        <v>172</v>
      </c>
      <c r="V48" s="72" t="s">
        <v>173</v>
      </c>
      <c r="W48" s="73" t="e">
        <f aca="false">+#REF!</f>
        <v>#REF!</v>
      </c>
      <c r="X48" s="74"/>
      <c r="Y48" s="74"/>
    </row>
    <row r="49" customFormat="false" ht="12.75" hidden="false" customHeight="false" outlineLevel="0" collapsed="false">
      <c r="A49" s="75"/>
      <c r="B49" s="48" t="s">
        <v>174</v>
      </c>
      <c r="C49" s="46" t="s">
        <v>208</v>
      </c>
      <c r="D49" s="46" t="s">
        <v>209</v>
      </c>
      <c r="E49" s="47" t="n">
        <v>36800</v>
      </c>
      <c r="F49" s="47" t="s">
        <v>210</v>
      </c>
      <c r="G49" s="48" t="s">
        <v>211</v>
      </c>
      <c r="H49" s="48" t="s">
        <v>212</v>
      </c>
      <c r="I49" s="46" t="s">
        <v>213</v>
      </c>
      <c r="J49" s="60" t="n">
        <f aca="false">5.17/+J1</f>
        <v>0.172333333333333</v>
      </c>
      <c r="K49" s="51" t="n">
        <v>0.0763</v>
      </c>
      <c r="L49" s="51" t="n">
        <v>0.0022</v>
      </c>
      <c r="M49" s="51" t="n">
        <v>0.0072</v>
      </c>
      <c r="N49" s="51" t="n">
        <v>0</v>
      </c>
      <c r="O49" s="52" t="n">
        <v>0.0279</v>
      </c>
      <c r="P49" s="51" t="n">
        <f aca="false">SUM(J49:N49)</f>
        <v>0.258033333333333</v>
      </c>
      <c r="Q49" s="53" t="n">
        <v>34852</v>
      </c>
      <c r="R49" s="46" t="n">
        <v>1052</v>
      </c>
      <c r="S49" s="48" t="s">
        <v>214</v>
      </c>
      <c r="T49" s="79" t="n">
        <f aca="false">J49*J$1*R49</f>
        <v>5438.84</v>
      </c>
      <c r="U49" s="79"/>
      <c r="V49" s="80" t="n">
        <v>418340</v>
      </c>
      <c r="W49" s="48" t="s">
        <v>215</v>
      </c>
      <c r="X49" s="74"/>
      <c r="Y49" s="74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  <c r="GY49" s="75"/>
      <c r="GZ49" s="75"/>
      <c r="HA49" s="75"/>
      <c r="HB49" s="75"/>
      <c r="HC49" s="75"/>
      <c r="HD49" s="75"/>
      <c r="HE49" s="75"/>
      <c r="HF49" s="75"/>
      <c r="HG49" s="75"/>
      <c r="HH49" s="75"/>
      <c r="HI49" s="75"/>
      <c r="HJ49" s="75"/>
      <c r="HK49" s="75"/>
      <c r="HL49" s="75"/>
      <c r="HM49" s="75"/>
      <c r="HN49" s="75"/>
      <c r="HO49" s="75"/>
      <c r="HP49" s="75"/>
      <c r="HQ49" s="75"/>
      <c r="HR49" s="75"/>
      <c r="HS49" s="75"/>
      <c r="HT49" s="75"/>
      <c r="HU49" s="75"/>
      <c r="HV49" s="75"/>
      <c r="HW49" s="75"/>
      <c r="HX49" s="75"/>
      <c r="HY49" s="75"/>
      <c r="HZ49" s="75"/>
      <c r="IA49" s="75"/>
      <c r="IB49" s="75"/>
      <c r="IC49" s="75"/>
      <c r="ID49" s="75"/>
      <c r="IE49" s="75"/>
      <c r="IF49" s="75"/>
      <c r="IG49" s="75"/>
      <c r="IH49" s="75"/>
      <c r="II49" s="75"/>
      <c r="IJ49" s="75"/>
      <c r="IK49" s="75"/>
      <c r="IL49" s="75"/>
      <c r="IM49" s="75"/>
      <c r="IN49" s="75"/>
      <c r="IO49" s="75"/>
      <c r="IP49" s="75"/>
      <c r="IQ49" s="75"/>
      <c r="IR49" s="75"/>
      <c r="IS49" s="75"/>
      <c r="IT49" s="75"/>
      <c r="IU49" s="75"/>
      <c r="IV49" s="75"/>
      <c r="IW49" s="75"/>
    </row>
    <row r="50" customFormat="false" ht="12.75" hidden="false" customHeight="false" outlineLevel="0" collapsed="false">
      <c r="A50" s="75"/>
      <c r="B50" s="48" t="s">
        <v>174</v>
      </c>
      <c r="C50" s="46" t="s">
        <v>208</v>
      </c>
      <c r="D50" s="46" t="s">
        <v>209</v>
      </c>
      <c r="E50" s="47" t="n">
        <v>36770</v>
      </c>
      <c r="F50" s="47" t="n">
        <v>36829</v>
      </c>
      <c r="G50" s="48" t="s">
        <v>211</v>
      </c>
      <c r="H50" s="48" t="s">
        <v>212</v>
      </c>
      <c r="I50" s="46" t="s">
        <v>213</v>
      </c>
      <c r="J50" s="60" t="n">
        <f aca="false">4.92/J1</f>
        <v>0.164</v>
      </c>
      <c r="K50" s="51" t="n">
        <v>0.0763</v>
      </c>
      <c r="L50" s="51" t="n">
        <v>0.0022</v>
      </c>
      <c r="M50" s="51" t="n">
        <v>0.0072</v>
      </c>
      <c r="N50" s="51" t="n">
        <v>0</v>
      </c>
      <c r="O50" s="52" t="n">
        <v>0.0279</v>
      </c>
      <c r="P50" s="51" t="n">
        <f aca="false">SUM(J50:N50)</f>
        <v>0.2497</v>
      </c>
      <c r="Q50" s="53" t="n">
        <v>34608</v>
      </c>
      <c r="R50" s="46" t="n">
        <v>2455</v>
      </c>
      <c r="S50" s="48" t="s">
        <v>214</v>
      </c>
      <c r="T50" s="79" t="n">
        <f aca="false">J50*J$1*R50</f>
        <v>12078.6</v>
      </c>
      <c r="U50" s="79"/>
      <c r="V50" s="80" t="n">
        <v>379572</v>
      </c>
      <c r="W50" s="48"/>
      <c r="X50" s="74"/>
      <c r="Y50" s="74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  <c r="GW50" s="75"/>
      <c r="GX50" s="75"/>
      <c r="GY50" s="75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5"/>
      <c r="HK50" s="75"/>
      <c r="HL50" s="75"/>
      <c r="HM50" s="75"/>
      <c r="HN50" s="75"/>
      <c r="HO50" s="75"/>
      <c r="HP50" s="75"/>
      <c r="HQ50" s="75"/>
      <c r="HR50" s="75"/>
      <c r="HS50" s="75"/>
      <c r="HT50" s="75"/>
      <c r="HU50" s="75"/>
      <c r="HV50" s="75"/>
      <c r="HW50" s="75"/>
      <c r="HX50" s="75"/>
      <c r="HY50" s="75"/>
      <c r="HZ50" s="75"/>
      <c r="IA50" s="75"/>
      <c r="IB50" s="75"/>
      <c r="IC50" s="75"/>
      <c r="ID50" s="75"/>
      <c r="IE50" s="75"/>
      <c r="IF50" s="75"/>
      <c r="IG50" s="75"/>
      <c r="IH50" s="75"/>
      <c r="II50" s="75"/>
      <c r="IJ50" s="75"/>
      <c r="IK50" s="75"/>
      <c r="IL50" s="75"/>
      <c r="IM50" s="75"/>
      <c r="IN50" s="75"/>
      <c r="IO50" s="75"/>
      <c r="IP50" s="75"/>
      <c r="IQ50" s="75"/>
      <c r="IR50" s="75"/>
      <c r="IS50" s="75"/>
      <c r="IT50" s="75"/>
      <c r="IU50" s="75"/>
      <c r="IV50" s="75"/>
      <c r="IW50" s="75"/>
    </row>
    <row r="51" customFormat="false" ht="12.75" hidden="false" customHeight="false" outlineLevel="0" collapsed="false">
      <c r="B51" s="48"/>
      <c r="C51" s="46"/>
      <c r="D51" s="46"/>
      <c r="E51" s="47"/>
      <c r="F51" s="47"/>
      <c r="G51" s="48"/>
      <c r="H51" s="48"/>
      <c r="I51" s="46"/>
      <c r="J51" s="60"/>
      <c r="K51" s="51"/>
      <c r="L51" s="82"/>
      <c r="M51" s="51"/>
      <c r="N51" s="51"/>
      <c r="O51" s="52"/>
      <c r="P51" s="51"/>
      <c r="Q51" s="53"/>
      <c r="R51" s="54"/>
      <c r="S51" s="46"/>
      <c r="T51" s="79"/>
      <c r="U51" s="79"/>
      <c r="V51" s="80"/>
      <c r="W51" s="48"/>
      <c r="X51" s="74"/>
      <c r="Y51" s="74"/>
    </row>
    <row r="52" customFormat="false" ht="12.75" hidden="false" customHeight="false" outlineLevel="0" collapsed="false">
      <c r="B52" s="48"/>
      <c r="C52" s="46"/>
      <c r="D52" s="46"/>
      <c r="E52" s="47"/>
      <c r="F52" s="47"/>
      <c r="G52" s="48"/>
      <c r="H52" s="48"/>
      <c r="I52" s="46"/>
      <c r="J52" s="60"/>
      <c r="K52" s="51"/>
      <c r="L52" s="82"/>
      <c r="M52" s="51"/>
      <c r="N52" s="51"/>
      <c r="O52" s="94"/>
      <c r="P52" s="51"/>
      <c r="Q52" s="53"/>
      <c r="R52" s="46"/>
      <c r="S52" s="46"/>
      <c r="T52" s="95" t="n">
        <f aca="false">SUM(T49:T51)</f>
        <v>17517.44</v>
      </c>
      <c r="W52" s="48"/>
      <c r="X52" s="96"/>
      <c r="Y52" s="96"/>
    </row>
    <row r="53" customFormat="false" ht="11.25" hidden="false" customHeight="true" outlineLevel="0" collapsed="false">
      <c r="B53" s="65" t="s">
        <v>154</v>
      </c>
      <c r="C53" s="66" t="s">
        <v>155</v>
      </c>
      <c r="D53" s="66" t="s">
        <v>156</v>
      </c>
      <c r="E53" s="67" t="s">
        <v>157</v>
      </c>
      <c r="F53" s="67"/>
      <c r="G53" s="65" t="s">
        <v>158</v>
      </c>
      <c r="H53" s="65" t="s">
        <v>159</v>
      </c>
      <c r="I53" s="66" t="s">
        <v>160</v>
      </c>
      <c r="J53" s="68" t="s">
        <v>161</v>
      </c>
      <c r="K53" s="66" t="s">
        <v>162</v>
      </c>
      <c r="L53" s="66" t="s">
        <v>163</v>
      </c>
      <c r="M53" s="66" t="s">
        <v>164</v>
      </c>
      <c r="N53" s="66" t="s">
        <v>165</v>
      </c>
      <c r="O53" s="69" t="s">
        <v>166</v>
      </c>
      <c r="P53" s="66" t="s">
        <v>167</v>
      </c>
      <c r="Q53" s="70" t="s">
        <v>168</v>
      </c>
      <c r="R53" s="66" t="s">
        <v>169</v>
      </c>
      <c r="S53" s="65" t="s">
        <v>170</v>
      </c>
      <c r="T53" s="71" t="s">
        <v>171</v>
      </c>
      <c r="U53" s="71" t="s">
        <v>172</v>
      </c>
      <c r="V53" s="72" t="s">
        <v>173</v>
      </c>
      <c r="W53" s="73" t="e">
        <f aca="false">+#REF!</f>
        <v>#REF!</v>
      </c>
      <c r="X53" s="74"/>
      <c r="Y53" s="74"/>
    </row>
    <row r="54" customFormat="false" ht="12.75" hidden="false" customHeight="false" outlineLevel="0" collapsed="false">
      <c r="A54" s="75"/>
      <c r="B54" s="48" t="s">
        <v>174</v>
      </c>
      <c r="C54" s="46" t="s">
        <v>62</v>
      </c>
      <c r="D54" s="46" t="s">
        <v>209</v>
      </c>
      <c r="E54" s="47" t="n">
        <v>36770</v>
      </c>
      <c r="F54" s="47" t="n">
        <v>37894</v>
      </c>
      <c r="G54" s="48" t="s">
        <v>216</v>
      </c>
      <c r="H54" s="48" t="s">
        <v>217</v>
      </c>
      <c r="I54" s="46" t="s">
        <v>218</v>
      </c>
      <c r="J54" s="60" t="n">
        <f aca="false">7.5654/J$1</f>
        <v>0.25218</v>
      </c>
      <c r="K54" s="51" t="n">
        <v>0</v>
      </c>
      <c r="L54" s="51" t="n">
        <v>0.0022</v>
      </c>
      <c r="M54" s="51" t="n">
        <v>0</v>
      </c>
      <c r="N54" s="51" t="n">
        <v>0</v>
      </c>
      <c r="O54" s="52" t="n">
        <v>0</v>
      </c>
      <c r="P54" s="51" t="n">
        <f aca="false">SUM(J54:N54)</f>
        <v>0.25438</v>
      </c>
      <c r="Q54" s="97" t="n">
        <v>3.6673</v>
      </c>
      <c r="R54" s="78" t="n">
        <v>764</v>
      </c>
      <c r="S54" s="48" t="s">
        <v>219</v>
      </c>
      <c r="T54" s="79" t="n">
        <f aca="false">J54*J$1*R54</f>
        <v>5779.9656</v>
      </c>
      <c r="U54" s="79"/>
      <c r="V54" s="80" t="n">
        <v>375520</v>
      </c>
      <c r="W54" s="48"/>
      <c r="X54" s="74"/>
      <c r="Y54" s="74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  <c r="GS54" s="75"/>
      <c r="GT54" s="75"/>
      <c r="GU54" s="75"/>
      <c r="GV54" s="75"/>
      <c r="GW54" s="75"/>
      <c r="GX54" s="75"/>
      <c r="GY54" s="75"/>
      <c r="GZ54" s="75"/>
      <c r="HA54" s="75"/>
      <c r="HB54" s="75"/>
      <c r="HC54" s="75"/>
      <c r="HD54" s="75"/>
      <c r="HE54" s="75"/>
      <c r="HF54" s="75"/>
      <c r="HG54" s="75"/>
      <c r="HH54" s="75"/>
      <c r="HI54" s="75"/>
      <c r="HJ54" s="75"/>
      <c r="HK54" s="75"/>
      <c r="HL54" s="75"/>
      <c r="HM54" s="75"/>
      <c r="HN54" s="75"/>
      <c r="HO54" s="75"/>
      <c r="HP54" s="75"/>
      <c r="HQ54" s="75"/>
      <c r="HR54" s="75"/>
      <c r="HS54" s="75"/>
      <c r="HT54" s="75"/>
      <c r="HU54" s="75"/>
      <c r="HV54" s="75"/>
      <c r="HW54" s="75"/>
      <c r="HX54" s="75"/>
      <c r="HY54" s="75"/>
      <c r="HZ54" s="75"/>
      <c r="IA54" s="75"/>
      <c r="IB54" s="75"/>
      <c r="IC54" s="75"/>
      <c r="ID54" s="75"/>
      <c r="IE54" s="75"/>
      <c r="IF54" s="75"/>
      <c r="IG54" s="75"/>
      <c r="IH54" s="75"/>
      <c r="II54" s="75"/>
      <c r="IJ54" s="75"/>
      <c r="IK54" s="75"/>
      <c r="IL54" s="75"/>
      <c r="IM54" s="75"/>
      <c r="IN54" s="75"/>
      <c r="IO54" s="75"/>
      <c r="IP54" s="75"/>
      <c r="IQ54" s="75"/>
      <c r="IR54" s="75"/>
      <c r="IS54" s="75"/>
      <c r="IT54" s="75"/>
      <c r="IU54" s="75"/>
      <c r="IV54" s="75"/>
      <c r="IW54" s="75"/>
    </row>
    <row r="55" customFormat="false" ht="12.75" hidden="false" customHeight="false" outlineLevel="0" collapsed="false">
      <c r="A55" s="75"/>
      <c r="B55" s="48" t="s">
        <v>174</v>
      </c>
      <c r="C55" s="46" t="s">
        <v>62</v>
      </c>
      <c r="D55" s="46" t="s">
        <v>209</v>
      </c>
      <c r="E55" s="47" t="n">
        <v>36770</v>
      </c>
      <c r="F55" s="47" t="n">
        <v>37894</v>
      </c>
      <c r="G55" s="48" t="s">
        <v>220</v>
      </c>
      <c r="H55" s="48" t="s">
        <v>217</v>
      </c>
      <c r="I55" s="46" t="s">
        <v>218</v>
      </c>
      <c r="J55" s="60" t="n">
        <f aca="false">+J54</f>
        <v>0.25218</v>
      </c>
      <c r="K55" s="51" t="n">
        <v>0</v>
      </c>
      <c r="L55" s="51" t="n">
        <v>0.0022</v>
      </c>
      <c r="M55" s="51" t="n">
        <v>0</v>
      </c>
      <c r="N55" s="51" t="n">
        <v>0</v>
      </c>
      <c r="O55" s="52" t="n">
        <v>0</v>
      </c>
      <c r="P55" s="51" t="n">
        <f aca="false">SUM(J55:N55)</f>
        <v>0.25438</v>
      </c>
      <c r="Q55" s="97" t="n">
        <f aca="false">+Q54</f>
        <v>3.6673</v>
      </c>
      <c r="R55" s="78" t="n">
        <v>1123</v>
      </c>
      <c r="S55" s="48" t="str">
        <f aca="false">+S54</f>
        <v>#021351</v>
      </c>
      <c r="T55" s="79" t="n">
        <f aca="false">J55*J$1*R55</f>
        <v>8495.9442</v>
      </c>
      <c r="U55" s="79"/>
      <c r="V55" s="80" t="n">
        <f aca="false">+V54</f>
        <v>375520</v>
      </c>
      <c r="W55" s="48"/>
      <c r="X55" s="74"/>
      <c r="Y55" s="74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5"/>
      <c r="HG55" s="75"/>
      <c r="HH55" s="75"/>
      <c r="HI55" s="75"/>
      <c r="HJ55" s="75"/>
      <c r="HK55" s="75"/>
      <c r="HL55" s="75"/>
      <c r="HM55" s="75"/>
      <c r="HN55" s="75"/>
      <c r="HO55" s="75"/>
      <c r="HP55" s="75"/>
      <c r="HQ55" s="75"/>
      <c r="HR55" s="75"/>
      <c r="HS55" s="75"/>
      <c r="HT55" s="75"/>
      <c r="HU55" s="75"/>
      <c r="HV55" s="75"/>
      <c r="HW55" s="75"/>
      <c r="HX55" s="75"/>
      <c r="HY55" s="75"/>
      <c r="HZ55" s="75"/>
      <c r="IA55" s="75"/>
      <c r="IB55" s="75"/>
      <c r="IC55" s="75"/>
      <c r="ID55" s="75"/>
      <c r="IE55" s="75"/>
      <c r="IF55" s="75"/>
      <c r="IG55" s="75"/>
      <c r="IH55" s="75"/>
      <c r="II55" s="75"/>
      <c r="IJ55" s="75"/>
      <c r="IK55" s="75"/>
      <c r="IL55" s="75"/>
      <c r="IM55" s="75"/>
      <c r="IN55" s="75"/>
      <c r="IO55" s="75"/>
      <c r="IP55" s="75"/>
      <c r="IQ55" s="75"/>
      <c r="IR55" s="75"/>
      <c r="IS55" s="75"/>
      <c r="IT55" s="75"/>
      <c r="IU55" s="75"/>
      <c r="IV55" s="75"/>
      <c r="IW55" s="75"/>
    </row>
    <row r="56" customFormat="false" ht="12.75" hidden="false" customHeight="false" outlineLevel="0" collapsed="false">
      <c r="A56" s="75"/>
      <c r="B56" s="48" t="s">
        <v>174</v>
      </c>
      <c r="C56" s="46" t="s">
        <v>62</v>
      </c>
      <c r="D56" s="46" t="s">
        <v>209</v>
      </c>
      <c r="E56" s="47" t="n">
        <v>36770</v>
      </c>
      <c r="F56" s="47" t="n">
        <v>37894</v>
      </c>
      <c r="G56" s="48" t="s">
        <v>195</v>
      </c>
      <c r="H56" s="48" t="s">
        <v>217</v>
      </c>
      <c r="I56" s="46" t="s">
        <v>218</v>
      </c>
      <c r="J56" s="60" t="n">
        <f aca="false">+J55</f>
        <v>0.25218</v>
      </c>
      <c r="K56" s="51" t="n">
        <v>0</v>
      </c>
      <c r="L56" s="51" t="n">
        <v>0.0022</v>
      </c>
      <c r="M56" s="51" t="n">
        <v>0</v>
      </c>
      <c r="N56" s="51" t="n">
        <v>0</v>
      </c>
      <c r="O56" s="52" t="n">
        <v>0</v>
      </c>
      <c r="P56" s="51" t="n">
        <f aca="false">SUM(J56:N56)</f>
        <v>0.25438</v>
      </c>
      <c r="Q56" s="97" t="n">
        <f aca="false">+Q55</f>
        <v>3.6673</v>
      </c>
      <c r="R56" s="78" t="n">
        <f aca="false">853+1752</f>
        <v>2605</v>
      </c>
      <c r="S56" s="48" t="str">
        <f aca="false">+S55</f>
        <v>#021351</v>
      </c>
      <c r="T56" s="79" t="n">
        <f aca="false">J56*J$1*R56</f>
        <v>19707.867</v>
      </c>
      <c r="U56" s="79"/>
      <c r="V56" s="80" t="n">
        <f aca="false">+V55</f>
        <v>375520</v>
      </c>
      <c r="W56" s="48"/>
      <c r="X56" s="74"/>
      <c r="Y56" s="74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5"/>
      <c r="FH56" s="75"/>
      <c r="FI56" s="75"/>
      <c r="FJ56" s="75"/>
      <c r="FK56" s="75"/>
      <c r="FL56" s="75"/>
      <c r="FM56" s="75"/>
      <c r="FN56" s="75"/>
      <c r="FO56" s="75"/>
      <c r="FP56" s="75"/>
      <c r="FQ56" s="75"/>
      <c r="FR56" s="75"/>
      <c r="FS56" s="75"/>
      <c r="FT56" s="75"/>
      <c r="FU56" s="75"/>
      <c r="FV56" s="75"/>
      <c r="FW56" s="75"/>
      <c r="FX56" s="75"/>
      <c r="FY56" s="75"/>
      <c r="FZ56" s="75"/>
      <c r="GA56" s="75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L56" s="75"/>
      <c r="GM56" s="75"/>
      <c r="GN56" s="75"/>
      <c r="GO56" s="75"/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5"/>
      <c r="HB56" s="75"/>
      <c r="HC56" s="75"/>
      <c r="HD56" s="75"/>
      <c r="HE56" s="75"/>
      <c r="HF56" s="75"/>
      <c r="HG56" s="75"/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5"/>
      <c r="IF56" s="75"/>
      <c r="IG56" s="75"/>
      <c r="IH56" s="75"/>
      <c r="II56" s="75"/>
      <c r="IJ56" s="75"/>
      <c r="IK56" s="75"/>
      <c r="IL56" s="75"/>
      <c r="IM56" s="75"/>
      <c r="IN56" s="75"/>
      <c r="IO56" s="75"/>
      <c r="IP56" s="75"/>
      <c r="IQ56" s="75"/>
      <c r="IR56" s="75"/>
      <c r="IS56" s="75"/>
      <c r="IT56" s="75"/>
      <c r="IU56" s="75"/>
      <c r="IV56" s="75"/>
      <c r="IW56" s="75"/>
    </row>
    <row r="57" customFormat="false" ht="12.75" hidden="false" customHeight="false" outlineLevel="0" collapsed="false">
      <c r="A57" s="98"/>
      <c r="B57" s="99" t="s">
        <v>174</v>
      </c>
      <c r="C57" s="100" t="s">
        <v>62</v>
      </c>
      <c r="D57" s="100" t="s">
        <v>209</v>
      </c>
      <c r="E57" s="101" t="n">
        <v>36831</v>
      </c>
      <c r="F57" s="101" t="n">
        <v>36860</v>
      </c>
      <c r="G57" s="99" t="s">
        <v>216</v>
      </c>
      <c r="H57" s="99" t="s">
        <v>217</v>
      </c>
      <c r="I57" s="100" t="s">
        <v>218</v>
      </c>
      <c r="J57" s="102" t="n">
        <f aca="false">7.5654/J$1</f>
        <v>0.25218</v>
      </c>
      <c r="K57" s="103" t="n">
        <v>0</v>
      </c>
      <c r="L57" s="103" t="n">
        <v>0.0022</v>
      </c>
      <c r="M57" s="103" t="n">
        <v>0</v>
      </c>
      <c r="N57" s="103" t="n">
        <v>0</v>
      </c>
      <c r="O57" s="104" t="n">
        <v>0</v>
      </c>
      <c r="P57" s="103" t="n">
        <f aca="false">SUM(J57:N57)</f>
        <v>0.25438</v>
      </c>
      <c r="Q57" s="105" t="n">
        <v>3.7264</v>
      </c>
      <c r="R57" s="106" t="n">
        <v>20</v>
      </c>
      <c r="S57" s="99" t="s">
        <v>221</v>
      </c>
      <c r="T57" s="107" t="n">
        <f aca="false">J57*J$1*R57</f>
        <v>151.308</v>
      </c>
      <c r="U57" s="107"/>
      <c r="V57" s="108" t="n">
        <v>452431</v>
      </c>
      <c r="W57" s="48" t="s">
        <v>222</v>
      </c>
      <c r="X57" s="74"/>
      <c r="Y57" s="74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  <c r="GS57" s="75"/>
      <c r="GT57" s="75"/>
      <c r="GU57" s="75"/>
      <c r="GV57" s="75"/>
      <c r="GW57" s="75"/>
      <c r="GX57" s="75"/>
      <c r="GY57" s="75"/>
      <c r="GZ57" s="75"/>
      <c r="HA57" s="75"/>
      <c r="HB57" s="75"/>
      <c r="HC57" s="75"/>
      <c r="HD57" s="75"/>
      <c r="HE57" s="75"/>
      <c r="HF57" s="75"/>
      <c r="HG57" s="75"/>
      <c r="HH57" s="75"/>
      <c r="HI57" s="75"/>
      <c r="HJ57" s="75"/>
      <c r="HK57" s="75"/>
      <c r="HL57" s="75"/>
      <c r="HM57" s="75"/>
      <c r="HN57" s="75"/>
      <c r="HO57" s="75"/>
      <c r="HP57" s="75"/>
      <c r="HQ57" s="75"/>
      <c r="HR57" s="75"/>
      <c r="HS57" s="75"/>
      <c r="HT57" s="75"/>
      <c r="HU57" s="75"/>
      <c r="HV57" s="75"/>
      <c r="HW57" s="75"/>
      <c r="HX57" s="75"/>
      <c r="HY57" s="75"/>
      <c r="HZ57" s="75"/>
      <c r="IA57" s="75"/>
      <c r="IB57" s="75"/>
      <c r="IC57" s="75"/>
      <c r="ID57" s="75"/>
      <c r="IE57" s="75"/>
      <c r="IF57" s="75"/>
      <c r="IG57" s="75"/>
      <c r="IH57" s="75"/>
      <c r="II57" s="75"/>
      <c r="IJ57" s="75"/>
      <c r="IK57" s="75"/>
      <c r="IL57" s="75"/>
      <c r="IM57" s="75"/>
      <c r="IN57" s="75"/>
      <c r="IO57" s="75"/>
      <c r="IP57" s="75"/>
      <c r="IQ57" s="75"/>
      <c r="IR57" s="75"/>
      <c r="IS57" s="75"/>
      <c r="IT57" s="75"/>
      <c r="IU57" s="75"/>
      <c r="IV57" s="75"/>
      <c r="IW57" s="75"/>
    </row>
    <row r="58" customFormat="false" ht="12.75" hidden="false" customHeight="false" outlineLevel="0" collapsed="false">
      <c r="A58" s="98"/>
      <c r="B58" s="99" t="s">
        <v>174</v>
      </c>
      <c r="C58" s="100" t="s">
        <v>62</v>
      </c>
      <c r="D58" s="100" t="s">
        <v>209</v>
      </c>
      <c r="E58" s="101" t="n">
        <v>36831</v>
      </c>
      <c r="F58" s="101" t="n">
        <v>36860</v>
      </c>
      <c r="G58" s="99" t="s">
        <v>220</v>
      </c>
      <c r="H58" s="99" t="s">
        <v>217</v>
      </c>
      <c r="I58" s="100" t="s">
        <v>218</v>
      </c>
      <c r="J58" s="102" t="n">
        <f aca="false">7.5654/J$1</f>
        <v>0.25218</v>
      </c>
      <c r="K58" s="103" t="n">
        <v>0</v>
      </c>
      <c r="L58" s="103" t="n">
        <v>0.0022</v>
      </c>
      <c r="M58" s="103" t="n">
        <v>0</v>
      </c>
      <c r="N58" s="103" t="n">
        <v>0</v>
      </c>
      <c r="O58" s="104" t="n">
        <v>0</v>
      </c>
      <c r="P58" s="103" t="n">
        <f aca="false">SUM(J58:N58)</f>
        <v>0.25438</v>
      </c>
      <c r="Q58" s="105" t="n">
        <v>3.7264</v>
      </c>
      <c r="R58" s="78" t="n">
        <v>29</v>
      </c>
      <c r="S58" s="99" t="str">
        <f aca="false">+S57</f>
        <v>#021874</v>
      </c>
      <c r="T58" s="107" t="n">
        <f aca="false">J58*J$1*R58</f>
        <v>219.3966</v>
      </c>
      <c r="U58" s="107"/>
      <c r="V58" s="108" t="n">
        <v>452431</v>
      </c>
      <c r="W58" s="48" t="s">
        <v>222</v>
      </c>
      <c r="X58" s="74"/>
      <c r="Y58" s="74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  <c r="FR58" s="75"/>
      <c r="FS58" s="75"/>
      <c r="FT58" s="75"/>
      <c r="FU58" s="75"/>
      <c r="FV58" s="75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  <c r="GS58" s="75"/>
      <c r="GT58" s="75"/>
      <c r="GU58" s="75"/>
      <c r="GV58" s="75"/>
      <c r="GW58" s="75"/>
      <c r="GX58" s="75"/>
      <c r="GY58" s="75"/>
      <c r="GZ58" s="75"/>
      <c r="HA58" s="75"/>
      <c r="HB58" s="75"/>
      <c r="HC58" s="75"/>
      <c r="HD58" s="75"/>
      <c r="HE58" s="75"/>
      <c r="HF58" s="75"/>
      <c r="HG58" s="75"/>
      <c r="HH58" s="75"/>
      <c r="HI58" s="75"/>
      <c r="HJ58" s="75"/>
      <c r="HK58" s="75"/>
      <c r="HL58" s="75"/>
      <c r="HM58" s="75"/>
      <c r="HN58" s="75"/>
      <c r="HO58" s="75"/>
      <c r="HP58" s="75"/>
      <c r="HQ58" s="75"/>
      <c r="HR58" s="75"/>
      <c r="HS58" s="75"/>
      <c r="HT58" s="75"/>
      <c r="HU58" s="75"/>
      <c r="HV58" s="75"/>
      <c r="HW58" s="75"/>
      <c r="HX58" s="75"/>
      <c r="HY58" s="75"/>
      <c r="HZ58" s="75"/>
      <c r="IA58" s="75"/>
      <c r="IB58" s="75"/>
      <c r="IC58" s="75"/>
      <c r="ID58" s="75"/>
      <c r="IE58" s="75"/>
      <c r="IF58" s="75"/>
      <c r="IG58" s="75"/>
      <c r="IH58" s="75"/>
      <c r="II58" s="75"/>
      <c r="IJ58" s="75"/>
      <c r="IK58" s="75"/>
      <c r="IL58" s="75"/>
      <c r="IM58" s="75"/>
      <c r="IN58" s="75"/>
      <c r="IO58" s="75"/>
      <c r="IP58" s="75"/>
      <c r="IQ58" s="75"/>
      <c r="IR58" s="75"/>
      <c r="IS58" s="75"/>
      <c r="IT58" s="75"/>
      <c r="IU58" s="75"/>
      <c r="IV58" s="75"/>
      <c r="IW58" s="75"/>
    </row>
    <row r="59" customFormat="false" ht="12.75" hidden="false" customHeight="false" outlineLevel="0" collapsed="false">
      <c r="A59" s="98"/>
      <c r="B59" s="99" t="s">
        <v>174</v>
      </c>
      <c r="C59" s="100" t="s">
        <v>62</v>
      </c>
      <c r="D59" s="100" t="s">
        <v>209</v>
      </c>
      <c r="E59" s="101" t="n">
        <v>36831</v>
      </c>
      <c r="F59" s="101" t="n">
        <v>36860</v>
      </c>
      <c r="G59" s="99" t="s">
        <v>195</v>
      </c>
      <c r="H59" s="99" t="s">
        <v>217</v>
      </c>
      <c r="I59" s="100" t="s">
        <v>218</v>
      </c>
      <c r="J59" s="102" t="n">
        <f aca="false">7.5654/J$1</f>
        <v>0.25218</v>
      </c>
      <c r="K59" s="103" t="n">
        <v>0</v>
      </c>
      <c r="L59" s="103" t="n">
        <v>0.0022</v>
      </c>
      <c r="M59" s="103" t="n">
        <v>0</v>
      </c>
      <c r="N59" s="103" t="n">
        <v>0</v>
      </c>
      <c r="O59" s="104" t="n">
        <v>0</v>
      </c>
      <c r="P59" s="103" t="n">
        <f aca="false">SUM(J59:N59)</f>
        <v>0.25438</v>
      </c>
      <c r="Q59" s="105" t="n">
        <v>3.7264</v>
      </c>
      <c r="R59" s="78" t="n">
        <f aca="false">22+46</f>
        <v>68</v>
      </c>
      <c r="S59" s="99" t="str">
        <f aca="false">+S58</f>
        <v>#021874</v>
      </c>
      <c r="T59" s="107" t="n">
        <f aca="false">J59*J$1*R59</f>
        <v>514.4472</v>
      </c>
      <c r="U59" s="107"/>
      <c r="V59" s="108" t="n">
        <v>452431</v>
      </c>
      <c r="W59" s="48" t="s">
        <v>222</v>
      </c>
      <c r="X59" s="74"/>
      <c r="Y59" s="74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5"/>
      <c r="HE59" s="75"/>
      <c r="HF59" s="75"/>
      <c r="HG59" s="75"/>
      <c r="HH59" s="75"/>
      <c r="HI59" s="75"/>
      <c r="HJ59" s="75"/>
      <c r="HK59" s="75"/>
      <c r="HL59" s="75"/>
      <c r="HM59" s="75"/>
      <c r="HN59" s="75"/>
      <c r="HO59" s="75"/>
      <c r="HP59" s="75"/>
      <c r="HQ59" s="75"/>
      <c r="HR59" s="75"/>
      <c r="HS59" s="75"/>
      <c r="HT59" s="75"/>
      <c r="HU59" s="75"/>
      <c r="HV59" s="75"/>
      <c r="HW59" s="75"/>
      <c r="HX59" s="75"/>
      <c r="HY59" s="75"/>
      <c r="HZ59" s="75"/>
      <c r="IA59" s="75"/>
      <c r="IB59" s="75"/>
      <c r="IC59" s="75"/>
      <c r="ID59" s="75"/>
      <c r="IE59" s="75"/>
      <c r="IF59" s="75"/>
      <c r="IG59" s="75"/>
      <c r="IH59" s="75"/>
      <c r="II59" s="75"/>
      <c r="IJ59" s="75"/>
      <c r="IK59" s="75"/>
      <c r="IL59" s="75"/>
      <c r="IM59" s="75"/>
      <c r="IN59" s="75"/>
      <c r="IO59" s="75"/>
      <c r="IP59" s="75"/>
      <c r="IQ59" s="75"/>
      <c r="IR59" s="75"/>
      <c r="IS59" s="75"/>
      <c r="IT59" s="75"/>
      <c r="IU59" s="75"/>
      <c r="IV59" s="75"/>
      <c r="IW59" s="75"/>
    </row>
    <row r="60" customFormat="false" ht="12.75" hidden="false" customHeight="false" outlineLevel="0" collapsed="false">
      <c r="A60" s="75"/>
      <c r="B60" s="48" t="s">
        <v>174</v>
      </c>
      <c r="C60" s="46" t="s">
        <v>62</v>
      </c>
      <c r="D60" s="46" t="s">
        <v>209</v>
      </c>
      <c r="E60" s="47" t="n">
        <v>36770</v>
      </c>
      <c r="F60" s="47" t="n">
        <v>37864</v>
      </c>
      <c r="G60" s="48" t="s">
        <v>216</v>
      </c>
      <c r="H60" s="48" t="s">
        <v>217</v>
      </c>
      <c r="I60" s="46" t="s">
        <v>218</v>
      </c>
      <c r="J60" s="60" t="n">
        <f aca="false">7.5654/J$1</f>
        <v>0.25218</v>
      </c>
      <c r="K60" s="51" t="n">
        <v>0</v>
      </c>
      <c r="L60" s="51" t="n">
        <v>0.0022</v>
      </c>
      <c r="M60" s="51" t="n">
        <v>0</v>
      </c>
      <c r="N60" s="51" t="n">
        <v>0</v>
      </c>
      <c r="O60" s="52" t="n">
        <v>0</v>
      </c>
      <c r="P60" s="51" t="n">
        <f aca="false">SUM(J60:N60)</f>
        <v>0.25438</v>
      </c>
      <c r="Q60" s="97" t="n">
        <v>3.6675</v>
      </c>
      <c r="R60" s="106" t="n">
        <v>46</v>
      </c>
      <c r="S60" s="48" t="s">
        <v>223</v>
      </c>
      <c r="T60" s="79" t="n">
        <f aca="false">J60*J$1*R60</f>
        <v>348.0084</v>
      </c>
      <c r="U60" s="79"/>
      <c r="V60" s="80" t="n">
        <v>375532</v>
      </c>
      <c r="W60" s="48"/>
      <c r="X60" s="74"/>
      <c r="Y60" s="74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  <c r="GV60" s="75"/>
      <c r="GW60" s="75"/>
      <c r="GX60" s="75"/>
      <c r="GY60" s="75"/>
      <c r="GZ60" s="75"/>
      <c r="HA60" s="75"/>
      <c r="HB60" s="75"/>
      <c r="HC60" s="75"/>
      <c r="HD60" s="75"/>
      <c r="HE60" s="75"/>
      <c r="HF60" s="75"/>
      <c r="HG60" s="75"/>
      <c r="HH60" s="75"/>
      <c r="HI60" s="75"/>
      <c r="HJ60" s="75"/>
      <c r="HK60" s="75"/>
      <c r="HL60" s="75"/>
      <c r="HM60" s="75"/>
      <c r="HN60" s="75"/>
      <c r="HO60" s="75"/>
      <c r="HP60" s="75"/>
      <c r="HQ60" s="75"/>
      <c r="HR60" s="75"/>
      <c r="HS60" s="75"/>
      <c r="HT60" s="75"/>
      <c r="HU60" s="75"/>
      <c r="HV60" s="75"/>
      <c r="HW60" s="75"/>
      <c r="HX60" s="75"/>
      <c r="HY60" s="75"/>
      <c r="HZ60" s="75"/>
      <c r="IA60" s="75"/>
      <c r="IB60" s="75"/>
      <c r="IC60" s="75"/>
      <c r="ID60" s="75"/>
      <c r="IE60" s="75"/>
      <c r="IF60" s="75"/>
      <c r="IG60" s="75"/>
      <c r="IH60" s="75"/>
      <c r="II60" s="75"/>
      <c r="IJ60" s="75"/>
      <c r="IK60" s="75"/>
      <c r="IL60" s="75"/>
      <c r="IM60" s="75"/>
      <c r="IN60" s="75"/>
      <c r="IO60" s="75"/>
      <c r="IP60" s="75"/>
      <c r="IQ60" s="75"/>
      <c r="IR60" s="75"/>
      <c r="IS60" s="75"/>
      <c r="IT60" s="75"/>
      <c r="IU60" s="75"/>
      <c r="IV60" s="75"/>
      <c r="IW60" s="75"/>
    </row>
    <row r="61" customFormat="false" ht="12.75" hidden="false" customHeight="false" outlineLevel="0" collapsed="false">
      <c r="A61" s="75"/>
      <c r="B61" s="48" t="s">
        <v>174</v>
      </c>
      <c r="C61" s="46" t="s">
        <v>62</v>
      </c>
      <c r="D61" s="46" t="s">
        <v>209</v>
      </c>
      <c r="E61" s="47" t="n">
        <v>36770</v>
      </c>
      <c r="F61" s="47" t="n">
        <v>37864</v>
      </c>
      <c r="G61" s="48" t="s">
        <v>220</v>
      </c>
      <c r="H61" s="48" t="s">
        <v>217</v>
      </c>
      <c r="I61" s="46" t="s">
        <v>218</v>
      </c>
      <c r="J61" s="60" t="n">
        <f aca="false">7.5654/J$1</f>
        <v>0.25218</v>
      </c>
      <c r="K61" s="51" t="n">
        <v>0</v>
      </c>
      <c r="L61" s="51" t="n">
        <v>0.0022</v>
      </c>
      <c r="M61" s="51" t="n">
        <v>0</v>
      </c>
      <c r="N61" s="51" t="n">
        <v>0</v>
      </c>
      <c r="O61" s="52" t="n">
        <v>0</v>
      </c>
      <c r="P61" s="51" t="n">
        <f aca="false">SUM(J61:N61)</f>
        <v>0.25438</v>
      </c>
      <c r="Q61" s="97" t="n">
        <f aca="false">+Q60</f>
        <v>3.6675</v>
      </c>
      <c r="R61" s="78" t="n">
        <v>68</v>
      </c>
      <c r="S61" s="48" t="str">
        <f aca="false">+S60</f>
        <v>#021349</v>
      </c>
      <c r="T61" s="79" t="n">
        <f aca="false">J61*J$1*R61</f>
        <v>514.4472</v>
      </c>
      <c r="U61" s="79"/>
      <c r="V61" s="80" t="n">
        <v>375532</v>
      </c>
      <c r="W61" s="48"/>
      <c r="X61" s="74"/>
      <c r="Y61" s="74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  <c r="HI61" s="75"/>
      <c r="HJ61" s="75"/>
      <c r="HK61" s="75"/>
      <c r="HL61" s="75"/>
      <c r="HM61" s="75"/>
      <c r="HN61" s="75"/>
      <c r="HO61" s="75"/>
      <c r="HP61" s="75"/>
      <c r="HQ61" s="75"/>
      <c r="HR61" s="75"/>
      <c r="HS61" s="75"/>
      <c r="HT61" s="75"/>
      <c r="HU61" s="75"/>
      <c r="HV61" s="75"/>
      <c r="HW61" s="75"/>
      <c r="HX61" s="75"/>
      <c r="HY61" s="75"/>
      <c r="HZ61" s="75"/>
      <c r="IA61" s="75"/>
      <c r="IB61" s="75"/>
      <c r="IC61" s="75"/>
      <c r="ID61" s="75"/>
      <c r="IE61" s="75"/>
      <c r="IF61" s="75"/>
      <c r="IG61" s="75"/>
      <c r="IH61" s="75"/>
      <c r="II61" s="75"/>
      <c r="IJ61" s="75"/>
      <c r="IK61" s="75"/>
      <c r="IL61" s="75"/>
      <c r="IM61" s="75"/>
      <c r="IN61" s="75"/>
      <c r="IO61" s="75"/>
      <c r="IP61" s="75"/>
      <c r="IQ61" s="75"/>
      <c r="IR61" s="75"/>
      <c r="IS61" s="75"/>
      <c r="IT61" s="75"/>
      <c r="IU61" s="75"/>
      <c r="IV61" s="75"/>
      <c r="IW61" s="75"/>
    </row>
    <row r="62" customFormat="false" ht="12.75" hidden="false" customHeight="false" outlineLevel="0" collapsed="false">
      <c r="A62" s="75"/>
      <c r="B62" s="48" t="s">
        <v>174</v>
      </c>
      <c r="C62" s="46" t="s">
        <v>62</v>
      </c>
      <c r="D62" s="46" t="s">
        <v>209</v>
      </c>
      <c r="E62" s="47" t="n">
        <v>36770</v>
      </c>
      <c r="F62" s="47" t="n">
        <v>37864</v>
      </c>
      <c r="G62" s="48" t="s">
        <v>195</v>
      </c>
      <c r="H62" s="48" t="s">
        <v>217</v>
      </c>
      <c r="I62" s="46" t="s">
        <v>218</v>
      </c>
      <c r="J62" s="60" t="n">
        <f aca="false">7.5654/J$1</f>
        <v>0.25218</v>
      </c>
      <c r="K62" s="51" t="n">
        <v>0</v>
      </c>
      <c r="L62" s="51" t="n">
        <v>0.0022</v>
      </c>
      <c r="M62" s="51" t="n">
        <v>0</v>
      </c>
      <c r="N62" s="51" t="n">
        <v>0</v>
      </c>
      <c r="O62" s="52" t="n">
        <v>0</v>
      </c>
      <c r="P62" s="51" t="n">
        <f aca="false">SUM(J62:N62)</f>
        <v>0.25438</v>
      </c>
      <c r="Q62" s="97" t="n">
        <f aca="false">+Q61</f>
        <v>3.6675</v>
      </c>
      <c r="R62" s="78" t="n">
        <f aca="false">51+105</f>
        <v>156</v>
      </c>
      <c r="S62" s="48" t="str">
        <f aca="false">+S61</f>
        <v>#021349</v>
      </c>
      <c r="T62" s="79" t="n">
        <f aca="false">J62*J$1*R62</f>
        <v>1180.2024</v>
      </c>
      <c r="U62" s="79"/>
      <c r="V62" s="80" t="n">
        <v>375532</v>
      </c>
      <c r="W62" s="48"/>
      <c r="X62" s="74"/>
      <c r="Y62" s="74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</row>
    <row r="63" customFormat="false" ht="12.75" hidden="false" customHeight="false" outlineLevel="0" collapsed="false">
      <c r="A63" s="75"/>
      <c r="B63" s="48" t="s">
        <v>174</v>
      </c>
      <c r="C63" s="46" t="s">
        <v>62</v>
      </c>
      <c r="D63" s="46" t="s">
        <v>209</v>
      </c>
      <c r="E63" s="47" t="n">
        <v>36770</v>
      </c>
      <c r="F63" s="47" t="n">
        <v>37864</v>
      </c>
      <c r="G63" s="48" t="s">
        <v>224</v>
      </c>
      <c r="H63" s="48" t="s">
        <v>217</v>
      </c>
      <c r="I63" s="46" t="s">
        <v>225</v>
      </c>
      <c r="J63" s="60" t="n">
        <f aca="false">14.1875/30</f>
        <v>0.472916666666667</v>
      </c>
      <c r="K63" s="51" t="n">
        <v>0</v>
      </c>
      <c r="L63" s="51" t="n">
        <v>0.0022</v>
      </c>
      <c r="M63" s="51" t="n">
        <v>0</v>
      </c>
      <c r="N63" s="51" t="n">
        <v>0</v>
      </c>
      <c r="O63" s="52" t="n">
        <v>0</v>
      </c>
      <c r="P63" s="51" t="n">
        <f aca="false">SUM(J63:N63)</f>
        <v>0.475116666666667</v>
      </c>
      <c r="Q63" s="109" t="n">
        <v>3.6674</v>
      </c>
      <c r="R63" s="110" t="n">
        <v>3575</v>
      </c>
      <c r="S63" s="48" t="s">
        <v>226</v>
      </c>
      <c r="T63" s="79" t="n">
        <f aca="false">J63*J$1*R63</f>
        <v>50720.3125</v>
      </c>
      <c r="U63" s="79"/>
      <c r="V63" s="80" t="n">
        <v>375527</v>
      </c>
      <c r="W63" s="48"/>
      <c r="X63" s="74"/>
      <c r="Y63" s="74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  <c r="EO63" s="75"/>
      <c r="EP63" s="75"/>
      <c r="EQ63" s="75"/>
      <c r="ER63" s="75"/>
      <c r="ES63" s="75"/>
      <c r="ET63" s="75"/>
      <c r="EU63" s="75"/>
      <c r="EV63" s="75"/>
      <c r="EW63" s="75"/>
      <c r="EX63" s="75"/>
      <c r="EY63" s="75"/>
      <c r="EZ63" s="75"/>
      <c r="FA63" s="75"/>
      <c r="FB63" s="75"/>
      <c r="FC63" s="75"/>
      <c r="FD63" s="75"/>
      <c r="FE63" s="75"/>
      <c r="FF63" s="75"/>
      <c r="FG63" s="75"/>
      <c r="FH63" s="75"/>
      <c r="FI63" s="75"/>
      <c r="FJ63" s="75"/>
      <c r="FK63" s="75"/>
      <c r="FL63" s="75"/>
      <c r="FM63" s="75"/>
      <c r="FN63" s="75"/>
      <c r="FO63" s="75"/>
      <c r="FP63" s="75"/>
      <c r="FQ63" s="75"/>
      <c r="FR63" s="75"/>
      <c r="FS63" s="75"/>
      <c r="FT63" s="75"/>
      <c r="FU63" s="75"/>
      <c r="FV63" s="75"/>
      <c r="FW63" s="75"/>
      <c r="FX63" s="75"/>
      <c r="FY63" s="75"/>
      <c r="FZ63" s="75"/>
      <c r="GA63" s="75"/>
      <c r="GB63" s="75"/>
      <c r="GC63" s="75"/>
      <c r="GD63" s="75"/>
      <c r="GE63" s="75"/>
      <c r="GF63" s="75"/>
      <c r="GG63" s="75"/>
      <c r="GH63" s="75"/>
      <c r="GI63" s="75"/>
      <c r="GJ63" s="75"/>
      <c r="GK63" s="75"/>
      <c r="GL63" s="75"/>
      <c r="GM63" s="75"/>
      <c r="GN63" s="75"/>
      <c r="GO63" s="75"/>
      <c r="GP63" s="75"/>
      <c r="GQ63" s="75"/>
      <c r="GR63" s="75"/>
      <c r="GS63" s="75"/>
      <c r="GT63" s="75"/>
      <c r="GU63" s="75"/>
      <c r="GV63" s="75"/>
      <c r="GW63" s="75"/>
      <c r="GX63" s="75"/>
      <c r="GY63" s="75"/>
      <c r="GZ63" s="75"/>
      <c r="HA63" s="75"/>
      <c r="HB63" s="75"/>
      <c r="HC63" s="75"/>
      <c r="HD63" s="75"/>
      <c r="HE63" s="75"/>
      <c r="HF63" s="75"/>
      <c r="HG63" s="75"/>
      <c r="HH63" s="75"/>
      <c r="HI63" s="75"/>
      <c r="HJ63" s="75"/>
      <c r="HK63" s="75"/>
      <c r="HL63" s="75"/>
      <c r="HM63" s="75"/>
      <c r="HN63" s="75"/>
      <c r="HO63" s="75"/>
      <c r="HP63" s="75"/>
      <c r="HQ63" s="75"/>
      <c r="HR63" s="75"/>
      <c r="HS63" s="75"/>
      <c r="HT63" s="75"/>
      <c r="HU63" s="75"/>
      <c r="HV63" s="75"/>
      <c r="HW63" s="75"/>
      <c r="HX63" s="75"/>
      <c r="HY63" s="75"/>
      <c r="HZ63" s="75"/>
      <c r="IA63" s="75"/>
      <c r="IB63" s="75"/>
      <c r="IC63" s="75"/>
      <c r="ID63" s="75"/>
      <c r="IE63" s="75"/>
      <c r="IF63" s="75"/>
      <c r="IG63" s="75"/>
      <c r="IH63" s="75"/>
      <c r="II63" s="75"/>
      <c r="IJ63" s="75"/>
      <c r="IK63" s="75"/>
      <c r="IL63" s="75"/>
      <c r="IM63" s="75"/>
      <c r="IN63" s="75"/>
      <c r="IO63" s="75"/>
      <c r="IP63" s="75"/>
      <c r="IQ63" s="75"/>
      <c r="IR63" s="75"/>
      <c r="IS63" s="75"/>
      <c r="IT63" s="75"/>
      <c r="IU63" s="75"/>
      <c r="IV63" s="75"/>
      <c r="IW63" s="75"/>
    </row>
    <row r="64" customFormat="false" ht="12.75" hidden="false" customHeight="false" outlineLevel="0" collapsed="false">
      <c r="A64" s="98"/>
      <c r="B64" s="99" t="s">
        <v>174</v>
      </c>
      <c r="C64" s="100" t="s">
        <v>62</v>
      </c>
      <c r="D64" s="100" t="s">
        <v>209</v>
      </c>
      <c r="E64" s="101" t="n">
        <v>36831</v>
      </c>
      <c r="F64" s="101" t="n">
        <v>36860</v>
      </c>
      <c r="G64" s="99" t="s">
        <v>224</v>
      </c>
      <c r="H64" s="99" t="s">
        <v>217</v>
      </c>
      <c r="I64" s="100" t="s">
        <v>225</v>
      </c>
      <c r="J64" s="102" t="n">
        <f aca="false">14.1875/30</f>
        <v>0.472916666666667</v>
      </c>
      <c r="K64" s="103" t="n">
        <v>0</v>
      </c>
      <c r="L64" s="103" t="n">
        <v>0.0022</v>
      </c>
      <c r="M64" s="103" t="n">
        <v>0</v>
      </c>
      <c r="N64" s="103" t="n">
        <v>0</v>
      </c>
      <c r="O64" s="104" t="n">
        <v>0</v>
      </c>
      <c r="P64" s="103" t="n">
        <f aca="false">SUM(J64:N64)</f>
        <v>0.475116666666667</v>
      </c>
      <c r="Q64" s="111" t="n">
        <v>3.7265</v>
      </c>
      <c r="R64" s="100" t="n">
        <v>1536</v>
      </c>
      <c r="S64" s="99" t="s">
        <v>227</v>
      </c>
      <c r="T64" s="107" t="n">
        <f aca="false">J64*J$1*R64</f>
        <v>21792</v>
      </c>
      <c r="U64" s="107"/>
      <c r="V64" s="108" t="n">
        <v>452447</v>
      </c>
      <c r="W64" s="48" t="s">
        <v>222</v>
      </c>
      <c r="X64" s="74"/>
      <c r="Y64" s="74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  <c r="EO64" s="75"/>
      <c r="EP64" s="75"/>
      <c r="EQ64" s="75"/>
      <c r="ER64" s="75"/>
      <c r="ES64" s="75"/>
      <c r="ET64" s="75"/>
      <c r="EU64" s="75"/>
      <c r="EV64" s="75"/>
      <c r="EW64" s="75"/>
      <c r="EX64" s="75"/>
      <c r="EY64" s="75"/>
      <c r="EZ64" s="75"/>
      <c r="FA64" s="75"/>
      <c r="FB64" s="75"/>
      <c r="FC64" s="75"/>
      <c r="FD64" s="75"/>
      <c r="FE64" s="75"/>
      <c r="FF64" s="75"/>
      <c r="FG64" s="75"/>
      <c r="FH64" s="75"/>
      <c r="FI64" s="75"/>
      <c r="FJ64" s="75"/>
      <c r="FK64" s="75"/>
      <c r="FL64" s="75"/>
      <c r="FM64" s="75"/>
      <c r="FN64" s="75"/>
      <c r="FO64" s="75"/>
      <c r="FP64" s="75"/>
      <c r="FQ64" s="75"/>
      <c r="FR64" s="75"/>
      <c r="FS64" s="75"/>
      <c r="FT64" s="75"/>
      <c r="FU64" s="75"/>
      <c r="FV64" s="75"/>
      <c r="FW64" s="75"/>
      <c r="FX64" s="75"/>
      <c r="FY64" s="75"/>
      <c r="FZ64" s="75"/>
      <c r="GA64" s="75"/>
      <c r="GB64" s="75"/>
      <c r="GC64" s="75"/>
      <c r="GD64" s="75"/>
      <c r="GE64" s="75"/>
      <c r="GF64" s="75"/>
      <c r="GG64" s="75"/>
      <c r="GH64" s="75"/>
      <c r="GI64" s="75"/>
      <c r="GJ64" s="75"/>
      <c r="GK64" s="75"/>
      <c r="GL64" s="75"/>
      <c r="GM64" s="75"/>
      <c r="GN64" s="75"/>
      <c r="GO64" s="75"/>
      <c r="GP64" s="75"/>
      <c r="GQ64" s="75"/>
      <c r="GR64" s="75"/>
      <c r="GS64" s="75"/>
      <c r="GT64" s="75"/>
      <c r="GU64" s="75"/>
      <c r="GV64" s="75"/>
      <c r="GW64" s="75"/>
      <c r="GX64" s="75"/>
      <c r="GY64" s="75"/>
      <c r="GZ64" s="75"/>
      <c r="HA64" s="75"/>
      <c r="HB64" s="75"/>
      <c r="HC64" s="75"/>
      <c r="HD64" s="75"/>
      <c r="HE64" s="75"/>
      <c r="HF64" s="75"/>
      <c r="HG64" s="75"/>
      <c r="HH64" s="75"/>
      <c r="HI64" s="75"/>
      <c r="HJ64" s="75"/>
      <c r="HK64" s="75"/>
      <c r="HL64" s="75"/>
      <c r="HM64" s="75"/>
      <c r="HN64" s="75"/>
      <c r="HO64" s="75"/>
      <c r="HP64" s="75"/>
      <c r="HQ64" s="75"/>
      <c r="HR64" s="75"/>
      <c r="HS64" s="75"/>
      <c r="HT64" s="75"/>
      <c r="HU64" s="75"/>
      <c r="HV64" s="75"/>
      <c r="HW64" s="75"/>
      <c r="HX64" s="75"/>
      <c r="HY64" s="75"/>
      <c r="HZ64" s="75"/>
      <c r="IA64" s="75"/>
      <c r="IB64" s="75"/>
      <c r="IC64" s="75"/>
      <c r="ID64" s="75"/>
      <c r="IE64" s="75"/>
      <c r="IF64" s="75"/>
      <c r="IG64" s="75"/>
      <c r="IH64" s="75"/>
      <c r="II64" s="75"/>
      <c r="IJ64" s="75"/>
      <c r="IK64" s="75"/>
      <c r="IL64" s="75"/>
      <c r="IM64" s="75"/>
      <c r="IN64" s="75"/>
      <c r="IO64" s="75"/>
      <c r="IP64" s="75"/>
      <c r="IQ64" s="75"/>
      <c r="IR64" s="75"/>
      <c r="IS64" s="75"/>
      <c r="IT64" s="75"/>
      <c r="IU64" s="75"/>
      <c r="IV64" s="75"/>
      <c r="IW64" s="75"/>
    </row>
    <row r="65" customFormat="false" ht="12.75" hidden="false" customHeight="false" outlineLevel="0" collapsed="false">
      <c r="A65" s="98"/>
      <c r="B65" s="99" t="s">
        <v>174</v>
      </c>
      <c r="C65" s="100" t="s">
        <v>62</v>
      </c>
      <c r="D65" s="100" t="s">
        <v>209</v>
      </c>
      <c r="E65" s="101" t="n">
        <v>36831</v>
      </c>
      <c r="F65" s="101" t="n">
        <v>36860</v>
      </c>
      <c r="G65" s="99" t="s">
        <v>216</v>
      </c>
      <c r="H65" s="99" t="s">
        <v>217</v>
      </c>
      <c r="I65" s="100" t="s">
        <v>218</v>
      </c>
      <c r="J65" s="102" t="n">
        <f aca="false">7.5654/J$1</f>
        <v>0.25218</v>
      </c>
      <c r="K65" s="103" t="n">
        <v>0</v>
      </c>
      <c r="L65" s="103" t="n">
        <v>0.0022</v>
      </c>
      <c r="M65" s="103" t="n">
        <v>0</v>
      </c>
      <c r="N65" s="103" t="n">
        <v>0</v>
      </c>
      <c r="O65" s="104" t="n">
        <v>0</v>
      </c>
      <c r="P65" s="103" t="n">
        <f aca="false">SUM(J65:N65)</f>
        <v>0.25438</v>
      </c>
      <c r="Q65" s="105" t="n">
        <v>3.7266</v>
      </c>
      <c r="R65" s="112" t="n">
        <v>344</v>
      </c>
      <c r="S65" s="99" t="s">
        <v>228</v>
      </c>
      <c r="T65" s="107" t="n">
        <f aca="false">J65*J$1*R65</f>
        <v>2602.4976</v>
      </c>
      <c r="U65" s="107"/>
      <c r="V65" s="108" t="n">
        <v>452461</v>
      </c>
      <c r="W65" s="48" t="s">
        <v>222</v>
      </c>
      <c r="X65" s="74"/>
      <c r="Y65" s="74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  <c r="EO65" s="75"/>
      <c r="EP65" s="75"/>
      <c r="EQ65" s="75"/>
      <c r="ER65" s="75"/>
      <c r="ES65" s="75"/>
      <c r="ET65" s="75"/>
      <c r="EU65" s="75"/>
      <c r="EV65" s="75"/>
      <c r="EW65" s="75"/>
      <c r="EX65" s="75"/>
      <c r="EY65" s="75"/>
      <c r="EZ65" s="75"/>
      <c r="FA65" s="75"/>
      <c r="FB65" s="75"/>
      <c r="FC65" s="75"/>
      <c r="FD65" s="75"/>
      <c r="FE65" s="75"/>
      <c r="FF65" s="75"/>
      <c r="FG65" s="75"/>
      <c r="FH65" s="75"/>
      <c r="FI65" s="75"/>
      <c r="FJ65" s="75"/>
      <c r="FK65" s="75"/>
      <c r="FL65" s="75"/>
      <c r="FM65" s="75"/>
      <c r="FN65" s="75"/>
      <c r="FO65" s="75"/>
      <c r="FP65" s="75"/>
      <c r="FQ65" s="75"/>
      <c r="FR65" s="75"/>
      <c r="FS65" s="75"/>
      <c r="FT65" s="75"/>
      <c r="FU65" s="75"/>
      <c r="FV65" s="75"/>
      <c r="FW65" s="75"/>
      <c r="FX65" s="75"/>
      <c r="FY65" s="75"/>
      <c r="FZ65" s="75"/>
      <c r="GA65" s="75"/>
      <c r="GB65" s="75"/>
      <c r="GC65" s="75"/>
      <c r="GD65" s="75"/>
      <c r="GE65" s="75"/>
      <c r="GF65" s="75"/>
      <c r="GG65" s="75"/>
      <c r="GH65" s="75"/>
      <c r="GI65" s="75"/>
      <c r="GJ65" s="75"/>
      <c r="GK65" s="75"/>
      <c r="GL65" s="75"/>
      <c r="GM65" s="75"/>
      <c r="GN65" s="75"/>
      <c r="GO65" s="75"/>
      <c r="GP65" s="75"/>
      <c r="GQ65" s="75"/>
      <c r="GR65" s="75"/>
      <c r="GS65" s="75"/>
      <c r="GT65" s="75"/>
      <c r="GU65" s="75"/>
      <c r="GV65" s="75"/>
      <c r="GW65" s="75"/>
      <c r="GX65" s="75"/>
      <c r="GY65" s="75"/>
      <c r="GZ65" s="75"/>
      <c r="HA65" s="75"/>
      <c r="HB65" s="75"/>
      <c r="HC65" s="75"/>
      <c r="HD65" s="75"/>
      <c r="HE65" s="75"/>
      <c r="HF65" s="75"/>
      <c r="HG65" s="75"/>
      <c r="HH65" s="75"/>
      <c r="HI65" s="75"/>
      <c r="HJ65" s="75"/>
      <c r="HK65" s="75"/>
      <c r="HL65" s="75"/>
      <c r="HM65" s="75"/>
      <c r="HN65" s="75"/>
      <c r="HO65" s="75"/>
      <c r="HP65" s="75"/>
      <c r="HQ65" s="75"/>
      <c r="HR65" s="75"/>
      <c r="HS65" s="75"/>
      <c r="HT65" s="75"/>
      <c r="HU65" s="75"/>
      <c r="HV65" s="75"/>
      <c r="HW65" s="75"/>
      <c r="HX65" s="75"/>
      <c r="HY65" s="75"/>
      <c r="HZ65" s="75"/>
      <c r="IA65" s="75"/>
      <c r="IB65" s="75"/>
      <c r="IC65" s="75"/>
      <c r="ID65" s="75"/>
      <c r="IE65" s="75"/>
      <c r="IF65" s="75"/>
      <c r="IG65" s="75"/>
      <c r="IH65" s="75"/>
      <c r="II65" s="75"/>
      <c r="IJ65" s="75"/>
      <c r="IK65" s="75"/>
      <c r="IL65" s="75"/>
      <c r="IM65" s="75"/>
      <c r="IN65" s="75"/>
      <c r="IO65" s="75"/>
      <c r="IP65" s="75"/>
      <c r="IQ65" s="75"/>
      <c r="IR65" s="75"/>
      <c r="IS65" s="75"/>
      <c r="IT65" s="75"/>
      <c r="IU65" s="75"/>
      <c r="IV65" s="75"/>
      <c r="IW65" s="75"/>
    </row>
    <row r="66" customFormat="false" ht="12.75" hidden="false" customHeight="false" outlineLevel="0" collapsed="false">
      <c r="A66" s="98"/>
      <c r="B66" s="99" t="s">
        <v>174</v>
      </c>
      <c r="C66" s="100" t="s">
        <v>62</v>
      </c>
      <c r="D66" s="100" t="s">
        <v>209</v>
      </c>
      <c r="E66" s="101" t="n">
        <v>36831</v>
      </c>
      <c r="F66" s="101" t="n">
        <v>36860</v>
      </c>
      <c r="G66" s="99" t="s">
        <v>220</v>
      </c>
      <c r="H66" s="99" t="s">
        <v>217</v>
      </c>
      <c r="I66" s="100" t="s">
        <v>218</v>
      </c>
      <c r="J66" s="102" t="n">
        <f aca="false">7.5654/J$1</f>
        <v>0.25218</v>
      </c>
      <c r="K66" s="103" t="n">
        <v>0</v>
      </c>
      <c r="L66" s="103" t="n">
        <v>0.0022</v>
      </c>
      <c r="M66" s="103" t="n">
        <v>0</v>
      </c>
      <c r="N66" s="103" t="n">
        <v>0</v>
      </c>
      <c r="O66" s="104" t="n">
        <v>0</v>
      </c>
      <c r="P66" s="103" t="n">
        <f aca="false">SUM(J66:N66)</f>
        <v>0.25438</v>
      </c>
      <c r="Q66" s="105" t="n">
        <v>3.7266</v>
      </c>
      <c r="R66" s="113" t="n">
        <v>507</v>
      </c>
      <c r="S66" s="99" t="str">
        <f aca="false">+S65</f>
        <v>#021876</v>
      </c>
      <c r="T66" s="107" t="n">
        <f aca="false">J66*J$1*R66</f>
        <v>3835.6578</v>
      </c>
      <c r="U66" s="107"/>
      <c r="V66" s="108" t="n">
        <f aca="false">+V65</f>
        <v>452461</v>
      </c>
      <c r="W66" s="48" t="s">
        <v>222</v>
      </c>
      <c r="X66" s="74"/>
      <c r="Y66" s="74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  <c r="GS66" s="75"/>
      <c r="GT66" s="75"/>
      <c r="GU66" s="75"/>
      <c r="GV66" s="75"/>
      <c r="GW66" s="75"/>
      <c r="GX66" s="75"/>
      <c r="GY66" s="75"/>
      <c r="GZ66" s="75"/>
      <c r="HA66" s="75"/>
      <c r="HB66" s="75"/>
      <c r="HC66" s="75"/>
      <c r="HD66" s="75"/>
      <c r="HE66" s="75"/>
      <c r="HF66" s="75"/>
      <c r="HG66" s="75"/>
      <c r="HH66" s="75"/>
      <c r="HI66" s="75"/>
      <c r="HJ66" s="75"/>
      <c r="HK66" s="75"/>
      <c r="HL66" s="75"/>
      <c r="HM66" s="75"/>
      <c r="HN66" s="75"/>
      <c r="HO66" s="75"/>
      <c r="HP66" s="75"/>
      <c r="HQ66" s="75"/>
      <c r="HR66" s="75"/>
      <c r="HS66" s="75"/>
      <c r="HT66" s="75"/>
      <c r="HU66" s="75"/>
      <c r="HV66" s="75"/>
      <c r="HW66" s="75"/>
      <c r="HX66" s="75"/>
      <c r="HY66" s="75"/>
      <c r="HZ66" s="75"/>
      <c r="IA66" s="75"/>
      <c r="IB66" s="75"/>
      <c r="IC66" s="75"/>
      <c r="ID66" s="75"/>
      <c r="IE66" s="75"/>
      <c r="IF66" s="75"/>
      <c r="IG66" s="75"/>
      <c r="IH66" s="75"/>
      <c r="II66" s="75"/>
      <c r="IJ66" s="75"/>
      <c r="IK66" s="75"/>
      <c r="IL66" s="75"/>
      <c r="IM66" s="75"/>
      <c r="IN66" s="75"/>
      <c r="IO66" s="75"/>
      <c r="IP66" s="75"/>
      <c r="IQ66" s="75"/>
      <c r="IR66" s="75"/>
      <c r="IS66" s="75"/>
      <c r="IT66" s="75"/>
      <c r="IU66" s="75"/>
      <c r="IV66" s="75"/>
      <c r="IW66" s="75"/>
    </row>
    <row r="67" customFormat="false" ht="12.75" hidden="false" customHeight="false" outlineLevel="0" collapsed="false">
      <c r="A67" s="98"/>
      <c r="B67" s="99" t="s">
        <v>174</v>
      </c>
      <c r="C67" s="100" t="s">
        <v>62</v>
      </c>
      <c r="D67" s="100" t="s">
        <v>209</v>
      </c>
      <c r="E67" s="101" t="n">
        <v>36831</v>
      </c>
      <c r="F67" s="101" t="n">
        <v>36860</v>
      </c>
      <c r="G67" s="99" t="s">
        <v>195</v>
      </c>
      <c r="H67" s="99" t="s">
        <v>217</v>
      </c>
      <c r="I67" s="100" t="s">
        <v>218</v>
      </c>
      <c r="J67" s="102" t="n">
        <f aca="false">7.5654/J$1</f>
        <v>0.25218</v>
      </c>
      <c r="K67" s="103" t="n">
        <v>0</v>
      </c>
      <c r="L67" s="103" t="n">
        <v>0.0022</v>
      </c>
      <c r="M67" s="103" t="n">
        <v>0</v>
      </c>
      <c r="N67" s="103" t="n">
        <v>0</v>
      </c>
      <c r="O67" s="104" t="n">
        <v>0</v>
      </c>
      <c r="P67" s="103" t="n">
        <f aca="false">SUM(J67:N67)</f>
        <v>0.25438</v>
      </c>
      <c r="Q67" s="105" t="n">
        <v>3.7266</v>
      </c>
      <c r="R67" s="113" t="n">
        <v>1175</v>
      </c>
      <c r="S67" s="99" t="str">
        <f aca="false">+S65</f>
        <v>#021876</v>
      </c>
      <c r="T67" s="107" t="n">
        <f aca="false">J67*J$1*R67</f>
        <v>8889.345</v>
      </c>
      <c r="U67" s="107"/>
      <c r="V67" s="108" t="n">
        <f aca="false">+V65</f>
        <v>452461</v>
      </c>
      <c r="W67" s="48" t="s">
        <v>222</v>
      </c>
      <c r="X67" s="74"/>
      <c r="Y67" s="74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  <c r="EO67" s="75"/>
      <c r="EP67" s="75"/>
      <c r="EQ67" s="7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75"/>
      <c r="FD67" s="75"/>
      <c r="FE67" s="75"/>
      <c r="FF67" s="75"/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  <c r="FS67" s="75"/>
      <c r="FT67" s="75"/>
      <c r="FU67" s="75"/>
      <c r="FV67" s="75"/>
      <c r="FW67" s="75"/>
      <c r="FX67" s="75"/>
      <c r="FY67" s="75"/>
      <c r="FZ67" s="75"/>
      <c r="GA67" s="75"/>
      <c r="GB67" s="75"/>
      <c r="GC67" s="75"/>
      <c r="GD67" s="75"/>
      <c r="GE67" s="75"/>
      <c r="GF67" s="75"/>
      <c r="GG67" s="75"/>
      <c r="GH67" s="75"/>
      <c r="GI67" s="75"/>
      <c r="GJ67" s="75"/>
      <c r="GK67" s="75"/>
      <c r="GL67" s="75"/>
      <c r="GM67" s="75"/>
      <c r="GN67" s="75"/>
      <c r="GO67" s="75"/>
      <c r="GP67" s="75"/>
      <c r="GQ67" s="75"/>
      <c r="GR67" s="75"/>
      <c r="GS67" s="75"/>
      <c r="GT67" s="75"/>
      <c r="GU67" s="75"/>
      <c r="GV67" s="75"/>
      <c r="GW67" s="75"/>
      <c r="GX67" s="75"/>
      <c r="GY67" s="75"/>
      <c r="GZ67" s="75"/>
      <c r="HA67" s="75"/>
      <c r="HB67" s="75"/>
      <c r="HC67" s="75"/>
      <c r="HD67" s="75"/>
      <c r="HE67" s="75"/>
      <c r="HF67" s="75"/>
      <c r="HG67" s="75"/>
      <c r="HH67" s="75"/>
      <c r="HI67" s="75"/>
      <c r="HJ67" s="75"/>
      <c r="HK67" s="75"/>
      <c r="HL67" s="75"/>
      <c r="HM67" s="75"/>
      <c r="HN67" s="75"/>
      <c r="HO67" s="75"/>
      <c r="HP67" s="75"/>
      <c r="HQ67" s="75"/>
      <c r="HR67" s="75"/>
      <c r="HS67" s="75"/>
      <c r="HT67" s="75"/>
      <c r="HU67" s="75"/>
      <c r="HV67" s="75"/>
      <c r="HW67" s="75"/>
      <c r="HX67" s="75"/>
      <c r="HY67" s="75"/>
      <c r="HZ67" s="75"/>
      <c r="IA67" s="75"/>
      <c r="IB67" s="75"/>
      <c r="IC67" s="75"/>
      <c r="ID67" s="75"/>
      <c r="IE67" s="75"/>
      <c r="IF67" s="75"/>
      <c r="IG67" s="75"/>
      <c r="IH67" s="75"/>
      <c r="II67" s="75"/>
      <c r="IJ67" s="75"/>
      <c r="IK67" s="75"/>
      <c r="IL67" s="75"/>
      <c r="IM67" s="75"/>
      <c r="IN67" s="75"/>
      <c r="IO67" s="75"/>
      <c r="IP67" s="75"/>
      <c r="IQ67" s="75"/>
      <c r="IR67" s="75"/>
      <c r="IS67" s="75"/>
      <c r="IT67" s="75"/>
      <c r="IU67" s="75"/>
      <c r="IV67" s="75"/>
      <c r="IW67" s="75"/>
    </row>
    <row r="68" customFormat="false" ht="12.75" hidden="false" customHeight="false" outlineLevel="0" collapsed="false">
      <c r="A68" s="98"/>
      <c r="B68" s="99" t="s">
        <v>174</v>
      </c>
      <c r="C68" s="100" t="s">
        <v>62</v>
      </c>
      <c r="D68" s="100" t="s">
        <v>209</v>
      </c>
      <c r="E68" s="101" t="n">
        <v>36833</v>
      </c>
      <c r="F68" s="101" t="n">
        <v>36860</v>
      </c>
      <c r="G68" s="99" t="s">
        <v>229</v>
      </c>
      <c r="H68" s="99" t="s">
        <v>123</v>
      </c>
      <c r="I68" s="100" t="s">
        <v>218</v>
      </c>
      <c r="J68" s="102" t="n">
        <f aca="false">7.3654/J$1</f>
        <v>0.245513333333333</v>
      </c>
      <c r="K68" s="103" t="n">
        <v>0</v>
      </c>
      <c r="L68" s="103" t="n">
        <v>0.0022</v>
      </c>
      <c r="M68" s="103" t="n">
        <v>0</v>
      </c>
      <c r="N68" s="103" t="n">
        <v>0</v>
      </c>
      <c r="O68" s="104" t="n">
        <v>0</v>
      </c>
      <c r="P68" s="103" t="n">
        <f aca="false">SUM(J68:N68)</f>
        <v>0.247713333333333</v>
      </c>
      <c r="Q68" s="105" t="n">
        <v>3.7414</v>
      </c>
      <c r="R68" s="100" t="n">
        <v>109</v>
      </c>
      <c r="S68" s="99" t="s">
        <v>230</v>
      </c>
      <c r="T68" s="107" t="n">
        <f aca="false">J68*J$1*R68</f>
        <v>802.8286</v>
      </c>
      <c r="U68" s="107"/>
      <c r="V68" s="108"/>
      <c r="W68" s="48"/>
      <c r="X68" s="74"/>
      <c r="Y68" s="74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  <c r="EO68" s="75"/>
      <c r="EP68" s="75"/>
      <c r="EQ68" s="75"/>
      <c r="ER68" s="75"/>
      <c r="ES68" s="75"/>
      <c r="ET68" s="75"/>
      <c r="EU68" s="75"/>
      <c r="EV68" s="75"/>
      <c r="EW68" s="75"/>
      <c r="EX68" s="75"/>
      <c r="EY68" s="75"/>
      <c r="EZ68" s="75"/>
      <c r="FA68" s="75"/>
      <c r="FB68" s="75"/>
      <c r="FC68" s="75"/>
      <c r="FD68" s="75"/>
      <c r="FE68" s="75"/>
      <c r="FF68" s="75"/>
      <c r="FG68" s="75"/>
      <c r="FH68" s="75"/>
      <c r="FI68" s="75"/>
      <c r="FJ68" s="75"/>
      <c r="FK68" s="75"/>
      <c r="FL68" s="75"/>
      <c r="FM68" s="75"/>
      <c r="FN68" s="75"/>
      <c r="FO68" s="75"/>
      <c r="FP68" s="75"/>
      <c r="FQ68" s="75"/>
      <c r="FR68" s="75"/>
      <c r="FS68" s="75"/>
      <c r="FT68" s="75"/>
      <c r="FU68" s="75"/>
      <c r="FV68" s="75"/>
      <c r="FW68" s="75"/>
      <c r="FX68" s="75"/>
      <c r="FY68" s="75"/>
      <c r="FZ68" s="75"/>
      <c r="GA68" s="75"/>
      <c r="GB68" s="75"/>
      <c r="GC68" s="75"/>
      <c r="GD68" s="75"/>
      <c r="GE68" s="75"/>
      <c r="GF68" s="75"/>
      <c r="GG68" s="75"/>
      <c r="GH68" s="75"/>
      <c r="GI68" s="75"/>
      <c r="GJ68" s="75"/>
      <c r="GK68" s="75"/>
      <c r="GL68" s="75"/>
      <c r="GM68" s="75"/>
      <c r="GN68" s="75"/>
      <c r="GO68" s="75"/>
      <c r="GP68" s="75"/>
      <c r="GQ68" s="75"/>
      <c r="GR68" s="75"/>
      <c r="GS68" s="75"/>
      <c r="GT68" s="75"/>
      <c r="GU68" s="75"/>
      <c r="GV68" s="75"/>
      <c r="GW68" s="75"/>
      <c r="GX68" s="75"/>
      <c r="GY68" s="75"/>
      <c r="GZ68" s="75"/>
      <c r="HA68" s="75"/>
      <c r="HB68" s="75"/>
      <c r="HC68" s="75"/>
      <c r="HD68" s="75"/>
      <c r="HE68" s="75"/>
      <c r="HF68" s="75"/>
      <c r="HG68" s="75"/>
      <c r="HH68" s="75"/>
      <c r="HI68" s="75"/>
      <c r="HJ68" s="75"/>
      <c r="HK68" s="75"/>
      <c r="HL68" s="75"/>
      <c r="HM68" s="75"/>
      <c r="HN68" s="75"/>
      <c r="HO68" s="75"/>
      <c r="HP68" s="75"/>
      <c r="HQ68" s="75"/>
      <c r="HR68" s="75"/>
      <c r="HS68" s="75"/>
      <c r="HT68" s="75"/>
      <c r="HU68" s="75"/>
      <c r="HV68" s="75"/>
      <c r="HW68" s="75"/>
      <c r="HX68" s="75"/>
      <c r="HY68" s="75"/>
      <c r="HZ68" s="75"/>
      <c r="IA68" s="75"/>
      <c r="IB68" s="75"/>
      <c r="IC68" s="75"/>
      <c r="ID68" s="75"/>
      <c r="IE68" s="75"/>
      <c r="IF68" s="75"/>
      <c r="IG68" s="75"/>
      <c r="IH68" s="75"/>
      <c r="II68" s="75"/>
      <c r="IJ68" s="75"/>
      <c r="IK68" s="75"/>
      <c r="IL68" s="75"/>
      <c r="IM68" s="75"/>
      <c r="IN68" s="75"/>
      <c r="IO68" s="75"/>
      <c r="IP68" s="75"/>
      <c r="IQ68" s="75"/>
      <c r="IR68" s="75"/>
      <c r="IS68" s="75"/>
      <c r="IT68" s="75"/>
      <c r="IU68" s="75"/>
      <c r="IV68" s="75"/>
      <c r="IW68" s="75"/>
    </row>
    <row r="69" customFormat="false" ht="12.75" hidden="false" customHeight="false" outlineLevel="0" collapsed="false">
      <c r="A69" s="98"/>
      <c r="B69" s="99" t="s">
        <v>174</v>
      </c>
      <c r="C69" s="100" t="s">
        <v>62</v>
      </c>
      <c r="D69" s="100" t="s">
        <v>209</v>
      </c>
      <c r="E69" s="101" t="n">
        <v>36831</v>
      </c>
      <c r="F69" s="101" t="n">
        <v>36860</v>
      </c>
      <c r="G69" s="99" t="s">
        <v>231</v>
      </c>
      <c r="H69" s="99"/>
      <c r="I69" s="100" t="s">
        <v>232</v>
      </c>
      <c r="J69" s="102" t="n">
        <v>0.0079</v>
      </c>
      <c r="K69" s="103" t="n">
        <v>0</v>
      </c>
      <c r="L69" s="103" t="n">
        <v>0.0022</v>
      </c>
      <c r="M69" s="103" t="n">
        <v>0</v>
      </c>
      <c r="N69" s="103" t="n">
        <v>0</v>
      </c>
      <c r="O69" s="104" t="n">
        <v>0</v>
      </c>
      <c r="P69" s="103" t="n">
        <f aca="false">SUM(J69:N69)</f>
        <v>0.0101</v>
      </c>
      <c r="Q69" s="111" t="n">
        <v>3.7243</v>
      </c>
      <c r="R69" s="100" t="n">
        <v>112224</v>
      </c>
      <c r="S69" s="99" t="s">
        <v>233</v>
      </c>
      <c r="T69" s="114" t="n">
        <f aca="false">+R69*J69</f>
        <v>886.5696</v>
      </c>
      <c r="U69" s="107"/>
      <c r="V69" s="108" t="n">
        <v>418272</v>
      </c>
      <c r="W69" s="48" t="s">
        <v>222</v>
      </c>
      <c r="X69" s="74"/>
      <c r="Y69" s="74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  <c r="GV69" s="75"/>
      <c r="GW69" s="75"/>
      <c r="GX69" s="75"/>
      <c r="GY69" s="75"/>
      <c r="GZ69" s="75"/>
      <c r="HA69" s="75"/>
      <c r="HB69" s="75"/>
      <c r="HC69" s="75"/>
      <c r="HD69" s="75"/>
      <c r="HE69" s="75"/>
      <c r="HF69" s="75"/>
      <c r="HG69" s="75"/>
      <c r="HH69" s="75"/>
      <c r="HI69" s="75"/>
      <c r="HJ69" s="75"/>
      <c r="HK69" s="75"/>
      <c r="HL69" s="75"/>
      <c r="HM69" s="75"/>
      <c r="HN69" s="75"/>
      <c r="HO69" s="75"/>
      <c r="HP69" s="75"/>
      <c r="HQ69" s="75"/>
      <c r="HR69" s="75"/>
      <c r="HS69" s="75"/>
      <c r="HT69" s="75"/>
      <c r="HU69" s="75"/>
      <c r="HV69" s="75"/>
      <c r="HW69" s="75"/>
      <c r="HX69" s="75"/>
      <c r="HY69" s="75"/>
      <c r="HZ69" s="75"/>
      <c r="IA69" s="75"/>
      <c r="IB69" s="75"/>
      <c r="IC69" s="75"/>
      <c r="ID69" s="75"/>
      <c r="IE69" s="75"/>
      <c r="IF69" s="75"/>
      <c r="IG69" s="75"/>
      <c r="IH69" s="75"/>
      <c r="II69" s="75"/>
      <c r="IJ69" s="75"/>
      <c r="IK69" s="75"/>
      <c r="IL69" s="75"/>
      <c r="IM69" s="75"/>
      <c r="IN69" s="75"/>
      <c r="IO69" s="75"/>
      <c r="IP69" s="75"/>
      <c r="IQ69" s="75"/>
      <c r="IR69" s="75"/>
      <c r="IS69" s="75"/>
      <c r="IT69" s="75"/>
      <c r="IU69" s="75"/>
      <c r="IV69" s="75"/>
      <c r="IW69" s="75"/>
    </row>
    <row r="70" customFormat="false" ht="12.75" hidden="false" customHeight="false" outlineLevel="0" collapsed="false">
      <c r="A70" s="98"/>
      <c r="B70" s="99" t="s">
        <v>174</v>
      </c>
      <c r="C70" s="100" t="s">
        <v>62</v>
      </c>
      <c r="D70" s="100" t="s">
        <v>209</v>
      </c>
      <c r="E70" s="101" t="n">
        <v>36831</v>
      </c>
      <c r="F70" s="101" t="n">
        <v>36860</v>
      </c>
      <c r="G70" s="99" t="s">
        <v>234</v>
      </c>
      <c r="H70" s="99"/>
      <c r="I70" s="100" t="s">
        <v>232</v>
      </c>
      <c r="J70" s="102" t="n">
        <v>0.6673</v>
      </c>
      <c r="K70" s="103" t="n">
        <v>0</v>
      </c>
      <c r="L70" s="103" t="n">
        <v>0.0022</v>
      </c>
      <c r="M70" s="103" t="n">
        <v>0</v>
      </c>
      <c r="N70" s="103" t="n">
        <v>0</v>
      </c>
      <c r="O70" s="104" t="n">
        <v>0</v>
      </c>
      <c r="P70" s="103" t="n">
        <f aca="false">SUM(J70:N70)</f>
        <v>0.6695</v>
      </c>
      <c r="Q70" s="111" t="n">
        <v>3.7243</v>
      </c>
      <c r="R70" s="100" t="n">
        <v>1320</v>
      </c>
      <c r="S70" s="99" t="s">
        <v>233</v>
      </c>
      <c r="T70" s="114" t="n">
        <f aca="false">+R70*J70</f>
        <v>880.836</v>
      </c>
      <c r="U70" s="107"/>
      <c r="V70" s="108" t="n">
        <v>418272</v>
      </c>
      <c r="W70" s="48" t="s">
        <v>222</v>
      </c>
      <c r="X70" s="74"/>
      <c r="Y70" s="74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  <c r="GS70" s="75"/>
      <c r="GT70" s="75"/>
      <c r="GU70" s="75"/>
      <c r="GV70" s="75"/>
      <c r="GW70" s="75"/>
      <c r="GX70" s="75"/>
      <c r="GY70" s="75"/>
      <c r="GZ70" s="75"/>
      <c r="HA70" s="75"/>
      <c r="HB70" s="75"/>
      <c r="HC70" s="75"/>
      <c r="HD70" s="75"/>
      <c r="HE70" s="75"/>
      <c r="HF70" s="75"/>
      <c r="HG70" s="75"/>
      <c r="HH70" s="75"/>
      <c r="HI70" s="75"/>
      <c r="HJ70" s="75"/>
      <c r="HK70" s="75"/>
      <c r="HL70" s="75"/>
      <c r="HM70" s="75"/>
      <c r="HN70" s="75"/>
      <c r="HO70" s="75"/>
      <c r="HP70" s="75"/>
      <c r="HQ70" s="75"/>
      <c r="HR70" s="75"/>
      <c r="HS70" s="75"/>
      <c r="HT70" s="75"/>
      <c r="HU70" s="75"/>
      <c r="HV70" s="75"/>
      <c r="HW70" s="75"/>
      <c r="HX70" s="75"/>
      <c r="HY70" s="75"/>
      <c r="HZ70" s="75"/>
      <c r="IA70" s="75"/>
      <c r="IB70" s="75"/>
      <c r="IC70" s="75"/>
      <c r="ID70" s="75"/>
      <c r="IE70" s="75"/>
      <c r="IF70" s="75"/>
      <c r="IG70" s="75"/>
      <c r="IH70" s="75"/>
      <c r="II70" s="75"/>
      <c r="IJ70" s="75"/>
      <c r="IK70" s="75"/>
      <c r="IL70" s="75"/>
      <c r="IM70" s="75"/>
      <c r="IN70" s="75"/>
      <c r="IO70" s="75"/>
      <c r="IP70" s="75"/>
      <c r="IQ70" s="75"/>
      <c r="IR70" s="75"/>
      <c r="IS70" s="75"/>
      <c r="IT70" s="75"/>
      <c r="IU70" s="75"/>
      <c r="IV70" s="75"/>
      <c r="IW70" s="75"/>
    </row>
    <row r="71" customFormat="false" ht="12.75" hidden="false" customHeight="false" outlineLevel="0" collapsed="false">
      <c r="A71" s="75"/>
      <c r="B71" s="48" t="s">
        <v>174</v>
      </c>
      <c r="C71" s="46" t="s">
        <v>62</v>
      </c>
      <c r="D71" s="46" t="s">
        <v>209</v>
      </c>
      <c r="E71" s="47" t="n">
        <v>36770</v>
      </c>
      <c r="F71" s="47" t="n">
        <v>37864</v>
      </c>
      <c r="G71" s="48" t="s">
        <v>231</v>
      </c>
      <c r="H71" s="48"/>
      <c r="I71" s="46" t="s">
        <v>232</v>
      </c>
      <c r="J71" s="60" t="n">
        <v>0.0079</v>
      </c>
      <c r="K71" s="51" t="n">
        <v>0</v>
      </c>
      <c r="L71" s="51" t="n">
        <v>0.0022</v>
      </c>
      <c r="M71" s="51" t="n">
        <v>0</v>
      </c>
      <c r="N71" s="51" t="n">
        <v>0</v>
      </c>
      <c r="O71" s="52" t="n">
        <v>0</v>
      </c>
      <c r="P71" s="51" t="n">
        <f aca="false">SUM(J71:N71)</f>
        <v>0.0101</v>
      </c>
      <c r="Q71" s="97" t="n">
        <v>3.6686</v>
      </c>
      <c r="R71" s="46" t="n">
        <v>261182</v>
      </c>
      <c r="S71" s="48" t="s">
        <v>235</v>
      </c>
      <c r="T71" s="81" t="n">
        <f aca="false">+R71*J71</f>
        <v>2063.3378</v>
      </c>
      <c r="U71" s="79"/>
      <c r="V71" s="80" t="n">
        <v>377146</v>
      </c>
      <c r="W71" s="48"/>
      <c r="X71" s="74"/>
      <c r="Y71" s="74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5"/>
      <c r="FU71" s="75"/>
      <c r="FV71" s="75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  <c r="GS71" s="75"/>
      <c r="GT71" s="75"/>
      <c r="GU71" s="75"/>
      <c r="GV71" s="75"/>
      <c r="GW71" s="75"/>
      <c r="GX71" s="75"/>
      <c r="GY71" s="75"/>
      <c r="GZ71" s="75"/>
      <c r="HA71" s="75"/>
      <c r="HB71" s="75"/>
      <c r="HC71" s="75"/>
      <c r="HD71" s="75"/>
      <c r="HE71" s="75"/>
      <c r="HF71" s="75"/>
      <c r="HG71" s="75"/>
      <c r="HH71" s="75"/>
      <c r="HI71" s="75"/>
      <c r="HJ71" s="75"/>
      <c r="HK71" s="75"/>
      <c r="HL71" s="75"/>
      <c r="HM71" s="75"/>
      <c r="HN71" s="75"/>
      <c r="HO71" s="75"/>
      <c r="HP71" s="75"/>
      <c r="HQ71" s="75"/>
      <c r="HR71" s="75"/>
      <c r="HS71" s="75"/>
      <c r="HT71" s="75"/>
      <c r="HU71" s="75"/>
      <c r="HV71" s="75"/>
      <c r="HW71" s="75"/>
      <c r="HX71" s="75"/>
      <c r="HY71" s="75"/>
      <c r="HZ71" s="75"/>
      <c r="IA71" s="75"/>
      <c r="IB71" s="75"/>
      <c r="IC71" s="75"/>
      <c r="ID71" s="75"/>
      <c r="IE71" s="75"/>
      <c r="IF71" s="75"/>
      <c r="IG71" s="75"/>
      <c r="IH71" s="75"/>
      <c r="II71" s="75"/>
      <c r="IJ71" s="75"/>
      <c r="IK71" s="75"/>
      <c r="IL71" s="75"/>
      <c r="IM71" s="75"/>
      <c r="IN71" s="75"/>
      <c r="IO71" s="75"/>
      <c r="IP71" s="75"/>
      <c r="IQ71" s="75"/>
      <c r="IR71" s="75"/>
      <c r="IS71" s="75"/>
      <c r="IT71" s="75"/>
      <c r="IU71" s="75"/>
      <c r="IV71" s="75"/>
      <c r="IW71" s="75"/>
    </row>
    <row r="72" customFormat="false" ht="12.75" hidden="false" customHeight="false" outlineLevel="0" collapsed="false">
      <c r="A72" s="75"/>
      <c r="B72" s="48" t="s">
        <v>174</v>
      </c>
      <c r="C72" s="46" t="s">
        <v>62</v>
      </c>
      <c r="D72" s="46" t="s">
        <v>209</v>
      </c>
      <c r="E72" s="47" t="n">
        <v>36770</v>
      </c>
      <c r="F72" s="47" t="n">
        <v>37864</v>
      </c>
      <c r="G72" s="48" t="s">
        <v>234</v>
      </c>
      <c r="H72" s="48"/>
      <c r="I72" s="46" t="s">
        <v>232</v>
      </c>
      <c r="J72" s="60" t="n">
        <v>0.6673</v>
      </c>
      <c r="K72" s="51" t="n">
        <v>0</v>
      </c>
      <c r="L72" s="51" t="n">
        <v>0.0022</v>
      </c>
      <c r="M72" s="51" t="n">
        <v>0</v>
      </c>
      <c r="N72" s="51" t="n">
        <v>0</v>
      </c>
      <c r="O72" s="52" t="n">
        <v>0</v>
      </c>
      <c r="P72" s="51" t="n">
        <f aca="false">SUM(J72:N72)</f>
        <v>0.6695</v>
      </c>
      <c r="Q72" s="97" t="n">
        <v>3.6686</v>
      </c>
      <c r="R72" s="46" t="n">
        <v>3073</v>
      </c>
      <c r="S72" s="48" t="s">
        <v>235</v>
      </c>
      <c r="T72" s="81" t="n">
        <f aca="false">+R72*J72</f>
        <v>2050.6129</v>
      </c>
      <c r="U72" s="79"/>
      <c r="V72" s="80" t="n">
        <v>377146</v>
      </c>
      <c r="W72" s="48"/>
      <c r="X72" s="74"/>
      <c r="Y72" s="74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75"/>
      <c r="FV72" s="75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  <c r="GS72" s="75"/>
      <c r="GT72" s="75"/>
      <c r="GU72" s="75"/>
      <c r="GV72" s="75"/>
      <c r="GW72" s="75"/>
      <c r="GX72" s="75"/>
      <c r="GY72" s="75"/>
      <c r="GZ72" s="75"/>
      <c r="HA72" s="75"/>
      <c r="HB72" s="75"/>
      <c r="HC72" s="75"/>
      <c r="HD72" s="75"/>
      <c r="HE72" s="75"/>
      <c r="HF72" s="75"/>
      <c r="HG72" s="75"/>
      <c r="HH72" s="75"/>
      <c r="HI72" s="75"/>
      <c r="HJ72" s="75"/>
      <c r="HK72" s="75"/>
      <c r="HL72" s="75"/>
      <c r="HM72" s="75"/>
      <c r="HN72" s="75"/>
      <c r="HO72" s="75"/>
      <c r="HP72" s="75"/>
      <c r="HQ72" s="75"/>
      <c r="HR72" s="75"/>
      <c r="HS72" s="75"/>
      <c r="HT72" s="75"/>
      <c r="HU72" s="75"/>
      <c r="HV72" s="75"/>
      <c r="HW72" s="75"/>
      <c r="HX72" s="75"/>
      <c r="HY72" s="75"/>
      <c r="HZ72" s="75"/>
      <c r="IA72" s="75"/>
      <c r="IB72" s="75"/>
      <c r="IC72" s="75"/>
      <c r="ID72" s="75"/>
      <c r="IE72" s="75"/>
      <c r="IF72" s="75"/>
      <c r="IG72" s="75"/>
      <c r="IH72" s="75"/>
      <c r="II72" s="75"/>
      <c r="IJ72" s="75"/>
      <c r="IK72" s="75"/>
      <c r="IL72" s="75"/>
      <c r="IM72" s="75"/>
      <c r="IN72" s="75"/>
      <c r="IO72" s="75"/>
      <c r="IP72" s="75"/>
      <c r="IQ72" s="75"/>
      <c r="IR72" s="75"/>
      <c r="IS72" s="75"/>
      <c r="IT72" s="75"/>
      <c r="IU72" s="75"/>
      <c r="IV72" s="75"/>
      <c r="IW72" s="75"/>
    </row>
    <row r="73" customFormat="false" ht="12.75" hidden="false" customHeight="false" outlineLevel="0" collapsed="false">
      <c r="A73" s="75"/>
      <c r="B73" s="48" t="s">
        <v>174</v>
      </c>
      <c r="C73" s="46" t="s">
        <v>62</v>
      </c>
      <c r="D73" s="46" t="s">
        <v>209</v>
      </c>
      <c r="E73" s="47" t="n">
        <v>36770</v>
      </c>
      <c r="F73" s="47" t="s">
        <v>236</v>
      </c>
      <c r="G73" s="48" t="s">
        <v>237</v>
      </c>
      <c r="H73" s="48"/>
      <c r="I73" s="46" t="s">
        <v>238</v>
      </c>
      <c r="J73" s="60" t="n">
        <v>0.0481</v>
      </c>
      <c r="K73" s="51" t="n">
        <v>0</v>
      </c>
      <c r="L73" s="51" t="n">
        <v>0.0022</v>
      </c>
      <c r="M73" s="51" t="n">
        <v>0</v>
      </c>
      <c r="N73" s="51" t="n">
        <v>0</v>
      </c>
      <c r="O73" s="52" t="n">
        <v>0</v>
      </c>
      <c r="P73" s="51" t="n">
        <f aca="false">SUM(J73:N73)</f>
        <v>0.0503</v>
      </c>
      <c r="Q73" s="109" t="n">
        <v>3.6685</v>
      </c>
      <c r="R73" s="46" t="n">
        <v>13269</v>
      </c>
      <c r="S73" s="48" t="s">
        <v>239</v>
      </c>
      <c r="T73" s="81" t="n">
        <f aca="false">+J73*R73</f>
        <v>638.2389</v>
      </c>
      <c r="U73" s="79"/>
      <c r="V73" s="80" t="n">
        <v>377157</v>
      </c>
      <c r="W73" s="48"/>
      <c r="X73" s="74"/>
      <c r="Y73" s="74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  <c r="GS73" s="75"/>
      <c r="GT73" s="75"/>
      <c r="GU73" s="75"/>
      <c r="GV73" s="75"/>
      <c r="GW73" s="75"/>
      <c r="GX73" s="75"/>
      <c r="GY73" s="75"/>
      <c r="GZ73" s="75"/>
      <c r="HA73" s="75"/>
      <c r="HB73" s="75"/>
      <c r="HC73" s="75"/>
      <c r="HD73" s="75"/>
      <c r="HE73" s="75"/>
      <c r="HF73" s="75"/>
      <c r="HG73" s="75"/>
      <c r="HH73" s="75"/>
      <c r="HI73" s="75"/>
      <c r="HJ73" s="75"/>
      <c r="HK73" s="75"/>
      <c r="HL73" s="75"/>
      <c r="HM73" s="75"/>
      <c r="HN73" s="75"/>
      <c r="HO73" s="75"/>
      <c r="HP73" s="75"/>
      <c r="HQ73" s="75"/>
      <c r="HR73" s="75"/>
      <c r="HS73" s="75"/>
      <c r="HT73" s="75"/>
      <c r="HU73" s="75"/>
      <c r="HV73" s="75"/>
      <c r="HW73" s="75"/>
      <c r="HX73" s="75"/>
      <c r="HY73" s="75"/>
      <c r="HZ73" s="75"/>
      <c r="IA73" s="75"/>
      <c r="IB73" s="75"/>
      <c r="IC73" s="75"/>
      <c r="ID73" s="75"/>
      <c r="IE73" s="75"/>
      <c r="IF73" s="75"/>
      <c r="IG73" s="75"/>
      <c r="IH73" s="75"/>
      <c r="II73" s="75"/>
      <c r="IJ73" s="75"/>
      <c r="IK73" s="75"/>
      <c r="IL73" s="75"/>
      <c r="IM73" s="75"/>
      <c r="IN73" s="75"/>
      <c r="IO73" s="75"/>
      <c r="IP73" s="75"/>
      <c r="IQ73" s="75"/>
      <c r="IR73" s="75"/>
      <c r="IS73" s="75"/>
      <c r="IT73" s="75"/>
      <c r="IU73" s="75"/>
      <c r="IV73" s="75"/>
      <c r="IW73" s="75"/>
    </row>
    <row r="74" customFormat="false" ht="12.75" hidden="false" customHeight="false" outlineLevel="0" collapsed="false">
      <c r="A74" s="75"/>
      <c r="B74" s="48" t="s">
        <v>174</v>
      </c>
      <c r="C74" s="46" t="s">
        <v>62</v>
      </c>
      <c r="D74" s="46" t="s">
        <v>209</v>
      </c>
      <c r="E74" s="47" t="n">
        <v>36770</v>
      </c>
      <c r="F74" s="47" t="s">
        <v>236</v>
      </c>
      <c r="G74" s="48" t="s">
        <v>240</v>
      </c>
      <c r="H74" s="48"/>
      <c r="I74" s="46" t="s">
        <v>238</v>
      </c>
      <c r="J74" s="60" t="n">
        <v>0.484</v>
      </c>
      <c r="K74" s="51" t="n">
        <v>0</v>
      </c>
      <c r="L74" s="51" t="n">
        <v>0.0022</v>
      </c>
      <c r="M74" s="51" t="n">
        <v>0</v>
      </c>
      <c r="N74" s="51" t="n">
        <v>0</v>
      </c>
      <c r="O74" s="52" t="n">
        <v>0</v>
      </c>
      <c r="P74" s="51" t="n">
        <f aca="false">SUM(J74:N74)</f>
        <v>0.4862</v>
      </c>
      <c r="Q74" s="109" t="n">
        <v>3.6685</v>
      </c>
      <c r="R74" s="46" t="n">
        <v>1319</v>
      </c>
      <c r="S74" s="48" t="s">
        <v>239</v>
      </c>
      <c r="T74" s="81" t="n">
        <f aca="false">+J74*R74</f>
        <v>638.396</v>
      </c>
      <c r="U74" s="79"/>
      <c r="V74" s="80" t="n">
        <v>377157</v>
      </c>
      <c r="W74" s="48"/>
      <c r="X74" s="74"/>
      <c r="Y74" s="74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  <c r="GV74" s="75"/>
      <c r="GW74" s="75"/>
      <c r="GX74" s="75"/>
      <c r="GY74" s="75"/>
      <c r="GZ74" s="75"/>
      <c r="HA74" s="75"/>
      <c r="HB74" s="75"/>
      <c r="HC74" s="75"/>
      <c r="HD74" s="75"/>
      <c r="HE74" s="75"/>
      <c r="HF74" s="75"/>
      <c r="HG74" s="75"/>
      <c r="HH74" s="75"/>
      <c r="HI74" s="75"/>
      <c r="HJ74" s="75"/>
      <c r="HK74" s="75"/>
      <c r="HL74" s="75"/>
      <c r="HM74" s="75"/>
      <c r="HN74" s="75"/>
      <c r="HO74" s="75"/>
      <c r="HP74" s="75"/>
      <c r="HQ74" s="75"/>
      <c r="HR74" s="75"/>
      <c r="HS74" s="75"/>
      <c r="HT74" s="75"/>
      <c r="HU74" s="75"/>
      <c r="HV74" s="75"/>
      <c r="HW74" s="75"/>
      <c r="HX74" s="75"/>
      <c r="HY74" s="75"/>
      <c r="HZ74" s="75"/>
      <c r="IA74" s="75"/>
      <c r="IB74" s="75"/>
      <c r="IC74" s="75"/>
      <c r="ID74" s="75"/>
      <c r="IE74" s="75"/>
      <c r="IF74" s="75"/>
      <c r="IG74" s="75"/>
      <c r="IH74" s="75"/>
      <c r="II74" s="75"/>
      <c r="IJ74" s="75"/>
      <c r="IK74" s="75"/>
      <c r="IL74" s="75"/>
      <c r="IM74" s="75"/>
      <c r="IN74" s="75"/>
      <c r="IO74" s="75"/>
      <c r="IP74" s="75"/>
      <c r="IQ74" s="75"/>
      <c r="IR74" s="75"/>
      <c r="IS74" s="75"/>
      <c r="IT74" s="75"/>
      <c r="IU74" s="75"/>
      <c r="IV74" s="75"/>
      <c r="IW74" s="75"/>
    </row>
    <row r="75" customFormat="false" ht="12.75" hidden="false" customHeight="false" outlineLevel="0" collapsed="false">
      <c r="A75" s="98"/>
      <c r="B75" s="99" t="s">
        <v>174</v>
      </c>
      <c r="C75" s="100" t="s">
        <v>62</v>
      </c>
      <c r="D75" s="100" t="s">
        <v>209</v>
      </c>
      <c r="E75" s="101" t="n">
        <v>36831</v>
      </c>
      <c r="F75" s="101" t="n">
        <v>36860</v>
      </c>
      <c r="G75" s="99" t="s">
        <v>237</v>
      </c>
      <c r="H75" s="99"/>
      <c r="I75" s="100" t="s">
        <v>238</v>
      </c>
      <c r="J75" s="102" t="n">
        <v>0.0481</v>
      </c>
      <c r="K75" s="103" t="n">
        <v>0</v>
      </c>
      <c r="L75" s="103" t="n">
        <v>0.0022</v>
      </c>
      <c r="M75" s="103" t="n">
        <v>0</v>
      </c>
      <c r="N75" s="103" t="n">
        <v>0</v>
      </c>
      <c r="O75" s="104" t="n">
        <v>0</v>
      </c>
      <c r="P75" s="103" t="n">
        <f aca="false">SUM(J75:N75)</f>
        <v>0.0503</v>
      </c>
      <c r="Q75" s="111" t="n">
        <v>3.7244</v>
      </c>
      <c r="R75" s="100" t="n">
        <v>5702</v>
      </c>
      <c r="S75" s="99" t="s">
        <v>241</v>
      </c>
      <c r="T75" s="114" t="n">
        <f aca="false">+J75*R75</f>
        <v>274.2662</v>
      </c>
      <c r="U75" s="107"/>
      <c r="V75" s="108" t="n">
        <v>452694</v>
      </c>
      <c r="W75" s="57" t="s">
        <v>222</v>
      </c>
      <c r="X75" s="74"/>
      <c r="Y75" s="74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  <c r="GS75" s="75"/>
      <c r="GT75" s="75"/>
      <c r="GU75" s="75"/>
      <c r="GV75" s="75"/>
      <c r="GW75" s="75"/>
      <c r="GX75" s="75"/>
      <c r="GY75" s="75"/>
      <c r="GZ75" s="75"/>
      <c r="HA75" s="75"/>
      <c r="HB75" s="75"/>
      <c r="HC75" s="75"/>
      <c r="HD75" s="75"/>
      <c r="HE75" s="75"/>
      <c r="HF75" s="75"/>
      <c r="HG75" s="75"/>
      <c r="HH75" s="75"/>
      <c r="HI75" s="75"/>
      <c r="HJ75" s="75"/>
      <c r="HK75" s="75"/>
      <c r="HL75" s="75"/>
      <c r="HM75" s="75"/>
      <c r="HN75" s="75"/>
      <c r="HO75" s="75"/>
      <c r="HP75" s="75"/>
      <c r="HQ75" s="75"/>
      <c r="HR75" s="75"/>
      <c r="HS75" s="75"/>
      <c r="HT75" s="75"/>
      <c r="HU75" s="75"/>
      <c r="HV75" s="75"/>
      <c r="HW75" s="75"/>
      <c r="HX75" s="75"/>
      <c r="HY75" s="75"/>
      <c r="HZ75" s="75"/>
      <c r="IA75" s="75"/>
      <c r="IB75" s="75"/>
      <c r="IC75" s="75"/>
      <c r="ID75" s="75"/>
      <c r="IE75" s="75"/>
      <c r="IF75" s="75"/>
      <c r="IG75" s="75"/>
      <c r="IH75" s="75"/>
      <c r="II75" s="75"/>
      <c r="IJ75" s="75"/>
      <c r="IK75" s="75"/>
      <c r="IL75" s="75"/>
      <c r="IM75" s="75"/>
      <c r="IN75" s="75"/>
      <c r="IO75" s="75"/>
      <c r="IP75" s="75"/>
      <c r="IQ75" s="75"/>
      <c r="IR75" s="75"/>
      <c r="IS75" s="75"/>
      <c r="IT75" s="75"/>
      <c r="IU75" s="75"/>
      <c r="IV75" s="75"/>
      <c r="IW75" s="75"/>
    </row>
    <row r="76" customFormat="false" ht="12.75" hidden="false" customHeight="false" outlineLevel="0" collapsed="false">
      <c r="A76" s="98"/>
      <c r="B76" s="99" t="s">
        <v>174</v>
      </c>
      <c r="C76" s="100" t="s">
        <v>62</v>
      </c>
      <c r="D76" s="100" t="s">
        <v>209</v>
      </c>
      <c r="E76" s="101" t="n">
        <v>36831</v>
      </c>
      <c r="F76" s="101" t="n">
        <v>36860</v>
      </c>
      <c r="G76" s="99" t="s">
        <v>240</v>
      </c>
      <c r="H76" s="99"/>
      <c r="I76" s="100" t="s">
        <v>238</v>
      </c>
      <c r="J76" s="102" t="n">
        <v>0.484</v>
      </c>
      <c r="K76" s="103" t="n">
        <v>0</v>
      </c>
      <c r="L76" s="103" t="n">
        <v>0.0022</v>
      </c>
      <c r="M76" s="103" t="n">
        <v>0</v>
      </c>
      <c r="N76" s="103" t="n">
        <v>0</v>
      </c>
      <c r="O76" s="104" t="n">
        <v>0</v>
      </c>
      <c r="P76" s="103" t="n">
        <f aca="false">SUM(J76:N76)</f>
        <v>0.4862</v>
      </c>
      <c r="Q76" s="111" t="n">
        <v>3.7244</v>
      </c>
      <c r="R76" s="100" t="n">
        <v>567</v>
      </c>
      <c r="S76" s="99" t="s">
        <v>241</v>
      </c>
      <c r="T76" s="114" t="n">
        <f aca="false">+J76*R76</f>
        <v>274.428</v>
      </c>
      <c r="U76" s="107"/>
      <c r="V76" s="108" t="n">
        <v>452694</v>
      </c>
      <c r="W76" s="57" t="s">
        <v>222</v>
      </c>
      <c r="X76" s="74"/>
      <c r="Y76" s="74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  <c r="EO76" s="75"/>
      <c r="EP76" s="75"/>
      <c r="EQ76" s="7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  <c r="FS76" s="75"/>
      <c r="FT76" s="75"/>
      <c r="FU76" s="75"/>
      <c r="FV76" s="75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75"/>
      <c r="GJ76" s="75"/>
      <c r="GK76" s="75"/>
      <c r="GL76" s="75"/>
      <c r="GM76" s="75"/>
      <c r="GN76" s="75"/>
      <c r="GO76" s="75"/>
      <c r="GP76" s="75"/>
      <c r="GQ76" s="75"/>
      <c r="GR76" s="75"/>
      <c r="GS76" s="75"/>
      <c r="GT76" s="75"/>
      <c r="GU76" s="75"/>
      <c r="GV76" s="75"/>
      <c r="GW76" s="75"/>
      <c r="GX76" s="75"/>
      <c r="GY76" s="75"/>
      <c r="GZ76" s="75"/>
      <c r="HA76" s="75"/>
      <c r="HB76" s="75"/>
      <c r="HC76" s="75"/>
      <c r="HD76" s="75"/>
      <c r="HE76" s="75"/>
      <c r="HF76" s="75"/>
      <c r="HG76" s="75"/>
      <c r="HH76" s="75"/>
      <c r="HI76" s="75"/>
      <c r="HJ76" s="75"/>
      <c r="HK76" s="75"/>
      <c r="HL76" s="75"/>
      <c r="HM76" s="75"/>
      <c r="HN76" s="75"/>
      <c r="HO76" s="75"/>
      <c r="HP76" s="75"/>
      <c r="HQ76" s="75"/>
      <c r="HR76" s="75"/>
      <c r="HS76" s="75"/>
      <c r="HT76" s="75"/>
      <c r="HU76" s="75"/>
      <c r="HV76" s="75"/>
      <c r="HW76" s="75"/>
      <c r="HX76" s="75"/>
      <c r="HY76" s="75"/>
      <c r="HZ76" s="75"/>
      <c r="IA76" s="75"/>
      <c r="IB76" s="75"/>
      <c r="IC76" s="75"/>
      <c r="ID76" s="75"/>
      <c r="IE76" s="75"/>
      <c r="IF76" s="75"/>
      <c r="IG76" s="75"/>
      <c r="IH76" s="75"/>
      <c r="II76" s="75"/>
      <c r="IJ76" s="75"/>
      <c r="IK76" s="75"/>
      <c r="IL76" s="75"/>
      <c r="IM76" s="75"/>
      <c r="IN76" s="75"/>
      <c r="IO76" s="75"/>
      <c r="IP76" s="75"/>
      <c r="IQ76" s="75"/>
      <c r="IR76" s="75"/>
      <c r="IS76" s="75"/>
      <c r="IT76" s="75"/>
      <c r="IU76" s="75"/>
      <c r="IV76" s="75"/>
      <c r="IW76" s="75"/>
    </row>
    <row r="77" customFormat="false" ht="12.75" hidden="false" customHeight="false" outlineLevel="0" collapsed="false">
      <c r="A77" s="115"/>
      <c r="B77" s="116" t="s">
        <v>174</v>
      </c>
      <c r="C77" s="100" t="s">
        <v>62</v>
      </c>
      <c r="D77" s="100" t="s">
        <v>209</v>
      </c>
      <c r="E77" s="101" t="n">
        <v>36831</v>
      </c>
      <c r="F77" s="101" t="n">
        <v>36860</v>
      </c>
      <c r="G77" s="99" t="s">
        <v>242</v>
      </c>
      <c r="H77" s="99" t="s">
        <v>217</v>
      </c>
      <c r="I77" s="100" t="s">
        <v>243</v>
      </c>
      <c r="J77" s="102" t="n">
        <f aca="false">15.0677/J1</f>
        <v>0.502256666666667</v>
      </c>
      <c r="K77" s="103"/>
      <c r="L77" s="103"/>
      <c r="M77" s="103"/>
      <c r="N77" s="103"/>
      <c r="O77" s="104"/>
      <c r="P77" s="103"/>
      <c r="Q77" s="117" t="n">
        <v>3.7267</v>
      </c>
      <c r="R77" s="118" t="n">
        <v>840</v>
      </c>
      <c r="S77" s="119" t="s">
        <v>244</v>
      </c>
      <c r="T77" s="114" t="n">
        <f aca="false">+J77*R77</f>
        <v>421.8956</v>
      </c>
      <c r="U77" s="120"/>
      <c r="V77" s="121" t="n">
        <v>452479</v>
      </c>
      <c r="W77" s="57" t="s">
        <v>222</v>
      </c>
      <c r="X77" s="58"/>
      <c r="Y77" s="58"/>
    </row>
    <row r="78" customFormat="false" ht="12.75" hidden="false" customHeight="false" outlineLevel="0" collapsed="false">
      <c r="A78" s="115"/>
      <c r="B78" s="116" t="s">
        <v>174</v>
      </c>
      <c r="C78" s="100" t="s">
        <v>62</v>
      </c>
      <c r="D78" s="100" t="s">
        <v>209</v>
      </c>
      <c r="E78" s="101" t="n">
        <v>36831</v>
      </c>
      <c r="F78" s="101" t="n">
        <v>36860</v>
      </c>
      <c r="G78" s="99" t="s">
        <v>245</v>
      </c>
      <c r="H78" s="99" t="s">
        <v>217</v>
      </c>
      <c r="I78" s="100" t="s">
        <v>246</v>
      </c>
      <c r="J78" s="122" t="n">
        <f aca="false">12.0693/J1</f>
        <v>0.40231</v>
      </c>
      <c r="K78" s="103"/>
      <c r="L78" s="103"/>
      <c r="M78" s="103"/>
      <c r="N78" s="103"/>
      <c r="O78" s="104"/>
      <c r="P78" s="103"/>
      <c r="Q78" s="117" t="n">
        <v>3.726</v>
      </c>
      <c r="R78" s="118" t="n">
        <v>1178</v>
      </c>
      <c r="S78" s="119" t="s">
        <v>247</v>
      </c>
      <c r="T78" s="114" t="n">
        <f aca="false">+J78*R78</f>
        <v>473.92118</v>
      </c>
      <c r="U78" s="120"/>
      <c r="V78" s="121" t="n">
        <v>452748</v>
      </c>
      <c r="W78" s="57" t="s">
        <v>222</v>
      </c>
      <c r="X78" s="58"/>
      <c r="Y78" s="58"/>
    </row>
    <row r="79" customFormat="false" ht="12.75" hidden="false" customHeight="false" outlineLevel="0" collapsed="false">
      <c r="A79" s="115"/>
      <c r="B79" s="116" t="s">
        <v>174</v>
      </c>
      <c r="C79" s="100" t="s">
        <v>62</v>
      </c>
      <c r="D79" s="100" t="s">
        <v>209</v>
      </c>
      <c r="E79" s="101" t="n">
        <v>36831</v>
      </c>
      <c r="F79" s="101" t="n">
        <v>37864</v>
      </c>
      <c r="G79" s="99" t="s">
        <v>245</v>
      </c>
      <c r="H79" s="99" t="s">
        <v>217</v>
      </c>
      <c r="I79" s="100" t="s">
        <v>246</v>
      </c>
      <c r="J79" s="122" t="n">
        <f aca="false">12.0693/J1</f>
        <v>0.40231</v>
      </c>
      <c r="K79" s="103"/>
      <c r="L79" s="103"/>
      <c r="M79" s="103"/>
      <c r="N79" s="103"/>
      <c r="O79" s="104"/>
      <c r="P79" s="103"/>
      <c r="Q79" s="117" t="n">
        <v>3.7306</v>
      </c>
      <c r="R79" s="118" t="n">
        <v>2749</v>
      </c>
      <c r="S79" s="119" t="s">
        <v>248</v>
      </c>
      <c r="T79" s="114" t="n">
        <f aca="false">+J79*R79</f>
        <v>1105.95019</v>
      </c>
      <c r="U79" s="120"/>
      <c r="V79" s="121" t="n">
        <v>452701</v>
      </c>
      <c r="W79" s="57" t="s">
        <v>222</v>
      </c>
      <c r="X79" s="58"/>
      <c r="Y79" s="58"/>
    </row>
    <row r="80" customFormat="false" ht="13.5" hidden="false" customHeight="false" outlineLevel="0" collapsed="false">
      <c r="B80" s="42"/>
      <c r="C80" s="46"/>
      <c r="D80" s="46"/>
      <c r="E80" s="47"/>
      <c r="F80" s="47"/>
      <c r="G80" s="48"/>
      <c r="H80" s="48"/>
      <c r="I80" s="46"/>
      <c r="J80" s="51"/>
      <c r="K80" s="51"/>
      <c r="L80" s="51"/>
      <c r="M80" s="51"/>
      <c r="N80" s="51"/>
      <c r="O80" s="52"/>
      <c r="P80" s="51"/>
      <c r="Q80" s="123"/>
      <c r="R80" s="124"/>
      <c r="S80" s="55"/>
      <c r="T80" s="125" t="n">
        <f aca="false">SUM(T54:T79)</f>
        <v>135262.68047</v>
      </c>
      <c r="U80" s="55"/>
      <c r="V80" s="56"/>
      <c r="W80" s="57"/>
      <c r="X80" s="58"/>
      <c r="Y80" s="58"/>
    </row>
    <row r="81" customFormat="false" ht="13.5" hidden="false" customHeight="false" outlineLevel="0" collapsed="false">
      <c r="B81" s="42"/>
      <c r="C81" s="46"/>
      <c r="D81" s="46"/>
      <c r="E81" s="47"/>
      <c r="F81" s="47"/>
      <c r="G81" s="48"/>
      <c r="H81" s="48"/>
      <c r="I81" s="46"/>
      <c r="J81" s="51"/>
      <c r="K81" s="51"/>
      <c r="L81" s="51"/>
      <c r="M81" s="51"/>
      <c r="N81" s="51"/>
      <c r="O81" s="52"/>
      <c r="P81" s="51"/>
      <c r="Q81" s="123"/>
      <c r="R81" s="124"/>
      <c r="S81" s="55"/>
      <c r="T81" s="55"/>
      <c r="U81" s="57"/>
      <c r="V81" s="56"/>
      <c r="W81" s="57"/>
      <c r="X81" s="126"/>
      <c r="Y81" s="58"/>
    </row>
    <row r="82" customFormat="false" ht="12.75" hidden="false" customHeight="false" outlineLevel="0" collapsed="false">
      <c r="B82" s="42"/>
      <c r="C82" s="46"/>
      <c r="D82" s="46"/>
      <c r="E82" s="47"/>
      <c r="F82" s="47"/>
      <c r="G82" s="48"/>
      <c r="H82" s="48"/>
      <c r="I82" s="46"/>
      <c r="J82" s="51"/>
      <c r="K82" s="51"/>
      <c r="L82" s="51"/>
      <c r="M82" s="51"/>
      <c r="N82" s="51"/>
      <c r="O82" s="52"/>
      <c r="P82" s="51"/>
      <c r="Q82" s="123"/>
      <c r="R82" s="124"/>
      <c r="S82" s="55"/>
      <c r="T82" s="55"/>
      <c r="U82" s="55"/>
      <c r="V82" s="56"/>
      <c r="W82" s="57"/>
      <c r="X82" s="58"/>
      <c r="Y82" s="58"/>
    </row>
    <row r="83" customFormat="false" ht="12.75" hidden="false" customHeight="false" outlineLevel="0" collapsed="false">
      <c r="B83" s="42"/>
      <c r="C83" s="46"/>
      <c r="D83" s="46"/>
      <c r="E83" s="47"/>
      <c r="F83" s="47"/>
      <c r="G83" s="48"/>
      <c r="H83" s="48"/>
      <c r="I83" s="46"/>
      <c r="J83" s="51"/>
      <c r="K83" s="51"/>
      <c r="L83" s="51"/>
      <c r="M83" s="51"/>
      <c r="N83" s="51"/>
      <c r="O83" s="52"/>
      <c r="P83" s="51"/>
      <c r="Q83" s="123"/>
      <c r="R83" s="124"/>
      <c r="S83" s="55"/>
      <c r="T83" s="55"/>
      <c r="U83" s="55"/>
      <c r="V83" s="56"/>
      <c r="W83" s="57"/>
      <c r="X83" s="58"/>
      <c r="Y83" s="58"/>
    </row>
    <row r="84" customFormat="false" ht="12.75" hidden="false" customHeight="false" outlineLevel="0" collapsed="false">
      <c r="B84" s="42"/>
      <c r="C84" s="46"/>
      <c r="D84" s="46"/>
      <c r="E84" s="74"/>
      <c r="F84" s="47"/>
      <c r="G84" s="48"/>
      <c r="H84" s="48"/>
      <c r="I84" s="46"/>
      <c r="J84" s="60"/>
      <c r="K84" s="51"/>
      <c r="L84" s="51"/>
      <c r="M84" s="51"/>
      <c r="N84" s="51"/>
      <c r="O84" s="52"/>
      <c r="P84" s="51"/>
      <c r="Q84" s="123"/>
      <c r="R84" s="124"/>
      <c r="S84" s="126"/>
      <c r="T84" s="55"/>
      <c r="U84" s="55"/>
      <c r="V84" s="56"/>
      <c r="W84" s="57"/>
      <c r="X84" s="58"/>
      <c r="Y84" s="58"/>
    </row>
    <row r="85" customFormat="false" ht="12.75" hidden="false" customHeight="false" outlineLevel="0" collapsed="false">
      <c r="B85" s="42"/>
      <c r="C85" s="46"/>
      <c r="D85" s="46"/>
      <c r="E85" s="74"/>
      <c r="F85" s="47"/>
      <c r="G85" s="48"/>
      <c r="H85" s="48"/>
      <c r="I85" s="46"/>
      <c r="J85" s="60"/>
      <c r="K85" s="51"/>
      <c r="L85" s="51"/>
      <c r="M85" s="51"/>
      <c r="N85" s="51"/>
      <c r="O85" s="52"/>
      <c r="P85" s="51"/>
      <c r="Q85" s="123"/>
      <c r="R85" s="124"/>
      <c r="S85" s="126"/>
      <c r="T85" s="55"/>
      <c r="U85" s="55"/>
      <c r="V85" s="56"/>
      <c r="W85" s="57"/>
      <c r="X85" s="58"/>
      <c r="Y85" s="58"/>
    </row>
    <row r="86" customFormat="false" ht="12.75" hidden="false" customHeight="false" outlineLevel="0" collapsed="false">
      <c r="E86" s="44"/>
      <c r="Q86" s="39"/>
      <c r="R86" s="39"/>
      <c r="S86" s="39"/>
      <c r="T86" s="39"/>
      <c r="U86" s="39"/>
      <c r="V86" s="127"/>
      <c r="W86" s="128"/>
      <c r="X86" s="127"/>
    </row>
    <row r="87" customFormat="false" ht="12.75" hidden="false" customHeight="false" outlineLevel="0" collapsed="false">
      <c r="E87" s="44"/>
      <c r="Q87" s="39"/>
      <c r="R87" s="39"/>
      <c r="S87" s="39"/>
      <c r="T87" s="39"/>
      <c r="U87" s="39"/>
      <c r="V87" s="127"/>
      <c r="W87" s="128"/>
      <c r="X87" s="127"/>
    </row>
    <row r="88" customFormat="false" ht="12.75" hidden="false" customHeight="false" outlineLevel="0" collapsed="false">
      <c r="E88" s="44"/>
    </row>
    <row r="89" customFormat="false" ht="12.75" hidden="false" customHeight="false" outlineLevel="0" collapsed="false">
      <c r="E89" s="44"/>
    </row>
    <row r="90" customFormat="false" ht="12.75" hidden="false" customHeight="false" outlineLevel="0" collapsed="false">
      <c r="E90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7" width="9.99"/>
    <col collapsed="false" customWidth="false" hidden="false" outlineLevel="0" max="3" min="3" style="37" width="9.14"/>
    <col collapsed="false" customWidth="true" hidden="false" outlineLevel="0" max="4" min="4" style="37" width="10.56"/>
    <col collapsed="false" customWidth="true" hidden="false" outlineLevel="0" max="5" min="5" style="37" width="9.28"/>
    <col collapsed="false" customWidth="true" hidden="false" outlineLevel="0" max="6" min="6" style="37" width="9.56"/>
    <col collapsed="false" customWidth="true" hidden="false" outlineLevel="0" max="7" min="7" style="42" width="12.42"/>
    <col collapsed="false" customWidth="true" hidden="false" outlineLevel="0" max="8" min="8" style="42" width="16.42"/>
    <col collapsed="false" customWidth="true" hidden="false" outlineLevel="0" max="9" min="9" style="37" width="13.14"/>
    <col collapsed="false" customWidth="true" hidden="false" outlineLevel="0" max="10" min="10" style="37" width="7.7"/>
    <col collapsed="false" customWidth="true" hidden="true" outlineLevel="0" max="14" min="11" style="37" width="9.06"/>
    <col collapsed="false" customWidth="true" hidden="true" outlineLevel="0" max="15" min="15" style="43" width="9.06"/>
    <col collapsed="false" customWidth="true" hidden="true" outlineLevel="0" max="16" min="16" style="37" width="9.06"/>
    <col collapsed="false" customWidth="true" hidden="false" outlineLevel="0" max="17" min="17" style="37" width="14.28"/>
    <col collapsed="false" customWidth="true" hidden="false" outlineLevel="0" max="18" min="18" style="37" width="10.85"/>
    <col collapsed="false" customWidth="true" hidden="false" outlineLevel="0" max="19" min="19" style="37" width="12.28"/>
    <col collapsed="false" customWidth="true" hidden="false" outlineLevel="0" max="20" min="20" style="37" width="10.71"/>
    <col collapsed="false" customWidth="true" hidden="false" outlineLevel="0" max="21" min="21" style="37" width="11.85"/>
    <col collapsed="false" customWidth="true" hidden="false" outlineLevel="0" max="22" min="22" style="44" width="14.85"/>
    <col collapsed="false" customWidth="true" hidden="false" outlineLevel="0" max="23" min="23" style="42" width="42.28"/>
    <col collapsed="false" customWidth="false" hidden="false" outlineLevel="0" max="25" min="24" style="44" width="9.14"/>
    <col collapsed="false" customWidth="true" hidden="false" outlineLevel="0" max="26" min="26" style="37" width="12.42"/>
    <col collapsed="false" customWidth="false" hidden="false" outlineLevel="0" max="257" min="27" style="37" width="9.14"/>
  </cols>
  <sheetData>
    <row r="1" customFormat="false" ht="12.75" hidden="false" customHeight="false" outlineLevel="0" collapsed="false">
      <c r="B1" s="45" t="s">
        <v>146</v>
      </c>
      <c r="C1" s="46"/>
      <c r="D1" s="46"/>
      <c r="E1" s="47"/>
      <c r="F1" s="47"/>
      <c r="G1" s="48"/>
      <c r="H1" s="48"/>
      <c r="I1" s="46" t="s">
        <v>147</v>
      </c>
      <c r="J1" s="49" t="n">
        <v>30</v>
      </c>
      <c r="K1" s="50" t="s">
        <v>148</v>
      </c>
      <c r="L1" s="51"/>
      <c r="M1" s="51"/>
      <c r="N1" s="51"/>
      <c r="O1" s="52"/>
      <c r="P1" s="51"/>
      <c r="Q1" s="53"/>
      <c r="R1" s="54"/>
      <c r="S1" s="55" t="s">
        <v>249</v>
      </c>
      <c r="T1" s="55"/>
      <c r="U1" s="55"/>
      <c r="V1" s="56"/>
      <c r="W1" s="57"/>
      <c r="X1" s="58"/>
      <c r="Y1" s="58"/>
    </row>
    <row r="2" customFormat="false" ht="12.75" hidden="false" customHeight="false" outlineLevel="0" collapsed="false">
      <c r="B2" s="48" t="s">
        <v>149</v>
      </c>
      <c r="C2" s="48"/>
      <c r="D2" s="48"/>
      <c r="E2" s="47"/>
      <c r="F2" s="47"/>
      <c r="G2" s="48"/>
      <c r="H2" s="48"/>
      <c r="I2" s="46"/>
      <c r="J2" s="49"/>
      <c r="K2" s="50" t="s">
        <v>150</v>
      </c>
      <c r="L2" s="51"/>
      <c r="M2" s="51"/>
      <c r="N2" s="51"/>
      <c r="O2" s="52"/>
      <c r="P2" s="51"/>
      <c r="Q2" s="53"/>
      <c r="R2" s="54"/>
      <c r="S2" s="55"/>
      <c r="T2" s="55"/>
      <c r="U2" s="55"/>
      <c r="V2" s="56"/>
      <c r="W2" s="57"/>
      <c r="X2" s="58"/>
      <c r="Y2" s="58"/>
    </row>
    <row r="3" customFormat="false" ht="12.75" hidden="false" customHeight="false" outlineLevel="0" collapsed="false">
      <c r="B3" s="48" t="s">
        <v>151</v>
      </c>
      <c r="C3" s="48"/>
      <c r="D3" s="48"/>
      <c r="E3" s="47"/>
      <c r="F3" s="47"/>
      <c r="G3" s="59" t="s">
        <v>143</v>
      </c>
      <c r="H3" s="48" t="s">
        <v>143</v>
      </c>
      <c r="I3" s="54" t="s">
        <v>143</v>
      </c>
      <c r="J3" s="60"/>
      <c r="K3" s="61" t="s">
        <v>143</v>
      </c>
      <c r="L3" s="51"/>
      <c r="M3" s="61" t="s">
        <v>143</v>
      </c>
      <c r="N3" s="51"/>
      <c r="O3" s="52"/>
      <c r="P3" s="61" t="s">
        <v>143</v>
      </c>
      <c r="Q3" s="53"/>
      <c r="R3" s="54"/>
      <c r="S3" s="55"/>
      <c r="T3" s="55"/>
      <c r="U3" s="55"/>
      <c r="V3" s="56"/>
      <c r="W3" s="57"/>
      <c r="X3" s="58"/>
      <c r="Y3" s="58"/>
    </row>
    <row r="4" customFormat="false" ht="12.75" hidden="false" customHeight="false" outlineLevel="0" collapsed="false">
      <c r="B4" s="48"/>
      <c r="C4" s="46"/>
      <c r="D4" s="46"/>
      <c r="E4" s="47"/>
      <c r="F4" s="47"/>
      <c r="G4" s="62"/>
      <c r="H4" s="48"/>
      <c r="I4" s="62"/>
      <c r="J4" s="60"/>
      <c r="K4" s="62"/>
      <c r="L4" s="51"/>
      <c r="M4" s="62"/>
      <c r="N4" s="54"/>
      <c r="O4" s="52"/>
      <c r="P4" s="54"/>
      <c r="Q4" s="53"/>
      <c r="R4" s="54"/>
      <c r="S4" s="55"/>
      <c r="T4" s="63"/>
      <c r="U4" s="63"/>
      <c r="V4" s="64"/>
      <c r="W4" s="57"/>
      <c r="X4" s="58"/>
      <c r="Y4" s="58"/>
    </row>
    <row r="5" customFormat="false" ht="12.75" hidden="false" customHeight="false" outlineLevel="0" collapsed="false">
      <c r="B5" s="48" t="s">
        <v>152</v>
      </c>
      <c r="C5" s="46"/>
      <c r="D5" s="48"/>
      <c r="E5" s="47"/>
      <c r="F5" s="47"/>
      <c r="G5" s="62"/>
      <c r="H5" s="48"/>
      <c r="I5" s="62"/>
      <c r="J5" s="60"/>
      <c r="K5" s="62"/>
      <c r="L5" s="51"/>
      <c r="M5" s="62"/>
      <c r="N5" s="54"/>
      <c r="O5" s="52"/>
      <c r="P5" s="54"/>
      <c r="Q5" s="53"/>
      <c r="R5" s="54"/>
      <c r="S5" s="55"/>
      <c r="T5" s="63"/>
      <c r="U5" s="63"/>
      <c r="V5" s="64"/>
      <c r="W5" s="57"/>
      <c r="X5" s="58"/>
      <c r="Y5" s="58"/>
    </row>
    <row r="6" customFormat="false" ht="12.75" hidden="false" customHeight="false" outlineLevel="0" collapsed="false">
      <c r="B6" s="48"/>
      <c r="C6" s="46" t="s">
        <v>153</v>
      </c>
      <c r="D6" s="46"/>
      <c r="E6" s="47"/>
      <c r="F6" s="47"/>
      <c r="G6" s="62"/>
      <c r="H6" s="48"/>
      <c r="I6" s="62"/>
      <c r="J6" s="60"/>
      <c r="K6" s="62"/>
      <c r="L6" s="51"/>
      <c r="M6" s="62"/>
      <c r="N6" s="54"/>
      <c r="O6" s="52"/>
      <c r="P6" s="54"/>
      <c r="Q6" s="53"/>
      <c r="R6" s="54"/>
      <c r="S6" s="55"/>
      <c r="T6" s="63"/>
      <c r="U6" s="63"/>
      <c r="V6" s="64"/>
      <c r="W6" s="57"/>
      <c r="X6" s="58"/>
      <c r="Y6" s="58"/>
    </row>
    <row r="7" customFormat="false" ht="12.75" hidden="false" customHeight="false" outlineLevel="0" collapsed="false">
      <c r="B7" s="48"/>
      <c r="C7" s="46"/>
      <c r="D7" s="46"/>
      <c r="E7" s="47"/>
      <c r="F7" s="47"/>
      <c r="G7" s="62"/>
      <c r="H7" s="48"/>
      <c r="I7" s="62"/>
      <c r="J7" s="60"/>
      <c r="K7" s="62"/>
      <c r="L7" s="51"/>
      <c r="M7" s="62"/>
      <c r="N7" s="54"/>
      <c r="O7" s="52"/>
      <c r="P7" s="54"/>
      <c r="Q7" s="53"/>
      <c r="R7" s="54"/>
      <c r="S7" s="55"/>
      <c r="T7" s="63"/>
      <c r="U7" s="63"/>
      <c r="V7" s="64"/>
      <c r="W7" s="57"/>
      <c r="X7" s="58"/>
      <c r="Y7" s="58"/>
    </row>
    <row r="8" customFormat="false" ht="12.75" hidden="false" customHeight="false" outlineLevel="0" collapsed="false">
      <c r="B8" s="48"/>
      <c r="C8" s="46"/>
      <c r="D8" s="46"/>
      <c r="E8" s="47"/>
      <c r="F8" s="47"/>
      <c r="G8" s="62"/>
      <c r="H8" s="48"/>
      <c r="I8" s="62"/>
      <c r="J8" s="60"/>
      <c r="K8" s="62"/>
      <c r="L8" s="51"/>
      <c r="M8" s="62"/>
      <c r="N8" s="54"/>
      <c r="O8" s="52"/>
      <c r="P8" s="54"/>
      <c r="Q8" s="53"/>
      <c r="R8" s="54"/>
      <c r="S8" s="55"/>
      <c r="T8" s="63"/>
      <c r="U8" s="63"/>
      <c r="V8" s="64"/>
      <c r="W8" s="57"/>
      <c r="X8" s="58"/>
      <c r="Y8" s="58"/>
    </row>
    <row r="9" customFormat="false" ht="12.75" hidden="false" customHeight="false" outlineLevel="0" collapsed="false">
      <c r="B9" s="48"/>
      <c r="C9" s="46"/>
      <c r="D9" s="46"/>
      <c r="E9" s="47"/>
      <c r="F9" s="47"/>
      <c r="G9" s="62"/>
      <c r="H9" s="48"/>
      <c r="I9" s="62"/>
      <c r="J9" s="60"/>
      <c r="K9" s="62"/>
      <c r="L9" s="51"/>
      <c r="M9" s="62"/>
      <c r="N9" s="54"/>
      <c r="O9" s="52"/>
      <c r="P9" s="54"/>
      <c r="Q9" s="53"/>
      <c r="R9" s="54"/>
      <c r="S9" s="55"/>
      <c r="T9" s="63"/>
      <c r="U9" s="63"/>
      <c r="V9" s="64"/>
      <c r="W9" s="57"/>
      <c r="X9" s="58"/>
      <c r="Y9" s="58"/>
    </row>
    <row r="10" customFormat="false" ht="12.75" hidden="false" customHeight="false" outlineLevel="0" collapsed="false">
      <c r="B10" s="48"/>
      <c r="C10" s="46"/>
      <c r="D10" s="46"/>
      <c r="E10" s="47"/>
      <c r="F10" s="47"/>
      <c r="G10" s="62"/>
      <c r="H10" s="48"/>
      <c r="I10" s="62"/>
      <c r="J10" s="60"/>
      <c r="K10" s="62"/>
      <c r="L10" s="51"/>
      <c r="M10" s="62"/>
      <c r="N10" s="54"/>
      <c r="O10" s="52"/>
      <c r="P10" s="54"/>
      <c r="Q10" s="53"/>
      <c r="R10" s="54"/>
      <c r="S10" s="55"/>
      <c r="T10" s="63"/>
      <c r="U10" s="63"/>
      <c r="V10" s="64"/>
      <c r="W10" s="57"/>
      <c r="X10" s="58"/>
      <c r="Y10" s="58"/>
    </row>
    <row r="11" customFormat="false" ht="12.75" hidden="false" customHeight="false" outlineLevel="0" collapsed="false">
      <c r="B11" s="65" t="s">
        <v>154</v>
      </c>
      <c r="C11" s="66" t="s">
        <v>155</v>
      </c>
      <c r="D11" s="66" t="s">
        <v>250</v>
      </c>
      <c r="E11" s="67" t="s">
        <v>157</v>
      </c>
      <c r="F11" s="67"/>
      <c r="G11" s="65" t="s">
        <v>158</v>
      </c>
      <c r="H11" s="65" t="s">
        <v>159</v>
      </c>
      <c r="I11" s="66" t="s">
        <v>160</v>
      </c>
      <c r="J11" s="68" t="s">
        <v>161</v>
      </c>
      <c r="K11" s="66" t="s">
        <v>162</v>
      </c>
      <c r="L11" s="66" t="s">
        <v>163</v>
      </c>
      <c r="M11" s="66" t="s">
        <v>164</v>
      </c>
      <c r="N11" s="66" t="s">
        <v>165</v>
      </c>
      <c r="O11" s="69" t="s">
        <v>166</v>
      </c>
      <c r="P11" s="66" t="s">
        <v>167</v>
      </c>
      <c r="Q11" s="70" t="s">
        <v>168</v>
      </c>
      <c r="R11" s="66" t="s">
        <v>169</v>
      </c>
      <c r="S11" s="65" t="s">
        <v>170</v>
      </c>
      <c r="T11" s="71" t="s">
        <v>171</v>
      </c>
      <c r="U11" s="71" t="s">
        <v>172</v>
      </c>
      <c r="V11" s="72" t="s">
        <v>173</v>
      </c>
      <c r="W11" s="73" t="s">
        <v>251</v>
      </c>
      <c r="X11" s="74"/>
      <c r="Y11" s="74"/>
    </row>
    <row r="12" customFormat="false" ht="12.75" hidden="false" customHeight="false" outlineLevel="0" collapsed="false">
      <c r="B12" s="65" t="s">
        <v>154</v>
      </c>
      <c r="C12" s="66" t="s">
        <v>155</v>
      </c>
      <c r="D12" s="66" t="s">
        <v>250</v>
      </c>
      <c r="E12" s="67" t="s">
        <v>157</v>
      </c>
      <c r="F12" s="67"/>
      <c r="G12" s="65" t="s">
        <v>158</v>
      </c>
      <c r="H12" s="65" t="s">
        <v>159</v>
      </c>
      <c r="I12" s="66" t="s">
        <v>160</v>
      </c>
      <c r="J12" s="68" t="s">
        <v>161</v>
      </c>
      <c r="K12" s="66" t="s">
        <v>162</v>
      </c>
      <c r="L12" s="66" t="s">
        <v>163</v>
      </c>
      <c r="M12" s="66" t="s">
        <v>164</v>
      </c>
      <c r="N12" s="66" t="s">
        <v>165</v>
      </c>
      <c r="O12" s="69" t="s">
        <v>166</v>
      </c>
      <c r="P12" s="66" t="s">
        <v>167</v>
      </c>
      <c r="Q12" s="70" t="s">
        <v>168</v>
      </c>
      <c r="R12" s="66" t="s">
        <v>169</v>
      </c>
      <c r="S12" s="65" t="s">
        <v>170</v>
      </c>
      <c r="T12" s="71" t="s">
        <v>171</v>
      </c>
      <c r="U12" s="71" t="s">
        <v>172</v>
      </c>
      <c r="V12" s="72" t="s">
        <v>173</v>
      </c>
      <c r="W12" s="73" t="s">
        <v>251</v>
      </c>
      <c r="X12" s="74"/>
      <c r="Y12" s="74"/>
    </row>
    <row r="13" customFormat="false" ht="12.75" hidden="false" customHeight="false" outlineLevel="0" collapsed="false">
      <c r="A13" s="75"/>
      <c r="B13" s="48" t="s">
        <v>174</v>
      </c>
      <c r="C13" s="46" t="s">
        <v>80</v>
      </c>
      <c r="D13" s="46" t="s">
        <v>209</v>
      </c>
      <c r="E13" s="47" t="n">
        <v>36770</v>
      </c>
      <c r="F13" s="47" t="n">
        <v>36981</v>
      </c>
      <c r="G13" s="129" t="n">
        <v>10001</v>
      </c>
      <c r="H13" s="129" t="n">
        <v>10001</v>
      </c>
      <c r="I13" s="46" t="s">
        <v>252</v>
      </c>
      <c r="J13" s="60" t="n">
        <v>0.0137</v>
      </c>
      <c r="K13" s="51"/>
      <c r="L13" s="51"/>
      <c r="M13" s="51"/>
      <c r="N13" s="51"/>
      <c r="O13" s="52"/>
      <c r="P13" s="51"/>
      <c r="Q13" s="53" t="n">
        <v>530750</v>
      </c>
      <c r="R13" s="46" t="n">
        <v>9374</v>
      </c>
      <c r="S13" s="48" t="s">
        <v>253</v>
      </c>
      <c r="T13" s="79" t="n">
        <f aca="false">J13*1*R13</f>
        <v>128.4238</v>
      </c>
      <c r="U13" s="79"/>
      <c r="V13" s="80" t="n">
        <v>384260</v>
      </c>
      <c r="W13" s="48"/>
      <c r="X13" s="74"/>
      <c r="Y13" s="74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</row>
    <row r="14" customFormat="false" ht="12.75" hidden="false" customHeight="false" outlineLevel="0" collapsed="false">
      <c r="A14" s="75"/>
      <c r="B14" s="48" t="s">
        <v>174</v>
      </c>
      <c r="C14" s="46" t="s">
        <v>80</v>
      </c>
      <c r="D14" s="46" t="s">
        <v>209</v>
      </c>
      <c r="E14" s="47" t="n">
        <v>36770</v>
      </c>
      <c r="F14" s="47" t="n">
        <v>36981</v>
      </c>
      <c r="G14" s="129" t="n">
        <v>10002</v>
      </c>
      <c r="H14" s="129" t="n">
        <v>10002</v>
      </c>
      <c r="I14" s="46" t="s">
        <v>252</v>
      </c>
      <c r="J14" s="60" t="n">
        <v>1.0137</v>
      </c>
      <c r="K14" s="51"/>
      <c r="L14" s="51"/>
      <c r="M14" s="51"/>
      <c r="N14" s="51"/>
      <c r="O14" s="52"/>
      <c r="P14" s="51"/>
      <c r="Q14" s="53" t="n">
        <v>530750</v>
      </c>
      <c r="R14" s="46" t="n">
        <v>153</v>
      </c>
      <c r="S14" s="48" t="s">
        <v>253</v>
      </c>
      <c r="T14" s="79" t="n">
        <f aca="false">J14*1*R14</f>
        <v>155.0961</v>
      </c>
      <c r="U14" s="79"/>
      <c r="V14" s="80" t="n">
        <v>384260</v>
      </c>
      <c r="W14" s="48"/>
      <c r="X14" s="74"/>
      <c r="Y14" s="74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</row>
    <row r="15" customFormat="false" ht="12.75" hidden="false" customHeight="false" outlineLevel="0" collapsed="false">
      <c r="A15" s="75"/>
      <c r="B15" s="48" t="s">
        <v>174</v>
      </c>
      <c r="C15" s="46" t="s">
        <v>80</v>
      </c>
      <c r="D15" s="46" t="s">
        <v>209</v>
      </c>
      <c r="E15" s="47" t="n">
        <v>36800</v>
      </c>
      <c r="F15" s="47" t="n">
        <v>36830</v>
      </c>
      <c r="G15" s="129" t="n">
        <v>10001</v>
      </c>
      <c r="H15" s="129" t="n">
        <v>10001</v>
      </c>
      <c r="I15" s="46" t="s">
        <v>252</v>
      </c>
      <c r="J15" s="60" t="n">
        <v>1.8373</v>
      </c>
      <c r="K15" s="51"/>
      <c r="L15" s="51"/>
      <c r="M15" s="51"/>
      <c r="N15" s="51"/>
      <c r="O15" s="52"/>
      <c r="P15" s="51"/>
      <c r="Q15" s="53" t="n">
        <v>530811</v>
      </c>
      <c r="R15" s="46" t="n">
        <v>67</v>
      </c>
      <c r="S15" s="48" t="s">
        <v>254</v>
      </c>
      <c r="T15" s="79" t="n">
        <f aca="false">J15*1*R15</f>
        <v>123.0991</v>
      </c>
      <c r="U15" s="79"/>
      <c r="V15" s="80" t="n">
        <v>418886</v>
      </c>
      <c r="W15" s="48"/>
      <c r="X15" s="74"/>
      <c r="Y15" s="74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  <c r="IW15" s="75"/>
    </row>
    <row r="16" customFormat="false" ht="12.75" hidden="false" customHeight="false" outlineLevel="0" collapsed="false">
      <c r="A16" s="75"/>
      <c r="B16" s="48" t="s">
        <v>174</v>
      </c>
      <c r="C16" s="46" t="s">
        <v>80</v>
      </c>
      <c r="D16" s="46" t="s">
        <v>209</v>
      </c>
      <c r="E16" s="47" t="n">
        <v>36800</v>
      </c>
      <c r="F16" s="47" t="n">
        <v>36830</v>
      </c>
      <c r="G16" s="129" t="n">
        <v>10001</v>
      </c>
      <c r="H16" s="129" t="n">
        <v>10001</v>
      </c>
      <c r="I16" s="46" t="s">
        <v>252</v>
      </c>
      <c r="J16" s="60" t="n">
        <v>0.0137</v>
      </c>
      <c r="K16" s="51"/>
      <c r="L16" s="51"/>
      <c r="M16" s="51"/>
      <c r="N16" s="51"/>
      <c r="O16" s="52"/>
      <c r="P16" s="51"/>
      <c r="Q16" s="53" t="n">
        <v>530811</v>
      </c>
      <c r="R16" s="46" t="n">
        <v>4064</v>
      </c>
      <c r="S16" s="48" t="s">
        <v>254</v>
      </c>
      <c r="T16" s="79" t="n">
        <f aca="false">J16*1*R16</f>
        <v>55.6768</v>
      </c>
      <c r="U16" s="79"/>
      <c r="V16" s="80" t="n">
        <v>418886</v>
      </c>
      <c r="W16" s="48"/>
      <c r="X16" s="74"/>
      <c r="Y16" s="74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</row>
    <row r="17" customFormat="false" ht="12.75" hidden="false" customHeight="false" outlineLevel="0" collapsed="false">
      <c r="B17" s="130" t="s">
        <v>143</v>
      </c>
      <c r="C17" s="131" t="s">
        <v>143</v>
      </c>
      <c r="D17" s="132" t="s">
        <v>143</v>
      </c>
      <c r="E17" s="133" t="s">
        <v>143</v>
      </c>
      <c r="F17" s="133"/>
      <c r="G17" s="130" t="s">
        <v>143</v>
      </c>
      <c r="H17" s="134" t="s">
        <v>143</v>
      </c>
      <c r="I17" s="131" t="s">
        <v>143</v>
      </c>
      <c r="J17" s="135"/>
      <c r="K17" s="136"/>
      <c r="L17" s="136"/>
      <c r="M17" s="136"/>
      <c r="N17" s="136"/>
      <c r="O17" s="137"/>
      <c r="P17" s="136"/>
      <c r="Q17" s="138" t="s">
        <v>143</v>
      </c>
      <c r="R17" s="131" t="n">
        <f aca="false">SUM(R13:R16)</f>
        <v>13658</v>
      </c>
      <c r="S17" s="130" t="s">
        <v>143</v>
      </c>
      <c r="T17" s="139" t="n">
        <f aca="false">SUM(T13:T16)</f>
        <v>462.2958</v>
      </c>
      <c r="U17" s="139"/>
      <c r="V17" s="140"/>
      <c r="W17" s="130"/>
      <c r="X17" s="74"/>
      <c r="Y17" s="74"/>
    </row>
    <row r="18" customFormat="false" ht="12.75" hidden="false" customHeight="false" outlineLevel="0" collapsed="false">
      <c r="B18" s="65" t="s">
        <v>154</v>
      </c>
      <c r="C18" s="66" t="s">
        <v>155</v>
      </c>
      <c r="D18" s="66" t="s">
        <v>156</v>
      </c>
      <c r="E18" s="67" t="s">
        <v>157</v>
      </c>
      <c r="F18" s="67"/>
      <c r="G18" s="65" t="s">
        <v>158</v>
      </c>
      <c r="H18" s="65" t="s">
        <v>159</v>
      </c>
      <c r="I18" s="66" t="s">
        <v>160</v>
      </c>
      <c r="J18" s="68" t="s">
        <v>161</v>
      </c>
      <c r="K18" s="66" t="s">
        <v>162</v>
      </c>
      <c r="L18" s="66" t="s">
        <v>163</v>
      </c>
      <c r="M18" s="66" t="s">
        <v>164</v>
      </c>
      <c r="N18" s="66" t="s">
        <v>165</v>
      </c>
      <c r="O18" s="69" t="s">
        <v>166</v>
      </c>
      <c r="P18" s="66" t="s">
        <v>167</v>
      </c>
      <c r="Q18" s="70" t="s">
        <v>168</v>
      </c>
      <c r="R18" s="66" t="s">
        <v>169</v>
      </c>
      <c r="S18" s="65" t="s">
        <v>170</v>
      </c>
      <c r="T18" s="71" t="s">
        <v>171</v>
      </c>
      <c r="U18" s="71" t="s">
        <v>172</v>
      </c>
      <c r="V18" s="72" t="s">
        <v>173</v>
      </c>
      <c r="W18" s="73" t="str">
        <f aca="false">+W12</f>
        <v>Questions</v>
      </c>
      <c r="X18" s="74"/>
      <c r="Y18" s="74"/>
    </row>
    <row r="19" customFormat="false" ht="12.75" hidden="false" customHeight="false" outlineLevel="0" collapsed="false">
      <c r="A19" s="75"/>
      <c r="B19" s="48" t="s">
        <v>174</v>
      </c>
      <c r="C19" s="46" t="s">
        <v>255</v>
      </c>
      <c r="D19" s="46" t="s">
        <v>256</v>
      </c>
      <c r="E19" s="47" t="n">
        <v>36617</v>
      </c>
      <c r="F19" s="47" t="n">
        <v>36830</v>
      </c>
      <c r="G19" s="48" t="s">
        <v>257</v>
      </c>
      <c r="H19" s="48" t="s">
        <v>193</v>
      </c>
      <c r="I19" s="46" t="s">
        <v>258</v>
      </c>
      <c r="J19" s="60" t="n">
        <f aca="false">6.238/J1</f>
        <v>0.207933333333333</v>
      </c>
      <c r="K19" s="51" t="n">
        <v>0</v>
      </c>
      <c r="L19" s="51" t="n">
        <v>0</v>
      </c>
      <c r="M19" s="51" t="n">
        <v>0</v>
      </c>
      <c r="N19" s="51" t="n">
        <v>0</v>
      </c>
      <c r="O19" s="52" t="n">
        <v>0</v>
      </c>
      <c r="P19" s="51" t="n">
        <f aca="false">SUM(J19:N19)</f>
        <v>0.207933333333333</v>
      </c>
      <c r="Q19" s="53" t="n">
        <v>51407</v>
      </c>
      <c r="R19" s="46" t="n">
        <v>73754</v>
      </c>
      <c r="S19" s="48" t="s">
        <v>259</v>
      </c>
      <c r="T19" s="79"/>
      <c r="U19" s="79"/>
      <c r="V19" s="80" t="n">
        <v>156569</v>
      </c>
      <c r="W19" s="48"/>
      <c r="X19" s="74"/>
      <c r="Y19" s="74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</row>
    <row r="20" customFormat="false" ht="12.75" hidden="false" customHeight="false" outlineLevel="0" collapsed="false">
      <c r="A20" s="75"/>
      <c r="B20" s="48" t="s">
        <v>174</v>
      </c>
      <c r="C20" s="46" t="s">
        <v>255</v>
      </c>
      <c r="D20" s="46" t="s">
        <v>256</v>
      </c>
      <c r="E20" s="47" t="n">
        <v>36617</v>
      </c>
      <c r="F20" s="47" t="n">
        <v>36830</v>
      </c>
      <c r="G20" s="48" t="s">
        <v>257</v>
      </c>
      <c r="H20" s="48" t="s">
        <v>194</v>
      </c>
      <c r="I20" s="46" t="s">
        <v>258</v>
      </c>
      <c r="J20" s="60" t="n">
        <f aca="false">1.512/J1</f>
        <v>0.0504</v>
      </c>
      <c r="K20" s="51" t="n">
        <v>0</v>
      </c>
      <c r="L20" s="51" t="n">
        <v>0</v>
      </c>
      <c r="M20" s="51" t="n">
        <v>0</v>
      </c>
      <c r="N20" s="51" t="n">
        <v>0</v>
      </c>
      <c r="O20" s="52" t="n">
        <v>0</v>
      </c>
      <c r="P20" s="51" t="n">
        <f aca="false">SUM(J20:N20)</f>
        <v>0.0504</v>
      </c>
      <c r="Q20" s="53" t="n">
        <v>51407</v>
      </c>
      <c r="R20" s="46" t="n">
        <v>73754</v>
      </c>
      <c r="S20" s="48" t="s">
        <v>259</v>
      </c>
      <c r="T20" s="79"/>
      <c r="U20" s="79"/>
      <c r="V20" s="80" t="n">
        <v>156569</v>
      </c>
      <c r="W20" s="48"/>
      <c r="X20" s="74"/>
      <c r="Y20" s="74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</row>
    <row r="21" customFormat="false" ht="12.75" hidden="false" customHeight="false" outlineLevel="0" collapsed="false">
      <c r="A21" s="75"/>
      <c r="B21" s="48" t="s">
        <v>174</v>
      </c>
      <c r="C21" s="46" t="s">
        <v>255</v>
      </c>
      <c r="D21" s="46" t="s">
        <v>260</v>
      </c>
      <c r="E21" s="47" t="n">
        <v>36495</v>
      </c>
      <c r="F21" s="47" t="n">
        <v>36891</v>
      </c>
      <c r="G21" s="48"/>
      <c r="H21" s="48" t="s">
        <v>261</v>
      </c>
      <c r="I21" s="46" t="s">
        <v>90</v>
      </c>
      <c r="J21" s="60" t="n">
        <f aca="false">3.0417/30.417</f>
        <v>0.1</v>
      </c>
      <c r="K21" s="51" t="n">
        <v>0.0132</v>
      </c>
      <c r="L21" s="51" t="n">
        <v>0.0022</v>
      </c>
      <c r="M21" s="51" t="n">
        <v>0.0075</v>
      </c>
      <c r="N21" s="51" t="n">
        <v>0</v>
      </c>
      <c r="O21" s="52" t="n">
        <v>0.02116</v>
      </c>
      <c r="P21" s="51" t="n">
        <f aca="false">SUM(J21:N21)</f>
        <v>0.1229</v>
      </c>
      <c r="Q21" s="77" t="n">
        <v>62164</v>
      </c>
      <c r="R21" s="46" t="n">
        <v>2000</v>
      </c>
      <c r="S21" s="48" t="s">
        <v>262</v>
      </c>
      <c r="T21" s="79" t="n">
        <f aca="false">J21*J$1*R21</f>
        <v>6000</v>
      </c>
      <c r="U21" s="80"/>
      <c r="V21" s="74" t="n">
        <v>235649</v>
      </c>
      <c r="W21" s="74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  <c r="IW21" s="75"/>
    </row>
    <row r="22" customFormat="false" ht="12.75" hidden="false" customHeight="false" outlineLevel="0" collapsed="false">
      <c r="A22" s="75"/>
      <c r="B22" s="48" t="s">
        <v>174</v>
      </c>
      <c r="C22" s="46" t="s">
        <v>255</v>
      </c>
      <c r="D22" s="46" t="s">
        <v>263</v>
      </c>
      <c r="E22" s="47" t="n">
        <v>36831</v>
      </c>
      <c r="F22" s="47" t="n">
        <v>36860</v>
      </c>
      <c r="G22" s="48"/>
      <c r="H22" s="48" t="s">
        <v>261</v>
      </c>
      <c r="I22" s="46" t="s">
        <v>90</v>
      </c>
      <c r="J22" s="60" t="n">
        <f aca="false">3.0417/30.417</f>
        <v>0.1</v>
      </c>
      <c r="K22" s="51" t="n">
        <v>0.0132</v>
      </c>
      <c r="L22" s="51" t="n">
        <v>0.0022</v>
      </c>
      <c r="M22" s="51" t="n">
        <v>0.0075</v>
      </c>
      <c r="N22" s="51" t="n">
        <v>0</v>
      </c>
      <c r="O22" s="52" t="n">
        <v>0.02116</v>
      </c>
      <c r="P22" s="51" t="n">
        <f aca="false">SUM(J22:N22)</f>
        <v>0.1229</v>
      </c>
      <c r="Q22" s="77" t="n">
        <v>62164</v>
      </c>
      <c r="R22" s="46" t="n">
        <v>-2000</v>
      </c>
      <c r="S22" s="48" t="s">
        <v>264</v>
      </c>
      <c r="T22" s="79" t="n">
        <f aca="false">J22*J$1*R22</f>
        <v>-6000</v>
      </c>
      <c r="U22" s="80"/>
      <c r="V22" s="74" t="n">
        <v>459078</v>
      </c>
      <c r="W22" s="74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</row>
    <row r="23" customFormat="false" ht="12.75" hidden="false" customHeight="false" outlineLevel="0" collapsed="false">
      <c r="A23" s="75"/>
      <c r="B23" s="48" t="s">
        <v>174</v>
      </c>
      <c r="C23" s="46" t="s">
        <v>255</v>
      </c>
      <c r="D23" s="46" t="s">
        <v>265</v>
      </c>
      <c r="E23" s="47" t="n">
        <v>36465</v>
      </c>
      <c r="F23" s="47" t="n">
        <v>37011</v>
      </c>
      <c r="G23" s="48" t="s">
        <v>266</v>
      </c>
      <c r="H23" s="48" t="s">
        <v>267</v>
      </c>
      <c r="I23" s="46" t="s">
        <v>90</v>
      </c>
      <c r="J23" s="60" t="n">
        <f aca="false">6.431/J$1</f>
        <v>0.214366666666667</v>
      </c>
      <c r="K23" s="51" t="n">
        <v>0.0132</v>
      </c>
      <c r="L23" s="51" t="n">
        <v>0.0022</v>
      </c>
      <c r="M23" s="51" t="n">
        <v>0.0072</v>
      </c>
      <c r="N23" s="51" t="n">
        <v>0</v>
      </c>
      <c r="O23" s="52" t="n">
        <v>0.02116</v>
      </c>
      <c r="P23" s="51" t="n">
        <f aca="false">SUM(J23:N23)</f>
        <v>0.236966666666667</v>
      </c>
      <c r="Q23" s="77" t="n">
        <v>65108</v>
      </c>
      <c r="R23" s="46" t="n">
        <v>5000</v>
      </c>
      <c r="S23" s="48" t="s">
        <v>268</v>
      </c>
      <c r="T23" s="79" t="n">
        <f aca="false">J23*J$1*R23</f>
        <v>32155</v>
      </c>
      <c r="U23" s="79"/>
      <c r="V23" s="80" t="n">
        <v>163001</v>
      </c>
      <c r="W23" s="48"/>
      <c r="X23" s="74"/>
      <c r="Y23" s="74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</row>
    <row r="24" customFormat="false" ht="12.75" hidden="false" customHeight="false" outlineLevel="0" collapsed="false">
      <c r="A24" s="75"/>
      <c r="B24" s="48" t="s">
        <v>174</v>
      </c>
      <c r="C24" s="46" t="s">
        <v>255</v>
      </c>
      <c r="D24" s="46" t="s">
        <v>265</v>
      </c>
      <c r="E24" s="47" t="n">
        <v>36465</v>
      </c>
      <c r="F24" s="47" t="n">
        <v>37011</v>
      </c>
      <c r="G24" s="48" t="s">
        <v>266</v>
      </c>
      <c r="H24" s="48" t="s">
        <v>267</v>
      </c>
      <c r="I24" s="46" t="s">
        <v>90</v>
      </c>
      <c r="J24" s="60" t="n">
        <f aca="false">6.431/J$1</f>
        <v>0.214366666666667</v>
      </c>
      <c r="K24" s="51" t="n">
        <v>0.0132</v>
      </c>
      <c r="L24" s="51" t="n">
        <v>0.0022</v>
      </c>
      <c r="M24" s="51" t="n">
        <v>0.0072</v>
      </c>
      <c r="N24" s="51" t="n">
        <v>0</v>
      </c>
      <c r="O24" s="52" t="n">
        <v>0.02116</v>
      </c>
      <c r="P24" s="51" t="n">
        <f aca="false">SUM(J24:N24)</f>
        <v>0.236966666666667</v>
      </c>
      <c r="Q24" s="77" t="n">
        <v>65108</v>
      </c>
      <c r="R24" s="46" t="n">
        <v>-5000</v>
      </c>
      <c r="S24" s="48" t="s">
        <v>268</v>
      </c>
      <c r="T24" s="79" t="n">
        <f aca="false">J24*J$1*R24</f>
        <v>-32155</v>
      </c>
      <c r="U24" s="79"/>
      <c r="V24" s="80" t="n">
        <v>441634</v>
      </c>
      <c r="W24" s="48"/>
      <c r="X24" s="74"/>
      <c r="Y24" s="74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</row>
    <row r="25" customFormat="false" ht="12.75" hidden="false" customHeight="false" outlineLevel="0" collapsed="false">
      <c r="A25" s="75"/>
      <c r="B25" s="48" t="s">
        <v>174</v>
      </c>
      <c r="C25" s="46" t="s">
        <v>255</v>
      </c>
      <c r="D25" s="46" t="s">
        <v>269</v>
      </c>
      <c r="E25" s="47" t="n">
        <v>36557</v>
      </c>
      <c r="F25" s="47" t="n">
        <v>36860</v>
      </c>
      <c r="G25" s="48" t="s">
        <v>266</v>
      </c>
      <c r="H25" s="48" t="s">
        <v>270</v>
      </c>
      <c r="I25" s="46" t="s">
        <v>90</v>
      </c>
      <c r="J25" s="60" t="n">
        <f aca="false">6.431/J$1</f>
        <v>0.214366666666667</v>
      </c>
      <c r="K25" s="51" t="n">
        <v>0.0132</v>
      </c>
      <c r="L25" s="51" t="n">
        <v>0.0022</v>
      </c>
      <c r="M25" s="51" t="n">
        <v>0.0072</v>
      </c>
      <c r="N25" s="51" t="n">
        <v>0</v>
      </c>
      <c r="O25" s="52" t="n">
        <v>0.02116</v>
      </c>
      <c r="P25" s="51" t="n">
        <f aca="false">SUM(J25:N25)</f>
        <v>0.236966666666667</v>
      </c>
      <c r="Q25" s="77" t="n">
        <v>65556</v>
      </c>
      <c r="R25" s="46" t="n">
        <v>3</v>
      </c>
      <c r="S25" s="48" t="s">
        <v>271</v>
      </c>
      <c r="T25" s="79" t="n">
        <f aca="false">J25*J$1*R25</f>
        <v>19.293</v>
      </c>
      <c r="U25" s="79"/>
      <c r="V25" s="80" t="n">
        <v>156602</v>
      </c>
      <c r="W25" s="48"/>
      <c r="X25" s="74"/>
      <c r="Y25" s="74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</row>
    <row r="26" customFormat="false" ht="12.75" hidden="false" customHeight="false" outlineLevel="0" collapsed="false">
      <c r="A26" s="75"/>
      <c r="B26" s="48" t="s">
        <v>174</v>
      </c>
      <c r="C26" s="46" t="s">
        <v>255</v>
      </c>
      <c r="D26" s="46" t="s">
        <v>176</v>
      </c>
      <c r="E26" s="47" t="n">
        <v>36557</v>
      </c>
      <c r="F26" s="47" t="n">
        <v>36922</v>
      </c>
      <c r="G26" s="48" t="s">
        <v>272</v>
      </c>
      <c r="H26" s="48" t="s">
        <v>273</v>
      </c>
      <c r="I26" s="46" t="s">
        <v>90</v>
      </c>
      <c r="J26" s="60" t="n">
        <f aca="false">6.431/J$1</f>
        <v>0.214366666666667</v>
      </c>
      <c r="K26" s="51"/>
      <c r="L26" s="51"/>
      <c r="M26" s="51"/>
      <c r="N26" s="51"/>
      <c r="O26" s="52"/>
      <c r="P26" s="51"/>
      <c r="Q26" s="77" t="n">
        <v>66280</v>
      </c>
      <c r="R26" s="46" t="n">
        <v>1</v>
      </c>
      <c r="S26" s="48" t="s">
        <v>274</v>
      </c>
      <c r="T26" s="79" t="n">
        <f aca="false">J26*J$1*R26</f>
        <v>6.431</v>
      </c>
      <c r="U26" s="79"/>
      <c r="V26" s="80" t="n">
        <v>156606</v>
      </c>
      <c r="W26" s="48"/>
      <c r="X26" s="74"/>
      <c r="Y26" s="74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</row>
    <row r="27" customFormat="false" ht="12.75" hidden="false" customHeight="false" outlineLevel="0" collapsed="false">
      <c r="A27" s="75"/>
      <c r="B27" s="48" t="s">
        <v>174</v>
      </c>
      <c r="C27" s="46" t="s">
        <v>255</v>
      </c>
      <c r="D27" s="46" t="s">
        <v>176</v>
      </c>
      <c r="E27" s="47" t="n">
        <v>36557</v>
      </c>
      <c r="F27" s="47" t="n">
        <v>36922</v>
      </c>
      <c r="G27" s="48" t="s">
        <v>272</v>
      </c>
      <c r="H27" s="48" t="s">
        <v>275</v>
      </c>
      <c r="I27" s="46" t="s">
        <v>90</v>
      </c>
      <c r="J27" s="60" t="n">
        <f aca="false">6.431/J$1</f>
        <v>0.214366666666667</v>
      </c>
      <c r="K27" s="51"/>
      <c r="L27" s="51"/>
      <c r="M27" s="51"/>
      <c r="N27" s="51"/>
      <c r="O27" s="52"/>
      <c r="P27" s="51"/>
      <c r="Q27" s="77" t="n">
        <v>66280</v>
      </c>
      <c r="R27" s="46" t="n">
        <v>4</v>
      </c>
      <c r="S27" s="48" t="s">
        <v>274</v>
      </c>
      <c r="T27" s="79" t="n">
        <f aca="false">J27*J$1*R27</f>
        <v>25.724</v>
      </c>
      <c r="U27" s="79"/>
      <c r="V27" s="80" t="n">
        <v>156606</v>
      </c>
      <c r="W27" s="48"/>
      <c r="X27" s="74"/>
      <c r="Y27" s="74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  <c r="IW27" s="75"/>
    </row>
    <row r="28" customFormat="false" ht="12.75" hidden="false" customHeight="false" outlineLevel="0" collapsed="false">
      <c r="A28" s="75"/>
      <c r="B28" s="48" t="s">
        <v>174</v>
      </c>
      <c r="C28" s="46" t="s">
        <v>255</v>
      </c>
      <c r="D28" s="46" t="s">
        <v>276</v>
      </c>
      <c r="E28" s="47" t="n">
        <v>36617</v>
      </c>
      <c r="F28" s="47" t="s">
        <v>277</v>
      </c>
      <c r="G28" s="48" t="s">
        <v>278</v>
      </c>
      <c r="H28" s="48"/>
      <c r="I28" s="46" t="s">
        <v>279</v>
      </c>
      <c r="J28" s="60"/>
      <c r="K28" s="51"/>
      <c r="L28" s="51"/>
      <c r="M28" s="51"/>
      <c r="N28" s="51"/>
      <c r="O28" s="52"/>
      <c r="P28" s="51"/>
      <c r="Q28" s="53" t="n">
        <v>66917</v>
      </c>
      <c r="R28" s="46"/>
      <c r="S28" s="48"/>
      <c r="T28" s="79"/>
      <c r="U28" s="79"/>
      <c r="V28" s="80" t="n">
        <v>228085</v>
      </c>
      <c r="W28" s="48"/>
      <c r="X28" s="74"/>
      <c r="Y28" s="74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  <c r="IW28" s="75"/>
    </row>
    <row r="29" customFormat="false" ht="12.75" hidden="false" customHeight="false" outlineLevel="0" collapsed="false">
      <c r="A29" s="75"/>
      <c r="B29" s="48" t="s">
        <v>174</v>
      </c>
      <c r="C29" s="46" t="s">
        <v>255</v>
      </c>
      <c r="D29" s="46" t="s">
        <v>176</v>
      </c>
      <c r="E29" s="47" t="n">
        <v>36617</v>
      </c>
      <c r="F29" s="47" t="n">
        <v>36981</v>
      </c>
      <c r="G29" s="48" t="s">
        <v>272</v>
      </c>
      <c r="H29" s="48" t="s">
        <v>273</v>
      </c>
      <c r="I29" s="46" t="s">
        <v>90</v>
      </c>
      <c r="J29" s="60" t="n">
        <f aca="false">6.431/$J$1</f>
        <v>0.214366666666667</v>
      </c>
      <c r="K29" s="51"/>
      <c r="L29" s="51"/>
      <c r="M29" s="51"/>
      <c r="N29" s="51"/>
      <c r="O29" s="52"/>
      <c r="P29" s="51"/>
      <c r="Q29" s="77" t="n">
        <v>66939</v>
      </c>
      <c r="R29" s="46" t="n">
        <v>5</v>
      </c>
      <c r="S29" s="48" t="s">
        <v>280</v>
      </c>
      <c r="T29" s="79" t="n">
        <f aca="false">+R29*J29</f>
        <v>1.07183333333333</v>
      </c>
      <c r="U29" s="79"/>
      <c r="V29" s="80"/>
      <c r="W29" s="48"/>
      <c r="X29" s="74"/>
      <c r="Y29" s="74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  <c r="IW29" s="75"/>
    </row>
    <row r="30" customFormat="false" ht="12.75" hidden="false" customHeight="false" outlineLevel="0" collapsed="false">
      <c r="A30" s="75"/>
      <c r="B30" s="48" t="s">
        <v>174</v>
      </c>
      <c r="C30" s="46" t="s">
        <v>255</v>
      </c>
      <c r="D30" s="46" t="s">
        <v>176</v>
      </c>
      <c r="E30" s="47" t="n">
        <v>36617</v>
      </c>
      <c r="F30" s="47" t="n">
        <v>36981</v>
      </c>
      <c r="G30" s="48" t="s">
        <v>272</v>
      </c>
      <c r="H30" s="48" t="s">
        <v>275</v>
      </c>
      <c r="I30" s="46" t="s">
        <v>90</v>
      </c>
      <c r="J30" s="60" t="n">
        <f aca="false">6.431/$J$1</f>
        <v>0.214366666666667</v>
      </c>
      <c r="K30" s="51"/>
      <c r="L30" s="51"/>
      <c r="M30" s="51"/>
      <c r="N30" s="51"/>
      <c r="O30" s="52"/>
      <c r="P30" s="51"/>
      <c r="Q30" s="77" t="n">
        <v>66939</v>
      </c>
      <c r="R30" s="46" t="n">
        <v>27</v>
      </c>
      <c r="S30" s="48" t="s">
        <v>280</v>
      </c>
      <c r="T30" s="79" t="n">
        <f aca="false">+R30*J30</f>
        <v>5.7879</v>
      </c>
      <c r="U30" s="79"/>
      <c r="V30" s="80"/>
      <c r="W30" s="48"/>
      <c r="X30" s="74"/>
      <c r="Y30" s="74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</row>
    <row r="31" customFormat="false" ht="12.75" hidden="false" customHeight="false" outlineLevel="0" collapsed="false">
      <c r="A31" s="75"/>
      <c r="B31" s="48" t="s">
        <v>174</v>
      </c>
      <c r="C31" s="46" t="s">
        <v>255</v>
      </c>
      <c r="D31" s="46" t="s">
        <v>176</v>
      </c>
      <c r="E31" s="47" t="n">
        <v>36617</v>
      </c>
      <c r="F31" s="47" t="n">
        <v>36981</v>
      </c>
      <c r="G31" s="48" t="s">
        <v>272</v>
      </c>
      <c r="H31" s="48" t="s">
        <v>281</v>
      </c>
      <c r="I31" s="46" t="s">
        <v>90</v>
      </c>
      <c r="J31" s="60" t="n">
        <f aca="false">6.431/$J$1</f>
        <v>0.214366666666667</v>
      </c>
      <c r="K31" s="51"/>
      <c r="L31" s="51"/>
      <c r="M31" s="51"/>
      <c r="N31" s="51"/>
      <c r="O31" s="52"/>
      <c r="P31" s="51"/>
      <c r="Q31" s="77" t="n">
        <v>66939</v>
      </c>
      <c r="R31" s="46" t="n">
        <v>3</v>
      </c>
      <c r="S31" s="48" t="s">
        <v>280</v>
      </c>
      <c r="T31" s="79" t="n">
        <f aca="false">+R31*J31</f>
        <v>0.6431</v>
      </c>
      <c r="U31" s="79"/>
      <c r="V31" s="80"/>
      <c r="W31" s="48"/>
      <c r="X31" s="74"/>
      <c r="Y31" s="74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</row>
    <row r="32" customFormat="false" ht="12.75" hidden="false" customHeight="false" outlineLevel="0" collapsed="false">
      <c r="A32" s="75"/>
      <c r="B32" s="48" t="s">
        <v>174</v>
      </c>
      <c r="C32" s="46" t="s">
        <v>255</v>
      </c>
      <c r="D32" s="46" t="s">
        <v>176</v>
      </c>
      <c r="E32" s="47" t="n">
        <v>36617</v>
      </c>
      <c r="F32" s="47" t="n">
        <v>36981</v>
      </c>
      <c r="G32" s="48" t="s">
        <v>272</v>
      </c>
      <c r="H32" s="48" t="s">
        <v>282</v>
      </c>
      <c r="I32" s="46" t="s">
        <v>90</v>
      </c>
      <c r="J32" s="60" t="n">
        <f aca="false">6.431/$J$1</f>
        <v>0.214366666666667</v>
      </c>
      <c r="K32" s="51"/>
      <c r="L32" s="51"/>
      <c r="M32" s="51"/>
      <c r="N32" s="51"/>
      <c r="O32" s="52"/>
      <c r="P32" s="51"/>
      <c r="Q32" s="77" t="n">
        <v>66939</v>
      </c>
      <c r="R32" s="46" t="n">
        <v>17</v>
      </c>
      <c r="S32" s="48" t="s">
        <v>280</v>
      </c>
      <c r="T32" s="79" t="n">
        <f aca="false">+R32*J32</f>
        <v>3.64423333333333</v>
      </c>
      <c r="U32" s="79"/>
      <c r="V32" s="80"/>
      <c r="W32" s="48"/>
      <c r="X32" s="74"/>
      <c r="Y32" s="74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  <c r="IW32" s="75"/>
    </row>
    <row r="33" customFormat="false" ht="12.75" hidden="false" customHeight="false" outlineLevel="0" collapsed="false">
      <c r="A33" s="75"/>
      <c r="B33" s="48" t="s">
        <v>174</v>
      </c>
      <c r="C33" s="46" t="s">
        <v>255</v>
      </c>
      <c r="D33" s="46" t="s">
        <v>283</v>
      </c>
      <c r="E33" s="47" t="n">
        <v>36617</v>
      </c>
      <c r="F33" s="47" t="n">
        <v>36981</v>
      </c>
      <c r="G33" s="48" t="s">
        <v>272</v>
      </c>
      <c r="H33" s="48" t="s">
        <v>284</v>
      </c>
      <c r="I33" s="46" t="s">
        <v>90</v>
      </c>
      <c r="J33" s="60" t="n">
        <f aca="false">6.431/$J$1</f>
        <v>0.214366666666667</v>
      </c>
      <c r="K33" s="51"/>
      <c r="L33" s="51"/>
      <c r="M33" s="51"/>
      <c r="N33" s="51"/>
      <c r="O33" s="52"/>
      <c r="P33" s="51"/>
      <c r="Q33" s="77" t="n">
        <v>66940</v>
      </c>
      <c r="R33" s="46" t="n">
        <v>1</v>
      </c>
      <c r="S33" s="48" t="s">
        <v>285</v>
      </c>
      <c r="T33" s="79" t="n">
        <f aca="false">+R33*J33</f>
        <v>0.214366666666667</v>
      </c>
      <c r="U33" s="79"/>
      <c r="V33" s="80" t="n">
        <v>228134</v>
      </c>
      <c r="W33" s="48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</row>
    <row r="34" customFormat="false" ht="12.75" hidden="false" customHeight="false" outlineLevel="0" collapsed="false">
      <c r="A34" s="75"/>
      <c r="B34" s="48" t="s">
        <v>174</v>
      </c>
      <c r="C34" s="46" t="s">
        <v>255</v>
      </c>
      <c r="D34" s="46" t="s">
        <v>283</v>
      </c>
      <c r="E34" s="47" t="n">
        <v>36617</v>
      </c>
      <c r="F34" s="47" t="n">
        <v>36981</v>
      </c>
      <c r="G34" s="48" t="s">
        <v>272</v>
      </c>
      <c r="H34" s="48" t="s">
        <v>286</v>
      </c>
      <c r="I34" s="46" t="s">
        <v>90</v>
      </c>
      <c r="J34" s="60" t="n">
        <f aca="false">6.431/$J$1</f>
        <v>0.214366666666667</v>
      </c>
      <c r="K34" s="51"/>
      <c r="L34" s="51"/>
      <c r="M34" s="51"/>
      <c r="N34" s="51"/>
      <c r="O34" s="52"/>
      <c r="P34" s="51"/>
      <c r="Q34" s="77" t="n">
        <v>66940</v>
      </c>
      <c r="R34" s="46" t="n">
        <v>1</v>
      </c>
      <c r="S34" s="48" t="s">
        <v>285</v>
      </c>
      <c r="T34" s="79" t="n">
        <f aca="false">+R34*J34</f>
        <v>0.214366666666667</v>
      </c>
      <c r="U34" s="79"/>
      <c r="V34" s="80" t="n">
        <v>228134</v>
      </c>
      <c r="W34" s="48"/>
      <c r="X34" s="74"/>
      <c r="Y34" s="74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</row>
    <row r="35" customFormat="false" ht="12.75" hidden="false" customHeight="false" outlineLevel="0" collapsed="false">
      <c r="A35" s="75"/>
      <c r="B35" s="48" t="s">
        <v>174</v>
      </c>
      <c r="C35" s="46" t="s">
        <v>255</v>
      </c>
      <c r="D35" s="46" t="s">
        <v>256</v>
      </c>
      <c r="E35" s="47" t="n">
        <v>36800</v>
      </c>
      <c r="F35" s="47" t="n">
        <v>36981</v>
      </c>
      <c r="G35" s="48" t="s">
        <v>257</v>
      </c>
      <c r="H35" s="48" t="s">
        <v>287</v>
      </c>
      <c r="I35" s="46" t="s">
        <v>288</v>
      </c>
      <c r="J35" s="60" t="n">
        <f aca="false">6.259/J$1</f>
        <v>0.208633333333333</v>
      </c>
      <c r="K35" s="51" t="n">
        <v>0.013</v>
      </c>
      <c r="L35" s="51" t="n">
        <v>0.0022</v>
      </c>
      <c r="M35" s="51" t="n">
        <v>0.0072</v>
      </c>
      <c r="N35" s="51" t="n">
        <v>0</v>
      </c>
      <c r="O35" s="52" t="n">
        <v>0.02116</v>
      </c>
      <c r="P35" s="51" t="n">
        <f aca="false">SUM(J35:N35)</f>
        <v>0.231033333333333</v>
      </c>
      <c r="Q35" s="77" t="n">
        <v>67694</v>
      </c>
      <c r="R35" s="46" t="n">
        <v>108648</v>
      </c>
      <c r="S35" s="48" t="s">
        <v>143</v>
      </c>
      <c r="T35" s="79" t="n">
        <f aca="false">J35*J$1*R35</f>
        <v>680027.832</v>
      </c>
      <c r="U35" s="79"/>
      <c r="V35" s="80" t="n">
        <v>231723</v>
      </c>
      <c r="W35" s="48"/>
      <c r="X35" s="74"/>
      <c r="Y35" s="74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  <c r="IV35" s="75"/>
      <c r="IW35" s="75"/>
    </row>
    <row r="36" customFormat="false" ht="12.75" hidden="false" customHeight="false" outlineLevel="0" collapsed="false">
      <c r="A36" s="75"/>
      <c r="B36" s="48" t="s">
        <v>174</v>
      </c>
      <c r="C36" s="46" t="s">
        <v>255</v>
      </c>
      <c r="D36" s="46" t="s">
        <v>256</v>
      </c>
      <c r="E36" s="47" t="n">
        <v>36617</v>
      </c>
      <c r="F36" s="47" t="n">
        <v>36981</v>
      </c>
      <c r="G36" s="48" t="s">
        <v>257</v>
      </c>
      <c r="H36" s="48" t="s">
        <v>193</v>
      </c>
      <c r="I36" s="46" t="s">
        <v>258</v>
      </c>
      <c r="J36" s="60" t="n">
        <v>0.0293</v>
      </c>
      <c r="K36" s="51" t="n">
        <v>0</v>
      </c>
      <c r="L36" s="51" t="n">
        <v>0</v>
      </c>
      <c r="M36" s="51" t="n">
        <v>0</v>
      </c>
      <c r="N36" s="51" t="n">
        <v>0</v>
      </c>
      <c r="O36" s="52" t="n">
        <v>0</v>
      </c>
      <c r="P36" s="51" t="n">
        <f aca="false">SUM(J36:N36)</f>
        <v>0.0293</v>
      </c>
      <c r="Q36" s="77" t="n">
        <v>67712</v>
      </c>
      <c r="R36" s="46" t="n">
        <v>6050607</v>
      </c>
      <c r="S36" s="48" t="s">
        <v>289</v>
      </c>
      <c r="T36" s="79" t="n">
        <f aca="false">J36*R36</f>
        <v>177282.7851</v>
      </c>
      <c r="U36" s="79"/>
      <c r="V36" s="80" t="n">
        <v>235876</v>
      </c>
      <c r="W36" s="48" t="n">
        <v>231698</v>
      </c>
      <c r="X36" s="74"/>
      <c r="Y36" s="74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  <c r="IW36" s="75"/>
    </row>
    <row r="37" customFormat="false" ht="12.75" hidden="false" customHeight="false" outlineLevel="0" collapsed="false">
      <c r="A37" s="75"/>
      <c r="B37" s="48" t="s">
        <v>174</v>
      </c>
      <c r="C37" s="46" t="s">
        <v>255</v>
      </c>
      <c r="D37" s="46" t="s">
        <v>256</v>
      </c>
      <c r="E37" s="47" t="n">
        <v>36617</v>
      </c>
      <c r="F37" s="47" t="n">
        <v>36981</v>
      </c>
      <c r="G37" s="48" t="s">
        <v>257</v>
      </c>
      <c r="H37" s="48" t="s">
        <v>194</v>
      </c>
      <c r="I37" s="46" t="s">
        <v>258</v>
      </c>
      <c r="J37" s="60" t="n">
        <v>1.524</v>
      </c>
      <c r="K37" s="51" t="n">
        <v>0</v>
      </c>
      <c r="L37" s="51" t="n">
        <v>0</v>
      </c>
      <c r="M37" s="51" t="n">
        <v>0</v>
      </c>
      <c r="N37" s="51" t="n">
        <v>0</v>
      </c>
      <c r="O37" s="52" t="n">
        <v>0</v>
      </c>
      <c r="P37" s="51" t="n">
        <f aca="false">SUM(J37:N37)</f>
        <v>1.524</v>
      </c>
      <c r="Q37" s="77" t="n">
        <v>67712</v>
      </c>
      <c r="R37" s="46" t="n">
        <v>108648</v>
      </c>
      <c r="S37" s="48" t="s">
        <v>289</v>
      </c>
      <c r="T37" s="79" t="n">
        <f aca="false">J37*R37</f>
        <v>165579.552</v>
      </c>
      <c r="U37" s="79"/>
      <c r="V37" s="80" t="n">
        <v>235876</v>
      </c>
      <c r="W37" s="48" t="n">
        <v>231698</v>
      </c>
      <c r="X37" s="74"/>
      <c r="Y37" s="74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  <c r="IW37" s="75"/>
    </row>
    <row r="38" customFormat="false" ht="12.75" hidden="false" customHeight="false" outlineLevel="0" collapsed="false">
      <c r="A38" s="75"/>
      <c r="B38" s="48" t="s">
        <v>174</v>
      </c>
      <c r="C38" s="46" t="s">
        <v>255</v>
      </c>
      <c r="D38" s="46" t="s">
        <v>256</v>
      </c>
      <c r="E38" s="47" t="n">
        <v>36617</v>
      </c>
      <c r="F38" s="47" t="n">
        <v>36981</v>
      </c>
      <c r="G38" s="48" t="s">
        <v>257</v>
      </c>
      <c r="H38" s="48" t="s">
        <v>193</v>
      </c>
      <c r="I38" s="46" t="s">
        <v>258</v>
      </c>
      <c r="J38" s="60" t="n">
        <v>0</v>
      </c>
      <c r="K38" s="51" t="n">
        <v>0</v>
      </c>
      <c r="L38" s="51" t="n">
        <v>0</v>
      </c>
      <c r="M38" s="51" t="n">
        <v>0</v>
      </c>
      <c r="N38" s="51" t="n">
        <v>0</v>
      </c>
      <c r="O38" s="52" t="n">
        <v>0</v>
      </c>
      <c r="P38" s="51" t="n">
        <f aca="false">SUM(J38:N38)</f>
        <v>0</v>
      </c>
      <c r="Q38" s="77" t="n">
        <v>67713</v>
      </c>
      <c r="R38" s="46" t="n">
        <v>0</v>
      </c>
      <c r="S38" s="48" t="s">
        <v>290</v>
      </c>
      <c r="T38" s="79" t="n">
        <f aca="false">J38*R38</f>
        <v>0</v>
      </c>
      <c r="U38" s="79"/>
      <c r="V38" s="80" t="n">
        <v>235876</v>
      </c>
      <c r="W38" s="48"/>
      <c r="X38" s="74"/>
      <c r="Y38" s="74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75"/>
      <c r="II38" s="75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  <c r="IW38" s="75"/>
    </row>
    <row r="39" customFormat="false" ht="12.75" hidden="false" customHeight="false" outlineLevel="0" collapsed="false">
      <c r="A39" s="75"/>
      <c r="B39" s="48" t="s">
        <v>174</v>
      </c>
      <c r="C39" s="46" t="s">
        <v>255</v>
      </c>
      <c r="D39" s="46" t="s">
        <v>256</v>
      </c>
      <c r="E39" s="47" t="n">
        <v>36617</v>
      </c>
      <c r="F39" s="47" t="n">
        <v>36981</v>
      </c>
      <c r="G39" s="48" t="s">
        <v>257</v>
      </c>
      <c r="H39" s="48" t="s">
        <v>194</v>
      </c>
      <c r="I39" s="46" t="s">
        <v>258</v>
      </c>
      <c r="J39" s="60" t="n">
        <v>0</v>
      </c>
      <c r="K39" s="51" t="n">
        <v>0</v>
      </c>
      <c r="L39" s="51" t="n">
        <v>0</v>
      </c>
      <c r="M39" s="51" t="n">
        <v>0</v>
      </c>
      <c r="N39" s="51" t="n">
        <v>0</v>
      </c>
      <c r="O39" s="52" t="n">
        <v>0</v>
      </c>
      <c r="P39" s="51" t="n">
        <f aca="false">SUM(J39:N39)</f>
        <v>0</v>
      </c>
      <c r="Q39" s="77" t="n">
        <v>67713</v>
      </c>
      <c r="R39" s="46" t="n">
        <v>0</v>
      </c>
      <c r="S39" s="48" t="s">
        <v>290</v>
      </c>
      <c r="T39" s="79" t="n">
        <f aca="false">J39*R39</f>
        <v>0</v>
      </c>
      <c r="U39" s="79"/>
      <c r="V39" s="80" t="n">
        <v>235876</v>
      </c>
      <c r="W39" s="48"/>
      <c r="X39" s="74"/>
      <c r="Y39" s="74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  <c r="IR39" s="75"/>
      <c r="IS39" s="75"/>
      <c r="IT39" s="75"/>
      <c r="IU39" s="75"/>
      <c r="IV39" s="75"/>
      <c r="IW39" s="75"/>
    </row>
    <row r="40" customFormat="false" ht="12.75" hidden="false" customHeight="false" outlineLevel="0" collapsed="false">
      <c r="A40" s="75"/>
      <c r="B40" s="48" t="s">
        <v>174</v>
      </c>
      <c r="C40" s="46" t="s">
        <v>255</v>
      </c>
      <c r="D40" s="46" t="s">
        <v>283</v>
      </c>
      <c r="E40" s="47" t="n">
        <v>36647</v>
      </c>
      <c r="F40" s="47" t="n">
        <v>37011</v>
      </c>
      <c r="G40" s="48" t="s">
        <v>291</v>
      </c>
      <c r="H40" s="48" t="s">
        <v>292</v>
      </c>
      <c r="I40" s="46" t="s">
        <v>90</v>
      </c>
      <c r="J40" s="60" t="n">
        <f aca="false">6.431/$J$1</f>
        <v>0.214366666666667</v>
      </c>
      <c r="K40" s="51"/>
      <c r="L40" s="51"/>
      <c r="M40" s="51"/>
      <c r="N40" s="51"/>
      <c r="O40" s="52"/>
      <c r="P40" s="51"/>
      <c r="Q40" s="77" t="n">
        <v>68188</v>
      </c>
      <c r="R40" s="46" t="n">
        <v>1</v>
      </c>
      <c r="S40" s="48" t="s">
        <v>293</v>
      </c>
      <c r="T40" s="79" t="n">
        <f aca="false">+J40*R40*13</f>
        <v>2.78676666666667</v>
      </c>
      <c r="U40" s="79"/>
      <c r="V40" s="80" t="n">
        <v>253195</v>
      </c>
      <c r="W40" s="48"/>
      <c r="X40" s="74"/>
      <c r="Y40" s="74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  <c r="IW40" s="75"/>
    </row>
    <row r="41" customFormat="false" ht="12.75" hidden="false" customHeight="false" outlineLevel="0" collapsed="false">
      <c r="A41" s="141"/>
      <c r="B41" s="57" t="s">
        <v>174</v>
      </c>
      <c r="C41" s="126" t="s">
        <v>255</v>
      </c>
      <c r="D41" s="126" t="s">
        <v>180</v>
      </c>
      <c r="E41" s="142" t="n">
        <v>36647</v>
      </c>
      <c r="F41" s="142" t="n">
        <v>37011</v>
      </c>
      <c r="G41" s="57" t="s">
        <v>272</v>
      </c>
      <c r="H41" s="57" t="s">
        <v>294</v>
      </c>
      <c r="I41" s="126" t="s">
        <v>90</v>
      </c>
      <c r="J41" s="60" t="n">
        <f aca="false">6.431/$J$1</f>
        <v>0.214366666666667</v>
      </c>
      <c r="K41" s="82"/>
      <c r="L41" s="82"/>
      <c r="M41" s="82"/>
      <c r="N41" s="82"/>
      <c r="O41" s="143"/>
      <c r="P41" s="82"/>
      <c r="Q41" s="144" t="n">
        <v>68257</v>
      </c>
      <c r="R41" s="126" t="n">
        <v>21</v>
      </c>
      <c r="S41" s="57" t="s">
        <v>295</v>
      </c>
      <c r="T41" s="55" t="n">
        <f aca="false">+R41*J41</f>
        <v>4.5017</v>
      </c>
      <c r="U41" s="55"/>
      <c r="V41" s="56" t="n">
        <v>254718</v>
      </c>
      <c r="W41" s="57"/>
      <c r="X41" s="58"/>
      <c r="Y41" s="58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1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141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1"/>
      <c r="IS41" s="141"/>
      <c r="IT41" s="141"/>
      <c r="IU41" s="141"/>
      <c r="IV41" s="141"/>
      <c r="IW41" s="141"/>
    </row>
    <row r="42" customFormat="false" ht="12.75" hidden="false" customHeight="false" outlineLevel="0" collapsed="false">
      <c r="A42" s="75"/>
      <c r="B42" s="48" t="s">
        <v>174</v>
      </c>
      <c r="C42" s="46" t="s">
        <v>255</v>
      </c>
      <c r="D42" s="46" t="s">
        <v>176</v>
      </c>
      <c r="E42" s="47" t="n">
        <v>36656</v>
      </c>
      <c r="F42" s="47" t="n">
        <v>36950</v>
      </c>
      <c r="G42" s="48" t="s">
        <v>272</v>
      </c>
      <c r="H42" s="48" t="s">
        <v>273</v>
      </c>
      <c r="I42" s="46" t="s">
        <v>90</v>
      </c>
      <c r="J42" s="60" t="n">
        <v>6.449</v>
      </c>
      <c r="K42" s="51"/>
      <c r="L42" s="51"/>
      <c r="M42" s="51"/>
      <c r="N42" s="51"/>
      <c r="O42" s="52"/>
      <c r="P42" s="51"/>
      <c r="Q42" s="77" t="n">
        <v>68308</v>
      </c>
      <c r="R42" s="46" t="n">
        <v>5</v>
      </c>
      <c r="S42" s="48" t="s">
        <v>296</v>
      </c>
      <c r="T42" s="79" t="n">
        <f aca="false">+R42*J42</f>
        <v>32.245</v>
      </c>
      <c r="U42" s="79"/>
      <c r="V42" s="80" t="n">
        <v>262094</v>
      </c>
      <c r="W42" s="48"/>
      <c r="X42" s="74"/>
      <c r="Y42" s="74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75"/>
      <c r="II42" s="75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  <c r="IW42" s="75"/>
    </row>
    <row r="43" customFormat="false" ht="12.75" hidden="false" customHeight="false" outlineLevel="0" collapsed="false">
      <c r="A43" s="75"/>
      <c r="B43" s="48" t="s">
        <v>174</v>
      </c>
      <c r="C43" s="46" t="s">
        <v>255</v>
      </c>
      <c r="D43" s="46" t="s">
        <v>176</v>
      </c>
      <c r="E43" s="47" t="n">
        <v>36656</v>
      </c>
      <c r="F43" s="47" t="n">
        <v>36950</v>
      </c>
      <c r="G43" s="48" t="s">
        <v>272</v>
      </c>
      <c r="H43" s="48" t="s">
        <v>275</v>
      </c>
      <c r="I43" s="46" t="s">
        <v>90</v>
      </c>
      <c r="J43" s="60" t="n">
        <v>6.449</v>
      </c>
      <c r="K43" s="51"/>
      <c r="L43" s="51"/>
      <c r="M43" s="51"/>
      <c r="N43" s="51"/>
      <c r="O43" s="52"/>
      <c r="P43" s="51"/>
      <c r="Q43" s="77" t="n">
        <v>68308</v>
      </c>
      <c r="R43" s="46" t="n">
        <v>4</v>
      </c>
      <c r="S43" s="48" t="s">
        <v>296</v>
      </c>
      <c r="T43" s="79" t="n">
        <f aca="false">+R43*J43</f>
        <v>25.796</v>
      </c>
      <c r="U43" s="79"/>
      <c r="V43" s="80" t="n">
        <v>262094</v>
      </c>
      <c r="W43" s="48"/>
      <c r="X43" s="74"/>
      <c r="Y43" s="74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75"/>
      <c r="IC43" s="75"/>
      <c r="ID43" s="75"/>
      <c r="IE43" s="75"/>
      <c r="IF43" s="75"/>
      <c r="IG43" s="75"/>
      <c r="IH43" s="75"/>
      <c r="II43" s="75"/>
      <c r="IJ43" s="75"/>
      <c r="IK43" s="75"/>
      <c r="IL43" s="75"/>
      <c r="IM43" s="75"/>
      <c r="IN43" s="75"/>
      <c r="IO43" s="75"/>
      <c r="IP43" s="75"/>
      <c r="IQ43" s="75"/>
      <c r="IR43" s="75"/>
      <c r="IS43" s="75"/>
      <c r="IT43" s="75"/>
      <c r="IU43" s="75"/>
      <c r="IV43" s="75"/>
      <c r="IW43" s="75"/>
    </row>
    <row r="44" customFormat="false" ht="12.75" hidden="false" customHeight="false" outlineLevel="0" collapsed="false">
      <c r="A44" s="75"/>
      <c r="B44" s="48" t="s">
        <v>174</v>
      </c>
      <c r="C44" s="46" t="s">
        <v>255</v>
      </c>
      <c r="D44" s="46" t="s">
        <v>297</v>
      </c>
      <c r="E44" s="47" t="n">
        <v>36678</v>
      </c>
      <c r="F44" s="47" t="n">
        <v>37042</v>
      </c>
      <c r="G44" s="48" t="s">
        <v>266</v>
      </c>
      <c r="H44" s="48" t="s">
        <v>298</v>
      </c>
      <c r="I44" s="46" t="s">
        <v>90</v>
      </c>
      <c r="J44" s="60" t="n">
        <f aca="false">6.431/J$1</f>
        <v>0.214366666666667</v>
      </c>
      <c r="K44" s="51" t="n">
        <v>0.0132</v>
      </c>
      <c r="L44" s="51" t="n">
        <v>0.0022</v>
      </c>
      <c r="M44" s="51" t="n">
        <v>0.0072</v>
      </c>
      <c r="N44" s="51" t="n">
        <v>0</v>
      </c>
      <c r="O44" s="52" t="n">
        <v>0.02116</v>
      </c>
      <c r="P44" s="51" t="n">
        <f aca="false">SUM(J44:N44)</f>
        <v>0.236966666666667</v>
      </c>
      <c r="Q44" s="77" t="n">
        <v>68359</v>
      </c>
      <c r="R44" s="46" t="n">
        <v>285</v>
      </c>
      <c r="S44" s="48" t="s">
        <v>299</v>
      </c>
      <c r="T44" s="79" t="n">
        <f aca="false">J44*J$1*R44</f>
        <v>1832.835</v>
      </c>
      <c r="U44" s="79"/>
      <c r="V44" s="80" t="n">
        <v>271307</v>
      </c>
      <c r="W44" s="48"/>
      <c r="X44" s="74"/>
      <c r="Y44" s="74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75"/>
      <c r="II44" s="75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  <c r="IW44" s="75"/>
    </row>
    <row r="45" customFormat="false" ht="12.75" hidden="false" customHeight="false" outlineLevel="0" collapsed="false">
      <c r="A45" s="75"/>
      <c r="B45" s="48" t="s">
        <v>174</v>
      </c>
      <c r="C45" s="46" t="s">
        <v>255</v>
      </c>
      <c r="D45" s="46" t="s">
        <v>269</v>
      </c>
      <c r="E45" s="47" t="n">
        <v>36678</v>
      </c>
      <c r="F45" s="47" t="n">
        <v>37042</v>
      </c>
      <c r="G45" s="48" t="s">
        <v>266</v>
      </c>
      <c r="H45" s="48" t="s">
        <v>270</v>
      </c>
      <c r="I45" s="46" t="s">
        <v>90</v>
      </c>
      <c r="J45" s="60" t="n">
        <f aca="false">6.431/J$1</f>
        <v>0.214366666666667</v>
      </c>
      <c r="K45" s="51" t="n">
        <v>0.0132</v>
      </c>
      <c r="L45" s="51" t="n">
        <v>0.0022</v>
      </c>
      <c r="M45" s="51" t="n">
        <v>0.0072</v>
      </c>
      <c r="N45" s="51" t="n">
        <v>0</v>
      </c>
      <c r="O45" s="52" t="n">
        <v>0.02116</v>
      </c>
      <c r="P45" s="51" t="n">
        <f aca="false">SUM(J45:N45)</f>
        <v>0.236966666666667</v>
      </c>
      <c r="Q45" s="77" t="n">
        <v>68384</v>
      </c>
      <c r="R45" s="46" t="n">
        <v>218</v>
      </c>
      <c r="S45" s="48" t="s">
        <v>300</v>
      </c>
      <c r="T45" s="79" t="n">
        <f aca="false">J45*J$1*R45</f>
        <v>1401.958</v>
      </c>
      <c r="U45" s="79"/>
      <c r="V45" s="80" t="n">
        <v>280570</v>
      </c>
      <c r="W45" s="48"/>
      <c r="X45" s="74"/>
      <c r="Y45" s="74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75"/>
      <c r="IV45" s="75"/>
      <c r="IW45" s="75"/>
    </row>
    <row r="46" customFormat="false" ht="12.75" hidden="false" customHeight="false" outlineLevel="0" collapsed="false">
      <c r="A46" s="75"/>
      <c r="B46" s="48" t="s">
        <v>174</v>
      </c>
      <c r="C46" s="46" t="s">
        <v>255</v>
      </c>
      <c r="D46" s="46" t="s">
        <v>297</v>
      </c>
      <c r="E46" s="47" t="n">
        <v>36708</v>
      </c>
      <c r="F46" s="47" t="n">
        <v>37072</v>
      </c>
      <c r="G46" s="48" t="s">
        <v>266</v>
      </c>
      <c r="H46" s="48" t="s">
        <v>298</v>
      </c>
      <c r="I46" s="46" t="s">
        <v>90</v>
      </c>
      <c r="J46" s="60" t="n">
        <f aca="false">6.431/J$1</f>
        <v>0.214366666666667</v>
      </c>
      <c r="K46" s="51" t="n">
        <v>0.0132</v>
      </c>
      <c r="L46" s="51" t="n">
        <v>0.0022</v>
      </c>
      <c r="M46" s="51" t="n">
        <v>0.0072</v>
      </c>
      <c r="N46" s="51" t="n">
        <v>0</v>
      </c>
      <c r="O46" s="52" t="n">
        <v>0.02116</v>
      </c>
      <c r="P46" s="51" t="n">
        <f aca="false">SUM(J46:N46)</f>
        <v>0.236966666666667</v>
      </c>
      <c r="Q46" s="77" t="n">
        <v>68616</v>
      </c>
      <c r="R46" s="46" t="n">
        <v>900</v>
      </c>
      <c r="S46" s="48" t="s">
        <v>301</v>
      </c>
      <c r="T46" s="79" t="n">
        <f aca="false">J46*J$1*R46</f>
        <v>5787.9</v>
      </c>
      <c r="U46" s="79"/>
      <c r="V46" s="80" t="n">
        <v>309723</v>
      </c>
      <c r="W46" s="48" t="s">
        <v>302</v>
      </c>
      <c r="X46" s="74"/>
      <c r="Y46" s="74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75"/>
      <c r="HS46" s="75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75"/>
      <c r="II46" s="75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  <c r="IW46" s="75"/>
    </row>
    <row r="47" customFormat="false" ht="12.75" hidden="false" customHeight="false" outlineLevel="0" collapsed="false">
      <c r="A47" s="75"/>
      <c r="B47" s="48" t="s">
        <v>174</v>
      </c>
      <c r="C47" s="46" t="s">
        <v>255</v>
      </c>
      <c r="D47" s="46" t="s">
        <v>269</v>
      </c>
      <c r="E47" s="47" t="n">
        <v>36708</v>
      </c>
      <c r="F47" s="47" t="n">
        <v>37072</v>
      </c>
      <c r="G47" s="48" t="s">
        <v>266</v>
      </c>
      <c r="H47" s="48" t="s">
        <v>303</v>
      </c>
      <c r="I47" s="46" t="s">
        <v>90</v>
      </c>
      <c r="J47" s="60" t="n">
        <f aca="false">6.431/J$1</f>
        <v>0.214366666666667</v>
      </c>
      <c r="K47" s="51" t="n">
        <v>0.0132</v>
      </c>
      <c r="L47" s="51" t="n">
        <v>0.0022</v>
      </c>
      <c r="M47" s="51" t="n">
        <v>0.0072</v>
      </c>
      <c r="N47" s="51" t="n">
        <v>0</v>
      </c>
      <c r="O47" s="52" t="n">
        <v>0.02116</v>
      </c>
      <c r="P47" s="51" t="n">
        <f aca="false">SUM(J47:N47)</f>
        <v>0.236966666666667</v>
      </c>
      <c r="Q47" s="77" t="n">
        <v>68635</v>
      </c>
      <c r="R47" s="46" t="n">
        <v>1</v>
      </c>
      <c r="S47" s="48" t="s">
        <v>304</v>
      </c>
      <c r="T47" s="79" t="n">
        <f aca="false">J47*J$1*R47</f>
        <v>6.431</v>
      </c>
      <c r="U47" s="79"/>
      <c r="V47" s="80" t="n">
        <v>312333</v>
      </c>
      <c r="W47" s="48"/>
      <c r="X47" s="74"/>
      <c r="Y47" s="74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75"/>
      <c r="IC47" s="75"/>
      <c r="ID47" s="75"/>
      <c r="IE47" s="75"/>
      <c r="IF47" s="75"/>
      <c r="IG47" s="75"/>
      <c r="IH47" s="75"/>
      <c r="II47" s="75"/>
      <c r="IJ47" s="75"/>
      <c r="IK47" s="75"/>
      <c r="IL47" s="75"/>
      <c r="IM47" s="75"/>
      <c r="IN47" s="75"/>
      <c r="IO47" s="75"/>
      <c r="IP47" s="75"/>
      <c r="IQ47" s="75"/>
      <c r="IR47" s="75"/>
      <c r="IS47" s="75"/>
      <c r="IT47" s="75"/>
      <c r="IU47" s="75"/>
      <c r="IV47" s="75"/>
      <c r="IW47" s="75"/>
    </row>
    <row r="48" customFormat="false" ht="12.75" hidden="false" customHeight="false" outlineLevel="0" collapsed="false">
      <c r="A48" s="83"/>
      <c r="B48" s="84" t="s">
        <v>174</v>
      </c>
      <c r="C48" s="78" t="s">
        <v>255</v>
      </c>
      <c r="D48" s="78" t="s">
        <v>37</v>
      </c>
      <c r="E48" s="76" t="n">
        <v>36831</v>
      </c>
      <c r="F48" s="76" t="n">
        <v>37195</v>
      </c>
      <c r="G48" s="84" t="s">
        <v>305</v>
      </c>
      <c r="H48" s="84" t="s">
        <v>306</v>
      </c>
      <c r="I48" s="78" t="s">
        <v>90</v>
      </c>
      <c r="J48" s="85" t="n">
        <f aca="false">5.171/J$1</f>
        <v>0.172366666666667</v>
      </c>
      <c r="K48" s="86" t="n">
        <v>0.0132</v>
      </c>
      <c r="L48" s="86" t="n">
        <v>0.0022</v>
      </c>
      <c r="M48" s="86" t="n">
        <v>0.0072</v>
      </c>
      <c r="N48" s="86" t="n">
        <v>0</v>
      </c>
      <c r="O48" s="87" t="n">
        <v>0.02116</v>
      </c>
      <c r="P48" s="86" t="n">
        <f aca="false">SUM(J48:N48)</f>
        <v>0.194966666666667</v>
      </c>
      <c r="Q48" s="77" t="n">
        <v>68915</v>
      </c>
      <c r="R48" s="78" t="n">
        <v>2400</v>
      </c>
      <c r="S48" s="84" t="s">
        <v>307</v>
      </c>
      <c r="T48" s="88" t="n">
        <f aca="false">J48*J$1*R48</f>
        <v>12410.4</v>
      </c>
      <c r="U48" s="88"/>
      <c r="V48" s="89" t="s">
        <v>308</v>
      </c>
      <c r="W48" s="84"/>
      <c r="X48" s="91"/>
      <c r="Y48" s="91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  <c r="IU48" s="83"/>
      <c r="IV48" s="83"/>
      <c r="IW48" s="83"/>
    </row>
    <row r="49" customFormat="false" ht="12.75" hidden="false" customHeight="false" outlineLevel="0" collapsed="false">
      <c r="A49" s="83"/>
      <c r="B49" s="84" t="s">
        <v>174</v>
      </c>
      <c r="C49" s="78" t="s">
        <v>255</v>
      </c>
      <c r="D49" s="78" t="s">
        <v>37</v>
      </c>
      <c r="E49" s="76" t="n">
        <v>36831</v>
      </c>
      <c r="F49" s="76" t="n">
        <v>37195</v>
      </c>
      <c r="G49" s="84" t="s">
        <v>309</v>
      </c>
      <c r="H49" s="84" t="s">
        <v>310</v>
      </c>
      <c r="I49" s="78" t="s">
        <v>90</v>
      </c>
      <c r="J49" s="85" t="n">
        <f aca="false">5.18/J$1</f>
        <v>0.172666666666667</v>
      </c>
      <c r="K49" s="86" t="n">
        <v>0.0132</v>
      </c>
      <c r="L49" s="86" t="n">
        <v>0.0022</v>
      </c>
      <c r="M49" s="86" t="n">
        <v>0.0072</v>
      </c>
      <c r="N49" s="86" t="n">
        <v>0</v>
      </c>
      <c r="O49" s="87" t="n">
        <v>0.02116</v>
      </c>
      <c r="P49" s="86" t="n">
        <f aca="false">SUM(J49:N49)</f>
        <v>0.195266666666667</v>
      </c>
      <c r="Q49" s="77" t="n">
        <v>68916</v>
      </c>
      <c r="R49" s="78" t="n">
        <v>1915</v>
      </c>
      <c r="S49" s="84" t="s">
        <v>311</v>
      </c>
      <c r="T49" s="88" t="n">
        <f aca="false">J49*J$1*R49</f>
        <v>9919.7</v>
      </c>
      <c r="U49" s="88"/>
      <c r="V49" s="89" t="s">
        <v>312</v>
      </c>
      <c r="W49" s="84"/>
      <c r="X49" s="91"/>
      <c r="Y49" s="91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  <c r="IS49" s="83"/>
      <c r="IT49" s="83"/>
      <c r="IU49" s="83"/>
      <c r="IV49" s="83"/>
      <c r="IW49" s="83"/>
    </row>
    <row r="50" customFormat="false" ht="12.75" hidden="false" customHeight="false" outlineLevel="0" collapsed="false">
      <c r="A50" s="83"/>
      <c r="B50" s="84" t="s">
        <v>174</v>
      </c>
      <c r="C50" s="78" t="s">
        <v>255</v>
      </c>
      <c r="D50" s="78" t="s">
        <v>37</v>
      </c>
      <c r="E50" s="76" t="n">
        <v>36831</v>
      </c>
      <c r="F50" s="76" t="n">
        <v>37195</v>
      </c>
      <c r="G50" s="84" t="s">
        <v>309</v>
      </c>
      <c r="H50" s="84" t="s">
        <v>310</v>
      </c>
      <c r="I50" s="78" t="s">
        <v>90</v>
      </c>
      <c r="J50" s="85" t="n">
        <f aca="false">5.1807/J$1</f>
        <v>0.17269</v>
      </c>
      <c r="K50" s="86" t="n">
        <v>0.0132</v>
      </c>
      <c r="L50" s="86" t="n">
        <v>0.0022</v>
      </c>
      <c r="M50" s="86" t="n">
        <v>0.0072</v>
      </c>
      <c r="N50" s="86" t="n">
        <v>0</v>
      </c>
      <c r="O50" s="87" t="n">
        <v>0.02116</v>
      </c>
      <c r="P50" s="86" t="n">
        <f aca="false">SUM(J50:N50)</f>
        <v>0.19529</v>
      </c>
      <c r="Q50" s="77" t="n">
        <v>68917</v>
      </c>
      <c r="R50" s="78" t="n">
        <v>85</v>
      </c>
      <c r="S50" s="84" t="s">
        <v>311</v>
      </c>
      <c r="T50" s="88" t="n">
        <f aca="false">J50*J$1*R50</f>
        <v>440.3595</v>
      </c>
      <c r="U50" s="88"/>
      <c r="V50" s="89" t="s">
        <v>313</v>
      </c>
      <c r="W50" s="84"/>
      <c r="X50" s="91"/>
      <c r="Y50" s="91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  <c r="IF50" s="83"/>
      <c r="IG50" s="83"/>
      <c r="IH50" s="83"/>
      <c r="II50" s="83"/>
      <c r="IJ50" s="83"/>
      <c r="IK50" s="83"/>
      <c r="IL50" s="83"/>
      <c r="IM50" s="83"/>
      <c r="IN50" s="83"/>
      <c r="IO50" s="83"/>
      <c r="IP50" s="83"/>
      <c r="IQ50" s="83"/>
      <c r="IR50" s="83"/>
      <c r="IS50" s="83"/>
      <c r="IT50" s="83"/>
      <c r="IU50" s="83"/>
      <c r="IV50" s="83"/>
      <c r="IW50" s="83"/>
    </row>
    <row r="51" customFormat="false" ht="12.75" hidden="false" customHeight="false" outlineLevel="0" collapsed="false">
      <c r="A51" s="145"/>
      <c r="B51" s="146" t="s">
        <v>174</v>
      </c>
      <c r="C51" s="113" t="s">
        <v>255</v>
      </c>
      <c r="D51" s="113" t="s">
        <v>37</v>
      </c>
      <c r="E51" s="147" t="n">
        <v>36831</v>
      </c>
      <c r="F51" s="147" t="n">
        <v>37195</v>
      </c>
      <c r="G51" s="146" t="s">
        <v>309</v>
      </c>
      <c r="H51" s="146" t="s">
        <v>314</v>
      </c>
      <c r="I51" s="113" t="s">
        <v>90</v>
      </c>
      <c r="J51" s="148" t="n">
        <f aca="false">6.431/J$1</f>
        <v>0.214366666666667</v>
      </c>
      <c r="K51" s="149" t="n">
        <v>0.0132</v>
      </c>
      <c r="L51" s="149" t="n">
        <v>0.0022</v>
      </c>
      <c r="M51" s="149" t="n">
        <v>0.0072</v>
      </c>
      <c r="N51" s="149" t="n">
        <v>0</v>
      </c>
      <c r="O51" s="150" t="n">
        <v>0.02116</v>
      </c>
      <c r="P51" s="149" t="n">
        <f aca="false">SUM(J51:N51)</f>
        <v>0.236966666666667</v>
      </c>
      <c r="Q51" s="151" t="n">
        <v>68918</v>
      </c>
      <c r="R51" s="113" t="n">
        <v>2000</v>
      </c>
      <c r="S51" s="146" t="s">
        <v>315</v>
      </c>
      <c r="T51" s="152" t="n">
        <f aca="false">J51*J$1*R51</f>
        <v>12862</v>
      </c>
      <c r="U51" s="152"/>
      <c r="V51" s="153" t="s">
        <v>316</v>
      </c>
      <c r="W51" s="146"/>
      <c r="X51" s="154"/>
      <c r="Y51" s="154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5"/>
      <c r="CA51" s="145"/>
      <c r="CB51" s="145"/>
      <c r="CC51" s="145"/>
      <c r="CD51" s="145"/>
      <c r="CE51" s="145"/>
      <c r="CF51" s="145"/>
      <c r="CG51" s="145"/>
      <c r="CH51" s="145"/>
      <c r="CI51" s="145"/>
      <c r="CJ51" s="145"/>
      <c r="CK51" s="145"/>
      <c r="CL51" s="145"/>
      <c r="CM51" s="145"/>
      <c r="CN51" s="145"/>
      <c r="CO51" s="145"/>
      <c r="CP51" s="145"/>
      <c r="CQ51" s="145"/>
      <c r="CR51" s="145"/>
      <c r="CS51" s="145"/>
      <c r="CT51" s="145"/>
      <c r="CU51" s="145"/>
      <c r="CV51" s="145"/>
      <c r="CW51" s="145"/>
      <c r="CX51" s="145"/>
      <c r="CY51" s="145"/>
      <c r="CZ51" s="145"/>
      <c r="DA51" s="145"/>
      <c r="DB51" s="145"/>
      <c r="DC51" s="145"/>
      <c r="DD51" s="145"/>
      <c r="DE51" s="145"/>
      <c r="DF51" s="145"/>
      <c r="DG51" s="145"/>
      <c r="DH51" s="145"/>
      <c r="DI51" s="145"/>
      <c r="DJ51" s="145"/>
      <c r="DK51" s="145"/>
      <c r="DL51" s="145"/>
      <c r="DM51" s="145"/>
      <c r="DN51" s="145"/>
      <c r="DO51" s="145"/>
      <c r="DP51" s="145"/>
      <c r="DQ51" s="145"/>
      <c r="DR51" s="145"/>
      <c r="DS51" s="145"/>
      <c r="DT51" s="145"/>
      <c r="DU51" s="145"/>
      <c r="DV51" s="145"/>
      <c r="DW51" s="145"/>
      <c r="DX51" s="145"/>
      <c r="DY51" s="145"/>
      <c r="DZ51" s="145"/>
      <c r="EA51" s="145"/>
      <c r="EB51" s="145"/>
      <c r="EC51" s="145"/>
      <c r="ED51" s="145"/>
      <c r="EE51" s="145"/>
      <c r="EF51" s="145"/>
      <c r="EG51" s="145"/>
      <c r="EH51" s="145"/>
      <c r="EI51" s="145"/>
      <c r="EJ51" s="145"/>
      <c r="EK51" s="145"/>
      <c r="EL51" s="145"/>
      <c r="EM51" s="145"/>
      <c r="EN51" s="145"/>
      <c r="EO51" s="145"/>
      <c r="EP51" s="145"/>
      <c r="EQ51" s="145"/>
      <c r="ER51" s="145"/>
      <c r="ES51" s="145"/>
      <c r="ET51" s="145"/>
      <c r="EU51" s="145"/>
      <c r="EV51" s="145"/>
      <c r="EW51" s="145"/>
      <c r="EX51" s="145"/>
      <c r="EY51" s="145"/>
      <c r="EZ51" s="145"/>
      <c r="FA51" s="145"/>
      <c r="FB51" s="145"/>
      <c r="FC51" s="145"/>
      <c r="FD51" s="145"/>
      <c r="FE51" s="145"/>
      <c r="FF51" s="145"/>
      <c r="FG51" s="145"/>
      <c r="FH51" s="145"/>
      <c r="FI51" s="145"/>
      <c r="FJ51" s="145"/>
      <c r="FK51" s="145"/>
      <c r="FL51" s="145"/>
      <c r="FM51" s="145"/>
      <c r="FN51" s="145"/>
      <c r="FO51" s="145"/>
      <c r="FP51" s="145"/>
      <c r="FQ51" s="145"/>
      <c r="FR51" s="145"/>
      <c r="FS51" s="145"/>
      <c r="FT51" s="145"/>
      <c r="FU51" s="145"/>
      <c r="FV51" s="145"/>
      <c r="FW51" s="145"/>
      <c r="FX51" s="145"/>
      <c r="FY51" s="145"/>
      <c r="FZ51" s="145"/>
      <c r="GA51" s="145"/>
      <c r="GB51" s="145"/>
      <c r="GC51" s="145"/>
      <c r="GD51" s="145"/>
      <c r="GE51" s="145"/>
      <c r="GF51" s="145"/>
      <c r="GG51" s="145"/>
      <c r="GH51" s="145"/>
      <c r="GI51" s="145"/>
      <c r="GJ51" s="145"/>
      <c r="GK51" s="145"/>
      <c r="GL51" s="145"/>
      <c r="GM51" s="145"/>
      <c r="GN51" s="145"/>
      <c r="GO51" s="145"/>
      <c r="GP51" s="145"/>
      <c r="GQ51" s="145"/>
      <c r="GR51" s="145"/>
      <c r="GS51" s="145"/>
      <c r="GT51" s="145"/>
      <c r="GU51" s="145"/>
      <c r="GV51" s="145"/>
      <c r="GW51" s="145"/>
      <c r="GX51" s="145"/>
      <c r="GY51" s="145"/>
      <c r="GZ51" s="145"/>
      <c r="HA51" s="145"/>
      <c r="HB51" s="145"/>
      <c r="HC51" s="145"/>
      <c r="HD51" s="145"/>
      <c r="HE51" s="145"/>
      <c r="HF51" s="145"/>
      <c r="HG51" s="145"/>
      <c r="HH51" s="145"/>
      <c r="HI51" s="145"/>
      <c r="HJ51" s="145"/>
      <c r="HK51" s="145"/>
      <c r="HL51" s="145"/>
      <c r="HM51" s="145"/>
      <c r="HN51" s="145"/>
      <c r="HO51" s="145"/>
      <c r="HP51" s="145"/>
      <c r="HQ51" s="145"/>
      <c r="HR51" s="145"/>
      <c r="HS51" s="145"/>
      <c r="HT51" s="145"/>
      <c r="HU51" s="145"/>
      <c r="HV51" s="145"/>
      <c r="HW51" s="145"/>
      <c r="HX51" s="145"/>
      <c r="HY51" s="145"/>
      <c r="HZ51" s="145"/>
      <c r="IA51" s="145"/>
      <c r="IB51" s="145"/>
      <c r="IC51" s="145"/>
      <c r="ID51" s="145"/>
      <c r="IE51" s="145"/>
      <c r="IF51" s="145"/>
      <c r="IG51" s="145"/>
      <c r="IH51" s="145"/>
      <c r="II51" s="145"/>
      <c r="IJ51" s="145"/>
      <c r="IK51" s="145"/>
      <c r="IL51" s="145"/>
      <c r="IM51" s="145"/>
      <c r="IN51" s="145"/>
      <c r="IO51" s="145"/>
      <c r="IP51" s="145"/>
      <c r="IQ51" s="145"/>
      <c r="IR51" s="145"/>
      <c r="IS51" s="145"/>
      <c r="IT51" s="145"/>
      <c r="IU51" s="145"/>
      <c r="IV51" s="145"/>
      <c r="IW51" s="145"/>
    </row>
    <row r="52" customFormat="false" ht="12.75" hidden="false" customHeight="false" outlineLevel="0" collapsed="false">
      <c r="A52" s="145"/>
      <c r="B52" s="146" t="s">
        <v>174</v>
      </c>
      <c r="C52" s="113" t="s">
        <v>255</v>
      </c>
      <c r="D52" s="113" t="s">
        <v>37</v>
      </c>
      <c r="E52" s="147" t="n">
        <v>36831</v>
      </c>
      <c r="F52" s="147" t="n">
        <v>37195</v>
      </c>
      <c r="G52" s="146" t="s">
        <v>317</v>
      </c>
      <c r="H52" s="146" t="s">
        <v>314</v>
      </c>
      <c r="I52" s="113" t="s">
        <v>90</v>
      </c>
      <c r="J52" s="148" t="n">
        <f aca="false">6.431/J$1</f>
        <v>0.214366666666667</v>
      </c>
      <c r="K52" s="149" t="n">
        <v>0.0132</v>
      </c>
      <c r="L52" s="149" t="n">
        <v>0.0022</v>
      </c>
      <c r="M52" s="149" t="n">
        <v>0.0072</v>
      </c>
      <c r="N52" s="149" t="n">
        <v>0</v>
      </c>
      <c r="O52" s="150" t="n">
        <v>0.02116</v>
      </c>
      <c r="P52" s="149" t="n">
        <f aca="false">SUM(J52:N52)</f>
        <v>0.236966666666667</v>
      </c>
      <c r="Q52" s="151" t="n">
        <v>68918</v>
      </c>
      <c r="R52" s="113" t="n">
        <v>5000</v>
      </c>
      <c r="S52" s="146" t="s">
        <v>315</v>
      </c>
      <c r="T52" s="152" t="n">
        <f aca="false">J52*J$1*R52</f>
        <v>32155</v>
      </c>
      <c r="U52" s="152"/>
      <c r="V52" s="153" t="s">
        <v>316</v>
      </c>
      <c r="W52" s="146"/>
      <c r="X52" s="154"/>
      <c r="Y52" s="154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  <c r="BX52" s="145"/>
      <c r="BY52" s="145"/>
      <c r="BZ52" s="145"/>
      <c r="CA52" s="145"/>
      <c r="CB52" s="145"/>
      <c r="CC52" s="145"/>
      <c r="CD52" s="145"/>
      <c r="CE52" s="145"/>
      <c r="CF52" s="145"/>
      <c r="CG52" s="145"/>
      <c r="CH52" s="145"/>
      <c r="CI52" s="145"/>
      <c r="CJ52" s="145"/>
      <c r="CK52" s="145"/>
      <c r="CL52" s="145"/>
      <c r="CM52" s="145"/>
      <c r="CN52" s="145"/>
      <c r="CO52" s="145"/>
      <c r="CP52" s="145"/>
      <c r="CQ52" s="145"/>
      <c r="CR52" s="145"/>
      <c r="CS52" s="145"/>
      <c r="CT52" s="145"/>
      <c r="CU52" s="145"/>
      <c r="CV52" s="145"/>
      <c r="CW52" s="145"/>
      <c r="CX52" s="145"/>
      <c r="CY52" s="145"/>
      <c r="CZ52" s="145"/>
      <c r="DA52" s="145"/>
      <c r="DB52" s="145"/>
      <c r="DC52" s="145"/>
      <c r="DD52" s="145"/>
      <c r="DE52" s="145"/>
      <c r="DF52" s="145"/>
      <c r="DG52" s="145"/>
      <c r="DH52" s="145"/>
      <c r="DI52" s="145"/>
      <c r="DJ52" s="145"/>
      <c r="DK52" s="145"/>
      <c r="DL52" s="145"/>
      <c r="DM52" s="145"/>
      <c r="DN52" s="145"/>
      <c r="DO52" s="145"/>
      <c r="DP52" s="145"/>
      <c r="DQ52" s="145"/>
      <c r="DR52" s="145"/>
      <c r="DS52" s="145"/>
      <c r="DT52" s="145"/>
      <c r="DU52" s="145"/>
      <c r="DV52" s="145"/>
      <c r="DW52" s="145"/>
      <c r="DX52" s="145"/>
      <c r="DY52" s="145"/>
      <c r="DZ52" s="145"/>
      <c r="EA52" s="145"/>
      <c r="EB52" s="145"/>
      <c r="EC52" s="145"/>
      <c r="ED52" s="145"/>
      <c r="EE52" s="145"/>
      <c r="EF52" s="145"/>
      <c r="EG52" s="145"/>
      <c r="EH52" s="145"/>
      <c r="EI52" s="145"/>
      <c r="EJ52" s="145"/>
      <c r="EK52" s="145"/>
      <c r="EL52" s="145"/>
      <c r="EM52" s="145"/>
      <c r="EN52" s="145"/>
      <c r="EO52" s="145"/>
      <c r="EP52" s="145"/>
      <c r="EQ52" s="145"/>
      <c r="ER52" s="145"/>
      <c r="ES52" s="145"/>
      <c r="ET52" s="145"/>
      <c r="EU52" s="145"/>
      <c r="EV52" s="145"/>
      <c r="EW52" s="145"/>
      <c r="EX52" s="145"/>
      <c r="EY52" s="145"/>
      <c r="EZ52" s="145"/>
      <c r="FA52" s="145"/>
      <c r="FB52" s="145"/>
      <c r="FC52" s="145"/>
      <c r="FD52" s="145"/>
      <c r="FE52" s="145"/>
      <c r="FF52" s="145"/>
      <c r="FG52" s="145"/>
      <c r="FH52" s="145"/>
      <c r="FI52" s="145"/>
      <c r="FJ52" s="145"/>
      <c r="FK52" s="145"/>
      <c r="FL52" s="145"/>
      <c r="FM52" s="145"/>
      <c r="FN52" s="145"/>
      <c r="FO52" s="145"/>
      <c r="FP52" s="145"/>
      <c r="FQ52" s="145"/>
      <c r="FR52" s="145"/>
      <c r="FS52" s="145"/>
      <c r="FT52" s="145"/>
      <c r="FU52" s="145"/>
      <c r="FV52" s="145"/>
      <c r="FW52" s="145"/>
      <c r="FX52" s="145"/>
      <c r="FY52" s="145"/>
      <c r="FZ52" s="145"/>
      <c r="GA52" s="145"/>
      <c r="GB52" s="145"/>
      <c r="GC52" s="145"/>
      <c r="GD52" s="145"/>
      <c r="GE52" s="145"/>
      <c r="GF52" s="145"/>
      <c r="GG52" s="145"/>
      <c r="GH52" s="145"/>
      <c r="GI52" s="145"/>
      <c r="GJ52" s="145"/>
      <c r="GK52" s="145"/>
      <c r="GL52" s="145"/>
      <c r="GM52" s="145"/>
      <c r="GN52" s="145"/>
      <c r="GO52" s="145"/>
      <c r="GP52" s="145"/>
      <c r="GQ52" s="145"/>
      <c r="GR52" s="145"/>
      <c r="GS52" s="145"/>
      <c r="GT52" s="145"/>
      <c r="GU52" s="145"/>
      <c r="GV52" s="145"/>
      <c r="GW52" s="145"/>
      <c r="GX52" s="145"/>
      <c r="GY52" s="145"/>
      <c r="GZ52" s="145"/>
      <c r="HA52" s="145"/>
      <c r="HB52" s="145"/>
      <c r="HC52" s="145"/>
      <c r="HD52" s="145"/>
      <c r="HE52" s="145"/>
      <c r="HF52" s="145"/>
      <c r="HG52" s="145"/>
      <c r="HH52" s="145"/>
      <c r="HI52" s="145"/>
      <c r="HJ52" s="145"/>
      <c r="HK52" s="145"/>
      <c r="HL52" s="145"/>
      <c r="HM52" s="145"/>
      <c r="HN52" s="145"/>
      <c r="HO52" s="145"/>
      <c r="HP52" s="145"/>
      <c r="HQ52" s="145"/>
      <c r="HR52" s="145"/>
      <c r="HS52" s="145"/>
      <c r="HT52" s="145"/>
      <c r="HU52" s="145"/>
      <c r="HV52" s="145"/>
      <c r="HW52" s="145"/>
      <c r="HX52" s="145"/>
      <c r="HY52" s="145"/>
      <c r="HZ52" s="145"/>
      <c r="IA52" s="145"/>
      <c r="IB52" s="145"/>
      <c r="IC52" s="145"/>
      <c r="ID52" s="145"/>
      <c r="IE52" s="145"/>
      <c r="IF52" s="145"/>
      <c r="IG52" s="145"/>
      <c r="IH52" s="145"/>
      <c r="II52" s="145"/>
      <c r="IJ52" s="145"/>
      <c r="IK52" s="145"/>
      <c r="IL52" s="145"/>
      <c r="IM52" s="145"/>
      <c r="IN52" s="145"/>
      <c r="IO52" s="145"/>
      <c r="IP52" s="145"/>
      <c r="IQ52" s="145"/>
      <c r="IR52" s="145"/>
      <c r="IS52" s="145"/>
      <c r="IT52" s="145"/>
      <c r="IU52" s="145"/>
      <c r="IV52" s="145"/>
      <c r="IW52" s="145"/>
    </row>
    <row r="53" customFormat="false" ht="12.75" hidden="false" customHeight="false" outlineLevel="0" collapsed="false">
      <c r="A53" s="145"/>
      <c r="B53" s="146" t="s">
        <v>174</v>
      </c>
      <c r="C53" s="113" t="s">
        <v>255</v>
      </c>
      <c r="D53" s="113" t="s">
        <v>37</v>
      </c>
      <c r="E53" s="147" t="n">
        <v>36831</v>
      </c>
      <c r="F53" s="147" t="n">
        <v>37195</v>
      </c>
      <c r="G53" s="146" t="s">
        <v>318</v>
      </c>
      <c r="H53" s="146" t="s">
        <v>314</v>
      </c>
      <c r="I53" s="113" t="s">
        <v>90</v>
      </c>
      <c r="J53" s="148" t="n">
        <f aca="false">6.431/J$1</f>
        <v>0.214366666666667</v>
      </c>
      <c r="K53" s="149" t="n">
        <v>0.0132</v>
      </c>
      <c r="L53" s="149" t="n">
        <v>0.0022</v>
      </c>
      <c r="M53" s="149" t="n">
        <v>0.0072</v>
      </c>
      <c r="N53" s="149" t="n">
        <v>0</v>
      </c>
      <c r="O53" s="150" t="n">
        <v>0.02116</v>
      </c>
      <c r="P53" s="149" t="n">
        <f aca="false">SUM(J53:N53)</f>
        <v>0.236966666666667</v>
      </c>
      <c r="Q53" s="151" t="n">
        <v>68918</v>
      </c>
      <c r="R53" s="113" t="n">
        <v>1000</v>
      </c>
      <c r="S53" s="146" t="s">
        <v>315</v>
      </c>
      <c r="T53" s="152" t="n">
        <f aca="false">J53*J$1*R53</f>
        <v>6431</v>
      </c>
      <c r="U53" s="152"/>
      <c r="V53" s="153" t="s">
        <v>316</v>
      </c>
      <c r="W53" s="146"/>
      <c r="X53" s="154"/>
      <c r="Y53" s="154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45"/>
      <c r="CC53" s="145"/>
      <c r="CD53" s="145"/>
      <c r="CE53" s="145"/>
      <c r="CF53" s="145"/>
      <c r="CG53" s="145"/>
      <c r="CH53" s="145"/>
      <c r="CI53" s="145"/>
      <c r="CJ53" s="145"/>
      <c r="CK53" s="145"/>
      <c r="CL53" s="145"/>
      <c r="CM53" s="145"/>
      <c r="CN53" s="145"/>
      <c r="CO53" s="145"/>
      <c r="CP53" s="145"/>
      <c r="CQ53" s="145"/>
      <c r="CR53" s="145"/>
      <c r="CS53" s="145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5"/>
      <c r="DF53" s="145"/>
      <c r="DG53" s="145"/>
      <c r="DH53" s="145"/>
      <c r="DI53" s="145"/>
      <c r="DJ53" s="145"/>
      <c r="DK53" s="145"/>
      <c r="DL53" s="145"/>
      <c r="DM53" s="145"/>
      <c r="DN53" s="145"/>
      <c r="DO53" s="145"/>
      <c r="DP53" s="145"/>
      <c r="DQ53" s="145"/>
      <c r="DR53" s="145"/>
      <c r="DS53" s="145"/>
      <c r="DT53" s="145"/>
      <c r="DU53" s="145"/>
      <c r="DV53" s="145"/>
      <c r="DW53" s="145"/>
      <c r="DX53" s="145"/>
      <c r="DY53" s="145"/>
      <c r="DZ53" s="145"/>
      <c r="EA53" s="145"/>
      <c r="EB53" s="145"/>
      <c r="EC53" s="145"/>
      <c r="ED53" s="145"/>
      <c r="EE53" s="145"/>
      <c r="EF53" s="145"/>
      <c r="EG53" s="145"/>
      <c r="EH53" s="145"/>
      <c r="EI53" s="145"/>
      <c r="EJ53" s="145"/>
      <c r="EK53" s="145"/>
      <c r="EL53" s="145"/>
      <c r="EM53" s="145"/>
      <c r="EN53" s="145"/>
      <c r="EO53" s="145"/>
      <c r="EP53" s="145"/>
      <c r="EQ53" s="145"/>
      <c r="ER53" s="145"/>
      <c r="ES53" s="145"/>
      <c r="ET53" s="145"/>
      <c r="EU53" s="145"/>
      <c r="EV53" s="145"/>
      <c r="EW53" s="145"/>
      <c r="EX53" s="145"/>
      <c r="EY53" s="145"/>
      <c r="EZ53" s="145"/>
      <c r="FA53" s="145"/>
      <c r="FB53" s="145"/>
      <c r="FC53" s="145"/>
      <c r="FD53" s="145"/>
      <c r="FE53" s="145"/>
      <c r="FF53" s="145"/>
      <c r="FG53" s="145"/>
      <c r="FH53" s="145"/>
      <c r="FI53" s="145"/>
      <c r="FJ53" s="145"/>
      <c r="FK53" s="145"/>
      <c r="FL53" s="145"/>
      <c r="FM53" s="145"/>
      <c r="FN53" s="145"/>
      <c r="FO53" s="145"/>
      <c r="FP53" s="145"/>
      <c r="FQ53" s="145"/>
      <c r="FR53" s="145"/>
      <c r="FS53" s="145"/>
      <c r="FT53" s="145"/>
      <c r="FU53" s="145"/>
      <c r="FV53" s="145"/>
      <c r="FW53" s="145"/>
      <c r="FX53" s="145"/>
      <c r="FY53" s="145"/>
      <c r="FZ53" s="145"/>
      <c r="GA53" s="145"/>
      <c r="GB53" s="145"/>
      <c r="GC53" s="145"/>
      <c r="GD53" s="145"/>
      <c r="GE53" s="145"/>
      <c r="GF53" s="145"/>
      <c r="GG53" s="145"/>
      <c r="GH53" s="145"/>
      <c r="GI53" s="145"/>
      <c r="GJ53" s="145"/>
      <c r="GK53" s="145"/>
      <c r="GL53" s="145"/>
      <c r="GM53" s="145"/>
      <c r="GN53" s="145"/>
      <c r="GO53" s="145"/>
      <c r="GP53" s="145"/>
      <c r="GQ53" s="145"/>
      <c r="GR53" s="145"/>
      <c r="GS53" s="145"/>
      <c r="GT53" s="145"/>
      <c r="GU53" s="145"/>
      <c r="GV53" s="145"/>
      <c r="GW53" s="145"/>
      <c r="GX53" s="145"/>
      <c r="GY53" s="145"/>
      <c r="GZ53" s="145"/>
      <c r="HA53" s="145"/>
      <c r="HB53" s="145"/>
      <c r="HC53" s="145"/>
      <c r="HD53" s="145"/>
      <c r="HE53" s="145"/>
      <c r="HF53" s="145"/>
      <c r="HG53" s="145"/>
      <c r="HH53" s="145"/>
      <c r="HI53" s="145"/>
      <c r="HJ53" s="145"/>
      <c r="HK53" s="145"/>
      <c r="HL53" s="145"/>
      <c r="HM53" s="145"/>
      <c r="HN53" s="145"/>
      <c r="HO53" s="145"/>
      <c r="HP53" s="145"/>
      <c r="HQ53" s="145"/>
      <c r="HR53" s="145"/>
      <c r="HS53" s="145"/>
      <c r="HT53" s="145"/>
      <c r="HU53" s="145"/>
      <c r="HV53" s="145"/>
      <c r="HW53" s="145"/>
      <c r="HX53" s="145"/>
      <c r="HY53" s="145"/>
      <c r="HZ53" s="145"/>
      <c r="IA53" s="145"/>
      <c r="IB53" s="145"/>
      <c r="IC53" s="145"/>
      <c r="ID53" s="145"/>
      <c r="IE53" s="145"/>
      <c r="IF53" s="145"/>
      <c r="IG53" s="145"/>
      <c r="IH53" s="145"/>
      <c r="II53" s="145"/>
      <c r="IJ53" s="145"/>
      <c r="IK53" s="145"/>
      <c r="IL53" s="145"/>
      <c r="IM53" s="145"/>
      <c r="IN53" s="145"/>
      <c r="IO53" s="145"/>
      <c r="IP53" s="145"/>
      <c r="IQ53" s="145"/>
      <c r="IR53" s="145"/>
      <c r="IS53" s="145"/>
      <c r="IT53" s="145"/>
      <c r="IU53" s="145"/>
      <c r="IV53" s="145"/>
      <c r="IW53" s="145"/>
    </row>
    <row r="54" customFormat="false" ht="12.75" hidden="false" customHeight="false" outlineLevel="0" collapsed="false">
      <c r="A54" s="145"/>
      <c r="B54" s="146" t="s">
        <v>174</v>
      </c>
      <c r="C54" s="113" t="s">
        <v>255</v>
      </c>
      <c r="D54" s="113" t="s">
        <v>37</v>
      </c>
      <c r="E54" s="147" t="n">
        <v>36831</v>
      </c>
      <c r="F54" s="147" t="n">
        <v>37195</v>
      </c>
      <c r="G54" s="146" t="s">
        <v>317</v>
      </c>
      <c r="H54" s="146" t="s">
        <v>306</v>
      </c>
      <c r="I54" s="113" t="s">
        <v>90</v>
      </c>
      <c r="J54" s="148" t="n">
        <f aca="false">6.431/J$1</f>
        <v>0.214366666666667</v>
      </c>
      <c r="K54" s="149" t="n">
        <v>0.0132</v>
      </c>
      <c r="L54" s="149" t="n">
        <v>0.0022</v>
      </c>
      <c r="M54" s="149" t="n">
        <v>0.0072</v>
      </c>
      <c r="N54" s="149" t="n">
        <v>0</v>
      </c>
      <c r="O54" s="150" t="n">
        <v>0.02116</v>
      </c>
      <c r="P54" s="149" t="n">
        <f aca="false">SUM(J54:N54)</f>
        <v>0.236966666666667</v>
      </c>
      <c r="Q54" s="151" t="n">
        <v>69148</v>
      </c>
      <c r="R54" s="113" t="n">
        <v>500</v>
      </c>
      <c r="S54" s="146" t="s">
        <v>319</v>
      </c>
      <c r="T54" s="152" t="n">
        <f aca="false">J54*J$1*R54</f>
        <v>3215.5</v>
      </c>
      <c r="U54" s="152"/>
      <c r="V54" s="153" t="s">
        <v>320</v>
      </c>
      <c r="W54" s="146"/>
      <c r="X54" s="154"/>
      <c r="Y54" s="154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5"/>
      <c r="BW54" s="145"/>
      <c r="BX54" s="145"/>
      <c r="BY54" s="145"/>
      <c r="BZ54" s="145"/>
      <c r="CA54" s="145"/>
      <c r="CB54" s="145"/>
      <c r="CC54" s="145"/>
      <c r="CD54" s="145"/>
      <c r="CE54" s="145"/>
      <c r="CF54" s="145"/>
      <c r="CG54" s="145"/>
      <c r="CH54" s="145"/>
      <c r="CI54" s="145"/>
      <c r="CJ54" s="145"/>
      <c r="CK54" s="145"/>
      <c r="CL54" s="145"/>
      <c r="CM54" s="145"/>
      <c r="CN54" s="145"/>
      <c r="CO54" s="145"/>
      <c r="CP54" s="145"/>
      <c r="CQ54" s="145"/>
      <c r="CR54" s="145"/>
      <c r="CS54" s="145"/>
      <c r="CT54" s="145"/>
      <c r="CU54" s="145"/>
      <c r="CV54" s="145"/>
      <c r="CW54" s="145"/>
      <c r="CX54" s="145"/>
      <c r="CY54" s="145"/>
      <c r="CZ54" s="145"/>
      <c r="DA54" s="145"/>
      <c r="DB54" s="145"/>
      <c r="DC54" s="145"/>
      <c r="DD54" s="145"/>
      <c r="DE54" s="145"/>
      <c r="DF54" s="145"/>
      <c r="DG54" s="145"/>
      <c r="DH54" s="145"/>
      <c r="DI54" s="145"/>
      <c r="DJ54" s="145"/>
      <c r="DK54" s="145"/>
      <c r="DL54" s="145"/>
      <c r="DM54" s="145"/>
      <c r="DN54" s="145"/>
      <c r="DO54" s="145"/>
      <c r="DP54" s="145"/>
      <c r="DQ54" s="145"/>
      <c r="DR54" s="145"/>
      <c r="DS54" s="145"/>
      <c r="DT54" s="145"/>
      <c r="DU54" s="145"/>
      <c r="DV54" s="145"/>
      <c r="DW54" s="145"/>
      <c r="DX54" s="145"/>
      <c r="DY54" s="145"/>
      <c r="DZ54" s="145"/>
      <c r="EA54" s="145"/>
      <c r="EB54" s="145"/>
      <c r="EC54" s="145"/>
      <c r="ED54" s="145"/>
      <c r="EE54" s="145"/>
      <c r="EF54" s="145"/>
      <c r="EG54" s="145"/>
      <c r="EH54" s="145"/>
      <c r="EI54" s="145"/>
      <c r="EJ54" s="145"/>
      <c r="EK54" s="145"/>
      <c r="EL54" s="145"/>
      <c r="EM54" s="145"/>
      <c r="EN54" s="145"/>
      <c r="EO54" s="145"/>
      <c r="EP54" s="145"/>
      <c r="EQ54" s="145"/>
      <c r="ER54" s="145"/>
      <c r="ES54" s="145"/>
      <c r="ET54" s="145"/>
      <c r="EU54" s="145"/>
      <c r="EV54" s="145"/>
      <c r="EW54" s="145"/>
      <c r="EX54" s="145"/>
      <c r="EY54" s="145"/>
      <c r="EZ54" s="145"/>
      <c r="FA54" s="145"/>
      <c r="FB54" s="145"/>
      <c r="FC54" s="145"/>
      <c r="FD54" s="145"/>
      <c r="FE54" s="145"/>
      <c r="FF54" s="145"/>
      <c r="FG54" s="145"/>
      <c r="FH54" s="145"/>
      <c r="FI54" s="145"/>
      <c r="FJ54" s="145"/>
      <c r="FK54" s="145"/>
      <c r="FL54" s="145"/>
      <c r="FM54" s="145"/>
      <c r="FN54" s="145"/>
      <c r="FO54" s="145"/>
      <c r="FP54" s="145"/>
      <c r="FQ54" s="145"/>
      <c r="FR54" s="145"/>
      <c r="FS54" s="145"/>
      <c r="FT54" s="145"/>
      <c r="FU54" s="145"/>
      <c r="FV54" s="145"/>
      <c r="FW54" s="145"/>
      <c r="FX54" s="145"/>
      <c r="FY54" s="145"/>
      <c r="FZ54" s="145"/>
      <c r="GA54" s="145"/>
      <c r="GB54" s="145"/>
      <c r="GC54" s="145"/>
      <c r="GD54" s="145"/>
      <c r="GE54" s="145"/>
      <c r="GF54" s="145"/>
      <c r="GG54" s="145"/>
      <c r="GH54" s="145"/>
      <c r="GI54" s="145"/>
      <c r="GJ54" s="145"/>
      <c r="GK54" s="145"/>
      <c r="GL54" s="145"/>
      <c r="GM54" s="145"/>
      <c r="GN54" s="145"/>
      <c r="GO54" s="145"/>
      <c r="GP54" s="145"/>
      <c r="GQ54" s="145"/>
      <c r="GR54" s="145"/>
      <c r="GS54" s="145"/>
      <c r="GT54" s="145"/>
      <c r="GU54" s="145"/>
      <c r="GV54" s="145"/>
      <c r="GW54" s="145"/>
      <c r="GX54" s="145"/>
      <c r="GY54" s="145"/>
      <c r="GZ54" s="145"/>
      <c r="HA54" s="145"/>
      <c r="HB54" s="145"/>
      <c r="HC54" s="145"/>
      <c r="HD54" s="145"/>
      <c r="HE54" s="145"/>
      <c r="HF54" s="145"/>
      <c r="HG54" s="145"/>
      <c r="HH54" s="145"/>
      <c r="HI54" s="145"/>
      <c r="HJ54" s="145"/>
      <c r="HK54" s="145"/>
      <c r="HL54" s="145"/>
      <c r="HM54" s="145"/>
      <c r="HN54" s="145"/>
      <c r="HO54" s="145"/>
      <c r="HP54" s="145"/>
      <c r="HQ54" s="145"/>
      <c r="HR54" s="145"/>
      <c r="HS54" s="145"/>
      <c r="HT54" s="145"/>
      <c r="HU54" s="145"/>
      <c r="HV54" s="145"/>
      <c r="HW54" s="145"/>
      <c r="HX54" s="145"/>
      <c r="HY54" s="145"/>
      <c r="HZ54" s="145"/>
      <c r="IA54" s="145"/>
      <c r="IB54" s="145"/>
      <c r="IC54" s="145"/>
      <c r="ID54" s="145"/>
      <c r="IE54" s="145"/>
      <c r="IF54" s="145"/>
      <c r="IG54" s="145"/>
      <c r="IH54" s="145"/>
      <c r="II54" s="145"/>
      <c r="IJ54" s="145"/>
      <c r="IK54" s="145"/>
      <c r="IL54" s="145"/>
      <c r="IM54" s="145"/>
      <c r="IN54" s="145"/>
      <c r="IO54" s="145"/>
      <c r="IP54" s="145"/>
      <c r="IQ54" s="145"/>
      <c r="IR54" s="145"/>
      <c r="IS54" s="145"/>
      <c r="IT54" s="145"/>
      <c r="IU54" s="145"/>
      <c r="IV54" s="145"/>
      <c r="IW54" s="145"/>
    </row>
    <row r="55" customFormat="false" ht="12.75" hidden="false" customHeight="false" outlineLevel="0" collapsed="false">
      <c r="A55" s="145"/>
      <c r="B55" s="146" t="s">
        <v>174</v>
      </c>
      <c r="C55" s="113" t="s">
        <v>255</v>
      </c>
      <c r="D55" s="113" t="s">
        <v>37</v>
      </c>
      <c r="E55" s="147" t="n">
        <v>36831</v>
      </c>
      <c r="F55" s="147" t="n">
        <v>37195</v>
      </c>
      <c r="G55" s="146" t="s">
        <v>309</v>
      </c>
      <c r="H55" s="146" t="s">
        <v>310</v>
      </c>
      <c r="I55" s="113" t="s">
        <v>90</v>
      </c>
      <c r="J55" s="148" t="n">
        <f aca="false">6.431/J$1</f>
        <v>0.214366666666667</v>
      </c>
      <c r="K55" s="149" t="n">
        <v>0.0132</v>
      </c>
      <c r="L55" s="149" t="n">
        <v>0.0022</v>
      </c>
      <c r="M55" s="149" t="n">
        <v>0.0072</v>
      </c>
      <c r="N55" s="149" t="n">
        <v>0</v>
      </c>
      <c r="O55" s="150" t="n">
        <v>0.02116</v>
      </c>
      <c r="P55" s="149" t="n">
        <f aca="false">SUM(J55:N55)</f>
        <v>0.236966666666667</v>
      </c>
      <c r="Q55" s="151" t="n">
        <v>69149</v>
      </c>
      <c r="R55" s="113" t="n">
        <v>1000</v>
      </c>
      <c r="S55" s="146" t="s">
        <v>321</v>
      </c>
      <c r="T55" s="152" t="n">
        <f aca="false">J55*J$1*R55</f>
        <v>6431</v>
      </c>
      <c r="U55" s="152"/>
      <c r="V55" s="153"/>
      <c r="W55" s="146"/>
      <c r="X55" s="154"/>
      <c r="Y55" s="154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5"/>
      <c r="CA55" s="145"/>
      <c r="CB55" s="145"/>
      <c r="CC55" s="145"/>
      <c r="CD55" s="145"/>
      <c r="CE55" s="145"/>
      <c r="CF55" s="145"/>
      <c r="CG55" s="145"/>
      <c r="CH55" s="145"/>
      <c r="CI55" s="145"/>
      <c r="CJ55" s="145"/>
      <c r="CK55" s="145"/>
      <c r="CL55" s="145"/>
      <c r="CM55" s="145"/>
      <c r="CN55" s="145"/>
      <c r="CO55" s="145"/>
      <c r="CP55" s="145"/>
      <c r="CQ55" s="145"/>
      <c r="CR55" s="145"/>
      <c r="CS55" s="145"/>
      <c r="CT55" s="145"/>
      <c r="CU55" s="145"/>
      <c r="CV55" s="145"/>
      <c r="CW55" s="145"/>
      <c r="CX55" s="145"/>
      <c r="CY55" s="145"/>
      <c r="CZ55" s="145"/>
      <c r="DA55" s="145"/>
      <c r="DB55" s="145"/>
      <c r="DC55" s="145"/>
      <c r="DD55" s="145"/>
      <c r="DE55" s="145"/>
      <c r="DF55" s="145"/>
      <c r="DG55" s="145"/>
      <c r="DH55" s="145"/>
      <c r="DI55" s="145"/>
      <c r="DJ55" s="145"/>
      <c r="DK55" s="145"/>
      <c r="DL55" s="145"/>
      <c r="DM55" s="145"/>
      <c r="DN55" s="145"/>
      <c r="DO55" s="145"/>
      <c r="DP55" s="145"/>
      <c r="DQ55" s="145"/>
      <c r="DR55" s="145"/>
      <c r="DS55" s="145"/>
      <c r="DT55" s="145"/>
      <c r="DU55" s="145"/>
      <c r="DV55" s="145"/>
      <c r="DW55" s="145"/>
      <c r="DX55" s="145"/>
      <c r="DY55" s="145"/>
      <c r="DZ55" s="145"/>
      <c r="EA55" s="145"/>
      <c r="EB55" s="145"/>
      <c r="EC55" s="145"/>
      <c r="ED55" s="145"/>
      <c r="EE55" s="145"/>
      <c r="EF55" s="145"/>
      <c r="EG55" s="145"/>
      <c r="EH55" s="145"/>
      <c r="EI55" s="145"/>
      <c r="EJ55" s="145"/>
      <c r="EK55" s="145"/>
      <c r="EL55" s="145"/>
      <c r="EM55" s="145"/>
      <c r="EN55" s="145"/>
      <c r="EO55" s="145"/>
      <c r="EP55" s="145"/>
      <c r="EQ55" s="145"/>
      <c r="ER55" s="145"/>
      <c r="ES55" s="145"/>
      <c r="ET55" s="145"/>
      <c r="EU55" s="145"/>
      <c r="EV55" s="145"/>
      <c r="EW55" s="145"/>
      <c r="EX55" s="145"/>
      <c r="EY55" s="145"/>
      <c r="EZ55" s="145"/>
      <c r="FA55" s="145"/>
      <c r="FB55" s="145"/>
      <c r="FC55" s="145"/>
      <c r="FD55" s="145"/>
      <c r="FE55" s="145"/>
      <c r="FF55" s="145"/>
      <c r="FG55" s="145"/>
      <c r="FH55" s="145"/>
      <c r="FI55" s="145"/>
      <c r="FJ55" s="145"/>
      <c r="FK55" s="145"/>
      <c r="FL55" s="145"/>
      <c r="FM55" s="145"/>
      <c r="FN55" s="145"/>
      <c r="FO55" s="145"/>
      <c r="FP55" s="145"/>
      <c r="FQ55" s="145"/>
      <c r="FR55" s="145"/>
      <c r="FS55" s="145"/>
      <c r="FT55" s="145"/>
      <c r="FU55" s="145"/>
      <c r="FV55" s="145"/>
      <c r="FW55" s="145"/>
      <c r="FX55" s="145"/>
      <c r="FY55" s="145"/>
      <c r="FZ55" s="145"/>
      <c r="GA55" s="145"/>
      <c r="GB55" s="145"/>
      <c r="GC55" s="145"/>
      <c r="GD55" s="145"/>
      <c r="GE55" s="145"/>
      <c r="GF55" s="145"/>
      <c r="GG55" s="145"/>
      <c r="GH55" s="145"/>
      <c r="GI55" s="145"/>
      <c r="GJ55" s="145"/>
      <c r="GK55" s="145"/>
      <c r="GL55" s="145"/>
      <c r="GM55" s="145"/>
      <c r="GN55" s="145"/>
      <c r="GO55" s="145"/>
      <c r="GP55" s="145"/>
      <c r="GQ55" s="145"/>
      <c r="GR55" s="145"/>
      <c r="GS55" s="145"/>
      <c r="GT55" s="145"/>
      <c r="GU55" s="145"/>
      <c r="GV55" s="145"/>
      <c r="GW55" s="145"/>
      <c r="GX55" s="145"/>
      <c r="GY55" s="145"/>
      <c r="GZ55" s="145"/>
      <c r="HA55" s="145"/>
      <c r="HB55" s="145"/>
      <c r="HC55" s="145"/>
      <c r="HD55" s="145"/>
      <c r="HE55" s="145"/>
      <c r="HF55" s="145"/>
      <c r="HG55" s="145"/>
      <c r="HH55" s="145"/>
      <c r="HI55" s="145"/>
      <c r="HJ55" s="145"/>
      <c r="HK55" s="145"/>
      <c r="HL55" s="145"/>
      <c r="HM55" s="145"/>
      <c r="HN55" s="145"/>
      <c r="HO55" s="145"/>
      <c r="HP55" s="145"/>
      <c r="HQ55" s="145"/>
      <c r="HR55" s="145"/>
      <c r="HS55" s="145"/>
      <c r="HT55" s="145"/>
      <c r="HU55" s="145"/>
      <c r="HV55" s="145"/>
      <c r="HW55" s="145"/>
      <c r="HX55" s="145"/>
      <c r="HY55" s="145"/>
      <c r="HZ55" s="145"/>
      <c r="IA55" s="145"/>
      <c r="IB55" s="145"/>
      <c r="IC55" s="145"/>
      <c r="ID55" s="145"/>
      <c r="IE55" s="145"/>
      <c r="IF55" s="145"/>
      <c r="IG55" s="145"/>
      <c r="IH55" s="145"/>
      <c r="II55" s="145"/>
      <c r="IJ55" s="145"/>
      <c r="IK55" s="145"/>
      <c r="IL55" s="145"/>
      <c r="IM55" s="145"/>
      <c r="IN55" s="145"/>
      <c r="IO55" s="145"/>
      <c r="IP55" s="145"/>
      <c r="IQ55" s="145"/>
      <c r="IR55" s="145"/>
      <c r="IS55" s="145"/>
      <c r="IT55" s="145"/>
      <c r="IU55" s="145"/>
      <c r="IV55" s="145"/>
      <c r="IW55" s="145"/>
    </row>
    <row r="56" customFormat="false" ht="12.75" hidden="false" customHeight="false" outlineLevel="0" collapsed="false">
      <c r="A56" s="145"/>
      <c r="B56" s="146" t="s">
        <v>174</v>
      </c>
      <c r="C56" s="113" t="s">
        <v>255</v>
      </c>
      <c r="D56" s="113" t="s">
        <v>269</v>
      </c>
      <c r="E56" s="147" t="n">
        <v>36739</v>
      </c>
      <c r="F56" s="147" t="n">
        <v>37103</v>
      </c>
      <c r="G56" s="146" t="s">
        <v>266</v>
      </c>
      <c r="H56" s="146" t="s">
        <v>270</v>
      </c>
      <c r="I56" s="113" t="s">
        <v>90</v>
      </c>
      <c r="J56" s="148" t="n">
        <f aca="false">6.431/J$1</f>
        <v>0.214366666666667</v>
      </c>
      <c r="K56" s="149" t="n">
        <v>0.0132</v>
      </c>
      <c r="L56" s="149" t="n">
        <v>0.0022</v>
      </c>
      <c r="M56" s="149" t="n">
        <v>0.0072</v>
      </c>
      <c r="N56" s="149" t="n">
        <v>0</v>
      </c>
      <c r="O56" s="150" t="n">
        <v>0.02116</v>
      </c>
      <c r="P56" s="149" t="n">
        <f aca="false">SUM(J56:N56)</f>
        <v>0.236966666666667</v>
      </c>
      <c r="Q56" s="151" t="n">
        <v>68926</v>
      </c>
      <c r="R56" s="113" t="n">
        <v>4</v>
      </c>
      <c r="S56" s="146" t="s">
        <v>322</v>
      </c>
      <c r="T56" s="152" t="n">
        <f aca="false">J56*J$1*R56</f>
        <v>25.724</v>
      </c>
      <c r="U56" s="152"/>
      <c r="V56" s="153" t="n">
        <v>345125</v>
      </c>
      <c r="W56" s="146"/>
      <c r="X56" s="154"/>
      <c r="Y56" s="154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BZ56" s="145"/>
      <c r="CA56" s="145"/>
      <c r="CB56" s="145"/>
      <c r="CC56" s="145"/>
      <c r="CD56" s="145"/>
      <c r="CE56" s="145"/>
      <c r="CF56" s="145"/>
      <c r="CG56" s="145"/>
      <c r="CH56" s="145"/>
      <c r="CI56" s="145"/>
      <c r="CJ56" s="145"/>
      <c r="CK56" s="145"/>
      <c r="CL56" s="145"/>
      <c r="CM56" s="145"/>
      <c r="CN56" s="145"/>
      <c r="CO56" s="145"/>
      <c r="CP56" s="145"/>
      <c r="CQ56" s="145"/>
      <c r="CR56" s="145"/>
      <c r="CS56" s="145"/>
      <c r="CT56" s="145"/>
      <c r="CU56" s="145"/>
      <c r="CV56" s="145"/>
      <c r="CW56" s="145"/>
      <c r="CX56" s="145"/>
      <c r="CY56" s="145"/>
      <c r="CZ56" s="145"/>
      <c r="DA56" s="145"/>
      <c r="DB56" s="145"/>
      <c r="DC56" s="145"/>
      <c r="DD56" s="145"/>
      <c r="DE56" s="145"/>
      <c r="DF56" s="145"/>
      <c r="DG56" s="145"/>
      <c r="DH56" s="145"/>
      <c r="DI56" s="145"/>
      <c r="DJ56" s="145"/>
      <c r="DK56" s="145"/>
      <c r="DL56" s="145"/>
      <c r="DM56" s="145"/>
      <c r="DN56" s="145"/>
      <c r="DO56" s="145"/>
      <c r="DP56" s="145"/>
      <c r="DQ56" s="145"/>
      <c r="DR56" s="145"/>
      <c r="DS56" s="145"/>
      <c r="DT56" s="145"/>
      <c r="DU56" s="145"/>
      <c r="DV56" s="145"/>
      <c r="DW56" s="145"/>
      <c r="DX56" s="145"/>
      <c r="DY56" s="145"/>
      <c r="DZ56" s="145"/>
      <c r="EA56" s="145"/>
      <c r="EB56" s="145"/>
      <c r="EC56" s="145"/>
      <c r="ED56" s="145"/>
      <c r="EE56" s="145"/>
      <c r="EF56" s="145"/>
      <c r="EG56" s="145"/>
      <c r="EH56" s="145"/>
      <c r="EI56" s="145"/>
      <c r="EJ56" s="145"/>
      <c r="EK56" s="145"/>
      <c r="EL56" s="145"/>
      <c r="EM56" s="145"/>
      <c r="EN56" s="145"/>
      <c r="EO56" s="145"/>
      <c r="EP56" s="145"/>
      <c r="EQ56" s="145"/>
      <c r="ER56" s="145"/>
      <c r="ES56" s="145"/>
      <c r="ET56" s="145"/>
      <c r="EU56" s="145"/>
      <c r="EV56" s="145"/>
      <c r="EW56" s="145"/>
      <c r="EX56" s="145"/>
      <c r="EY56" s="145"/>
      <c r="EZ56" s="145"/>
      <c r="FA56" s="145"/>
      <c r="FB56" s="145"/>
      <c r="FC56" s="145"/>
      <c r="FD56" s="145"/>
      <c r="FE56" s="145"/>
      <c r="FF56" s="145"/>
      <c r="FG56" s="145"/>
      <c r="FH56" s="145"/>
      <c r="FI56" s="145"/>
      <c r="FJ56" s="145"/>
      <c r="FK56" s="145"/>
      <c r="FL56" s="145"/>
      <c r="FM56" s="145"/>
      <c r="FN56" s="145"/>
      <c r="FO56" s="145"/>
      <c r="FP56" s="145"/>
      <c r="FQ56" s="145"/>
      <c r="FR56" s="145"/>
      <c r="FS56" s="145"/>
      <c r="FT56" s="145"/>
      <c r="FU56" s="145"/>
      <c r="FV56" s="145"/>
      <c r="FW56" s="145"/>
      <c r="FX56" s="145"/>
      <c r="FY56" s="145"/>
      <c r="FZ56" s="145"/>
      <c r="GA56" s="145"/>
      <c r="GB56" s="145"/>
      <c r="GC56" s="145"/>
      <c r="GD56" s="145"/>
      <c r="GE56" s="145"/>
      <c r="GF56" s="145"/>
      <c r="GG56" s="145"/>
      <c r="GH56" s="145"/>
      <c r="GI56" s="145"/>
      <c r="GJ56" s="145"/>
      <c r="GK56" s="145"/>
      <c r="GL56" s="145"/>
      <c r="GM56" s="145"/>
      <c r="GN56" s="145"/>
      <c r="GO56" s="145"/>
      <c r="GP56" s="145"/>
      <c r="GQ56" s="145"/>
      <c r="GR56" s="145"/>
      <c r="GS56" s="145"/>
      <c r="GT56" s="145"/>
      <c r="GU56" s="145"/>
      <c r="GV56" s="145"/>
      <c r="GW56" s="145"/>
      <c r="GX56" s="145"/>
      <c r="GY56" s="145"/>
      <c r="GZ56" s="145"/>
      <c r="HA56" s="145"/>
      <c r="HB56" s="145"/>
      <c r="HC56" s="145"/>
      <c r="HD56" s="145"/>
      <c r="HE56" s="145"/>
      <c r="HF56" s="145"/>
      <c r="HG56" s="145"/>
      <c r="HH56" s="145"/>
      <c r="HI56" s="145"/>
      <c r="HJ56" s="145"/>
      <c r="HK56" s="145"/>
      <c r="HL56" s="145"/>
      <c r="HM56" s="145"/>
      <c r="HN56" s="145"/>
      <c r="HO56" s="145"/>
      <c r="HP56" s="145"/>
      <c r="HQ56" s="145"/>
      <c r="HR56" s="145"/>
      <c r="HS56" s="145"/>
      <c r="HT56" s="145"/>
      <c r="HU56" s="145"/>
      <c r="HV56" s="145"/>
      <c r="HW56" s="145"/>
      <c r="HX56" s="145"/>
      <c r="HY56" s="145"/>
      <c r="HZ56" s="145"/>
      <c r="IA56" s="145"/>
      <c r="IB56" s="145"/>
      <c r="IC56" s="145"/>
      <c r="ID56" s="145"/>
      <c r="IE56" s="145"/>
      <c r="IF56" s="145"/>
      <c r="IG56" s="145"/>
      <c r="IH56" s="145"/>
      <c r="II56" s="145"/>
      <c r="IJ56" s="145"/>
      <c r="IK56" s="145"/>
      <c r="IL56" s="145"/>
      <c r="IM56" s="145"/>
      <c r="IN56" s="145"/>
      <c r="IO56" s="145"/>
      <c r="IP56" s="145"/>
      <c r="IQ56" s="145"/>
      <c r="IR56" s="145"/>
      <c r="IS56" s="145"/>
      <c r="IT56" s="145"/>
      <c r="IU56" s="145"/>
      <c r="IV56" s="145"/>
      <c r="IW56" s="145"/>
    </row>
    <row r="57" customFormat="false" ht="12.75" hidden="false" customHeight="false" outlineLevel="0" collapsed="false">
      <c r="A57" s="141"/>
      <c r="B57" s="57" t="s">
        <v>174</v>
      </c>
      <c r="C57" s="126" t="s">
        <v>255</v>
      </c>
      <c r="D57" s="126" t="s">
        <v>180</v>
      </c>
      <c r="E57" s="142" t="n">
        <v>36739</v>
      </c>
      <c r="F57" s="142" t="n">
        <v>37103</v>
      </c>
      <c r="G57" s="57" t="s">
        <v>272</v>
      </c>
      <c r="H57" s="57" t="s">
        <v>323</v>
      </c>
      <c r="I57" s="126" t="s">
        <v>90</v>
      </c>
      <c r="J57" s="60" t="n">
        <f aca="false">6.431/$J$1</f>
        <v>0.214366666666667</v>
      </c>
      <c r="K57" s="82"/>
      <c r="L57" s="82"/>
      <c r="M57" s="82"/>
      <c r="N57" s="82"/>
      <c r="O57" s="143"/>
      <c r="P57" s="82"/>
      <c r="Q57" s="144" t="n">
        <v>68928</v>
      </c>
      <c r="R57" s="126" t="n">
        <v>47</v>
      </c>
      <c r="S57" s="57" t="s">
        <v>324</v>
      </c>
      <c r="T57" s="55" t="n">
        <f aca="false">+J57*R57</f>
        <v>10.0752333333333</v>
      </c>
      <c r="U57" s="55"/>
      <c r="V57" s="56" t="n">
        <v>351966</v>
      </c>
      <c r="W57" s="57"/>
      <c r="X57" s="58"/>
      <c r="Y57" s="58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1"/>
      <c r="FV57" s="141"/>
      <c r="FW57" s="141"/>
      <c r="FX57" s="141"/>
      <c r="FY57" s="141"/>
      <c r="FZ57" s="141"/>
      <c r="GA57" s="141"/>
      <c r="GB57" s="141"/>
      <c r="GC57" s="141"/>
      <c r="GD57" s="141"/>
      <c r="GE57" s="141"/>
      <c r="GF57" s="141"/>
      <c r="GG57" s="141"/>
      <c r="GH57" s="141"/>
      <c r="GI57" s="141"/>
      <c r="GJ57" s="141"/>
      <c r="GK57" s="141"/>
      <c r="GL57" s="141"/>
      <c r="GM57" s="141"/>
      <c r="GN57" s="141"/>
      <c r="GO57" s="141"/>
      <c r="GP57" s="141"/>
      <c r="GQ57" s="141"/>
      <c r="GR57" s="141"/>
      <c r="GS57" s="141"/>
      <c r="GT57" s="141"/>
      <c r="GU57" s="141"/>
      <c r="GV57" s="141"/>
      <c r="GW57" s="141"/>
      <c r="GX57" s="141"/>
      <c r="GY57" s="141"/>
      <c r="GZ57" s="141"/>
      <c r="HA57" s="141"/>
      <c r="HB57" s="141"/>
      <c r="HC57" s="141"/>
      <c r="HD57" s="141"/>
      <c r="HE57" s="141"/>
      <c r="HF57" s="141"/>
      <c r="HG57" s="141"/>
      <c r="HH57" s="141"/>
      <c r="HI57" s="141"/>
      <c r="HJ57" s="141"/>
      <c r="HK57" s="141"/>
      <c r="HL57" s="141"/>
      <c r="HM57" s="141"/>
      <c r="HN57" s="141"/>
      <c r="HO57" s="141"/>
      <c r="HP57" s="141"/>
      <c r="HQ57" s="141"/>
      <c r="HR57" s="141"/>
      <c r="HS57" s="141"/>
      <c r="HT57" s="141"/>
      <c r="HU57" s="141"/>
      <c r="HV57" s="141"/>
      <c r="HW57" s="141"/>
      <c r="HX57" s="141"/>
      <c r="HY57" s="141"/>
      <c r="HZ57" s="141"/>
      <c r="IA57" s="141"/>
      <c r="IB57" s="141"/>
      <c r="IC57" s="141"/>
      <c r="ID57" s="141"/>
      <c r="IE57" s="141"/>
      <c r="IF57" s="141"/>
      <c r="IG57" s="141"/>
      <c r="IH57" s="141"/>
      <c r="II57" s="141"/>
      <c r="IJ57" s="141"/>
      <c r="IK57" s="141"/>
      <c r="IL57" s="141"/>
      <c r="IM57" s="141"/>
      <c r="IN57" s="141"/>
      <c r="IO57" s="141"/>
      <c r="IP57" s="141"/>
      <c r="IQ57" s="141"/>
      <c r="IR57" s="141"/>
      <c r="IS57" s="141"/>
      <c r="IT57" s="141"/>
      <c r="IU57" s="141"/>
      <c r="IV57" s="141"/>
      <c r="IW57" s="141"/>
    </row>
    <row r="58" customFormat="false" ht="12.75" hidden="false" customHeight="false" outlineLevel="0" collapsed="false">
      <c r="A58" s="141"/>
      <c r="B58" s="57" t="s">
        <v>174</v>
      </c>
      <c r="C58" s="126" t="s">
        <v>255</v>
      </c>
      <c r="D58" s="126" t="s">
        <v>176</v>
      </c>
      <c r="E58" s="142" t="n">
        <v>36770</v>
      </c>
      <c r="F58" s="142" t="n">
        <v>37134</v>
      </c>
      <c r="G58" s="57" t="s">
        <v>272</v>
      </c>
      <c r="H58" s="57" t="s">
        <v>325</v>
      </c>
      <c r="I58" s="126" t="s">
        <v>90</v>
      </c>
      <c r="J58" s="60" t="n">
        <f aca="false">6.431/$J$1</f>
        <v>0.214366666666667</v>
      </c>
      <c r="K58" s="82"/>
      <c r="L58" s="82"/>
      <c r="M58" s="82"/>
      <c r="N58" s="82"/>
      <c r="O58" s="143"/>
      <c r="P58" s="82"/>
      <c r="Q58" s="144" t="n">
        <v>69144</v>
      </c>
      <c r="R58" s="126" t="n">
        <v>62</v>
      </c>
      <c r="S58" s="57" t="s">
        <v>326</v>
      </c>
      <c r="T58" s="55" t="n">
        <f aca="false">+J58*R58</f>
        <v>13.2907333333333</v>
      </c>
      <c r="U58" s="55"/>
      <c r="V58" s="56"/>
      <c r="W58" s="57"/>
      <c r="X58" s="58"/>
      <c r="Y58" s="58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1"/>
      <c r="FZ58" s="141"/>
      <c r="GA58" s="141"/>
      <c r="GB58" s="141"/>
      <c r="GC58" s="141"/>
      <c r="GD58" s="141"/>
      <c r="GE58" s="141"/>
      <c r="GF58" s="141"/>
      <c r="GG58" s="141"/>
      <c r="GH58" s="141"/>
      <c r="GI58" s="141"/>
      <c r="GJ58" s="141"/>
      <c r="GK58" s="141"/>
      <c r="GL58" s="141"/>
      <c r="GM58" s="141"/>
      <c r="GN58" s="141"/>
      <c r="GO58" s="141"/>
      <c r="GP58" s="141"/>
      <c r="GQ58" s="141"/>
      <c r="GR58" s="141"/>
      <c r="GS58" s="141"/>
      <c r="GT58" s="141"/>
      <c r="GU58" s="141"/>
      <c r="GV58" s="141"/>
      <c r="GW58" s="141"/>
      <c r="GX58" s="141"/>
      <c r="GY58" s="141"/>
      <c r="GZ58" s="141"/>
      <c r="HA58" s="141"/>
      <c r="HB58" s="141"/>
      <c r="HC58" s="141"/>
      <c r="HD58" s="141"/>
      <c r="HE58" s="141"/>
      <c r="HF58" s="141"/>
      <c r="HG58" s="141"/>
      <c r="HH58" s="141"/>
      <c r="HI58" s="141"/>
      <c r="HJ58" s="141"/>
      <c r="HK58" s="141"/>
      <c r="HL58" s="141"/>
      <c r="HM58" s="141"/>
      <c r="HN58" s="141"/>
      <c r="HO58" s="141"/>
      <c r="HP58" s="141"/>
      <c r="HQ58" s="141"/>
      <c r="HR58" s="141"/>
      <c r="HS58" s="141"/>
      <c r="HT58" s="141"/>
      <c r="HU58" s="141"/>
      <c r="HV58" s="141"/>
      <c r="HW58" s="141"/>
      <c r="HX58" s="141"/>
      <c r="HY58" s="141"/>
      <c r="HZ58" s="141"/>
      <c r="IA58" s="141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1"/>
      <c r="IS58" s="141"/>
      <c r="IT58" s="141"/>
      <c r="IU58" s="141"/>
      <c r="IV58" s="141"/>
      <c r="IW58" s="141"/>
    </row>
    <row r="59" customFormat="false" ht="12.75" hidden="false" customHeight="false" outlineLevel="0" collapsed="false">
      <c r="A59" s="141"/>
      <c r="B59" s="57" t="s">
        <v>174</v>
      </c>
      <c r="C59" s="126" t="s">
        <v>255</v>
      </c>
      <c r="D59" s="126" t="s">
        <v>176</v>
      </c>
      <c r="E59" s="142" t="n">
        <v>36800</v>
      </c>
      <c r="F59" s="142" t="n">
        <v>37164</v>
      </c>
      <c r="G59" s="57" t="s">
        <v>272</v>
      </c>
      <c r="H59" s="57" t="s">
        <v>327</v>
      </c>
      <c r="I59" s="126" t="s">
        <v>90</v>
      </c>
      <c r="J59" s="60" t="n">
        <f aca="false">6.431/$J$1</f>
        <v>0.214366666666667</v>
      </c>
      <c r="K59" s="82"/>
      <c r="L59" s="82"/>
      <c r="M59" s="82"/>
      <c r="N59" s="82"/>
      <c r="O59" s="143"/>
      <c r="P59" s="82"/>
      <c r="Q59" s="144" t="n">
        <v>69424</v>
      </c>
      <c r="R59" s="126" t="n">
        <v>13</v>
      </c>
      <c r="S59" s="57" t="s">
        <v>328</v>
      </c>
      <c r="T59" s="55" t="n">
        <f aca="false">+J59*R59</f>
        <v>2.78676666666667</v>
      </c>
      <c r="U59" s="55"/>
      <c r="V59" s="56" t="n">
        <v>418221</v>
      </c>
      <c r="W59" s="57"/>
      <c r="X59" s="58"/>
      <c r="Y59" s="58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1"/>
      <c r="CI59" s="141"/>
      <c r="CJ59" s="141"/>
      <c r="CK59" s="141"/>
      <c r="CL59" s="141"/>
      <c r="CM59" s="141"/>
      <c r="CN59" s="141"/>
      <c r="CO59" s="141"/>
      <c r="CP59" s="141"/>
      <c r="CQ59" s="141"/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/>
      <c r="EA59" s="141"/>
      <c r="EB59" s="141"/>
      <c r="EC59" s="141"/>
      <c r="ED59" s="141"/>
      <c r="EE59" s="141"/>
      <c r="EF59" s="141"/>
      <c r="EG59" s="141"/>
      <c r="EH59" s="141"/>
      <c r="EI59" s="141"/>
      <c r="EJ59" s="141"/>
      <c r="EK59" s="141"/>
      <c r="EL59" s="141"/>
      <c r="EM59" s="141"/>
      <c r="EN59" s="141"/>
      <c r="EO59" s="141"/>
      <c r="EP59" s="141"/>
      <c r="EQ59" s="141"/>
      <c r="ER59" s="141"/>
      <c r="ES59" s="141"/>
      <c r="ET59" s="141"/>
      <c r="EU59" s="141"/>
      <c r="EV59" s="141"/>
      <c r="EW59" s="141"/>
      <c r="EX59" s="141"/>
      <c r="EY59" s="141"/>
      <c r="EZ59" s="141"/>
      <c r="FA59" s="141"/>
      <c r="FB59" s="141"/>
      <c r="FC59" s="141"/>
      <c r="FD59" s="141"/>
      <c r="FE59" s="141"/>
      <c r="FF59" s="141"/>
      <c r="FG59" s="141"/>
      <c r="FH59" s="141"/>
      <c r="FI59" s="141"/>
      <c r="FJ59" s="141"/>
      <c r="FK59" s="141"/>
      <c r="FL59" s="141"/>
      <c r="FM59" s="141"/>
      <c r="FN59" s="141"/>
      <c r="FO59" s="141"/>
      <c r="FP59" s="141"/>
      <c r="FQ59" s="141"/>
      <c r="FR59" s="141"/>
      <c r="FS59" s="141"/>
      <c r="FT59" s="141"/>
      <c r="FU59" s="141"/>
      <c r="FV59" s="141"/>
      <c r="FW59" s="141"/>
      <c r="FX59" s="141"/>
      <c r="FY59" s="141"/>
      <c r="FZ59" s="141"/>
      <c r="GA59" s="141"/>
      <c r="GB59" s="141"/>
      <c r="GC59" s="141"/>
      <c r="GD59" s="141"/>
      <c r="GE59" s="141"/>
      <c r="GF59" s="141"/>
      <c r="GG59" s="141"/>
      <c r="GH59" s="141"/>
      <c r="GI59" s="141"/>
      <c r="GJ59" s="141"/>
      <c r="GK59" s="141"/>
      <c r="GL59" s="141"/>
      <c r="GM59" s="141"/>
      <c r="GN59" s="141"/>
      <c r="GO59" s="141"/>
      <c r="GP59" s="141"/>
      <c r="GQ59" s="141"/>
      <c r="GR59" s="141"/>
      <c r="GS59" s="141"/>
      <c r="GT59" s="141"/>
      <c r="GU59" s="141"/>
      <c r="GV59" s="141"/>
      <c r="GW59" s="141"/>
      <c r="GX59" s="141"/>
      <c r="GY59" s="141"/>
      <c r="GZ59" s="141"/>
      <c r="HA59" s="141"/>
      <c r="HB59" s="141"/>
      <c r="HC59" s="141"/>
      <c r="HD59" s="141"/>
      <c r="HE59" s="141"/>
      <c r="HF59" s="141"/>
      <c r="HG59" s="141"/>
      <c r="HH59" s="141"/>
      <c r="HI59" s="141"/>
      <c r="HJ59" s="141"/>
      <c r="HK59" s="141"/>
      <c r="HL59" s="141"/>
      <c r="HM59" s="141"/>
      <c r="HN59" s="141"/>
      <c r="HO59" s="141"/>
      <c r="HP59" s="141"/>
      <c r="HQ59" s="141"/>
      <c r="HR59" s="141"/>
      <c r="HS59" s="141"/>
      <c r="HT59" s="141"/>
      <c r="HU59" s="141"/>
      <c r="HV59" s="141"/>
      <c r="HW59" s="141"/>
      <c r="HX59" s="141"/>
      <c r="HY59" s="141"/>
      <c r="HZ59" s="141"/>
      <c r="IA59" s="141"/>
      <c r="IB59" s="141"/>
      <c r="IC59" s="141"/>
      <c r="ID59" s="141"/>
      <c r="IE59" s="141"/>
      <c r="IF59" s="141"/>
      <c r="IG59" s="141"/>
      <c r="IH59" s="141"/>
      <c r="II59" s="141"/>
      <c r="IJ59" s="141"/>
      <c r="IK59" s="141"/>
      <c r="IL59" s="141"/>
      <c r="IM59" s="141"/>
      <c r="IN59" s="141"/>
      <c r="IO59" s="141"/>
      <c r="IP59" s="141"/>
      <c r="IQ59" s="141"/>
      <c r="IR59" s="141"/>
      <c r="IS59" s="141"/>
      <c r="IT59" s="141"/>
      <c r="IU59" s="141"/>
      <c r="IV59" s="141"/>
      <c r="IW59" s="141"/>
    </row>
    <row r="60" customFormat="false" ht="12.75" hidden="false" customHeight="false" outlineLevel="0" collapsed="false">
      <c r="A60" s="83"/>
      <c r="B60" s="84" t="s">
        <v>174</v>
      </c>
      <c r="C60" s="78" t="s">
        <v>255</v>
      </c>
      <c r="D60" s="78" t="s">
        <v>37</v>
      </c>
      <c r="E60" s="76" t="n">
        <v>36831</v>
      </c>
      <c r="F60" s="76" t="n">
        <v>37195</v>
      </c>
      <c r="G60" s="84" t="s">
        <v>329</v>
      </c>
      <c r="H60" s="84" t="s">
        <v>306</v>
      </c>
      <c r="I60" s="78" t="s">
        <v>90</v>
      </c>
      <c r="J60" s="85" t="n">
        <f aca="false">5.171/J$1</f>
        <v>0.172366666666667</v>
      </c>
      <c r="K60" s="86" t="n">
        <v>0.0132</v>
      </c>
      <c r="L60" s="86" t="n">
        <v>0.0022</v>
      </c>
      <c r="M60" s="86" t="n">
        <v>0.0075</v>
      </c>
      <c r="N60" s="86" t="n">
        <v>0</v>
      </c>
      <c r="O60" s="87" t="n">
        <v>0.02116</v>
      </c>
      <c r="P60" s="86" t="n">
        <f aca="false">SUM(J60:N60)</f>
        <v>0.195266666666667</v>
      </c>
      <c r="Q60" s="77" t="n">
        <v>69693</v>
      </c>
      <c r="R60" s="78" t="n">
        <v>1600</v>
      </c>
      <c r="S60" s="84" t="s">
        <v>330</v>
      </c>
      <c r="T60" s="88" t="n">
        <f aca="false">J60*J$1*R60</f>
        <v>8273.6</v>
      </c>
      <c r="U60" s="88"/>
      <c r="V60" s="89" t="s">
        <v>331</v>
      </c>
      <c r="W60" s="88"/>
      <c r="X60" s="91"/>
      <c r="Y60" s="91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  <c r="IW60" s="83"/>
    </row>
    <row r="61" customFormat="false" ht="12.75" hidden="false" customHeight="false" outlineLevel="0" collapsed="false">
      <c r="A61" s="83"/>
      <c r="B61" s="84" t="s">
        <v>174</v>
      </c>
      <c r="C61" s="78" t="s">
        <v>255</v>
      </c>
      <c r="D61" s="78" t="s">
        <v>332</v>
      </c>
      <c r="E61" s="76" t="n">
        <v>36831</v>
      </c>
      <c r="F61" s="76" t="n">
        <v>37195</v>
      </c>
      <c r="G61" s="84" t="s">
        <v>333</v>
      </c>
      <c r="H61" s="84" t="s">
        <v>334</v>
      </c>
      <c r="I61" s="78" t="s">
        <v>90</v>
      </c>
      <c r="J61" s="85" t="n">
        <f aca="false">6.431/J$1</f>
        <v>0.214366666666667</v>
      </c>
      <c r="K61" s="86" t="n">
        <v>0.0132</v>
      </c>
      <c r="L61" s="86" t="n">
        <v>0.0022</v>
      </c>
      <c r="M61" s="86" t="n">
        <v>0.0072</v>
      </c>
      <c r="N61" s="86" t="n">
        <v>0</v>
      </c>
      <c r="O61" s="87" t="n">
        <v>0.02116</v>
      </c>
      <c r="P61" s="86" t="n">
        <f aca="false">SUM(J61:N61)</f>
        <v>0.236966666666667</v>
      </c>
      <c r="Q61" s="77" t="n">
        <v>69707</v>
      </c>
      <c r="R61" s="78" t="n">
        <v>4018</v>
      </c>
      <c r="S61" s="84" t="s">
        <v>335</v>
      </c>
      <c r="T61" s="88" t="n">
        <f aca="false">J61*J$1*R61</f>
        <v>25839.758</v>
      </c>
      <c r="U61" s="88"/>
      <c r="V61" s="89" t="s">
        <v>336</v>
      </c>
      <c r="W61" s="84"/>
      <c r="X61" s="91"/>
      <c r="Y61" s="91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</row>
    <row r="62" customFormat="false" ht="12.75" hidden="false" customHeight="false" outlineLevel="0" collapsed="false">
      <c r="A62" s="83"/>
      <c r="B62" s="84" t="s">
        <v>174</v>
      </c>
      <c r="C62" s="78" t="s">
        <v>255</v>
      </c>
      <c r="D62" s="78" t="s">
        <v>332</v>
      </c>
      <c r="E62" s="76" t="n">
        <v>36831</v>
      </c>
      <c r="F62" s="76" t="n">
        <v>37195</v>
      </c>
      <c r="G62" s="84" t="s">
        <v>337</v>
      </c>
      <c r="H62" s="84" t="s">
        <v>338</v>
      </c>
      <c r="I62" s="78" t="s">
        <v>90</v>
      </c>
      <c r="J62" s="85" t="n">
        <f aca="false">6.431/J$1</f>
        <v>0.214366666666667</v>
      </c>
      <c r="K62" s="86" t="n">
        <v>0.0132</v>
      </c>
      <c r="L62" s="86" t="n">
        <v>0.0022</v>
      </c>
      <c r="M62" s="86" t="n">
        <v>0.0072</v>
      </c>
      <c r="N62" s="86" t="n">
        <v>0</v>
      </c>
      <c r="O62" s="87" t="n">
        <v>0.02116</v>
      </c>
      <c r="P62" s="86" t="n">
        <f aca="false">SUM(J62:N62)</f>
        <v>0.236966666666667</v>
      </c>
      <c r="Q62" s="77" t="n">
        <v>69708</v>
      </c>
      <c r="R62" s="78" t="n">
        <v>3630</v>
      </c>
      <c r="S62" s="84" t="s">
        <v>339</v>
      </c>
      <c r="T62" s="88" t="n">
        <f aca="false">J62*J$1*R62</f>
        <v>23344.53</v>
      </c>
      <c r="U62" s="88"/>
      <c r="V62" s="89" t="s">
        <v>340</v>
      </c>
      <c r="W62" s="84"/>
      <c r="X62" s="91"/>
      <c r="Y62" s="91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</row>
    <row r="63" customFormat="false" ht="12.75" hidden="false" customHeight="false" outlineLevel="0" collapsed="false">
      <c r="A63" s="83"/>
      <c r="B63" s="84" t="s">
        <v>174</v>
      </c>
      <c r="C63" s="78" t="s">
        <v>255</v>
      </c>
      <c r="D63" s="78" t="s">
        <v>332</v>
      </c>
      <c r="E63" s="76" t="n">
        <v>36831</v>
      </c>
      <c r="F63" s="76" t="n">
        <v>37195</v>
      </c>
      <c r="G63" s="84" t="s">
        <v>341</v>
      </c>
      <c r="H63" s="84" t="s">
        <v>338</v>
      </c>
      <c r="I63" s="78" t="s">
        <v>90</v>
      </c>
      <c r="J63" s="85" t="n">
        <f aca="false">6.431/J$1</f>
        <v>0.214366666666667</v>
      </c>
      <c r="K63" s="86" t="n">
        <v>0.0132</v>
      </c>
      <c r="L63" s="86" t="n">
        <v>0.0022</v>
      </c>
      <c r="M63" s="86" t="n">
        <v>0.0072</v>
      </c>
      <c r="N63" s="86" t="n">
        <v>0</v>
      </c>
      <c r="O63" s="87" t="n">
        <v>0.02116</v>
      </c>
      <c r="P63" s="86" t="n">
        <f aca="false">SUM(J63:N63)</f>
        <v>0.236966666666667</v>
      </c>
      <c r="Q63" s="77" t="n">
        <v>69708</v>
      </c>
      <c r="R63" s="78" t="n">
        <v>2795</v>
      </c>
      <c r="S63" s="84" t="s">
        <v>339</v>
      </c>
      <c r="T63" s="88" t="n">
        <f aca="false">J63*J$1*R63</f>
        <v>17974.645</v>
      </c>
      <c r="U63" s="88"/>
      <c r="V63" s="89" t="s">
        <v>340</v>
      </c>
      <c r="W63" s="84"/>
      <c r="X63" s="91"/>
      <c r="Y63" s="91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  <c r="IW63" s="83"/>
    </row>
    <row r="64" customFormat="false" ht="12.75" hidden="false" customHeight="false" outlineLevel="0" collapsed="false">
      <c r="A64" s="83"/>
      <c r="B64" s="84" t="s">
        <v>174</v>
      </c>
      <c r="C64" s="78" t="s">
        <v>255</v>
      </c>
      <c r="D64" s="78" t="s">
        <v>332</v>
      </c>
      <c r="E64" s="76" t="n">
        <v>36831</v>
      </c>
      <c r="F64" s="76" t="n">
        <v>37195</v>
      </c>
      <c r="G64" s="84" t="s">
        <v>266</v>
      </c>
      <c r="H64" s="84" t="s">
        <v>338</v>
      </c>
      <c r="I64" s="78" t="s">
        <v>90</v>
      </c>
      <c r="J64" s="85" t="n">
        <f aca="false">6.431/J$1</f>
        <v>0.214366666666667</v>
      </c>
      <c r="K64" s="86" t="n">
        <v>0.0132</v>
      </c>
      <c r="L64" s="86" t="n">
        <v>0.0022</v>
      </c>
      <c r="M64" s="86" t="n">
        <v>0.0072</v>
      </c>
      <c r="N64" s="86" t="n">
        <v>0</v>
      </c>
      <c r="O64" s="87" t="n">
        <v>0.02116</v>
      </c>
      <c r="P64" s="86" t="n">
        <f aca="false">SUM(J64:N64)</f>
        <v>0.236966666666667</v>
      </c>
      <c r="Q64" s="77" t="n">
        <v>69708</v>
      </c>
      <c r="R64" s="78" t="n">
        <v>2759</v>
      </c>
      <c r="S64" s="84" t="s">
        <v>339</v>
      </c>
      <c r="T64" s="88" t="n">
        <f aca="false">J64*J$1*R64</f>
        <v>17743.129</v>
      </c>
      <c r="U64" s="88"/>
      <c r="V64" s="89" t="s">
        <v>340</v>
      </c>
      <c r="W64" s="84"/>
      <c r="X64" s="91"/>
      <c r="Y64" s="91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  <c r="IW64" s="83"/>
    </row>
    <row r="65" customFormat="false" ht="12.75" hidden="false" customHeight="false" outlineLevel="0" collapsed="false">
      <c r="A65" s="83"/>
      <c r="B65" s="84" t="s">
        <v>174</v>
      </c>
      <c r="C65" s="78" t="s">
        <v>255</v>
      </c>
      <c r="D65" s="78" t="s">
        <v>269</v>
      </c>
      <c r="E65" s="76" t="n">
        <v>36831</v>
      </c>
      <c r="F65" s="76" t="n">
        <v>37195</v>
      </c>
      <c r="G65" s="84" t="s">
        <v>266</v>
      </c>
      <c r="H65" s="84" t="s">
        <v>342</v>
      </c>
      <c r="I65" s="78" t="s">
        <v>90</v>
      </c>
      <c r="J65" s="85" t="n">
        <f aca="false">6.431/J$1</f>
        <v>0.214366666666667</v>
      </c>
      <c r="K65" s="86" t="n">
        <v>0.0132</v>
      </c>
      <c r="L65" s="86" t="n">
        <v>0.0022</v>
      </c>
      <c r="M65" s="86" t="n">
        <v>0.0072</v>
      </c>
      <c r="N65" s="86" t="n">
        <v>0</v>
      </c>
      <c r="O65" s="87" t="n">
        <v>0.02116</v>
      </c>
      <c r="P65" s="86" t="n">
        <f aca="false">SUM(J65:N65)</f>
        <v>0.236966666666667</v>
      </c>
      <c r="Q65" s="77" t="n">
        <v>69709</v>
      </c>
      <c r="R65" s="78" t="n">
        <v>13</v>
      </c>
      <c r="S65" s="84" t="s">
        <v>343</v>
      </c>
      <c r="T65" s="88" t="n">
        <f aca="false">J65*J$1*R65</f>
        <v>83.603</v>
      </c>
      <c r="U65" s="88"/>
      <c r="V65" s="89" t="s">
        <v>344</v>
      </c>
      <c r="W65" s="84"/>
      <c r="X65" s="91"/>
      <c r="Y65" s="91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2.75" hidden="false" customHeight="false" outlineLevel="0" collapsed="false">
      <c r="A66" s="83"/>
      <c r="B66" s="84" t="s">
        <v>174</v>
      </c>
      <c r="C66" s="78" t="s">
        <v>255</v>
      </c>
      <c r="D66" s="78" t="s">
        <v>269</v>
      </c>
      <c r="E66" s="76" t="n">
        <v>36831</v>
      </c>
      <c r="F66" s="76" t="n">
        <v>37195</v>
      </c>
      <c r="G66" s="84" t="s">
        <v>266</v>
      </c>
      <c r="H66" s="84" t="s">
        <v>345</v>
      </c>
      <c r="I66" s="78" t="s">
        <v>90</v>
      </c>
      <c r="J66" s="85" t="n">
        <f aca="false">6.431/J$1</f>
        <v>0.214366666666667</v>
      </c>
      <c r="K66" s="86" t="n">
        <v>0.0132</v>
      </c>
      <c r="L66" s="86" t="n">
        <v>0.0022</v>
      </c>
      <c r="M66" s="86" t="n">
        <v>0.0072</v>
      </c>
      <c r="N66" s="86" t="n">
        <v>0</v>
      </c>
      <c r="O66" s="87" t="n">
        <v>0.02116</v>
      </c>
      <c r="P66" s="86" t="n">
        <f aca="false">SUM(J66:N66)</f>
        <v>0.236966666666667</v>
      </c>
      <c r="Q66" s="77" t="n">
        <v>69709</v>
      </c>
      <c r="R66" s="78" t="n">
        <v>63</v>
      </c>
      <c r="S66" s="84" t="s">
        <v>343</v>
      </c>
      <c r="T66" s="88" t="n">
        <f aca="false">J66*J$1*R66</f>
        <v>405.153</v>
      </c>
      <c r="U66" s="88"/>
      <c r="V66" s="89" t="s">
        <v>344</v>
      </c>
      <c r="W66" s="84"/>
      <c r="X66" s="91"/>
      <c r="Y66" s="91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  <c r="IW66" s="83"/>
    </row>
    <row r="67" customFormat="false" ht="12.75" hidden="false" customHeight="false" outlineLevel="0" collapsed="false">
      <c r="A67" s="83"/>
      <c r="B67" s="84" t="s">
        <v>174</v>
      </c>
      <c r="C67" s="78" t="s">
        <v>255</v>
      </c>
      <c r="D67" s="78" t="s">
        <v>269</v>
      </c>
      <c r="E67" s="76" t="n">
        <v>36831</v>
      </c>
      <c r="F67" s="76" t="n">
        <v>37195</v>
      </c>
      <c r="G67" s="84" t="s">
        <v>266</v>
      </c>
      <c r="H67" s="84" t="s">
        <v>346</v>
      </c>
      <c r="I67" s="78" t="s">
        <v>90</v>
      </c>
      <c r="J67" s="85" t="n">
        <f aca="false">6.431/J$1</f>
        <v>0.214366666666667</v>
      </c>
      <c r="K67" s="86" t="n">
        <v>0.0132</v>
      </c>
      <c r="L67" s="86" t="n">
        <v>0.0022</v>
      </c>
      <c r="M67" s="86" t="n">
        <v>0.0072</v>
      </c>
      <c r="N67" s="86" t="n">
        <v>0</v>
      </c>
      <c r="O67" s="87" t="n">
        <v>0.02116</v>
      </c>
      <c r="P67" s="86" t="n">
        <f aca="false">SUM(J67:N67)</f>
        <v>0.236966666666667</v>
      </c>
      <c r="Q67" s="77" t="n">
        <v>69709</v>
      </c>
      <c r="R67" s="78" t="n">
        <v>14</v>
      </c>
      <c r="S67" s="84" t="s">
        <v>343</v>
      </c>
      <c r="T67" s="88" t="n">
        <f aca="false">J67*J$1*R67</f>
        <v>90.034</v>
      </c>
      <c r="U67" s="88"/>
      <c r="V67" s="89" t="s">
        <v>344</v>
      </c>
      <c r="W67" s="84"/>
      <c r="X67" s="91"/>
      <c r="Y67" s="91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3"/>
      <c r="FX67" s="83"/>
      <c r="FY67" s="83"/>
      <c r="FZ67" s="83"/>
      <c r="GA67" s="83"/>
      <c r="GB67" s="83"/>
      <c r="GC67" s="83"/>
      <c r="GD67" s="83"/>
      <c r="GE67" s="83"/>
      <c r="GF67" s="83"/>
      <c r="GG67" s="83"/>
      <c r="GH67" s="83"/>
      <c r="GI67" s="83"/>
      <c r="GJ67" s="83"/>
      <c r="GK67" s="83"/>
      <c r="GL67" s="83"/>
      <c r="GM67" s="83"/>
      <c r="GN67" s="83"/>
      <c r="GO67" s="83"/>
      <c r="GP67" s="83"/>
      <c r="GQ67" s="83"/>
      <c r="GR67" s="83"/>
      <c r="GS67" s="83"/>
      <c r="GT67" s="83"/>
      <c r="GU67" s="83"/>
      <c r="GV67" s="83"/>
      <c r="GW67" s="83"/>
      <c r="GX67" s="83"/>
      <c r="GY67" s="83"/>
      <c r="GZ67" s="83"/>
      <c r="HA67" s="83"/>
      <c r="HB67" s="83"/>
      <c r="HC67" s="83"/>
      <c r="HD67" s="83"/>
      <c r="HE67" s="83"/>
      <c r="HF67" s="83"/>
      <c r="HG67" s="83"/>
      <c r="HH67" s="83"/>
      <c r="HI67" s="83"/>
      <c r="HJ67" s="83"/>
      <c r="HK67" s="83"/>
      <c r="HL67" s="83"/>
      <c r="HM67" s="83"/>
      <c r="HN67" s="83"/>
      <c r="HO67" s="83"/>
      <c r="HP67" s="83"/>
      <c r="HQ67" s="83"/>
      <c r="HR67" s="83"/>
      <c r="HS67" s="83"/>
      <c r="HT67" s="83"/>
      <c r="HU67" s="83"/>
      <c r="HV67" s="83"/>
      <c r="HW67" s="83"/>
      <c r="HX67" s="83"/>
      <c r="HY67" s="83"/>
      <c r="HZ67" s="83"/>
      <c r="IA67" s="83"/>
      <c r="IB67" s="83"/>
      <c r="IC67" s="83"/>
      <c r="ID67" s="83"/>
      <c r="IE67" s="83"/>
      <c r="IF67" s="83"/>
      <c r="IG67" s="83"/>
      <c r="IH67" s="83"/>
      <c r="II67" s="83"/>
      <c r="IJ67" s="83"/>
      <c r="IK67" s="83"/>
      <c r="IL67" s="83"/>
      <c r="IM67" s="83"/>
      <c r="IN67" s="83"/>
      <c r="IO67" s="83"/>
      <c r="IP67" s="83"/>
      <c r="IQ67" s="83"/>
      <c r="IR67" s="83"/>
      <c r="IS67" s="83"/>
      <c r="IT67" s="83"/>
      <c r="IU67" s="83"/>
      <c r="IV67" s="83"/>
      <c r="IW67" s="83"/>
    </row>
    <row r="68" customFormat="false" ht="12.75" hidden="false" customHeight="false" outlineLevel="0" collapsed="false">
      <c r="A68" s="83"/>
      <c r="B68" s="84" t="s">
        <v>174</v>
      </c>
      <c r="C68" s="78" t="s">
        <v>255</v>
      </c>
      <c r="D68" s="78" t="s">
        <v>269</v>
      </c>
      <c r="E68" s="76" t="n">
        <v>36831</v>
      </c>
      <c r="F68" s="76" t="n">
        <v>37195</v>
      </c>
      <c r="G68" s="84" t="s">
        <v>266</v>
      </c>
      <c r="H68" s="84" t="s">
        <v>347</v>
      </c>
      <c r="I68" s="78" t="s">
        <v>90</v>
      </c>
      <c r="J68" s="85" t="n">
        <f aca="false">6.431/J$1</f>
        <v>0.214366666666667</v>
      </c>
      <c r="K68" s="86" t="n">
        <v>0.0132</v>
      </c>
      <c r="L68" s="86" t="n">
        <v>0.0022</v>
      </c>
      <c r="M68" s="86" t="n">
        <v>0.0072</v>
      </c>
      <c r="N68" s="86" t="n">
        <v>0</v>
      </c>
      <c r="O68" s="87" t="n">
        <v>0.02116</v>
      </c>
      <c r="P68" s="86" t="n">
        <f aca="false">SUM(J68:N68)</f>
        <v>0.236966666666667</v>
      </c>
      <c r="Q68" s="77" t="n">
        <v>69709</v>
      </c>
      <c r="R68" s="78" t="n">
        <v>36</v>
      </c>
      <c r="S68" s="84" t="s">
        <v>343</v>
      </c>
      <c r="T68" s="88" t="n">
        <f aca="false">J68*J$1*R68</f>
        <v>231.516</v>
      </c>
      <c r="U68" s="88"/>
      <c r="V68" s="89" t="s">
        <v>344</v>
      </c>
      <c r="W68" s="84"/>
      <c r="X68" s="91"/>
      <c r="Y68" s="91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  <c r="HJ68" s="83"/>
      <c r="HK68" s="83"/>
      <c r="HL68" s="83"/>
      <c r="HM68" s="83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  <c r="IW68" s="83"/>
    </row>
    <row r="69" customFormat="false" ht="12.75" hidden="false" customHeight="false" outlineLevel="0" collapsed="false">
      <c r="A69" s="83"/>
      <c r="B69" s="84" t="s">
        <v>174</v>
      </c>
      <c r="C69" s="78" t="s">
        <v>255</v>
      </c>
      <c r="D69" s="78" t="s">
        <v>256</v>
      </c>
      <c r="E69" s="76" t="n">
        <v>36831</v>
      </c>
      <c r="F69" s="76" t="n">
        <v>37195</v>
      </c>
      <c r="G69" s="84" t="s">
        <v>266</v>
      </c>
      <c r="H69" s="84" t="s">
        <v>348</v>
      </c>
      <c r="I69" s="78" t="s">
        <v>90</v>
      </c>
      <c r="J69" s="85" t="n">
        <f aca="false">6.431/J$1</f>
        <v>0.214366666666667</v>
      </c>
      <c r="K69" s="86" t="n">
        <v>0.0132</v>
      </c>
      <c r="L69" s="86" t="n">
        <v>0.0022</v>
      </c>
      <c r="M69" s="86" t="n">
        <v>0.0072</v>
      </c>
      <c r="N69" s="86" t="n">
        <v>0</v>
      </c>
      <c r="O69" s="87" t="n">
        <v>0.02116</v>
      </c>
      <c r="P69" s="86" t="n">
        <f aca="false">SUM(J69:N69)</f>
        <v>0.236966666666667</v>
      </c>
      <c r="Q69" s="77" t="n">
        <v>69823</v>
      </c>
      <c r="R69" s="78" t="n">
        <v>1000</v>
      </c>
      <c r="S69" s="84" t="s">
        <v>349</v>
      </c>
      <c r="T69" s="88" t="n">
        <f aca="false">J69*J$1*R69</f>
        <v>6431</v>
      </c>
      <c r="U69" s="88"/>
      <c r="V69" s="89" t="s">
        <v>350</v>
      </c>
      <c r="W69" s="84"/>
      <c r="X69" s="91"/>
      <c r="Y69" s="91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83"/>
      <c r="GK69" s="83"/>
      <c r="GL69" s="83"/>
      <c r="GM69" s="83"/>
      <c r="GN69" s="83"/>
      <c r="GO69" s="83"/>
      <c r="GP69" s="83"/>
      <c r="GQ69" s="83"/>
      <c r="GR69" s="83"/>
      <c r="GS69" s="83"/>
      <c r="GT69" s="83"/>
      <c r="GU69" s="83"/>
      <c r="GV69" s="83"/>
      <c r="GW69" s="83"/>
      <c r="GX69" s="83"/>
      <c r="GY69" s="83"/>
      <c r="GZ69" s="83"/>
      <c r="HA69" s="83"/>
      <c r="HB69" s="83"/>
      <c r="HC69" s="83"/>
      <c r="HD69" s="83"/>
      <c r="HE69" s="83"/>
      <c r="HF69" s="83"/>
      <c r="HG69" s="83"/>
      <c r="HH69" s="83"/>
      <c r="HI69" s="83"/>
      <c r="HJ69" s="83"/>
      <c r="HK69" s="83"/>
      <c r="HL69" s="83"/>
      <c r="HM69" s="83"/>
      <c r="HN69" s="83"/>
      <c r="HO69" s="83"/>
      <c r="HP69" s="83"/>
      <c r="HQ69" s="83"/>
      <c r="HR69" s="83"/>
      <c r="HS69" s="83"/>
      <c r="HT69" s="83"/>
      <c r="HU69" s="83"/>
      <c r="HV69" s="83"/>
      <c r="HW69" s="83"/>
      <c r="HX69" s="83"/>
      <c r="HY69" s="83"/>
      <c r="HZ69" s="83"/>
      <c r="IA69" s="83"/>
      <c r="IB69" s="83"/>
      <c r="IC69" s="83"/>
      <c r="ID69" s="83"/>
      <c r="IE69" s="83"/>
      <c r="IF69" s="83"/>
      <c r="IG69" s="83"/>
      <c r="IH69" s="83"/>
      <c r="II69" s="83"/>
      <c r="IJ69" s="83"/>
      <c r="IK69" s="83"/>
      <c r="IL69" s="83"/>
      <c r="IM69" s="83"/>
      <c r="IN69" s="83"/>
      <c r="IO69" s="83"/>
      <c r="IP69" s="83"/>
      <c r="IQ69" s="83"/>
      <c r="IR69" s="83"/>
      <c r="IS69" s="83"/>
      <c r="IT69" s="83"/>
      <c r="IU69" s="83"/>
      <c r="IV69" s="83"/>
      <c r="IW69" s="83"/>
    </row>
    <row r="70" customFormat="false" ht="12.75" hidden="false" customHeight="false" outlineLevel="0" collapsed="false">
      <c r="T70" s="79" t="n">
        <f aca="false">+R70*J70</f>
        <v>0</v>
      </c>
    </row>
    <row r="71" customFormat="false" ht="12.75" hidden="false" customHeight="false" outlineLevel="0" collapsed="false">
      <c r="B71" s="130" t="s">
        <v>143</v>
      </c>
      <c r="C71" s="131" t="s">
        <v>143</v>
      </c>
      <c r="D71" s="131" t="s">
        <v>143</v>
      </c>
      <c r="E71" s="133" t="s">
        <v>143</v>
      </c>
      <c r="F71" s="133" t="s">
        <v>143</v>
      </c>
      <c r="G71" s="130" t="s">
        <v>143</v>
      </c>
      <c r="H71" s="134" t="s">
        <v>143</v>
      </c>
      <c r="I71" s="131" t="s">
        <v>143</v>
      </c>
      <c r="J71" s="135"/>
      <c r="K71" s="136"/>
      <c r="L71" s="136"/>
      <c r="M71" s="136"/>
      <c r="N71" s="136"/>
      <c r="O71" s="137"/>
      <c r="P71" s="136"/>
      <c r="Q71" s="138" t="s">
        <v>143</v>
      </c>
      <c r="R71" s="131" t="n">
        <f aca="false">SUM(R26:R69)</f>
        <v>6299351</v>
      </c>
      <c r="S71" s="130" t="s">
        <v>143</v>
      </c>
      <c r="T71" s="139" t="n">
        <f aca="false">SUM(T19:T69)</f>
        <v>1216381.4506</v>
      </c>
      <c r="U71" s="139" t="e">
        <f aca="false">SUM(#REF!)</f>
        <v>#REF!</v>
      </c>
      <c r="V71" s="140"/>
      <c r="W71" s="134"/>
      <c r="X71" s="74"/>
      <c r="Y71" s="74"/>
    </row>
    <row r="72" customFormat="false" ht="12.75" hidden="false" customHeight="false" outlineLevel="0" collapsed="false">
      <c r="B72" s="65" t="s">
        <v>154</v>
      </c>
      <c r="C72" s="66" t="s">
        <v>155</v>
      </c>
      <c r="D72" s="66" t="s">
        <v>156</v>
      </c>
      <c r="E72" s="67" t="s">
        <v>157</v>
      </c>
      <c r="F72" s="67"/>
      <c r="G72" s="65" t="s">
        <v>158</v>
      </c>
      <c r="H72" s="65" t="s">
        <v>159</v>
      </c>
      <c r="I72" s="66" t="s">
        <v>160</v>
      </c>
      <c r="J72" s="68" t="s">
        <v>161</v>
      </c>
      <c r="K72" s="66" t="s">
        <v>162</v>
      </c>
      <c r="L72" s="66" t="s">
        <v>163</v>
      </c>
      <c r="M72" s="66" t="s">
        <v>164</v>
      </c>
      <c r="N72" s="66" t="s">
        <v>165</v>
      </c>
      <c r="O72" s="69" t="s">
        <v>166</v>
      </c>
      <c r="P72" s="66" t="s">
        <v>167</v>
      </c>
      <c r="Q72" s="70" t="s">
        <v>168</v>
      </c>
      <c r="R72" s="66" t="s">
        <v>169</v>
      </c>
      <c r="S72" s="65" t="s">
        <v>170</v>
      </c>
      <c r="T72" s="71" t="s">
        <v>171</v>
      </c>
      <c r="U72" s="71" t="s">
        <v>172</v>
      </c>
      <c r="V72" s="72" t="s">
        <v>173</v>
      </c>
      <c r="W72" s="73" t="n">
        <f aca="false">+W32</f>
        <v>0</v>
      </c>
      <c r="X72" s="74"/>
      <c r="Y72" s="74"/>
    </row>
    <row r="73" customFormat="false" ht="12" hidden="false" customHeight="true" outlineLevel="0" collapsed="false">
      <c r="A73" s="75"/>
      <c r="B73" s="48" t="s">
        <v>174</v>
      </c>
      <c r="C73" s="46" t="s">
        <v>351</v>
      </c>
      <c r="D73" s="46" t="s">
        <v>352</v>
      </c>
      <c r="E73" s="47" t="n">
        <v>35612</v>
      </c>
      <c r="F73" s="47" t="n">
        <v>37437</v>
      </c>
      <c r="G73" s="48" t="s">
        <v>353</v>
      </c>
      <c r="H73" s="48" t="s">
        <v>354</v>
      </c>
      <c r="I73" s="46" t="s">
        <v>90</v>
      </c>
      <c r="J73" s="60" t="n">
        <f aca="false">+(5.7625+0.2)/J$1</f>
        <v>0.19875</v>
      </c>
      <c r="K73" s="51" t="n">
        <v>0</v>
      </c>
      <c r="L73" s="51" t="n">
        <v>0.0022</v>
      </c>
      <c r="M73" s="51" t="n">
        <v>0.0072</v>
      </c>
      <c r="N73" s="51" t="n">
        <v>0</v>
      </c>
      <c r="O73" s="52" t="n">
        <v>0</v>
      </c>
      <c r="P73" s="51" t="n">
        <f aca="false">SUM(J73:N73)</f>
        <v>0.20815</v>
      </c>
      <c r="Q73" s="53" t="n">
        <v>270</v>
      </c>
      <c r="R73" s="46" t="n">
        <v>1000</v>
      </c>
      <c r="S73" s="48"/>
      <c r="T73" s="79" t="n">
        <f aca="false">J73*J$1*R73</f>
        <v>5962.5</v>
      </c>
      <c r="U73" s="79"/>
      <c r="V73" s="80" t="n">
        <v>348630</v>
      </c>
      <c r="W73" s="48"/>
      <c r="X73" s="74"/>
      <c r="Y73" s="74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  <c r="GS73" s="75"/>
      <c r="GT73" s="75"/>
      <c r="GU73" s="75"/>
      <c r="GV73" s="75"/>
      <c r="GW73" s="75"/>
      <c r="GX73" s="75"/>
      <c r="GY73" s="75"/>
      <c r="GZ73" s="75"/>
      <c r="HA73" s="75"/>
      <c r="HB73" s="75"/>
      <c r="HC73" s="75"/>
      <c r="HD73" s="75"/>
      <c r="HE73" s="75"/>
      <c r="HF73" s="75"/>
      <c r="HG73" s="75"/>
      <c r="HH73" s="75"/>
      <c r="HI73" s="75"/>
      <c r="HJ73" s="75"/>
      <c r="HK73" s="75"/>
      <c r="HL73" s="75"/>
      <c r="HM73" s="75"/>
      <c r="HN73" s="75"/>
      <c r="HO73" s="75"/>
      <c r="HP73" s="75"/>
      <c r="HQ73" s="75"/>
      <c r="HR73" s="75"/>
      <c r="HS73" s="75"/>
      <c r="HT73" s="75"/>
      <c r="HU73" s="75"/>
      <c r="HV73" s="75"/>
      <c r="HW73" s="75"/>
      <c r="HX73" s="75"/>
      <c r="HY73" s="75"/>
      <c r="HZ73" s="75"/>
      <c r="IA73" s="75"/>
      <c r="IB73" s="75"/>
      <c r="IC73" s="75"/>
      <c r="ID73" s="75"/>
      <c r="IE73" s="75"/>
      <c r="IF73" s="75"/>
      <c r="IG73" s="75"/>
      <c r="IH73" s="75"/>
      <c r="II73" s="75"/>
      <c r="IJ73" s="75"/>
      <c r="IK73" s="75"/>
      <c r="IL73" s="75"/>
      <c r="IM73" s="75"/>
      <c r="IN73" s="75"/>
      <c r="IO73" s="75"/>
      <c r="IP73" s="75"/>
      <c r="IQ73" s="75"/>
      <c r="IR73" s="75"/>
      <c r="IS73" s="75"/>
      <c r="IT73" s="75"/>
      <c r="IU73" s="75"/>
      <c r="IV73" s="75"/>
      <c r="IW73" s="75"/>
    </row>
    <row r="74" customFormat="false" ht="12" hidden="false" customHeight="true" outlineLevel="0" collapsed="false">
      <c r="A74" s="75"/>
      <c r="B74" s="48"/>
      <c r="C74" s="46"/>
      <c r="D74" s="46"/>
      <c r="E74" s="47"/>
      <c r="F74" s="47"/>
      <c r="G74" s="48"/>
      <c r="H74" s="48"/>
      <c r="I74" s="46"/>
      <c r="J74" s="60"/>
      <c r="K74" s="51"/>
      <c r="L74" s="51"/>
      <c r="M74" s="51"/>
      <c r="N74" s="51"/>
      <c r="O74" s="52"/>
      <c r="P74" s="51"/>
      <c r="Q74" s="53"/>
      <c r="R74" s="46"/>
      <c r="S74" s="48"/>
      <c r="T74" s="79" t="n">
        <f aca="false">SUM(T73)</f>
        <v>5962.5</v>
      </c>
      <c r="U74" s="79"/>
      <c r="V74" s="80"/>
      <c r="W74" s="48"/>
      <c r="X74" s="74"/>
      <c r="Y74" s="74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  <c r="GV74" s="75"/>
      <c r="GW74" s="75"/>
      <c r="GX74" s="75"/>
      <c r="GY74" s="75"/>
      <c r="GZ74" s="75"/>
      <c r="HA74" s="75"/>
      <c r="HB74" s="75"/>
      <c r="HC74" s="75"/>
      <c r="HD74" s="75"/>
      <c r="HE74" s="75"/>
      <c r="HF74" s="75"/>
      <c r="HG74" s="75"/>
      <c r="HH74" s="75"/>
      <c r="HI74" s="75"/>
      <c r="HJ74" s="75"/>
      <c r="HK74" s="75"/>
      <c r="HL74" s="75"/>
      <c r="HM74" s="75"/>
      <c r="HN74" s="75"/>
      <c r="HO74" s="75"/>
      <c r="HP74" s="75"/>
      <c r="HQ74" s="75"/>
      <c r="HR74" s="75"/>
      <c r="HS74" s="75"/>
      <c r="HT74" s="75"/>
      <c r="HU74" s="75"/>
      <c r="HV74" s="75"/>
      <c r="HW74" s="75"/>
      <c r="HX74" s="75"/>
      <c r="HY74" s="75"/>
      <c r="HZ74" s="75"/>
      <c r="IA74" s="75"/>
      <c r="IB74" s="75"/>
      <c r="IC74" s="75"/>
      <c r="ID74" s="75"/>
      <c r="IE74" s="75"/>
      <c r="IF74" s="75"/>
      <c r="IG74" s="75"/>
      <c r="IH74" s="75"/>
      <c r="II74" s="75"/>
      <c r="IJ74" s="75"/>
      <c r="IK74" s="75"/>
      <c r="IL74" s="75"/>
      <c r="IM74" s="75"/>
      <c r="IN74" s="75"/>
      <c r="IO74" s="75"/>
      <c r="IP74" s="75"/>
      <c r="IQ74" s="75"/>
      <c r="IR74" s="75"/>
      <c r="IS74" s="75"/>
      <c r="IT74" s="75"/>
      <c r="IU74" s="75"/>
      <c r="IV74" s="75"/>
      <c r="IW74" s="75"/>
    </row>
    <row r="75" customFormat="false" ht="12.75" hidden="false" customHeight="false" outlineLevel="0" collapsed="false">
      <c r="B75" s="42"/>
      <c r="C75" s="46"/>
      <c r="D75" s="46"/>
      <c r="E75" s="47"/>
      <c r="F75" s="47"/>
      <c r="G75" s="48"/>
      <c r="H75" s="48"/>
      <c r="I75" s="46"/>
      <c r="J75" s="51"/>
      <c r="K75" s="51"/>
      <c r="L75" s="51"/>
      <c r="M75" s="51"/>
      <c r="N75" s="51"/>
      <c r="O75" s="52"/>
      <c r="P75" s="51"/>
      <c r="Q75" s="123"/>
      <c r="R75" s="124"/>
      <c r="S75" s="55"/>
      <c r="T75" s="55"/>
      <c r="U75" s="55"/>
      <c r="V75" s="56"/>
      <c r="W75" s="57"/>
      <c r="X75" s="58"/>
      <c r="Y75" s="58"/>
    </row>
    <row r="76" customFormat="false" ht="12.75" hidden="false" customHeight="false" outlineLevel="0" collapsed="false">
      <c r="B76" s="42"/>
      <c r="C76" s="46"/>
      <c r="D76" s="46"/>
      <c r="E76" s="47"/>
      <c r="F76" s="47"/>
      <c r="G76" s="48"/>
      <c r="H76" s="48"/>
      <c r="I76" s="46"/>
      <c r="J76" s="60"/>
      <c r="K76" s="51"/>
      <c r="L76" s="51"/>
      <c r="M76" s="51"/>
      <c r="N76" s="51"/>
      <c r="O76" s="52"/>
      <c r="P76" s="51"/>
      <c r="Q76" s="123"/>
      <c r="R76" s="124"/>
      <c r="S76" s="55"/>
      <c r="T76" s="55"/>
      <c r="U76" s="55"/>
      <c r="V76" s="56"/>
      <c r="W76" s="57"/>
      <c r="X76" s="58"/>
      <c r="Y76" s="58"/>
    </row>
    <row r="77" customFormat="false" ht="13.5" hidden="false" customHeight="false" outlineLevel="0" collapsed="false">
      <c r="B77" s="42"/>
      <c r="C77" s="46"/>
      <c r="D77" s="46"/>
      <c r="E77" s="47"/>
      <c r="F77" s="47"/>
      <c r="G77" s="48"/>
      <c r="H77" s="48"/>
      <c r="I77" s="46"/>
      <c r="J77" s="51"/>
      <c r="K77" s="51"/>
      <c r="L77" s="51"/>
      <c r="M77" s="51"/>
      <c r="N77" s="51"/>
      <c r="O77" s="52"/>
      <c r="P77" s="51"/>
      <c r="Q77" s="123"/>
      <c r="R77" s="124"/>
      <c r="S77" s="55"/>
      <c r="T77" s="125" t="n">
        <f aca="false">SUM(T74,T71,T17,)</f>
        <v>1222806.2464</v>
      </c>
      <c r="U77" s="55" t="s">
        <v>355</v>
      </c>
      <c r="V77" s="56"/>
      <c r="W77" s="57"/>
      <c r="X77" s="58"/>
      <c r="Y77" s="58"/>
    </row>
    <row r="78" customFormat="false" ht="13.5" hidden="false" customHeight="false" outlineLevel="0" collapsed="false">
      <c r="B78" s="42"/>
      <c r="C78" s="46"/>
      <c r="D78" s="46"/>
      <c r="E78" s="47"/>
      <c r="F78" s="47"/>
      <c r="G78" s="48"/>
      <c r="H78" s="48"/>
      <c r="I78" s="46"/>
      <c r="J78" s="51"/>
      <c r="K78" s="51"/>
      <c r="L78" s="51"/>
      <c r="M78" s="51"/>
      <c r="N78" s="51"/>
      <c r="O78" s="52"/>
      <c r="P78" s="51"/>
      <c r="Q78" s="123"/>
      <c r="R78" s="124"/>
      <c r="S78" s="55"/>
      <c r="T78" s="55"/>
      <c r="U78" s="57" t="s">
        <v>356</v>
      </c>
      <c r="V78" s="56"/>
      <c r="W78" s="57"/>
      <c r="X78" s="126"/>
      <c r="Y78" s="58"/>
    </row>
    <row r="79" customFormat="false" ht="12.75" hidden="false" customHeight="false" outlineLevel="0" collapsed="false">
      <c r="B79" s="42"/>
      <c r="C79" s="46"/>
      <c r="D79" s="46"/>
      <c r="E79" s="47"/>
      <c r="F79" s="47"/>
      <c r="G79" s="48"/>
      <c r="H79" s="48"/>
      <c r="I79" s="46"/>
      <c r="J79" s="51"/>
      <c r="K79" s="51"/>
      <c r="L79" s="51"/>
      <c r="M79" s="51"/>
      <c r="N79" s="51"/>
      <c r="O79" s="52"/>
      <c r="P79" s="51"/>
      <c r="Q79" s="123"/>
      <c r="R79" s="124"/>
      <c r="S79" s="55"/>
      <c r="T79" s="55"/>
      <c r="U79" s="55"/>
      <c r="V79" s="56"/>
      <c r="W79" s="57"/>
      <c r="X79" s="58"/>
      <c r="Y79" s="58"/>
    </row>
    <row r="80" customFormat="false" ht="12.75" hidden="false" customHeight="false" outlineLevel="0" collapsed="false">
      <c r="B80" s="42"/>
      <c r="C80" s="46"/>
      <c r="D80" s="46"/>
      <c r="E80" s="47"/>
      <c r="F80" s="47"/>
      <c r="G80" s="48"/>
      <c r="H80" s="48"/>
      <c r="I80" s="46"/>
      <c r="J80" s="51"/>
      <c r="K80" s="51"/>
      <c r="L80" s="51"/>
      <c r="M80" s="51"/>
      <c r="N80" s="51"/>
      <c r="O80" s="52"/>
      <c r="P80" s="51"/>
      <c r="Q80" s="123"/>
      <c r="R80" s="124"/>
      <c r="S80" s="55"/>
      <c r="T80" s="55"/>
      <c r="U80" s="55"/>
      <c r="V80" s="56"/>
      <c r="W80" s="57"/>
      <c r="X80" s="58"/>
      <c r="Y80" s="58"/>
    </row>
    <row r="81" customFormat="false" ht="12.75" hidden="false" customHeight="false" outlineLevel="0" collapsed="false">
      <c r="B81" s="42"/>
      <c r="C81" s="46"/>
      <c r="D81" s="46"/>
      <c r="E81" s="47"/>
      <c r="F81" s="47"/>
      <c r="G81" s="48"/>
      <c r="H81" s="48"/>
      <c r="I81" s="46"/>
      <c r="J81" s="60"/>
      <c r="K81" s="51"/>
      <c r="L81" s="51"/>
      <c r="M81" s="51"/>
      <c r="N81" s="51"/>
      <c r="O81" s="52"/>
      <c r="P81" s="51"/>
      <c r="Q81" s="123"/>
      <c r="R81" s="124"/>
      <c r="S81" s="126"/>
      <c r="T81" s="55"/>
      <c r="U81" s="55"/>
      <c r="V81" s="56"/>
      <c r="W81" s="57"/>
      <c r="X81" s="58"/>
      <c r="Y81" s="58"/>
    </row>
    <row r="82" customFormat="false" ht="12.75" hidden="false" customHeight="false" outlineLevel="0" collapsed="false">
      <c r="B82" s="42"/>
      <c r="C82" s="46"/>
      <c r="D82" s="46"/>
      <c r="E82" s="47"/>
      <c r="F82" s="47"/>
      <c r="G82" s="48"/>
      <c r="H82" s="48"/>
      <c r="I82" s="46"/>
      <c r="J82" s="60"/>
      <c r="K82" s="51"/>
      <c r="L82" s="51"/>
      <c r="M82" s="51"/>
      <c r="N82" s="51"/>
      <c r="O82" s="52"/>
      <c r="P82" s="51"/>
      <c r="Q82" s="123"/>
      <c r="R82" s="124"/>
      <c r="S82" s="126"/>
      <c r="T82" s="55"/>
      <c r="U82" s="55"/>
      <c r="V82" s="56"/>
      <c r="W82" s="57"/>
      <c r="X82" s="58"/>
      <c r="Y82" s="58"/>
    </row>
    <row r="83" customFormat="false" ht="12.75" hidden="false" customHeight="false" outlineLevel="0" collapsed="false">
      <c r="Q83" s="39"/>
      <c r="R83" s="39"/>
      <c r="S83" s="39"/>
      <c r="T83" s="39"/>
      <c r="U83" s="39"/>
      <c r="V83" s="127"/>
      <c r="W83" s="128"/>
      <c r="X83" s="127"/>
    </row>
    <row r="84" customFormat="false" ht="12.75" hidden="false" customHeight="false" outlineLevel="0" collapsed="false">
      <c r="Q84" s="39"/>
      <c r="R84" s="39"/>
      <c r="S84" s="39"/>
      <c r="T84" s="39"/>
      <c r="U84" s="39"/>
      <c r="V84" s="127"/>
      <c r="W84" s="128"/>
      <c r="X84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357</v>
      </c>
      <c r="D1" s="0" t="s">
        <v>358</v>
      </c>
      <c r="E1" s="0" t="s">
        <v>359</v>
      </c>
      <c r="F1" s="0" t="s">
        <v>360</v>
      </c>
      <c r="G1" s="0" t="s">
        <v>361</v>
      </c>
      <c r="H1" s="0" t="s">
        <v>362</v>
      </c>
      <c r="I1" s="0" t="s">
        <v>363</v>
      </c>
      <c r="J1" s="0" t="s">
        <v>364</v>
      </c>
      <c r="K1" s="0" t="s">
        <v>365</v>
      </c>
      <c r="L1" s="0" t="s">
        <v>366</v>
      </c>
      <c r="M1" s="0" t="s">
        <v>367</v>
      </c>
      <c r="N1" s="0" t="s">
        <v>368</v>
      </c>
      <c r="O1" s="0" t="s">
        <v>369</v>
      </c>
    </row>
    <row r="2" customFormat="false" ht="12.75" hidden="false" customHeight="false" outlineLevel="0" collapsed="false">
      <c r="B2" s="155"/>
      <c r="C2" s="155" t="s">
        <v>370</v>
      </c>
      <c r="D2" s="155" t="n">
        <v>37147</v>
      </c>
      <c r="E2" s="155" t="s">
        <v>371</v>
      </c>
      <c r="F2" s="155" t="s">
        <v>372</v>
      </c>
      <c r="G2" s="155" t="s">
        <v>372</v>
      </c>
      <c r="H2" s="156" t="n">
        <v>35582</v>
      </c>
      <c r="I2" s="155" t="s">
        <v>372</v>
      </c>
      <c r="J2" s="155" t="s">
        <v>372</v>
      </c>
      <c r="K2" s="155" t="n">
        <v>0</v>
      </c>
      <c r="L2" s="155" t="n">
        <v>0</v>
      </c>
      <c r="M2" s="155" t="n">
        <v>0</v>
      </c>
      <c r="N2" s="155" t="n">
        <v>0</v>
      </c>
      <c r="O2" s="155" t="n">
        <v>0</v>
      </c>
      <c r="P2" s="155" t="n">
        <v>0</v>
      </c>
      <c r="Q2" s="155" t="s">
        <v>372</v>
      </c>
    </row>
    <row r="3" customFormat="false" ht="12.75" hidden="false" customHeight="false" outlineLevel="0" collapsed="false">
      <c r="B3" s="157"/>
      <c r="C3" s="157" t="s">
        <v>370</v>
      </c>
      <c r="D3" s="157" t="n">
        <v>39149</v>
      </c>
      <c r="E3" s="157" t="s">
        <v>279</v>
      </c>
      <c r="F3" s="157" t="s">
        <v>372</v>
      </c>
      <c r="G3" s="157" t="s">
        <v>372</v>
      </c>
      <c r="H3" s="158" t="n">
        <v>35582</v>
      </c>
      <c r="I3" s="157" t="s">
        <v>372</v>
      </c>
      <c r="J3" s="157" t="s">
        <v>372</v>
      </c>
      <c r="K3" s="159" t="n">
        <v>500000</v>
      </c>
      <c r="L3" s="157" t="n">
        <v>0</v>
      </c>
      <c r="M3" s="159" t="n">
        <v>500000</v>
      </c>
      <c r="N3" s="157" t="n">
        <v>0</v>
      </c>
      <c r="O3" s="157" t="n">
        <v>0</v>
      </c>
      <c r="P3" s="157" t="n">
        <v>0</v>
      </c>
      <c r="Q3" s="157" t="s">
        <v>372</v>
      </c>
    </row>
    <row r="4" customFormat="false" ht="12.75" hidden="false" customHeight="false" outlineLevel="0" collapsed="false">
      <c r="B4" s="155"/>
      <c r="C4" s="155" t="s">
        <v>370</v>
      </c>
      <c r="D4" s="155" t="n">
        <v>39607</v>
      </c>
      <c r="E4" s="155" t="s">
        <v>373</v>
      </c>
      <c r="F4" s="155" t="s">
        <v>372</v>
      </c>
      <c r="G4" s="155" t="s">
        <v>372</v>
      </c>
      <c r="H4" s="156" t="n">
        <v>35582</v>
      </c>
      <c r="I4" s="155" t="s">
        <v>372</v>
      </c>
      <c r="J4" s="155" t="s">
        <v>372</v>
      </c>
      <c r="K4" s="160" t="n">
        <v>10000000</v>
      </c>
      <c r="L4" s="155" t="n">
        <v>0</v>
      </c>
      <c r="M4" s="160" t="n">
        <v>10000000</v>
      </c>
      <c r="N4" s="155" t="n">
        <v>0</v>
      </c>
      <c r="O4" s="155" t="n">
        <v>0</v>
      </c>
      <c r="P4" s="155" t="n">
        <v>0</v>
      </c>
      <c r="Q4" s="155" t="s">
        <v>372</v>
      </c>
    </row>
    <row r="5" customFormat="false" ht="12.75" hidden="false" customHeight="false" outlineLevel="0" collapsed="false">
      <c r="B5" s="157"/>
      <c r="C5" s="157" t="s">
        <v>370</v>
      </c>
      <c r="D5" s="157" t="n">
        <v>39764</v>
      </c>
      <c r="E5" s="157" t="s">
        <v>374</v>
      </c>
      <c r="F5" s="157" t="s">
        <v>372</v>
      </c>
      <c r="G5" s="157" t="s">
        <v>372</v>
      </c>
      <c r="H5" s="158" t="n">
        <v>35582</v>
      </c>
      <c r="I5" s="157" t="s">
        <v>372</v>
      </c>
      <c r="J5" s="157" t="s">
        <v>372</v>
      </c>
      <c r="K5" s="159" t="n">
        <v>60000</v>
      </c>
      <c r="L5" s="157" t="n">
        <v>0</v>
      </c>
      <c r="M5" s="159" t="n">
        <v>60000</v>
      </c>
      <c r="N5" s="157" t="n">
        <v>0</v>
      </c>
      <c r="O5" s="157" t="n">
        <v>0</v>
      </c>
      <c r="P5" s="157" t="n">
        <v>0</v>
      </c>
      <c r="Q5" s="157" t="s">
        <v>372</v>
      </c>
    </row>
    <row r="6" customFormat="false" ht="12.75" hidden="false" customHeight="false" outlineLevel="0" collapsed="false">
      <c r="B6" s="155"/>
      <c r="C6" s="155" t="s">
        <v>370</v>
      </c>
      <c r="D6" s="155" t="n">
        <v>40998</v>
      </c>
      <c r="E6" s="155" t="s">
        <v>375</v>
      </c>
      <c r="F6" s="155" t="s">
        <v>372</v>
      </c>
      <c r="G6" s="155" t="s">
        <v>372</v>
      </c>
      <c r="H6" s="156" t="n">
        <v>34393</v>
      </c>
      <c r="I6" s="155" t="s">
        <v>372</v>
      </c>
      <c r="J6" s="155" t="s">
        <v>372</v>
      </c>
      <c r="K6" s="160" t="n">
        <v>250000</v>
      </c>
      <c r="L6" s="155" t="n">
        <v>0</v>
      </c>
      <c r="M6" s="160" t="n">
        <v>250000</v>
      </c>
      <c r="N6" s="155" t="n">
        <v>0</v>
      </c>
      <c r="O6" s="155" t="n">
        <v>0</v>
      </c>
      <c r="P6" s="155" t="n">
        <v>0</v>
      </c>
      <c r="Q6" s="155" t="s">
        <v>372</v>
      </c>
    </row>
    <row r="7" customFormat="false" ht="12.75" hidden="false" customHeight="false" outlineLevel="0" collapsed="false">
      <c r="B7" s="157"/>
      <c r="C7" s="157" t="s">
        <v>370</v>
      </c>
      <c r="D7" s="157" t="n">
        <v>60094</v>
      </c>
      <c r="E7" s="157" t="s">
        <v>376</v>
      </c>
      <c r="F7" s="157" t="s">
        <v>372</v>
      </c>
      <c r="G7" s="157" t="s">
        <v>372</v>
      </c>
      <c r="H7" s="158" t="n">
        <v>35916</v>
      </c>
      <c r="I7" s="157" t="s">
        <v>372</v>
      </c>
      <c r="J7" s="157" t="s">
        <v>372</v>
      </c>
      <c r="K7" s="157" t="n">
        <v>0</v>
      </c>
      <c r="L7" s="157" t="n">
        <v>0</v>
      </c>
      <c r="M7" s="157" t="n">
        <v>0</v>
      </c>
      <c r="N7" s="157" t="n">
        <v>0</v>
      </c>
      <c r="O7" s="157" t="n">
        <v>0</v>
      </c>
      <c r="P7" s="157" t="n">
        <v>0</v>
      </c>
      <c r="Q7" s="157" t="s">
        <v>372</v>
      </c>
    </row>
    <row r="8" customFormat="false" ht="12.75" hidden="false" customHeight="false" outlineLevel="0" collapsed="false">
      <c r="B8" s="155"/>
      <c r="C8" s="155" t="s">
        <v>370</v>
      </c>
      <c r="D8" s="155" t="n">
        <v>61822</v>
      </c>
      <c r="E8" s="155" t="s">
        <v>90</v>
      </c>
      <c r="F8" s="155" t="s">
        <v>372</v>
      </c>
      <c r="G8" s="155" t="s">
        <v>372</v>
      </c>
      <c r="H8" s="156" t="n">
        <v>36557</v>
      </c>
      <c r="I8" s="155" t="s">
        <v>372</v>
      </c>
      <c r="J8" s="155" t="n">
        <v>22429</v>
      </c>
      <c r="K8" s="160" t="n">
        <v>4000</v>
      </c>
      <c r="L8" s="155" t="n">
        <v>0</v>
      </c>
      <c r="M8" s="160" t="n">
        <v>4000</v>
      </c>
      <c r="N8" s="155" t="n">
        <v>0</v>
      </c>
      <c r="O8" s="155" t="n">
        <v>0</v>
      </c>
      <c r="P8" s="155" t="n">
        <v>0</v>
      </c>
      <c r="Q8" s="155" t="s">
        <v>372</v>
      </c>
    </row>
    <row r="9" customFormat="false" ht="12.75" hidden="false" customHeight="false" outlineLevel="0" collapsed="false">
      <c r="B9" s="157"/>
      <c r="C9" s="157" t="s">
        <v>370</v>
      </c>
      <c r="D9" s="157" t="n">
        <v>61825</v>
      </c>
      <c r="E9" s="157" t="s">
        <v>90</v>
      </c>
      <c r="F9" s="157" t="s">
        <v>372</v>
      </c>
      <c r="G9" s="157" t="s">
        <v>372</v>
      </c>
      <c r="H9" s="158" t="n">
        <v>36557</v>
      </c>
      <c r="I9" s="158" t="n">
        <v>36830</v>
      </c>
      <c r="J9" s="157" t="n">
        <v>22428</v>
      </c>
      <c r="K9" s="159" t="n">
        <v>8000</v>
      </c>
      <c r="L9" s="157" t="n">
        <v>0</v>
      </c>
      <c r="M9" s="159" t="n">
        <v>8000</v>
      </c>
      <c r="N9" s="157" t="n">
        <v>0</v>
      </c>
      <c r="O9" s="157" t="n">
        <v>0</v>
      </c>
      <c r="P9" s="157" t="n">
        <v>0</v>
      </c>
      <c r="Q9" s="157" t="s">
        <v>372</v>
      </c>
    </row>
    <row r="10" customFormat="false" ht="12.75" hidden="false" customHeight="false" outlineLevel="0" collapsed="false">
      <c r="B10" s="155"/>
      <c r="C10" s="155" t="s">
        <v>370</v>
      </c>
      <c r="D10" s="155" t="n">
        <v>61838</v>
      </c>
      <c r="E10" s="155" t="s">
        <v>90</v>
      </c>
      <c r="F10" s="155" t="s">
        <v>372</v>
      </c>
      <c r="G10" s="155" t="s">
        <v>372</v>
      </c>
      <c r="H10" s="156" t="n">
        <v>36557</v>
      </c>
      <c r="I10" s="155" t="s">
        <v>372</v>
      </c>
      <c r="J10" s="155" t="n">
        <v>22422</v>
      </c>
      <c r="K10" s="160" t="n">
        <v>1000</v>
      </c>
      <c r="L10" s="155" t="n">
        <v>0</v>
      </c>
      <c r="M10" s="160" t="n">
        <v>1000</v>
      </c>
      <c r="N10" s="155" t="n">
        <v>0</v>
      </c>
      <c r="O10" s="155" t="n">
        <v>0</v>
      </c>
      <c r="P10" s="155" t="n">
        <v>0</v>
      </c>
      <c r="Q10" s="155" t="s">
        <v>372</v>
      </c>
    </row>
    <row r="11" customFormat="false" ht="12.75" hidden="false" customHeight="false" outlineLevel="0" collapsed="false">
      <c r="B11" s="157"/>
      <c r="C11" s="157" t="s">
        <v>370</v>
      </c>
      <c r="D11" s="157" t="n">
        <v>61990</v>
      </c>
      <c r="E11" s="157" t="s">
        <v>90</v>
      </c>
      <c r="F11" s="157" t="s">
        <v>372</v>
      </c>
      <c r="G11" s="157" t="s">
        <v>372</v>
      </c>
      <c r="H11" s="158" t="n">
        <v>36557</v>
      </c>
      <c r="I11" s="157" t="s">
        <v>372</v>
      </c>
      <c r="J11" s="157" t="n">
        <v>22747</v>
      </c>
      <c r="K11" s="159" t="n">
        <v>2000</v>
      </c>
      <c r="L11" s="157" t="n">
        <v>0</v>
      </c>
      <c r="M11" s="159" t="n">
        <v>2000</v>
      </c>
      <c r="N11" s="157" t="n">
        <v>0</v>
      </c>
      <c r="O11" s="157" t="n">
        <v>0</v>
      </c>
      <c r="P11" s="157" t="n">
        <v>0</v>
      </c>
      <c r="Q11" s="157" t="s">
        <v>372</v>
      </c>
    </row>
    <row r="12" customFormat="false" ht="12.75" hidden="false" customHeight="false" outlineLevel="0" collapsed="false">
      <c r="B12" s="155"/>
      <c r="C12" s="155" t="s">
        <v>370</v>
      </c>
      <c r="D12" s="155" t="n">
        <v>62164</v>
      </c>
      <c r="E12" s="155" t="s">
        <v>90</v>
      </c>
      <c r="F12" s="155" t="s">
        <v>372</v>
      </c>
      <c r="G12" s="155" t="s">
        <v>372</v>
      </c>
      <c r="H12" s="156" t="n">
        <v>36557</v>
      </c>
      <c r="I12" s="156" t="n">
        <v>36891</v>
      </c>
      <c r="J12" s="155" t="n">
        <v>23652</v>
      </c>
      <c r="K12" s="160" t="n">
        <v>2000</v>
      </c>
      <c r="L12" s="155" t="n">
        <v>0</v>
      </c>
      <c r="M12" s="160" t="n">
        <v>2000</v>
      </c>
      <c r="N12" s="155" t="n">
        <v>0</v>
      </c>
      <c r="O12" s="155" t="n">
        <v>0</v>
      </c>
      <c r="P12" s="155" t="n">
        <v>0</v>
      </c>
      <c r="Q12" s="155" t="s">
        <v>372</v>
      </c>
    </row>
    <row r="13" customFormat="false" ht="12.75" hidden="false" customHeight="false" outlineLevel="0" collapsed="false">
      <c r="B13" s="157"/>
      <c r="C13" s="157" t="s">
        <v>370</v>
      </c>
      <c r="D13" s="157" t="n">
        <v>64034</v>
      </c>
      <c r="E13" s="157" t="s">
        <v>90</v>
      </c>
      <c r="F13" s="157" t="s">
        <v>372</v>
      </c>
      <c r="G13" s="157" t="s">
        <v>372</v>
      </c>
      <c r="H13" s="158" t="n">
        <v>36557</v>
      </c>
      <c r="I13" s="158" t="n">
        <v>36707</v>
      </c>
      <c r="J13" s="157" t="n">
        <v>25699</v>
      </c>
      <c r="K13" s="157" t="n">
        <v>911</v>
      </c>
      <c r="L13" s="157" t="n">
        <v>0</v>
      </c>
      <c r="M13" s="157" t="n">
        <v>911</v>
      </c>
      <c r="N13" s="157" t="n">
        <v>0</v>
      </c>
      <c r="O13" s="157" t="n">
        <v>0</v>
      </c>
      <c r="P13" s="157" t="n">
        <v>0</v>
      </c>
      <c r="Q13" s="157" t="s">
        <v>372</v>
      </c>
    </row>
    <row r="14" customFormat="false" ht="12.75" hidden="false" customHeight="false" outlineLevel="0" collapsed="false">
      <c r="B14" s="155"/>
      <c r="C14" s="155" t="s">
        <v>370</v>
      </c>
      <c r="D14" s="155" t="n">
        <v>64036</v>
      </c>
      <c r="E14" s="155" t="s">
        <v>90</v>
      </c>
      <c r="F14" s="155" t="s">
        <v>372</v>
      </c>
      <c r="G14" s="155" t="s">
        <v>372</v>
      </c>
      <c r="H14" s="156" t="n">
        <v>36557</v>
      </c>
      <c r="I14" s="156" t="n">
        <v>36707</v>
      </c>
      <c r="J14" s="155" t="n">
        <v>25712</v>
      </c>
      <c r="K14" s="155" t="n">
        <v>1</v>
      </c>
      <c r="L14" s="155" t="n">
        <v>0</v>
      </c>
      <c r="M14" s="155" t="n">
        <v>1</v>
      </c>
      <c r="N14" s="155" t="n">
        <v>0</v>
      </c>
      <c r="O14" s="155" t="n">
        <v>0</v>
      </c>
      <c r="P14" s="155" t="n">
        <v>0</v>
      </c>
      <c r="Q14" s="155" t="s">
        <v>372</v>
      </c>
    </row>
    <row r="15" customFormat="false" ht="12.75" hidden="false" customHeight="false" outlineLevel="0" collapsed="false">
      <c r="B15" s="157"/>
      <c r="C15" s="157" t="s">
        <v>370</v>
      </c>
      <c r="D15" s="157" t="n">
        <v>64328</v>
      </c>
      <c r="E15" s="157" t="s">
        <v>90</v>
      </c>
      <c r="F15" s="157" t="s">
        <v>372</v>
      </c>
      <c r="G15" s="157" t="s">
        <v>372</v>
      </c>
      <c r="H15" s="158" t="n">
        <v>36557</v>
      </c>
      <c r="I15" s="158" t="n">
        <v>36738</v>
      </c>
      <c r="J15" s="157" t="n">
        <v>25955</v>
      </c>
      <c r="K15" s="157" t="n">
        <v>51</v>
      </c>
      <c r="L15" s="157" t="n">
        <v>0</v>
      </c>
      <c r="M15" s="157" t="n">
        <v>51</v>
      </c>
      <c r="N15" s="157" t="n">
        <v>0</v>
      </c>
      <c r="O15" s="157" t="n">
        <v>0</v>
      </c>
      <c r="P15" s="157" t="n">
        <v>0</v>
      </c>
      <c r="Q15" s="157" t="s">
        <v>372</v>
      </c>
    </row>
    <row r="16" customFormat="false" ht="12.75" hidden="false" customHeight="false" outlineLevel="0" collapsed="false">
      <c r="B16" s="155"/>
      <c r="C16" s="155" t="s">
        <v>370</v>
      </c>
      <c r="D16" s="155" t="n">
        <v>64329</v>
      </c>
      <c r="E16" s="155" t="s">
        <v>90</v>
      </c>
      <c r="F16" s="155" t="s">
        <v>372</v>
      </c>
      <c r="G16" s="155" t="s">
        <v>372</v>
      </c>
      <c r="H16" s="156" t="n">
        <v>36557</v>
      </c>
      <c r="I16" s="156" t="n">
        <v>36738</v>
      </c>
      <c r="J16" s="155" t="n">
        <v>25965</v>
      </c>
      <c r="K16" s="155" t="n">
        <v>12</v>
      </c>
      <c r="L16" s="155" t="n">
        <v>0</v>
      </c>
      <c r="M16" s="155" t="n">
        <v>12</v>
      </c>
      <c r="N16" s="155" t="n">
        <v>0</v>
      </c>
      <c r="O16" s="155" t="n">
        <v>0</v>
      </c>
      <c r="P16" s="155" t="n">
        <v>0</v>
      </c>
      <c r="Q16" s="155" t="s">
        <v>372</v>
      </c>
    </row>
    <row r="17" customFormat="false" ht="12.75" hidden="false" customHeight="false" outlineLevel="0" collapsed="false">
      <c r="B17" s="157"/>
      <c r="C17" s="157" t="s">
        <v>370</v>
      </c>
      <c r="D17" s="157" t="n">
        <v>64356</v>
      </c>
      <c r="E17" s="157" t="s">
        <v>377</v>
      </c>
      <c r="F17" s="157" t="s">
        <v>378</v>
      </c>
      <c r="G17" s="157" t="s">
        <v>372</v>
      </c>
      <c r="H17" s="158" t="n">
        <v>36526</v>
      </c>
      <c r="I17" s="158" t="n">
        <v>36707</v>
      </c>
      <c r="J17" s="157" t="s">
        <v>372</v>
      </c>
      <c r="K17" s="159" t="n">
        <v>310000</v>
      </c>
      <c r="L17" s="157" t="n">
        <v>0</v>
      </c>
      <c r="M17" s="159" t="n">
        <v>310000</v>
      </c>
      <c r="N17" s="157" t="n">
        <v>0</v>
      </c>
      <c r="O17" s="157" t="n">
        <v>0</v>
      </c>
      <c r="P17" s="157" t="n">
        <v>0</v>
      </c>
      <c r="Q17" s="157"/>
    </row>
    <row r="18" customFormat="false" ht="12.75" hidden="false" customHeight="false" outlineLevel="0" collapsed="false">
      <c r="B18" s="155"/>
      <c r="C18" s="155" t="s">
        <v>370</v>
      </c>
      <c r="D18" s="155" t="n">
        <v>64651</v>
      </c>
      <c r="E18" s="155" t="s">
        <v>90</v>
      </c>
      <c r="F18" s="155" t="s">
        <v>372</v>
      </c>
      <c r="G18" s="155" t="s">
        <v>372</v>
      </c>
      <c r="H18" s="156" t="n">
        <v>36557</v>
      </c>
      <c r="I18" s="156" t="n">
        <v>36769</v>
      </c>
      <c r="J18" s="155" t="n">
        <v>26150</v>
      </c>
      <c r="K18" s="155" t="n">
        <v>64</v>
      </c>
      <c r="L18" s="155" t="n">
        <v>0</v>
      </c>
      <c r="M18" s="155" t="n">
        <v>64</v>
      </c>
      <c r="N18" s="155" t="n">
        <v>0</v>
      </c>
      <c r="O18" s="155" t="n">
        <v>0</v>
      </c>
      <c r="P18" s="155" t="n">
        <v>0</v>
      </c>
      <c r="Q18" s="155" t="s">
        <v>372</v>
      </c>
    </row>
    <row r="19" customFormat="false" ht="12.75" hidden="false" customHeight="false" outlineLevel="0" collapsed="false">
      <c r="B19" s="157"/>
      <c r="C19" s="157" t="s">
        <v>370</v>
      </c>
      <c r="D19" s="157" t="n">
        <v>64862</v>
      </c>
      <c r="E19" s="157" t="s">
        <v>90</v>
      </c>
      <c r="F19" s="157" t="s">
        <v>372</v>
      </c>
      <c r="G19" s="157" t="s">
        <v>372</v>
      </c>
      <c r="H19" s="158" t="n">
        <v>36557</v>
      </c>
      <c r="I19" s="158" t="n">
        <v>36799</v>
      </c>
      <c r="J19" s="157" t="n">
        <v>26503</v>
      </c>
      <c r="K19" s="157" t="n">
        <v>13</v>
      </c>
      <c r="L19" s="157" t="n">
        <v>0</v>
      </c>
      <c r="M19" s="157" t="n">
        <v>13</v>
      </c>
      <c r="N19" s="157" t="n">
        <v>0</v>
      </c>
      <c r="O19" s="157" t="n">
        <v>0</v>
      </c>
      <c r="P19" s="157" t="n">
        <v>0</v>
      </c>
      <c r="Q19" s="157" t="s">
        <v>372</v>
      </c>
    </row>
    <row r="20" customFormat="false" ht="12.75" hidden="false" customHeight="false" outlineLevel="0" collapsed="false">
      <c r="B20" s="155"/>
      <c r="C20" s="155" t="s">
        <v>370</v>
      </c>
      <c r="D20" s="155" t="n">
        <v>64939</v>
      </c>
      <c r="E20" s="155" t="s">
        <v>90</v>
      </c>
      <c r="F20" s="155" t="s">
        <v>372</v>
      </c>
      <c r="G20" s="155" t="s">
        <v>372</v>
      </c>
      <c r="H20" s="156" t="n">
        <v>36557</v>
      </c>
      <c r="I20" s="156" t="n">
        <v>36799</v>
      </c>
      <c r="J20" s="155" t="n">
        <v>26577</v>
      </c>
      <c r="K20" s="160" t="n">
        <v>2300</v>
      </c>
      <c r="L20" s="155" t="n">
        <v>0</v>
      </c>
      <c r="M20" s="160" t="n">
        <v>2300</v>
      </c>
      <c r="N20" s="155" t="n">
        <v>0</v>
      </c>
      <c r="O20" s="155" t="n">
        <v>0</v>
      </c>
      <c r="P20" s="155" t="n">
        <v>0</v>
      </c>
      <c r="Q20" s="155" t="s">
        <v>372</v>
      </c>
    </row>
    <row r="21" customFormat="false" ht="12.75" hidden="false" customHeight="false" outlineLevel="0" collapsed="false">
      <c r="B21" s="157"/>
      <c r="C21" s="157" t="s">
        <v>370</v>
      </c>
      <c r="D21" s="157" t="n">
        <v>65026</v>
      </c>
      <c r="E21" s="157" t="s">
        <v>90</v>
      </c>
      <c r="F21" s="157" t="s">
        <v>372</v>
      </c>
      <c r="G21" s="157" t="s">
        <v>372</v>
      </c>
      <c r="H21" s="158" t="n">
        <v>36557</v>
      </c>
      <c r="I21" s="158" t="n">
        <v>36830</v>
      </c>
      <c r="J21" s="157" t="n">
        <v>26726</v>
      </c>
      <c r="K21" s="157" t="n">
        <v>128</v>
      </c>
      <c r="L21" s="157" t="n">
        <v>0</v>
      </c>
      <c r="M21" s="157" t="n">
        <v>128</v>
      </c>
      <c r="N21" s="157" t="n">
        <v>0</v>
      </c>
      <c r="O21" s="157" t="n">
        <v>0</v>
      </c>
      <c r="P21" s="157" t="n">
        <v>0</v>
      </c>
      <c r="Q21" s="157" t="s">
        <v>372</v>
      </c>
    </row>
    <row r="22" customFormat="false" ht="12.75" hidden="false" customHeight="false" outlineLevel="0" collapsed="false">
      <c r="B22" s="155"/>
      <c r="C22" s="155" t="s">
        <v>370</v>
      </c>
      <c r="D22" s="155" t="n">
        <v>65041</v>
      </c>
      <c r="E22" s="155" t="s">
        <v>90</v>
      </c>
      <c r="F22" s="155" t="s">
        <v>372</v>
      </c>
      <c r="G22" s="155" t="s">
        <v>372</v>
      </c>
      <c r="H22" s="156" t="n">
        <v>36557</v>
      </c>
      <c r="I22" s="156" t="n">
        <v>36830</v>
      </c>
      <c r="J22" s="155" t="n">
        <v>26754</v>
      </c>
      <c r="K22" s="160" t="n">
        <v>9619</v>
      </c>
      <c r="L22" s="155" t="n">
        <v>0</v>
      </c>
      <c r="M22" s="160" t="n">
        <v>9619</v>
      </c>
      <c r="N22" s="155" t="n">
        <v>0</v>
      </c>
      <c r="O22" s="155" t="n">
        <v>0</v>
      </c>
      <c r="P22" s="155" t="n">
        <v>0</v>
      </c>
      <c r="Q22" s="155" t="s">
        <v>372</v>
      </c>
    </row>
    <row r="23" customFormat="false" ht="12.75" hidden="false" customHeight="false" outlineLevel="0" collapsed="false">
      <c r="B23" s="157"/>
      <c r="C23" s="157" t="s">
        <v>370</v>
      </c>
      <c r="D23" s="157" t="n">
        <v>65042</v>
      </c>
      <c r="E23" s="157" t="s">
        <v>90</v>
      </c>
      <c r="F23" s="157" t="s">
        <v>372</v>
      </c>
      <c r="G23" s="157" t="s">
        <v>372</v>
      </c>
      <c r="H23" s="158" t="n">
        <v>36557</v>
      </c>
      <c r="I23" s="158" t="n">
        <v>36830</v>
      </c>
      <c r="J23" s="157" t="n">
        <v>26753</v>
      </c>
      <c r="K23" s="159" t="n">
        <v>4427</v>
      </c>
      <c r="L23" s="157" t="n">
        <v>0</v>
      </c>
      <c r="M23" s="159" t="n">
        <v>4427</v>
      </c>
      <c r="N23" s="157" t="n">
        <v>0</v>
      </c>
      <c r="O23" s="157" t="n">
        <v>0</v>
      </c>
      <c r="P23" s="157" t="n">
        <v>0</v>
      </c>
      <c r="Q23" s="157" t="s">
        <v>372</v>
      </c>
    </row>
    <row r="24" customFormat="false" ht="12.75" hidden="false" customHeight="false" outlineLevel="0" collapsed="false">
      <c r="B24" s="155"/>
      <c r="C24" s="155" t="s">
        <v>370</v>
      </c>
      <c r="D24" s="155" t="n">
        <v>65071</v>
      </c>
      <c r="E24" s="155" t="s">
        <v>90</v>
      </c>
      <c r="F24" s="155" t="s">
        <v>372</v>
      </c>
      <c r="G24" s="155" t="s">
        <v>372</v>
      </c>
      <c r="H24" s="156" t="n">
        <v>36557</v>
      </c>
      <c r="I24" s="156" t="n">
        <v>36830</v>
      </c>
      <c r="J24" s="155" t="n">
        <v>26782</v>
      </c>
      <c r="K24" s="160" t="n">
        <v>7429</v>
      </c>
      <c r="L24" s="155" t="n">
        <v>0</v>
      </c>
      <c r="M24" s="160" t="n">
        <v>7035</v>
      </c>
      <c r="N24" s="155" t="n">
        <v>394</v>
      </c>
      <c r="O24" s="155" t="n">
        <v>0</v>
      </c>
      <c r="P24" s="155" t="n">
        <v>0</v>
      </c>
      <c r="Q24" s="155" t="s">
        <v>372</v>
      </c>
    </row>
    <row r="25" customFormat="false" ht="12.75" hidden="false" customHeight="false" outlineLevel="0" collapsed="false">
      <c r="B25" s="157"/>
      <c r="C25" s="157" t="s">
        <v>370</v>
      </c>
      <c r="D25" s="157" t="n">
        <v>65108</v>
      </c>
      <c r="E25" s="157" t="s">
        <v>90</v>
      </c>
      <c r="F25" s="157" t="s">
        <v>372</v>
      </c>
      <c r="G25" s="157" t="s">
        <v>372</v>
      </c>
      <c r="H25" s="158" t="n">
        <v>36557</v>
      </c>
      <c r="I25" s="158" t="n">
        <v>37011</v>
      </c>
      <c r="J25" s="157" t="s">
        <v>372</v>
      </c>
      <c r="K25" s="159" t="n">
        <v>5000</v>
      </c>
      <c r="L25" s="157" t="n">
        <v>0</v>
      </c>
      <c r="M25" s="159" t="n">
        <v>5000</v>
      </c>
      <c r="N25" s="157" t="n">
        <v>0</v>
      </c>
      <c r="O25" s="157" t="n">
        <v>0</v>
      </c>
      <c r="P25" s="157" t="n">
        <v>0</v>
      </c>
      <c r="Q25" s="157" t="s">
        <v>372</v>
      </c>
    </row>
    <row r="26" customFormat="false" ht="12.75" hidden="false" customHeight="false" outlineLevel="0" collapsed="false">
      <c r="B26" s="155"/>
      <c r="C26" s="155" t="s">
        <v>370</v>
      </c>
      <c r="D26" s="155" t="n">
        <v>65402</v>
      </c>
      <c r="E26" s="155" t="s">
        <v>90</v>
      </c>
      <c r="F26" s="155" t="s">
        <v>372</v>
      </c>
      <c r="G26" s="155" t="s">
        <v>372</v>
      </c>
      <c r="H26" s="156" t="n">
        <v>36557</v>
      </c>
      <c r="I26" s="156" t="n">
        <v>36830</v>
      </c>
      <c r="J26" s="155" t="n">
        <v>26694</v>
      </c>
      <c r="K26" s="160" t="n">
        <v>20000</v>
      </c>
      <c r="L26" s="155" t="n">
        <v>0</v>
      </c>
      <c r="M26" s="155" t="n">
        <v>0</v>
      </c>
      <c r="N26" s="160" t="n">
        <v>20000</v>
      </c>
      <c r="O26" s="155" t="n">
        <v>0</v>
      </c>
      <c r="P26" s="155" t="n">
        <v>0</v>
      </c>
      <c r="Q26" s="155" t="s">
        <v>372</v>
      </c>
    </row>
    <row r="27" customFormat="false" ht="12.75" hidden="false" customHeight="false" outlineLevel="0" collapsed="false">
      <c r="B27" s="157"/>
      <c r="C27" s="157" t="s">
        <v>370</v>
      </c>
      <c r="D27" s="157" t="n">
        <v>65403</v>
      </c>
      <c r="E27" s="157" t="s">
        <v>90</v>
      </c>
      <c r="F27" s="157" t="s">
        <v>372</v>
      </c>
      <c r="G27" s="157" t="s">
        <v>372</v>
      </c>
      <c r="H27" s="158" t="n">
        <v>36557</v>
      </c>
      <c r="I27" s="158" t="n">
        <v>37011</v>
      </c>
      <c r="J27" s="157" t="n">
        <v>26714</v>
      </c>
      <c r="K27" s="159" t="n">
        <v>19293</v>
      </c>
      <c r="L27" s="157" t="n">
        <v>0</v>
      </c>
      <c r="M27" s="159" t="n">
        <v>19293</v>
      </c>
      <c r="N27" s="157" t="n">
        <v>0</v>
      </c>
      <c r="O27" s="157" t="n">
        <v>0</v>
      </c>
      <c r="P27" s="157" t="n">
        <v>0</v>
      </c>
      <c r="Q27" s="157" t="s">
        <v>372</v>
      </c>
    </row>
    <row r="28" customFormat="false" ht="12.75" hidden="false" customHeight="false" outlineLevel="0" collapsed="false">
      <c r="B28" s="155"/>
      <c r="C28" s="155" t="s">
        <v>370</v>
      </c>
      <c r="D28" s="155" t="n">
        <v>65418</v>
      </c>
      <c r="E28" s="155" t="s">
        <v>90</v>
      </c>
      <c r="F28" s="155" t="s">
        <v>372</v>
      </c>
      <c r="G28" s="155" t="s">
        <v>372</v>
      </c>
      <c r="H28" s="156" t="n">
        <v>36557</v>
      </c>
      <c r="I28" s="155" t="s">
        <v>372</v>
      </c>
      <c r="J28" s="155" t="n">
        <v>26722</v>
      </c>
      <c r="K28" s="155" t="n">
        <v>500</v>
      </c>
      <c r="L28" s="155" t="n">
        <v>0</v>
      </c>
      <c r="M28" s="155" t="n">
        <v>500</v>
      </c>
      <c r="N28" s="155" t="n">
        <v>0</v>
      </c>
      <c r="O28" s="155" t="n">
        <v>0</v>
      </c>
      <c r="P28" s="155" t="n">
        <v>0</v>
      </c>
      <c r="Q28" s="155" t="s">
        <v>372</v>
      </c>
    </row>
    <row r="29" customFormat="false" ht="12.75" hidden="false" customHeight="false" outlineLevel="0" collapsed="false">
      <c r="B29" s="157"/>
      <c r="C29" s="157" t="s">
        <v>370</v>
      </c>
      <c r="D29" s="157" t="n">
        <v>65556</v>
      </c>
      <c r="E29" s="157" t="s">
        <v>90</v>
      </c>
      <c r="F29" s="157" t="s">
        <v>372</v>
      </c>
      <c r="G29" s="157" t="s">
        <v>372</v>
      </c>
      <c r="H29" s="158" t="n">
        <v>36557</v>
      </c>
      <c r="I29" s="158" t="n">
        <v>36860</v>
      </c>
      <c r="J29" s="157" t="n">
        <v>27127</v>
      </c>
      <c r="K29" s="157" t="n">
        <v>3</v>
      </c>
      <c r="L29" s="157" t="n">
        <v>0</v>
      </c>
      <c r="M29" s="157" t="n">
        <v>3</v>
      </c>
      <c r="N29" s="157" t="n">
        <v>0</v>
      </c>
      <c r="O29" s="157" t="n">
        <v>0</v>
      </c>
      <c r="P29" s="157" t="n">
        <v>0</v>
      </c>
      <c r="Q29" s="157" t="s">
        <v>372</v>
      </c>
    </row>
    <row r="30" customFormat="false" ht="12.75" hidden="false" customHeight="false" outlineLevel="0" collapsed="false">
      <c r="B30" s="155"/>
      <c r="C30" s="155" t="s">
        <v>370</v>
      </c>
      <c r="D30" s="155" t="n">
        <v>66280</v>
      </c>
      <c r="E30" s="155" t="s">
        <v>90</v>
      </c>
      <c r="F30" s="155" t="s">
        <v>372</v>
      </c>
      <c r="G30" s="155" t="s">
        <v>372</v>
      </c>
      <c r="H30" s="156" t="n">
        <v>36557</v>
      </c>
      <c r="I30" s="156" t="n">
        <v>36922</v>
      </c>
      <c r="J30" s="155" t="n">
        <v>27772</v>
      </c>
      <c r="K30" s="155" t="n">
        <v>5</v>
      </c>
      <c r="L30" s="155" t="n">
        <v>0</v>
      </c>
      <c r="M30" s="155" t="n">
        <v>5</v>
      </c>
      <c r="N30" s="155" t="n">
        <v>0</v>
      </c>
      <c r="O30" s="155" t="n">
        <v>0</v>
      </c>
      <c r="P30" s="155" t="n">
        <v>0</v>
      </c>
      <c r="Q30" s="155" t="s">
        <v>372</v>
      </c>
    </row>
    <row r="31" customFormat="false" ht="12.75" hidden="false" customHeight="false" outlineLevel="0" collapsed="false">
      <c r="B31" s="157"/>
      <c r="C31" s="157" t="s">
        <v>370</v>
      </c>
      <c r="D31" s="157" t="n">
        <v>66917</v>
      </c>
      <c r="E31" s="157" t="s">
        <v>279</v>
      </c>
      <c r="F31" s="157" t="s">
        <v>372</v>
      </c>
      <c r="G31" s="157" t="s">
        <v>372</v>
      </c>
      <c r="H31" s="158" t="n">
        <v>36617</v>
      </c>
      <c r="I31" s="157" t="s">
        <v>372</v>
      </c>
      <c r="J31" s="157" t="s">
        <v>372</v>
      </c>
      <c r="K31" s="159" t="n">
        <v>50000</v>
      </c>
      <c r="L31" s="157" t="n">
        <v>0</v>
      </c>
      <c r="M31" s="159" t="n">
        <v>50000</v>
      </c>
      <c r="N31" s="157" t="n">
        <v>0</v>
      </c>
      <c r="O31" s="157" t="n">
        <v>0</v>
      </c>
      <c r="P31" s="157" t="n">
        <v>0</v>
      </c>
      <c r="Q31" s="157" t="s">
        <v>372</v>
      </c>
    </row>
    <row r="32" customFormat="false" ht="12.75" hidden="false" customHeight="false" outlineLevel="0" collapsed="false">
      <c r="B32" s="155"/>
      <c r="C32" s="155" t="s">
        <v>370</v>
      </c>
      <c r="D32" s="155" t="n">
        <v>66930</v>
      </c>
      <c r="E32" s="155" t="s">
        <v>90</v>
      </c>
      <c r="F32" s="155" t="s">
        <v>372</v>
      </c>
      <c r="G32" s="155" t="s">
        <v>372</v>
      </c>
      <c r="H32" s="156" t="n">
        <v>36617</v>
      </c>
      <c r="I32" s="156" t="n">
        <v>36981</v>
      </c>
      <c r="J32" s="155" t="n">
        <v>28188</v>
      </c>
      <c r="K32" s="160" t="n">
        <v>4000</v>
      </c>
      <c r="L32" s="155" t="n">
        <v>0</v>
      </c>
      <c r="M32" s="160" t="n">
        <v>4000</v>
      </c>
      <c r="N32" s="155" t="n">
        <v>0</v>
      </c>
      <c r="O32" s="155" t="n">
        <v>0</v>
      </c>
      <c r="P32" s="155" t="n">
        <v>0</v>
      </c>
      <c r="Q32" s="155" t="s">
        <v>372</v>
      </c>
    </row>
    <row r="33" customFormat="false" ht="12.75" hidden="false" customHeight="false" outlineLevel="0" collapsed="false">
      <c r="B33" s="157"/>
      <c r="C33" s="157" t="s">
        <v>370</v>
      </c>
      <c r="D33" s="157" t="n">
        <v>66931</v>
      </c>
      <c r="E33" s="157" t="s">
        <v>90</v>
      </c>
      <c r="F33" s="157" t="s">
        <v>372</v>
      </c>
      <c r="G33" s="157" t="s">
        <v>372</v>
      </c>
      <c r="H33" s="158" t="n">
        <v>36617</v>
      </c>
      <c r="I33" s="158" t="n">
        <v>36981</v>
      </c>
      <c r="J33" s="157" t="n">
        <v>28189</v>
      </c>
      <c r="K33" s="159" t="n">
        <v>4000</v>
      </c>
      <c r="L33" s="157" t="n">
        <v>0</v>
      </c>
      <c r="M33" s="159" t="n">
        <v>4000</v>
      </c>
      <c r="N33" s="157" t="n">
        <v>0</v>
      </c>
      <c r="O33" s="157" t="n">
        <v>0</v>
      </c>
      <c r="P33" s="157" t="n">
        <v>0</v>
      </c>
      <c r="Q33" s="157" t="s">
        <v>372</v>
      </c>
    </row>
    <row r="34" customFormat="false" ht="12.75" hidden="false" customHeight="false" outlineLevel="0" collapsed="false">
      <c r="B34" s="155"/>
      <c r="C34" s="155" t="s">
        <v>370</v>
      </c>
      <c r="D34" s="155" t="n">
        <v>66932</v>
      </c>
      <c r="E34" s="155" t="s">
        <v>90</v>
      </c>
      <c r="F34" s="155" t="s">
        <v>372</v>
      </c>
      <c r="G34" s="155" t="s">
        <v>372</v>
      </c>
      <c r="H34" s="156" t="n">
        <v>36617</v>
      </c>
      <c r="I34" s="156" t="n">
        <v>36981</v>
      </c>
      <c r="J34" s="155" t="n">
        <v>28176</v>
      </c>
      <c r="K34" s="160" t="n">
        <v>4000</v>
      </c>
      <c r="L34" s="155" t="n">
        <v>0</v>
      </c>
      <c r="M34" s="160" t="n">
        <v>4000</v>
      </c>
      <c r="N34" s="155" t="n">
        <v>0</v>
      </c>
      <c r="O34" s="155" t="n">
        <v>0</v>
      </c>
      <c r="P34" s="155" t="n">
        <v>0</v>
      </c>
      <c r="Q34" s="155" t="s">
        <v>372</v>
      </c>
    </row>
    <row r="35" customFormat="false" ht="12.75" hidden="false" customHeight="false" outlineLevel="0" collapsed="false">
      <c r="B35" s="157"/>
      <c r="C35" s="157" t="s">
        <v>370</v>
      </c>
      <c r="D35" s="157" t="n">
        <v>66939</v>
      </c>
      <c r="E35" s="157" t="s">
        <v>90</v>
      </c>
      <c r="F35" s="157" t="s">
        <v>372</v>
      </c>
      <c r="G35" s="157" t="s">
        <v>372</v>
      </c>
      <c r="H35" s="158" t="n">
        <v>36617</v>
      </c>
      <c r="I35" s="158" t="n">
        <v>36981</v>
      </c>
      <c r="J35" s="157" t="n">
        <v>28332</v>
      </c>
      <c r="K35" s="157" t="n">
        <v>52</v>
      </c>
      <c r="L35" s="157" t="n">
        <v>0</v>
      </c>
      <c r="M35" s="157" t="n">
        <v>52</v>
      </c>
      <c r="N35" s="157" t="n">
        <v>0</v>
      </c>
      <c r="O35" s="157" t="n">
        <v>0</v>
      </c>
      <c r="P35" s="157" t="n">
        <v>0</v>
      </c>
      <c r="Q35" s="157" t="s">
        <v>372</v>
      </c>
    </row>
    <row r="36" customFormat="false" ht="12.75" hidden="false" customHeight="false" outlineLevel="0" collapsed="false">
      <c r="B36" s="155"/>
      <c r="C36" s="155" t="s">
        <v>370</v>
      </c>
      <c r="D36" s="155" t="n">
        <v>66940</v>
      </c>
      <c r="E36" s="155" t="s">
        <v>90</v>
      </c>
      <c r="F36" s="155" t="s">
        <v>372</v>
      </c>
      <c r="G36" s="155" t="s">
        <v>372</v>
      </c>
      <c r="H36" s="156" t="n">
        <v>36617</v>
      </c>
      <c r="I36" s="156" t="n">
        <v>36981</v>
      </c>
      <c r="J36" s="155" t="n">
        <v>28331</v>
      </c>
      <c r="K36" s="155" t="n">
        <v>2</v>
      </c>
      <c r="L36" s="155" t="n">
        <v>0</v>
      </c>
      <c r="M36" s="155" t="n">
        <v>2</v>
      </c>
      <c r="N36" s="155" t="n">
        <v>0</v>
      </c>
      <c r="O36" s="155" t="n">
        <v>0</v>
      </c>
      <c r="P36" s="155" t="n">
        <v>0</v>
      </c>
      <c r="Q36" s="155" t="s">
        <v>372</v>
      </c>
    </row>
    <row r="37" customFormat="false" ht="12.75" hidden="false" customHeight="false" outlineLevel="0" collapsed="false">
      <c r="B37" s="157"/>
      <c r="C37" s="157" t="s">
        <v>370</v>
      </c>
      <c r="D37" s="157" t="n">
        <v>66965</v>
      </c>
      <c r="E37" s="157" t="s">
        <v>288</v>
      </c>
      <c r="F37" s="157" t="s">
        <v>372</v>
      </c>
      <c r="G37" s="157" t="s">
        <v>372</v>
      </c>
      <c r="H37" s="158" t="n">
        <v>36617</v>
      </c>
      <c r="I37" s="158" t="n">
        <v>36830</v>
      </c>
      <c r="J37" s="157" t="n">
        <v>28226</v>
      </c>
      <c r="K37" s="159" t="n">
        <v>20000</v>
      </c>
      <c r="L37" s="157" t="n">
        <v>0</v>
      </c>
      <c r="M37" s="159" t="n">
        <v>20000</v>
      </c>
      <c r="N37" s="157" t="n">
        <v>0</v>
      </c>
      <c r="O37" s="157" t="n">
        <v>0</v>
      </c>
      <c r="P37" s="157" t="n">
        <v>0</v>
      </c>
      <c r="Q37" s="157" t="s">
        <v>372</v>
      </c>
    </row>
    <row r="38" customFormat="false" ht="12.75" hidden="false" customHeight="false" outlineLevel="0" collapsed="false">
      <c r="B38" s="155"/>
      <c r="C38" s="155" t="s">
        <v>370</v>
      </c>
      <c r="D38" s="155" t="n">
        <v>67693</v>
      </c>
      <c r="E38" s="155" t="s">
        <v>288</v>
      </c>
      <c r="F38" s="155" t="s">
        <v>372</v>
      </c>
      <c r="G38" s="155" t="s">
        <v>372</v>
      </c>
      <c r="H38" s="156" t="n">
        <v>36617</v>
      </c>
      <c r="I38" s="156" t="n">
        <v>36799</v>
      </c>
      <c r="J38" s="155" t="n">
        <v>28390</v>
      </c>
      <c r="K38" s="160" t="n">
        <v>54327</v>
      </c>
      <c r="L38" s="155" t="n">
        <v>0</v>
      </c>
      <c r="M38" s="160" t="n">
        <v>29827</v>
      </c>
      <c r="N38" s="160" t="n">
        <v>24500</v>
      </c>
      <c r="O38" s="155" t="n">
        <v>0</v>
      </c>
      <c r="P38" s="155" t="n">
        <v>0</v>
      </c>
      <c r="Q38" s="155" t="s">
        <v>372</v>
      </c>
    </row>
    <row r="39" customFormat="false" ht="12.75" hidden="false" customHeight="false" outlineLevel="0" collapsed="false">
      <c r="B39" s="157"/>
      <c r="C39" s="157" t="s">
        <v>370</v>
      </c>
      <c r="D39" s="157" t="n">
        <v>67712</v>
      </c>
      <c r="E39" s="157" t="s">
        <v>258</v>
      </c>
      <c r="F39" s="157" t="s">
        <v>372</v>
      </c>
      <c r="G39" s="157" t="s">
        <v>372</v>
      </c>
      <c r="H39" s="158" t="n">
        <v>36617</v>
      </c>
      <c r="I39" s="158" t="n">
        <v>36981</v>
      </c>
      <c r="J39" s="157" t="n">
        <v>28389</v>
      </c>
      <c r="K39" s="159" t="n">
        <v>108648</v>
      </c>
      <c r="L39" s="159" t="n">
        <v>6050607</v>
      </c>
      <c r="M39" s="159" t="n">
        <v>108648</v>
      </c>
      <c r="N39" s="157" t="n">
        <v>0</v>
      </c>
      <c r="O39" s="157" t="n">
        <v>0</v>
      </c>
      <c r="P39" s="157" t="n">
        <v>0</v>
      </c>
      <c r="Q39" s="157" t="n">
        <v>67713</v>
      </c>
    </row>
    <row r="40" customFormat="false" ht="12.75" hidden="false" customHeight="false" outlineLevel="0" collapsed="false">
      <c r="B40" s="155"/>
      <c r="C40" s="155" t="s">
        <v>370</v>
      </c>
      <c r="D40" s="155" t="n">
        <v>67713</v>
      </c>
      <c r="E40" s="155" t="s">
        <v>258</v>
      </c>
      <c r="F40" s="155" t="s">
        <v>372</v>
      </c>
      <c r="G40" s="155" t="s">
        <v>372</v>
      </c>
      <c r="H40" s="156" t="n">
        <v>36617</v>
      </c>
      <c r="I40" s="156" t="n">
        <v>36981</v>
      </c>
      <c r="J40" s="155" t="n">
        <v>28389</v>
      </c>
      <c r="K40" s="160" t="n">
        <v>108648</v>
      </c>
      <c r="L40" s="160" t="n">
        <v>6050607</v>
      </c>
      <c r="M40" s="160" t="n">
        <v>108648</v>
      </c>
      <c r="N40" s="155" t="n">
        <v>0</v>
      </c>
      <c r="O40" s="155" t="n">
        <v>0</v>
      </c>
      <c r="P40" s="155" t="n">
        <v>0</v>
      </c>
      <c r="Q40" s="155" t="n">
        <v>67713</v>
      </c>
    </row>
    <row r="41" customFormat="false" ht="12.75" hidden="false" customHeight="false" outlineLevel="0" collapsed="false">
      <c r="B41" s="157"/>
      <c r="C41" s="157" t="s">
        <v>370</v>
      </c>
      <c r="D41" s="157" t="n">
        <v>68188</v>
      </c>
      <c r="E41" s="157" t="s">
        <v>90</v>
      </c>
      <c r="F41" s="157" t="s">
        <v>372</v>
      </c>
      <c r="G41" s="157" t="s">
        <v>372</v>
      </c>
      <c r="H41" s="158" t="n">
        <v>36647</v>
      </c>
      <c r="I41" s="158" t="n">
        <v>37011</v>
      </c>
      <c r="J41" s="157" t="n">
        <v>28742</v>
      </c>
      <c r="K41" s="157" t="n">
        <v>1</v>
      </c>
      <c r="L41" s="157" t="n">
        <v>0</v>
      </c>
      <c r="M41" s="157" t="n">
        <v>1</v>
      </c>
      <c r="N41" s="157" t="n">
        <v>0</v>
      </c>
      <c r="O41" s="157" t="n">
        <v>0</v>
      </c>
      <c r="P41" s="157" t="n">
        <v>0</v>
      </c>
      <c r="Q41" s="157" t="s">
        <v>372</v>
      </c>
    </row>
    <row r="42" customFormat="false" ht="12.75" hidden="false" customHeight="false" outlineLevel="0" collapsed="false">
      <c r="B42" s="155"/>
      <c r="C42" s="155" t="s">
        <v>370</v>
      </c>
      <c r="D42" s="155" t="n">
        <v>68257</v>
      </c>
      <c r="E42" s="155" t="s">
        <v>90</v>
      </c>
      <c r="F42" s="155" t="s">
        <v>372</v>
      </c>
      <c r="G42" s="155" t="s">
        <v>372</v>
      </c>
      <c r="H42" s="156" t="n">
        <v>36647</v>
      </c>
      <c r="I42" s="156" t="n">
        <v>37011</v>
      </c>
      <c r="J42" s="155" t="n">
        <v>28631</v>
      </c>
      <c r="K42" s="155" t="n">
        <v>21</v>
      </c>
      <c r="L42" s="155" t="n">
        <v>0</v>
      </c>
      <c r="M42" s="155" t="n">
        <v>21</v>
      </c>
      <c r="N42" s="155" t="n">
        <v>0</v>
      </c>
      <c r="O42" s="155" t="n">
        <v>0</v>
      </c>
      <c r="P42" s="155" t="n">
        <v>0</v>
      </c>
      <c r="Q42" s="155"/>
    </row>
    <row r="43" customFormat="false" ht="12.75" hidden="false" customHeight="false" outlineLevel="0" collapsed="false">
      <c r="B43" s="157"/>
      <c r="C43" s="157" t="s">
        <v>370</v>
      </c>
      <c r="D43" s="157" t="n">
        <v>68308</v>
      </c>
      <c r="E43" s="157" t="s">
        <v>90</v>
      </c>
      <c r="F43" s="157" t="s">
        <v>372</v>
      </c>
      <c r="G43" s="157" t="s">
        <v>372</v>
      </c>
      <c r="H43" s="158" t="n">
        <v>36656</v>
      </c>
      <c r="I43" s="158" t="n">
        <v>36950</v>
      </c>
      <c r="J43" s="157" t="n">
        <v>28864</v>
      </c>
      <c r="K43" s="157" t="n">
        <v>9</v>
      </c>
      <c r="L43" s="157" t="n">
        <v>0</v>
      </c>
      <c r="M43" s="157" t="n">
        <v>9</v>
      </c>
      <c r="N43" s="157" t="n">
        <v>0</v>
      </c>
      <c r="O43" s="157" t="n">
        <v>0</v>
      </c>
      <c r="P43" s="157" t="n">
        <v>0</v>
      </c>
      <c r="Q43" s="157" t="s">
        <v>372</v>
      </c>
    </row>
    <row r="44" customFormat="false" ht="12.75" hidden="false" customHeight="false" outlineLevel="0" collapsed="false">
      <c r="B44" s="155"/>
      <c r="C44" s="155" t="s">
        <v>370</v>
      </c>
      <c r="D44" s="155" t="n">
        <v>68359</v>
      </c>
      <c r="E44" s="155" t="s">
        <v>90</v>
      </c>
      <c r="F44" s="155" t="s">
        <v>372</v>
      </c>
      <c r="G44" s="155" t="s">
        <v>372</v>
      </c>
      <c r="H44" s="156" t="n">
        <v>36678</v>
      </c>
      <c r="I44" s="156" t="n">
        <v>37042</v>
      </c>
      <c r="J44" s="155" t="n">
        <v>28933</v>
      </c>
      <c r="K44" s="155" t="n">
        <v>285</v>
      </c>
      <c r="L44" s="155" t="n">
        <v>0</v>
      </c>
      <c r="M44" s="155" t="n">
        <v>285</v>
      </c>
      <c r="N44" s="155" t="n">
        <v>0</v>
      </c>
      <c r="O44" s="155" t="n">
        <v>0</v>
      </c>
      <c r="P44" s="155" t="n">
        <v>0</v>
      </c>
      <c r="Q44" s="155" t="s">
        <v>372</v>
      </c>
    </row>
    <row r="45" customFormat="false" ht="12.75" hidden="false" customHeight="false" outlineLevel="0" collapsed="false">
      <c r="B45" s="157"/>
      <c r="C45" s="157" t="s">
        <v>370</v>
      </c>
      <c r="D45" s="157" t="n">
        <v>68384</v>
      </c>
      <c r="E45" s="157" t="s">
        <v>90</v>
      </c>
      <c r="F45" s="157" t="s">
        <v>372</v>
      </c>
      <c r="G45" s="157" t="s">
        <v>372</v>
      </c>
      <c r="H45" s="158" t="n">
        <v>36678</v>
      </c>
      <c r="I45" s="158" t="n">
        <v>37042</v>
      </c>
      <c r="J45" s="157" t="n">
        <v>28962</v>
      </c>
      <c r="K45" s="157" t="n">
        <v>218</v>
      </c>
      <c r="L45" s="157" t="n">
        <v>0</v>
      </c>
      <c r="M45" s="157" t="n">
        <v>218</v>
      </c>
      <c r="N45" s="157" t="n">
        <v>0</v>
      </c>
      <c r="O45" s="157" t="n">
        <v>0</v>
      </c>
      <c r="P45" s="157" t="n">
        <v>0</v>
      </c>
      <c r="Q45" s="157" t="s">
        <v>372</v>
      </c>
    </row>
    <row r="46" customFormat="false" ht="12.75" hidden="false" customHeight="false" outlineLevel="0" collapsed="false">
      <c r="B46" s="155"/>
      <c r="C46" s="155" t="s">
        <v>370</v>
      </c>
      <c r="D46" s="155" t="n">
        <v>68443</v>
      </c>
      <c r="E46" s="155" t="s">
        <v>288</v>
      </c>
      <c r="F46" s="155" t="s">
        <v>372</v>
      </c>
      <c r="G46" s="155" t="s">
        <v>372</v>
      </c>
      <c r="H46" s="156" t="n">
        <v>36678</v>
      </c>
      <c r="I46" s="156" t="n">
        <v>36707</v>
      </c>
      <c r="J46" s="155" t="n">
        <v>29005</v>
      </c>
      <c r="K46" s="160" t="n">
        <v>10000</v>
      </c>
      <c r="L46" s="155" t="n">
        <v>0</v>
      </c>
      <c r="M46" s="160" t="n">
        <v>10000</v>
      </c>
      <c r="N46" s="155" t="n">
        <v>0</v>
      </c>
      <c r="O46" s="155" t="n">
        <v>0</v>
      </c>
      <c r="P46" s="155" t="n">
        <v>0</v>
      </c>
      <c r="Q46" s="155" t="s">
        <v>372</v>
      </c>
    </row>
    <row r="47" customFormat="false" ht="12.75" hidden="false" customHeight="false" outlineLevel="0" collapsed="false">
      <c r="B47" s="157"/>
      <c r="C47" s="157" t="s">
        <v>370</v>
      </c>
      <c r="D47" s="157" t="n">
        <v>68447</v>
      </c>
      <c r="E47" s="157" t="s">
        <v>90</v>
      </c>
      <c r="F47" s="157" t="s">
        <v>372</v>
      </c>
      <c r="G47" s="157" t="s">
        <v>372</v>
      </c>
      <c r="H47" s="158" t="n">
        <v>36678</v>
      </c>
      <c r="I47" s="158" t="n">
        <v>36707</v>
      </c>
      <c r="J47" s="157" t="n">
        <v>29095</v>
      </c>
      <c r="K47" s="159" t="n">
        <v>7500</v>
      </c>
      <c r="L47" s="157" t="n">
        <v>0</v>
      </c>
      <c r="M47" s="159" t="n">
        <v>7500</v>
      </c>
      <c r="N47" s="157" t="n">
        <v>0</v>
      </c>
      <c r="O47" s="157" t="n">
        <v>0</v>
      </c>
      <c r="P47" s="157" t="n">
        <v>0</v>
      </c>
      <c r="Q47" s="157" t="s">
        <v>372</v>
      </c>
    </row>
    <row r="48" customFormat="false" ht="38.25" hidden="false" customHeight="false" outlineLevel="0" collapsed="false">
      <c r="B48" s="155"/>
      <c r="C48" s="155" t="s">
        <v>379</v>
      </c>
      <c r="D48" s="155" t="n">
        <v>37393</v>
      </c>
      <c r="E48" s="155" t="s">
        <v>380</v>
      </c>
      <c r="F48" s="155" t="s">
        <v>372</v>
      </c>
      <c r="G48" s="155" t="s">
        <v>372</v>
      </c>
      <c r="H48" s="156" t="n">
        <v>34274</v>
      </c>
      <c r="I48" s="155" t="s">
        <v>372</v>
      </c>
      <c r="J48" s="155" t="s">
        <v>372</v>
      </c>
      <c r="K48" s="160" t="n">
        <v>20000</v>
      </c>
      <c r="L48" s="155" t="n">
        <v>0</v>
      </c>
      <c r="M48" s="160" t="n">
        <v>20000</v>
      </c>
      <c r="N48" s="155" t="n">
        <v>0</v>
      </c>
      <c r="O48" s="155" t="n">
        <v>0</v>
      </c>
      <c r="P48" s="155" t="n">
        <v>0</v>
      </c>
      <c r="Q48" s="155" t="s">
        <v>372</v>
      </c>
    </row>
    <row r="49" customFormat="false" ht="38.25" hidden="false" customHeight="false" outlineLevel="0" collapsed="false">
      <c r="B49" s="157"/>
      <c r="C49" s="157" t="s">
        <v>379</v>
      </c>
      <c r="D49" s="157" t="n">
        <v>37556</v>
      </c>
      <c r="E49" s="157" t="s">
        <v>381</v>
      </c>
      <c r="F49" s="157" t="s">
        <v>372</v>
      </c>
      <c r="G49" s="157" t="s">
        <v>372</v>
      </c>
      <c r="H49" s="158" t="n">
        <v>34274</v>
      </c>
      <c r="I49" s="157" t="s">
        <v>372</v>
      </c>
      <c r="J49" s="157" t="s">
        <v>372</v>
      </c>
      <c r="K49" s="159" t="n">
        <v>300000</v>
      </c>
      <c r="L49" s="157" t="n">
        <v>0</v>
      </c>
      <c r="M49" s="159" t="n">
        <v>300000</v>
      </c>
      <c r="N49" s="157" t="n">
        <v>0</v>
      </c>
      <c r="O49" s="157" t="n">
        <v>0</v>
      </c>
      <c r="P49" s="157" t="n">
        <v>0</v>
      </c>
      <c r="Q49" s="157" t="s">
        <v>372</v>
      </c>
    </row>
    <row r="50" customFormat="false" ht="38.25" hidden="false" customHeight="false" outlineLevel="0" collapsed="false">
      <c r="B50" s="155"/>
      <c r="C50" s="155" t="s">
        <v>379</v>
      </c>
      <c r="D50" s="155" t="n">
        <v>37861</v>
      </c>
      <c r="E50" s="155" t="s">
        <v>382</v>
      </c>
      <c r="F50" s="155" t="s">
        <v>372</v>
      </c>
      <c r="G50" s="155" t="s">
        <v>372</v>
      </c>
      <c r="H50" s="156" t="n">
        <v>35582</v>
      </c>
      <c r="I50" s="155" t="s">
        <v>372</v>
      </c>
      <c r="J50" s="155" t="s">
        <v>372</v>
      </c>
      <c r="K50" s="160" t="n">
        <v>15000</v>
      </c>
      <c r="L50" s="155" t="n">
        <v>0</v>
      </c>
      <c r="M50" s="160" t="n">
        <v>15000</v>
      </c>
      <c r="N50" s="155" t="n">
        <v>0</v>
      </c>
      <c r="O50" s="155" t="n">
        <v>0</v>
      </c>
      <c r="P50" s="155" t="n">
        <v>0</v>
      </c>
      <c r="Q50" s="155" t="s">
        <v>372</v>
      </c>
    </row>
    <row r="51" customFormat="false" ht="38.25" hidden="false" customHeight="false" outlineLevel="0" collapsed="false">
      <c r="B51" s="157"/>
      <c r="C51" s="157" t="s">
        <v>379</v>
      </c>
      <c r="D51" s="157" t="n">
        <v>38641</v>
      </c>
      <c r="E51" s="157" t="s">
        <v>383</v>
      </c>
      <c r="F51" s="157" t="s">
        <v>372</v>
      </c>
      <c r="G51" s="157" t="s">
        <v>372</v>
      </c>
      <c r="H51" s="158" t="n">
        <v>34274</v>
      </c>
      <c r="I51" s="157" t="s">
        <v>372</v>
      </c>
      <c r="J51" s="157" t="s">
        <v>372</v>
      </c>
      <c r="K51" s="159" t="n">
        <v>450000</v>
      </c>
      <c r="L51" s="157" t="n">
        <v>0</v>
      </c>
      <c r="M51" s="159" t="n">
        <v>450000</v>
      </c>
      <c r="N51" s="157" t="n">
        <v>0</v>
      </c>
      <c r="O51" s="157" t="n">
        <v>0</v>
      </c>
      <c r="P51" s="157" t="n">
        <v>0</v>
      </c>
      <c r="Q51" s="157" t="s">
        <v>372</v>
      </c>
    </row>
    <row r="52" customFormat="false" ht="38.25" hidden="false" customHeight="false" outlineLevel="0" collapsed="false">
      <c r="B52" s="155"/>
      <c r="C52" s="155" t="s">
        <v>379</v>
      </c>
      <c r="D52" s="155" t="n">
        <v>39229</v>
      </c>
      <c r="E52" s="155" t="s">
        <v>371</v>
      </c>
      <c r="F52" s="155" t="s">
        <v>372</v>
      </c>
      <c r="G52" s="155" t="s">
        <v>372</v>
      </c>
      <c r="H52" s="156" t="n">
        <v>34274</v>
      </c>
      <c r="I52" s="155" t="s">
        <v>372</v>
      </c>
      <c r="J52" s="155" t="s">
        <v>372</v>
      </c>
      <c r="K52" s="155" t="n">
        <v>0</v>
      </c>
      <c r="L52" s="155" t="n">
        <v>0</v>
      </c>
      <c r="M52" s="155" t="n">
        <v>0</v>
      </c>
      <c r="N52" s="155" t="n">
        <v>0</v>
      </c>
      <c r="O52" s="155" t="n">
        <v>0</v>
      </c>
      <c r="P52" s="155" t="n">
        <v>0</v>
      </c>
      <c r="Q52" s="155" t="s">
        <v>372</v>
      </c>
    </row>
    <row r="53" customFormat="false" ht="38.25" hidden="false" customHeight="false" outlineLevel="0" collapsed="false">
      <c r="B53" s="157"/>
      <c r="C53" s="157" t="s">
        <v>379</v>
      </c>
      <c r="D53" s="157" t="n">
        <v>39266</v>
      </c>
      <c r="E53" s="157" t="s">
        <v>279</v>
      </c>
      <c r="F53" s="157" t="s">
        <v>372</v>
      </c>
      <c r="G53" s="157" t="s">
        <v>372</v>
      </c>
      <c r="H53" s="158" t="n">
        <v>34274</v>
      </c>
      <c r="I53" s="157" t="s">
        <v>372</v>
      </c>
      <c r="J53" s="157" t="s">
        <v>372</v>
      </c>
      <c r="K53" s="159" t="n">
        <v>300000</v>
      </c>
      <c r="L53" s="157" t="n">
        <v>0</v>
      </c>
      <c r="M53" s="159" t="n">
        <v>300000</v>
      </c>
      <c r="N53" s="157" t="n">
        <v>0</v>
      </c>
      <c r="O53" s="157" t="n">
        <v>0</v>
      </c>
      <c r="P53" s="157" t="n">
        <v>0</v>
      </c>
      <c r="Q53" s="157" t="s">
        <v>372</v>
      </c>
    </row>
    <row r="54" customFormat="false" ht="38.25" hidden="false" customHeight="false" outlineLevel="0" collapsed="false">
      <c r="B54" s="155"/>
      <c r="C54" s="155" t="s">
        <v>379</v>
      </c>
      <c r="D54" s="155" t="n">
        <v>42789</v>
      </c>
      <c r="E54" s="155" t="s">
        <v>380</v>
      </c>
      <c r="F54" s="155" t="s">
        <v>372</v>
      </c>
      <c r="G54" s="155" t="s">
        <v>372</v>
      </c>
      <c r="H54" s="156" t="n">
        <v>36557</v>
      </c>
      <c r="I54" s="155" t="s">
        <v>372</v>
      </c>
      <c r="J54" s="155" t="s">
        <v>372</v>
      </c>
      <c r="K54" s="160" t="n">
        <v>30000</v>
      </c>
      <c r="L54" s="155" t="n">
        <v>0</v>
      </c>
      <c r="M54" s="160" t="n">
        <v>30000</v>
      </c>
      <c r="N54" s="155" t="n">
        <v>0</v>
      </c>
      <c r="O54" s="155" t="n">
        <v>0</v>
      </c>
      <c r="P54" s="155" t="n">
        <v>0</v>
      </c>
      <c r="Q54" s="155" t="s">
        <v>372</v>
      </c>
    </row>
    <row r="55" customFormat="false" ht="38.25" hidden="false" customHeight="false" outlineLevel="0" collapsed="false">
      <c r="B55" s="157"/>
      <c r="C55" s="157" t="s">
        <v>379</v>
      </c>
      <c r="D55" s="157" t="n">
        <v>50250</v>
      </c>
      <c r="E55" s="157" t="s">
        <v>380</v>
      </c>
      <c r="F55" s="157" t="s">
        <v>372</v>
      </c>
      <c r="G55" s="157" t="s">
        <v>372</v>
      </c>
      <c r="H55" s="158" t="n">
        <v>36557</v>
      </c>
      <c r="I55" s="157" t="s">
        <v>372</v>
      </c>
      <c r="J55" s="157" t="s">
        <v>372</v>
      </c>
      <c r="K55" s="159" t="n">
        <v>20000</v>
      </c>
      <c r="L55" s="157" t="n">
        <v>0</v>
      </c>
      <c r="M55" s="159" t="n">
        <v>20000</v>
      </c>
      <c r="N55" s="157" t="n">
        <v>0</v>
      </c>
      <c r="O55" s="157" t="n">
        <v>0</v>
      </c>
      <c r="P55" s="157" t="n">
        <v>0</v>
      </c>
      <c r="Q55" s="157" t="s">
        <v>372</v>
      </c>
    </row>
    <row r="56" customFormat="false" ht="38.25" hidden="false" customHeight="false" outlineLevel="0" collapsed="false">
      <c r="B56" s="155"/>
      <c r="C56" s="155" t="s">
        <v>379</v>
      </c>
      <c r="D56" s="155" t="n">
        <v>58654</v>
      </c>
      <c r="E56" s="155" t="s">
        <v>382</v>
      </c>
      <c r="F56" s="155" t="s">
        <v>372</v>
      </c>
      <c r="G56" s="155" t="s">
        <v>372</v>
      </c>
      <c r="H56" s="156" t="n">
        <v>36557</v>
      </c>
      <c r="I56" s="155" t="s">
        <v>372</v>
      </c>
      <c r="J56" s="155" t="s">
        <v>372</v>
      </c>
      <c r="K56" s="160" t="n">
        <v>15000</v>
      </c>
      <c r="L56" s="155" t="n">
        <v>0</v>
      </c>
      <c r="M56" s="160" t="n">
        <v>15000</v>
      </c>
      <c r="N56" s="155" t="n">
        <v>0</v>
      </c>
      <c r="O56" s="155" t="n">
        <v>0</v>
      </c>
      <c r="P56" s="155" t="n">
        <v>0</v>
      </c>
      <c r="Q56" s="155" t="s">
        <v>372</v>
      </c>
    </row>
    <row r="57" customFormat="false" ht="38.25" hidden="false" customHeight="false" outlineLevel="0" collapsed="false">
      <c r="B57" s="157"/>
      <c r="C57" s="157" t="s">
        <v>379</v>
      </c>
      <c r="D57" s="157" t="n">
        <v>62408</v>
      </c>
      <c r="E57" s="157" t="s">
        <v>380</v>
      </c>
      <c r="F57" s="157" t="s">
        <v>372</v>
      </c>
      <c r="G57" s="157" t="s">
        <v>372</v>
      </c>
      <c r="H57" s="158" t="n">
        <v>36557</v>
      </c>
      <c r="I57" s="157" t="s">
        <v>372</v>
      </c>
      <c r="J57" s="157" t="s">
        <v>372</v>
      </c>
      <c r="K57" s="159" t="n">
        <v>40000</v>
      </c>
      <c r="L57" s="157" t="n">
        <v>0</v>
      </c>
      <c r="M57" s="159" t="n">
        <v>40000</v>
      </c>
      <c r="N57" s="157" t="n">
        <v>0</v>
      </c>
      <c r="O57" s="157" t="n">
        <v>0</v>
      </c>
      <c r="P57" s="157" t="n">
        <v>0</v>
      </c>
      <c r="Q57" s="157" t="s">
        <v>372</v>
      </c>
    </row>
    <row r="58" customFormat="false" ht="38.25" hidden="false" customHeight="false" outlineLevel="0" collapsed="false">
      <c r="B58" s="155"/>
      <c r="C58" s="155" t="s">
        <v>379</v>
      </c>
      <c r="D58" s="155" t="n">
        <v>63115</v>
      </c>
      <c r="E58" s="155" t="s">
        <v>382</v>
      </c>
      <c r="F58" s="155" t="s">
        <v>372</v>
      </c>
      <c r="G58" s="155" t="s">
        <v>372</v>
      </c>
      <c r="H58" s="156" t="n">
        <v>36557</v>
      </c>
      <c r="I58" s="156" t="n">
        <v>37346</v>
      </c>
      <c r="J58" s="155" t="n">
        <v>24770</v>
      </c>
      <c r="K58" s="160" t="n">
        <v>30000</v>
      </c>
      <c r="L58" s="155" t="n">
        <v>0</v>
      </c>
      <c r="M58" s="160" t="n">
        <v>30000</v>
      </c>
      <c r="N58" s="155" t="n">
        <v>0</v>
      </c>
      <c r="O58" s="155" t="n">
        <v>0</v>
      </c>
      <c r="P58" s="155" t="n">
        <v>0</v>
      </c>
      <c r="Q58" s="155" t="s">
        <v>372</v>
      </c>
    </row>
    <row r="59" customFormat="false" ht="38.25" hidden="false" customHeight="false" outlineLevel="0" collapsed="false">
      <c r="B59" s="157"/>
      <c r="C59" s="157" t="s">
        <v>379</v>
      </c>
      <c r="D59" s="157" t="n">
        <v>63922</v>
      </c>
      <c r="E59" s="157" t="s">
        <v>380</v>
      </c>
      <c r="F59" s="157" t="s">
        <v>372</v>
      </c>
      <c r="G59" s="157" t="s">
        <v>372</v>
      </c>
      <c r="H59" s="158" t="n">
        <v>36557</v>
      </c>
      <c r="I59" s="158" t="n">
        <v>38291</v>
      </c>
      <c r="J59" s="157" t="n">
        <v>25471</v>
      </c>
      <c r="K59" s="159" t="n">
        <v>25654</v>
      </c>
      <c r="L59" s="157" t="n">
        <v>0</v>
      </c>
      <c r="M59" s="159" t="n">
        <v>25654</v>
      </c>
      <c r="N59" s="157" t="n">
        <v>0</v>
      </c>
      <c r="O59" s="157" t="n">
        <v>0</v>
      </c>
      <c r="P59" s="157" t="n">
        <v>0</v>
      </c>
      <c r="Q59" s="157" t="s">
        <v>372</v>
      </c>
    </row>
    <row r="60" customFormat="false" ht="38.25" hidden="false" customHeight="false" outlineLevel="0" collapsed="false">
      <c r="B60" s="155"/>
      <c r="C60" s="155" t="s">
        <v>379</v>
      </c>
      <c r="D60" s="155" t="n">
        <v>64033</v>
      </c>
      <c r="E60" s="155" t="s">
        <v>382</v>
      </c>
      <c r="F60" s="155" t="s">
        <v>372</v>
      </c>
      <c r="G60" s="155" t="s">
        <v>372</v>
      </c>
      <c r="H60" s="156" t="n">
        <v>36557</v>
      </c>
      <c r="I60" s="156" t="n">
        <v>36707</v>
      </c>
      <c r="J60" s="155" t="n">
        <v>25713</v>
      </c>
      <c r="K60" s="155" t="n">
        <v>1</v>
      </c>
      <c r="L60" s="155" t="n">
        <v>0</v>
      </c>
      <c r="M60" s="155" t="n">
        <v>1</v>
      </c>
      <c r="N60" s="155" t="n">
        <v>0</v>
      </c>
      <c r="O60" s="155" t="n">
        <v>0</v>
      </c>
      <c r="P60" s="155" t="n">
        <v>0</v>
      </c>
      <c r="Q60" s="155" t="s">
        <v>372</v>
      </c>
    </row>
    <row r="61" customFormat="false" ht="38.25" hidden="false" customHeight="false" outlineLevel="0" collapsed="false">
      <c r="B61" s="157"/>
      <c r="C61" s="157" t="s">
        <v>379</v>
      </c>
      <c r="D61" s="157" t="n">
        <v>64035</v>
      </c>
      <c r="E61" s="157" t="s">
        <v>382</v>
      </c>
      <c r="F61" s="157" t="s">
        <v>372</v>
      </c>
      <c r="G61" s="157" t="s">
        <v>372</v>
      </c>
      <c r="H61" s="158" t="n">
        <v>36557</v>
      </c>
      <c r="I61" s="158" t="n">
        <v>36707</v>
      </c>
      <c r="J61" s="157" t="n">
        <v>25700</v>
      </c>
      <c r="K61" s="157" t="n">
        <v>931</v>
      </c>
      <c r="L61" s="157" t="n">
        <v>0</v>
      </c>
      <c r="M61" s="157" t="n">
        <v>931</v>
      </c>
      <c r="N61" s="157" t="n">
        <v>0</v>
      </c>
      <c r="O61" s="157" t="n">
        <v>0</v>
      </c>
      <c r="P61" s="157" t="n">
        <v>0</v>
      </c>
      <c r="Q61" s="157" t="s">
        <v>372</v>
      </c>
    </row>
    <row r="62" customFormat="false" ht="38.25" hidden="false" customHeight="false" outlineLevel="0" collapsed="false">
      <c r="B62" s="155"/>
      <c r="C62" s="155" t="s">
        <v>379</v>
      </c>
      <c r="D62" s="155" t="n">
        <v>64332</v>
      </c>
      <c r="E62" s="155" t="s">
        <v>382</v>
      </c>
      <c r="F62" s="155" t="s">
        <v>372</v>
      </c>
      <c r="G62" s="155" t="s">
        <v>372</v>
      </c>
      <c r="H62" s="156" t="n">
        <v>36557</v>
      </c>
      <c r="I62" s="156" t="n">
        <v>36738</v>
      </c>
      <c r="J62" s="155" t="n">
        <v>25966</v>
      </c>
      <c r="K62" s="155" t="n">
        <v>12</v>
      </c>
      <c r="L62" s="155" t="n">
        <v>0</v>
      </c>
      <c r="M62" s="155" t="n">
        <v>12</v>
      </c>
      <c r="N62" s="155" t="n">
        <v>0</v>
      </c>
      <c r="O62" s="155" t="n">
        <v>0</v>
      </c>
      <c r="P62" s="155" t="n">
        <v>0</v>
      </c>
      <c r="Q62" s="155" t="s">
        <v>372</v>
      </c>
    </row>
    <row r="63" customFormat="false" ht="38.25" hidden="false" customHeight="false" outlineLevel="0" collapsed="false">
      <c r="B63" s="157"/>
      <c r="C63" s="157" t="s">
        <v>379</v>
      </c>
      <c r="D63" s="157" t="n">
        <v>64334</v>
      </c>
      <c r="E63" s="157" t="s">
        <v>382</v>
      </c>
      <c r="F63" s="157" t="s">
        <v>372</v>
      </c>
      <c r="G63" s="157" t="s">
        <v>372</v>
      </c>
      <c r="H63" s="158" t="n">
        <v>36557</v>
      </c>
      <c r="I63" s="158" t="n">
        <v>36738</v>
      </c>
      <c r="J63" s="157" t="n">
        <v>25956</v>
      </c>
      <c r="K63" s="157" t="n">
        <v>52</v>
      </c>
      <c r="L63" s="157" t="n">
        <v>0</v>
      </c>
      <c r="M63" s="157" t="n">
        <v>52</v>
      </c>
      <c r="N63" s="157" t="n">
        <v>0</v>
      </c>
      <c r="O63" s="157" t="n">
        <v>0</v>
      </c>
      <c r="P63" s="157" t="n">
        <v>0</v>
      </c>
      <c r="Q63" s="157" t="s">
        <v>372</v>
      </c>
    </row>
    <row r="64" customFormat="false" ht="38.25" hidden="false" customHeight="false" outlineLevel="0" collapsed="false">
      <c r="B64" s="155"/>
      <c r="C64" s="155" t="s">
        <v>379</v>
      </c>
      <c r="D64" s="155" t="n">
        <v>64446</v>
      </c>
      <c r="E64" s="155" t="s">
        <v>382</v>
      </c>
      <c r="F64" s="155" t="s">
        <v>372</v>
      </c>
      <c r="G64" s="155" t="s">
        <v>372</v>
      </c>
      <c r="H64" s="156" t="n">
        <v>36557</v>
      </c>
      <c r="I64" s="156" t="n">
        <v>36738</v>
      </c>
      <c r="J64" s="155" t="n">
        <v>26081</v>
      </c>
      <c r="K64" s="155" t="n">
        <v>142</v>
      </c>
      <c r="L64" s="155" t="n">
        <v>0</v>
      </c>
      <c r="M64" s="155" t="n">
        <v>142</v>
      </c>
      <c r="N64" s="155" t="n">
        <v>0</v>
      </c>
      <c r="O64" s="155" t="n">
        <v>0</v>
      </c>
      <c r="P64" s="155" t="n">
        <v>0</v>
      </c>
      <c r="Q64" s="155" t="s">
        <v>372</v>
      </c>
    </row>
    <row r="65" customFormat="false" ht="38.25" hidden="false" customHeight="false" outlineLevel="0" collapsed="false">
      <c r="B65" s="157"/>
      <c r="C65" s="157" t="s">
        <v>379</v>
      </c>
      <c r="D65" s="157" t="n">
        <v>64502</v>
      </c>
      <c r="E65" s="157" t="s">
        <v>380</v>
      </c>
      <c r="F65" s="157" t="s">
        <v>372</v>
      </c>
      <c r="G65" s="157" t="s">
        <v>372</v>
      </c>
      <c r="H65" s="158" t="n">
        <v>36557</v>
      </c>
      <c r="I65" s="157" t="s">
        <v>372</v>
      </c>
      <c r="J65" s="157" t="s">
        <v>372</v>
      </c>
      <c r="K65" s="159" t="n">
        <v>29000</v>
      </c>
      <c r="L65" s="157" t="n">
        <v>0</v>
      </c>
      <c r="M65" s="159" t="n">
        <v>29000</v>
      </c>
      <c r="N65" s="157" t="n">
        <v>0</v>
      </c>
      <c r="O65" s="157" t="n">
        <v>0</v>
      </c>
      <c r="P65" s="157" t="n">
        <v>0</v>
      </c>
      <c r="Q65" s="157"/>
    </row>
    <row r="66" customFormat="false" ht="38.25" hidden="false" customHeight="false" outlineLevel="0" collapsed="false">
      <c r="B66" s="155"/>
      <c r="C66" s="155" t="s">
        <v>379</v>
      </c>
      <c r="D66" s="155" t="n">
        <v>64652</v>
      </c>
      <c r="E66" s="155" t="s">
        <v>382</v>
      </c>
      <c r="F66" s="155" t="s">
        <v>372</v>
      </c>
      <c r="G66" s="155" t="s">
        <v>372</v>
      </c>
      <c r="H66" s="156" t="n">
        <v>36557</v>
      </c>
      <c r="I66" s="156" t="n">
        <v>36769</v>
      </c>
      <c r="J66" s="155" t="n">
        <v>26151</v>
      </c>
      <c r="K66" s="155" t="n">
        <v>65</v>
      </c>
      <c r="L66" s="155" t="n">
        <v>0</v>
      </c>
      <c r="M66" s="155" t="n">
        <v>65</v>
      </c>
      <c r="N66" s="155" t="n">
        <v>0</v>
      </c>
      <c r="O66" s="155" t="n">
        <v>0</v>
      </c>
      <c r="P66" s="155" t="n">
        <v>0</v>
      </c>
      <c r="Q66" s="155" t="s">
        <v>372</v>
      </c>
    </row>
    <row r="67" customFormat="false" ht="38.25" hidden="false" customHeight="false" outlineLevel="0" collapsed="false">
      <c r="B67" s="157"/>
      <c r="C67" s="157" t="s">
        <v>379</v>
      </c>
      <c r="D67" s="157" t="n">
        <v>64863</v>
      </c>
      <c r="E67" s="157" t="s">
        <v>382</v>
      </c>
      <c r="F67" s="157" t="s">
        <v>372</v>
      </c>
      <c r="G67" s="157" t="s">
        <v>372</v>
      </c>
      <c r="H67" s="158" t="n">
        <v>36557</v>
      </c>
      <c r="I67" s="158" t="n">
        <v>36799</v>
      </c>
      <c r="J67" s="157" t="n">
        <v>26504</v>
      </c>
      <c r="K67" s="157" t="n">
        <v>13</v>
      </c>
      <c r="L67" s="157" t="n">
        <v>0</v>
      </c>
      <c r="M67" s="157" t="n">
        <v>13</v>
      </c>
      <c r="N67" s="157" t="n">
        <v>0</v>
      </c>
      <c r="O67" s="157" t="n">
        <v>0</v>
      </c>
      <c r="P67" s="157" t="n">
        <v>0</v>
      </c>
      <c r="Q67" s="157" t="s">
        <v>372</v>
      </c>
    </row>
    <row r="68" customFormat="false" ht="38.25" hidden="false" customHeight="false" outlineLevel="0" collapsed="false">
      <c r="B68" s="155"/>
      <c r="C68" s="155" t="s">
        <v>379</v>
      </c>
      <c r="D68" s="155" t="n">
        <v>64937</v>
      </c>
      <c r="E68" s="155" t="s">
        <v>380</v>
      </c>
      <c r="F68" s="155" t="s">
        <v>372</v>
      </c>
      <c r="G68" s="155" t="s">
        <v>372</v>
      </c>
      <c r="H68" s="156" t="n">
        <v>36434</v>
      </c>
      <c r="I68" s="155" t="s">
        <v>372</v>
      </c>
      <c r="J68" s="155" t="s">
        <v>372</v>
      </c>
      <c r="K68" s="160" t="n">
        <v>10000</v>
      </c>
      <c r="L68" s="155" t="n">
        <v>0</v>
      </c>
      <c r="M68" s="160" t="n">
        <v>10000</v>
      </c>
      <c r="N68" s="155" t="n">
        <v>0</v>
      </c>
      <c r="O68" s="155" t="n">
        <v>0</v>
      </c>
      <c r="P68" s="155" t="n">
        <v>0</v>
      </c>
      <c r="Q68" s="155" t="s">
        <v>372</v>
      </c>
    </row>
    <row r="69" customFormat="false" ht="38.25" hidden="false" customHeight="false" outlineLevel="0" collapsed="false">
      <c r="B69" s="157"/>
      <c r="C69" s="157" t="s">
        <v>379</v>
      </c>
      <c r="D69" s="157" t="n">
        <v>65027</v>
      </c>
      <c r="E69" s="157" t="s">
        <v>382</v>
      </c>
      <c r="F69" s="157" t="s">
        <v>372</v>
      </c>
      <c r="G69" s="157" t="s">
        <v>372</v>
      </c>
      <c r="H69" s="158" t="n">
        <v>36557</v>
      </c>
      <c r="I69" s="158" t="n">
        <v>36830</v>
      </c>
      <c r="J69" s="157" t="n">
        <v>26727</v>
      </c>
      <c r="K69" s="157" t="n">
        <v>131</v>
      </c>
      <c r="L69" s="157" t="n">
        <v>0</v>
      </c>
      <c r="M69" s="157" t="n">
        <v>131</v>
      </c>
      <c r="N69" s="157" t="n">
        <v>0</v>
      </c>
      <c r="O69" s="157" t="n">
        <v>0</v>
      </c>
      <c r="P69" s="157" t="n">
        <v>0</v>
      </c>
      <c r="Q69" s="157" t="s">
        <v>372</v>
      </c>
    </row>
    <row r="70" customFormat="false" ht="38.25" hidden="false" customHeight="false" outlineLevel="0" collapsed="false">
      <c r="B70" s="155"/>
      <c r="C70" s="155" t="s">
        <v>379</v>
      </c>
      <c r="D70" s="155" t="n">
        <v>65072</v>
      </c>
      <c r="E70" s="155" t="s">
        <v>382</v>
      </c>
      <c r="F70" s="155" t="s">
        <v>372</v>
      </c>
      <c r="G70" s="155" t="s">
        <v>372</v>
      </c>
      <c r="H70" s="156" t="n">
        <v>36617</v>
      </c>
      <c r="I70" s="156" t="n">
        <v>36830</v>
      </c>
      <c r="J70" s="155" t="n">
        <v>26785</v>
      </c>
      <c r="K70" s="160" t="n">
        <v>7391</v>
      </c>
      <c r="L70" s="155" t="n">
        <v>0</v>
      </c>
      <c r="M70" s="160" t="n">
        <v>6987</v>
      </c>
      <c r="N70" s="155" t="n">
        <v>404</v>
      </c>
      <c r="O70" s="155" t="n">
        <v>0</v>
      </c>
      <c r="P70" s="155" t="n">
        <v>0</v>
      </c>
      <c r="Q70" s="155" t="s">
        <v>372</v>
      </c>
    </row>
    <row r="71" customFormat="false" ht="38.25" hidden="false" customHeight="false" outlineLevel="0" collapsed="false">
      <c r="B71" s="157"/>
      <c r="C71" s="157" t="s">
        <v>379</v>
      </c>
      <c r="D71" s="157" t="n">
        <v>65557</v>
      </c>
      <c r="E71" s="157" t="s">
        <v>382</v>
      </c>
      <c r="F71" s="157" t="s">
        <v>372</v>
      </c>
      <c r="G71" s="157" t="s">
        <v>372</v>
      </c>
      <c r="H71" s="158" t="n">
        <v>36557</v>
      </c>
      <c r="I71" s="158" t="n">
        <v>36860</v>
      </c>
      <c r="J71" s="157" t="n">
        <v>27128</v>
      </c>
      <c r="K71" s="157" t="n">
        <v>3</v>
      </c>
      <c r="L71" s="157" t="n">
        <v>0</v>
      </c>
      <c r="M71" s="157" t="n">
        <v>3</v>
      </c>
      <c r="N71" s="157" t="n">
        <v>0</v>
      </c>
      <c r="O71" s="157" t="n">
        <v>0</v>
      </c>
      <c r="P71" s="157" t="n">
        <v>0</v>
      </c>
      <c r="Q71" s="157" t="s">
        <v>372</v>
      </c>
    </row>
    <row r="72" customFormat="false" ht="38.25" hidden="false" customHeight="false" outlineLevel="0" collapsed="false">
      <c r="B72" s="155"/>
      <c r="C72" s="155" t="s">
        <v>379</v>
      </c>
      <c r="D72" s="155" t="n">
        <v>66283</v>
      </c>
      <c r="E72" s="155" t="s">
        <v>382</v>
      </c>
      <c r="F72" s="155" t="s">
        <v>372</v>
      </c>
      <c r="G72" s="155" t="s">
        <v>372</v>
      </c>
      <c r="H72" s="156" t="n">
        <v>36557</v>
      </c>
      <c r="I72" s="156" t="n">
        <v>36922</v>
      </c>
      <c r="J72" s="155" t="n">
        <v>27775</v>
      </c>
      <c r="K72" s="155" t="n">
        <v>5</v>
      </c>
      <c r="L72" s="155" t="n">
        <v>0</v>
      </c>
      <c r="M72" s="155" t="n">
        <v>5</v>
      </c>
      <c r="N72" s="155" t="n">
        <v>0</v>
      </c>
      <c r="O72" s="155" t="n">
        <v>0</v>
      </c>
      <c r="P72" s="155" t="n">
        <v>0</v>
      </c>
      <c r="Q72" s="155" t="s">
        <v>372</v>
      </c>
    </row>
    <row r="73" customFormat="false" ht="38.25" hidden="false" customHeight="false" outlineLevel="0" collapsed="false">
      <c r="B73" s="157"/>
      <c r="C73" s="157" t="s">
        <v>379</v>
      </c>
      <c r="D73" s="157" t="n">
        <v>66941</v>
      </c>
      <c r="E73" s="157" t="s">
        <v>382</v>
      </c>
      <c r="F73" s="157" t="s">
        <v>372</v>
      </c>
      <c r="G73" s="157" t="s">
        <v>372</v>
      </c>
      <c r="H73" s="158" t="n">
        <v>36617</v>
      </c>
      <c r="I73" s="158" t="n">
        <v>36981</v>
      </c>
      <c r="J73" s="157" t="n">
        <v>28330</v>
      </c>
      <c r="K73" s="157" t="n">
        <v>53</v>
      </c>
      <c r="L73" s="157" t="n">
        <v>0</v>
      </c>
      <c r="M73" s="157" t="n">
        <v>53</v>
      </c>
      <c r="N73" s="157" t="n">
        <v>0</v>
      </c>
      <c r="O73" s="157" t="n">
        <v>0</v>
      </c>
      <c r="P73" s="157" t="n">
        <v>0</v>
      </c>
      <c r="Q73" s="157" t="s">
        <v>372</v>
      </c>
    </row>
    <row r="74" customFormat="false" ht="38.25" hidden="false" customHeight="false" outlineLevel="0" collapsed="false">
      <c r="B74" s="155"/>
      <c r="C74" s="155" t="s">
        <v>379</v>
      </c>
      <c r="D74" s="155" t="n">
        <v>66973</v>
      </c>
      <c r="E74" s="155" t="s">
        <v>380</v>
      </c>
      <c r="F74" s="155" t="s">
        <v>372</v>
      </c>
      <c r="G74" s="155" t="s">
        <v>372</v>
      </c>
      <c r="H74" s="156" t="n">
        <v>36678</v>
      </c>
      <c r="I74" s="156" t="n">
        <v>36981</v>
      </c>
      <c r="J74" s="155" t="s">
        <v>372</v>
      </c>
      <c r="K74" s="160" t="n">
        <v>10000</v>
      </c>
      <c r="L74" s="155" t="n">
        <v>0</v>
      </c>
      <c r="M74" s="160" t="n">
        <v>10000</v>
      </c>
      <c r="N74" s="155" t="n">
        <v>0</v>
      </c>
      <c r="O74" s="155" t="n">
        <v>0</v>
      </c>
      <c r="P74" s="155" t="n">
        <v>0</v>
      </c>
      <c r="Q74" s="155" t="s">
        <v>372</v>
      </c>
    </row>
    <row r="75" customFormat="false" ht="38.25" hidden="false" customHeight="false" outlineLevel="0" collapsed="false">
      <c r="B75" s="157"/>
      <c r="C75" s="157" t="s">
        <v>379</v>
      </c>
      <c r="D75" s="157" t="n">
        <v>68281</v>
      </c>
      <c r="E75" s="157" t="s">
        <v>382</v>
      </c>
      <c r="F75" s="157" t="s">
        <v>372</v>
      </c>
      <c r="G75" s="157" t="s">
        <v>372</v>
      </c>
      <c r="H75" s="158" t="n">
        <v>36647</v>
      </c>
      <c r="I75" s="158" t="n">
        <v>37011</v>
      </c>
      <c r="J75" s="157" t="n">
        <v>28632</v>
      </c>
      <c r="K75" s="157" t="n">
        <v>21</v>
      </c>
      <c r="L75" s="157" t="n">
        <v>0</v>
      </c>
      <c r="M75" s="157" t="n">
        <v>21</v>
      </c>
      <c r="N75" s="157" t="n">
        <v>0</v>
      </c>
      <c r="O75" s="157" t="n">
        <v>0</v>
      </c>
      <c r="P75" s="157" t="n">
        <v>0</v>
      </c>
      <c r="Q75" s="157"/>
    </row>
    <row r="76" customFormat="false" ht="38.25" hidden="false" customHeight="false" outlineLevel="0" collapsed="false">
      <c r="B76" s="155"/>
      <c r="C76" s="155" t="s">
        <v>379</v>
      </c>
      <c r="D76" s="155" t="n">
        <v>68309</v>
      </c>
      <c r="E76" s="155" t="s">
        <v>382</v>
      </c>
      <c r="F76" s="155" t="s">
        <v>372</v>
      </c>
      <c r="G76" s="155" t="s">
        <v>372</v>
      </c>
      <c r="H76" s="156" t="n">
        <v>36656</v>
      </c>
      <c r="I76" s="156" t="n">
        <v>36950</v>
      </c>
      <c r="J76" s="155" t="n">
        <v>28865</v>
      </c>
      <c r="K76" s="155" t="n">
        <v>9</v>
      </c>
      <c r="L76" s="155" t="n">
        <v>0</v>
      </c>
      <c r="M76" s="155" t="n">
        <v>9</v>
      </c>
      <c r="N76" s="155" t="n">
        <v>0</v>
      </c>
      <c r="O76" s="155" t="n">
        <v>0</v>
      </c>
      <c r="P76" s="155" t="n">
        <v>0</v>
      </c>
      <c r="Q76" s="155" t="s">
        <v>372</v>
      </c>
    </row>
    <row r="77" customFormat="false" ht="38.25" hidden="false" customHeight="false" outlineLevel="0" collapsed="false">
      <c r="B77" s="157"/>
      <c r="C77" s="157" t="s">
        <v>379</v>
      </c>
      <c r="D77" s="157" t="n">
        <v>68360</v>
      </c>
      <c r="E77" s="157" t="s">
        <v>382</v>
      </c>
      <c r="F77" s="157" t="s">
        <v>372</v>
      </c>
      <c r="G77" s="157" t="s">
        <v>372</v>
      </c>
      <c r="H77" s="158" t="n">
        <v>36678</v>
      </c>
      <c r="I77" s="158" t="n">
        <v>37042</v>
      </c>
      <c r="J77" s="157" t="n">
        <v>28934</v>
      </c>
      <c r="K77" s="157" t="n">
        <v>291</v>
      </c>
      <c r="L77" s="157" t="n">
        <v>0</v>
      </c>
      <c r="M77" s="157" t="n">
        <v>291</v>
      </c>
      <c r="N77" s="157" t="n">
        <v>0</v>
      </c>
      <c r="O77" s="157" t="n">
        <v>0</v>
      </c>
      <c r="P77" s="157" t="n">
        <v>0</v>
      </c>
      <c r="Q77" s="157" t="s">
        <v>372</v>
      </c>
    </row>
    <row r="78" customFormat="false" ht="38.25" hidden="false" customHeight="false" outlineLevel="0" collapsed="false">
      <c r="B78" s="155"/>
      <c r="C78" s="155" t="s">
        <v>379</v>
      </c>
      <c r="D78" s="155" t="n">
        <v>68385</v>
      </c>
      <c r="E78" s="155" t="s">
        <v>382</v>
      </c>
      <c r="F78" s="155" t="s">
        <v>372</v>
      </c>
      <c r="G78" s="155" t="s">
        <v>372</v>
      </c>
      <c r="H78" s="156" t="n">
        <v>36678</v>
      </c>
      <c r="I78" s="156" t="n">
        <v>37042</v>
      </c>
      <c r="J78" s="155" t="n">
        <v>28963</v>
      </c>
      <c r="K78" s="155" t="n">
        <v>223</v>
      </c>
      <c r="L78" s="155" t="n">
        <v>0</v>
      </c>
      <c r="M78" s="155" t="n">
        <v>223</v>
      </c>
      <c r="N78" s="155" t="n">
        <v>0</v>
      </c>
      <c r="O78" s="155" t="n">
        <v>0</v>
      </c>
      <c r="P78" s="155" t="n">
        <v>0</v>
      </c>
      <c r="Q78" s="155" t="s">
        <v>372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6" activeCellId="0" sqref="A26:IV2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37" width="9.14"/>
    <col collapsed="false" customWidth="true" hidden="true" outlineLevel="0" max="4" min="4" style="37" width="9.06"/>
    <col collapsed="false" customWidth="false" hidden="false" outlineLevel="0" max="10" min="5" style="37" width="9.14"/>
    <col collapsed="false" customWidth="true" hidden="true" outlineLevel="0" max="16" min="11" style="37" width="9.06"/>
    <col collapsed="false" customWidth="false" hidden="false" outlineLevel="0" max="257" min="17" style="37" width="9.14"/>
  </cols>
  <sheetData>
    <row r="1" customFormat="false" ht="12.75" hidden="false" customHeight="false" outlineLevel="0" collapsed="false">
      <c r="J1" s="37" t="n">
        <v>30</v>
      </c>
    </row>
    <row r="3" customFormat="false" ht="12.75" hidden="false" customHeight="false" outlineLevel="0" collapsed="false">
      <c r="B3" s="65" t="s">
        <v>154</v>
      </c>
      <c r="C3" s="66" t="s">
        <v>155</v>
      </c>
      <c r="D3" s="66" t="s">
        <v>156</v>
      </c>
      <c r="E3" s="67" t="s">
        <v>157</v>
      </c>
      <c r="F3" s="67"/>
      <c r="G3" s="65" t="s">
        <v>158</v>
      </c>
      <c r="H3" s="65" t="s">
        <v>159</v>
      </c>
      <c r="I3" s="66" t="s">
        <v>160</v>
      </c>
      <c r="J3" s="68" t="s">
        <v>161</v>
      </c>
      <c r="K3" s="66" t="s">
        <v>162</v>
      </c>
      <c r="L3" s="66" t="s">
        <v>163</v>
      </c>
      <c r="M3" s="66" t="s">
        <v>164</v>
      </c>
      <c r="N3" s="66" t="s">
        <v>165</v>
      </c>
      <c r="O3" s="69" t="s">
        <v>166</v>
      </c>
      <c r="P3" s="66" t="s">
        <v>167</v>
      </c>
      <c r="Q3" s="70" t="s">
        <v>168</v>
      </c>
      <c r="R3" s="66" t="s">
        <v>169</v>
      </c>
      <c r="S3" s="65" t="s">
        <v>170</v>
      </c>
      <c r="T3" s="71" t="s">
        <v>171</v>
      </c>
      <c r="U3" s="71" t="s">
        <v>172</v>
      </c>
      <c r="V3" s="72" t="s">
        <v>173</v>
      </c>
      <c r="W3" s="73" t="e">
        <f aca="false">+#REF!</f>
        <v>#REF!</v>
      </c>
      <c r="X3" s="74"/>
      <c r="Y3" s="74"/>
    </row>
    <row r="4" customFormat="false" ht="12.75" hidden="false" customHeight="false" outlineLevel="0" collapsed="false">
      <c r="A4" s="75"/>
      <c r="B4" s="48" t="s">
        <v>174</v>
      </c>
      <c r="C4" s="46" t="s">
        <v>255</v>
      </c>
      <c r="D4" s="46" t="s">
        <v>256</v>
      </c>
      <c r="E4" s="47" t="n">
        <v>36617</v>
      </c>
      <c r="F4" s="47" t="n">
        <v>36830</v>
      </c>
      <c r="G4" s="48" t="s">
        <v>257</v>
      </c>
      <c r="H4" s="48" t="s">
        <v>193</v>
      </c>
      <c r="I4" s="46" t="s">
        <v>258</v>
      </c>
      <c r="J4" s="60" t="e">
        <f aca="false">6.238/#REF!</f>
        <v>#REF!</v>
      </c>
      <c r="K4" s="51" t="n">
        <v>0</v>
      </c>
      <c r="L4" s="51" t="n">
        <v>0</v>
      </c>
      <c r="M4" s="51" t="n">
        <v>0</v>
      </c>
      <c r="N4" s="51" t="n">
        <v>0</v>
      </c>
      <c r="O4" s="52" t="n">
        <v>0</v>
      </c>
      <c r="P4" s="51" t="e">
        <f aca="false">SUM(J4:N4)</f>
        <v>#REF!</v>
      </c>
      <c r="Q4" s="53" t="n">
        <v>51407</v>
      </c>
      <c r="R4" s="46" t="n">
        <v>73754</v>
      </c>
      <c r="S4" s="48" t="s">
        <v>259</v>
      </c>
      <c r="T4" s="79"/>
      <c r="U4" s="79"/>
      <c r="V4" s="80" t="n">
        <v>156569</v>
      </c>
      <c r="W4" s="48"/>
      <c r="X4" s="74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</row>
    <row r="5" customFormat="false" ht="12.75" hidden="false" customHeight="false" outlineLevel="0" collapsed="false">
      <c r="A5" s="75"/>
      <c r="B5" s="48" t="s">
        <v>174</v>
      </c>
      <c r="C5" s="46" t="s">
        <v>255</v>
      </c>
      <c r="D5" s="46" t="s">
        <v>256</v>
      </c>
      <c r="E5" s="47" t="n">
        <v>36617</v>
      </c>
      <c r="F5" s="47" t="n">
        <v>36830</v>
      </c>
      <c r="G5" s="48" t="s">
        <v>257</v>
      </c>
      <c r="H5" s="48" t="s">
        <v>194</v>
      </c>
      <c r="I5" s="46" t="s">
        <v>258</v>
      </c>
      <c r="J5" s="60" t="e">
        <f aca="false">1.512/#REF!</f>
        <v>#REF!</v>
      </c>
      <c r="K5" s="51" t="n">
        <v>0</v>
      </c>
      <c r="L5" s="51" t="n">
        <v>0</v>
      </c>
      <c r="M5" s="51" t="n">
        <v>0</v>
      </c>
      <c r="N5" s="51" t="n">
        <v>0</v>
      </c>
      <c r="O5" s="52" t="n">
        <v>0</v>
      </c>
      <c r="P5" s="51" t="e">
        <f aca="false">SUM(J5:N5)</f>
        <v>#REF!</v>
      </c>
      <c r="Q5" s="53" t="n">
        <v>51407</v>
      </c>
      <c r="R5" s="46" t="n">
        <v>73754</v>
      </c>
      <c r="S5" s="48" t="s">
        <v>259</v>
      </c>
      <c r="T5" s="79"/>
      <c r="U5" s="79"/>
      <c r="V5" s="80" t="n">
        <v>156569</v>
      </c>
      <c r="W5" s="48"/>
      <c r="X5" s="74"/>
      <c r="Y5" s="74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</row>
    <row r="6" customFormat="false" ht="12.75" hidden="false" customHeight="false" outlineLevel="0" collapsed="false">
      <c r="A6" s="75"/>
      <c r="B6" s="48" t="s">
        <v>174</v>
      </c>
      <c r="C6" s="46" t="s">
        <v>255</v>
      </c>
      <c r="D6" s="46"/>
      <c r="E6" s="47" t="n">
        <v>36100</v>
      </c>
      <c r="F6" s="47" t="n">
        <v>36830</v>
      </c>
      <c r="G6" s="48" t="s">
        <v>384</v>
      </c>
      <c r="H6" s="48" t="s">
        <v>385</v>
      </c>
      <c r="I6" s="46" t="s">
        <v>90</v>
      </c>
      <c r="J6" s="60" t="n">
        <f aca="false">4.56/J$1</f>
        <v>0.152</v>
      </c>
      <c r="K6" s="51" t="n">
        <v>0.0132</v>
      </c>
      <c r="L6" s="51" t="n">
        <v>0.0022</v>
      </c>
      <c r="M6" s="51" t="n">
        <v>0.0072</v>
      </c>
      <c r="N6" s="51" t="n">
        <v>0</v>
      </c>
      <c r="O6" s="52" t="n">
        <v>0.02116</v>
      </c>
      <c r="P6" s="51" t="n">
        <f aca="false">SUM(J6:N6)</f>
        <v>0.1746</v>
      </c>
      <c r="Q6" s="53" t="n">
        <v>61822</v>
      </c>
      <c r="R6" s="46" t="n">
        <v>4000</v>
      </c>
      <c r="S6" s="48" t="s">
        <v>386</v>
      </c>
      <c r="T6" s="79" t="n">
        <f aca="false">J6*J$1*R6</f>
        <v>18240</v>
      </c>
      <c r="U6" s="79"/>
      <c r="V6" s="80" t="n">
        <v>162284</v>
      </c>
      <c r="W6" s="48"/>
      <c r="X6" s="74"/>
      <c r="Y6" s="74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  <c r="IW6" s="75"/>
    </row>
    <row r="7" customFormat="false" ht="12.75" hidden="false" customHeight="false" outlineLevel="0" collapsed="false">
      <c r="A7" s="75"/>
      <c r="B7" s="48"/>
      <c r="C7" s="46"/>
      <c r="D7" s="46"/>
      <c r="E7" s="47"/>
      <c r="F7" s="47"/>
      <c r="G7" s="48"/>
      <c r="H7" s="48"/>
      <c r="I7" s="46"/>
      <c r="J7" s="60"/>
      <c r="K7" s="51"/>
      <c r="L7" s="51"/>
      <c r="M7" s="51"/>
      <c r="N7" s="51"/>
      <c r="O7" s="52"/>
      <c r="P7" s="51"/>
      <c r="Q7" s="53"/>
      <c r="R7" s="46"/>
      <c r="S7" s="48"/>
      <c r="T7" s="79"/>
      <c r="U7" s="79"/>
      <c r="V7" s="80"/>
      <c r="W7" s="48"/>
      <c r="X7" s="74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</row>
    <row r="8" customFormat="false" ht="12.75" hidden="false" customHeight="false" outlineLevel="0" collapsed="false">
      <c r="A8" s="75"/>
      <c r="B8" s="48"/>
      <c r="C8" s="46"/>
      <c r="D8" s="46"/>
      <c r="E8" s="47"/>
      <c r="F8" s="47"/>
      <c r="G8" s="48"/>
      <c r="H8" s="48"/>
      <c r="I8" s="46"/>
      <c r="J8" s="60"/>
      <c r="K8" s="51"/>
      <c r="L8" s="51"/>
      <c r="M8" s="51"/>
      <c r="N8" s="51"/>
      <c r="O8" s="52"/>
      <c r="P8" s="51"/>
      <c r="Q8" s="53"/>
      <c r="R8" s="46"/>
      <c r="S8" s="48"/>
      <c r="T8" s="79"/>
      <c r="U8" s="79"/>
      <c r="V8" s="80"/>
      <c r="W8" s="79"/>
      <c r="X8" s="74"/>
      <c r="Y8" s="74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12.75" hidden="false" customHeight="false" outlineLevel="0" collapsed="false">
      <c r="A9" s="75"/>
      <c r="B9" s="48" t="s">
        <v>174</v>
      </c>
      <c r="C9" s="46" t="s">
        <v>255</v>
      </c>
      <c r="D9" s="46"/>
      <c r="E9" s="47" t="n">
        <v>36100</v>
      </c>
      <c r="F9" s="47" t="n">
        <v>36830</v>
      </c>
      <c r="G9" s="48" t="s">
        <v>309</v>
      </c>
      <c r="H9" s="48" t="s">
        <v>387</v>
      </c>
      <c r="I9" s="46" t="s">
        <v>90</v>
      </c>
      <c r="J9" s="60" t="n">
        <f aca="false">4.56/J$1</f>
        <v>0.152</v>
      </c>
      <c r="K9" s="51" t="n">
        <v>0.0132</v>
      </c>
      <c r="L9" s="51" t="n">
        <v>0.0022</v>
      </c>
      <c r="M9" s="51" t="n">
        <v>0.0072</v>
      </c>
      <c r="N9" s="51" t="n">
        <v>0</v>
      </c>
      <c r="O9" s="52" t="n">
        <v>0.02116</v>
      </c>
      <c r="P9" s="51" t="n">
        <f aca="false">SUM(J9:N9)</f>
        <v>0.1746</v>
      </c>
      <c r="Q9" s="53" t="n">
        <v>61838</v>
      </c>
      <c r="R9" s="46" t="n">
        <v>1000</v>
      </c>
      <c r="S9" s="48" t="s">
        <v>388</v>
      </c>
      <c r="T9" s="79" t="n">
        <f aca="false">J9*J$1*R9</f>
        <v>4560</v>
      </c>
      <c r="U9" s="79"/>
      <c r="V9" s="80" t="n">
        <v>156571</v>
      </c>
      <c r="W9" s="48"/>
      <c r="X9" s="74"/>
      <c r="Y9" s="74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2.75" hidden="false" customHeight="false" outlineLevel="0" collapsed="false">
      <c r="A10" s="75"/>
      <c r="B10" s="48" t="s">
        <v>174</v>
      </c>
      <c r="C10" s="46" t="s">
        <v>255</v>
      </c>
      <c r="D10" s="46" t="s">
        <v>260</v>
      </c>
      <c r="E10" s="47" t="n">
        <v>36526</v>
      </c>
      <c r="F10" s="47" t="n">
        <v>36830</v>
      </c>
      <c r="G10" s="48" t="s">
        <v>309</v>
      </c>
      <c r="H10" s="48" t="s">
        <v>389</v>
      </c>
      <c r="I10" s="46" t="s">
        <v>90</v>
      </c>
      <c r="J10" s="60" t="n">
        <f aca="false">4.56/J$1</f>
        <v>0.152</v>
      </c>
      <c r="K10" s="51" t="n">
        <v>0.0132</v>
      </c>
      <c r="L10" s="51" t="n">
        <v>0.0022</v>
      </c>
      <c r="M10" s="51" t="n">
        <v>0.0075</v>
      </c>
      <c r="N10" s="51" t="n">
        <v>0</v>
      </c>
      <c r="O10" s="52" t="n">
        <v>0.02116</v>
      </c>
      <c r="P10" s="51" t="n">
        <f aca="false">SUM(J10:N10)</f>
        <v>0.1749</v>
      </c>
      <c r="Q10" s="53" t="n">
        <v>61990</v>
      </c>
      <c r="R10" s="46" t="n">
        <v>2000</v>
      </c>
      <c r="S10" s="48" t="s">
        <v>390</v>
      </c>
      <c r="T10" s="79" t="n">
        <f aca="false">J10*J$1*R10</f>
        <v>9120</v>
      </c>
      <c r="U10" s="79"/>
      <c r="V10" s="80" t="n">
        <v>156573</v>
      </c>
      <c r="W10" s="79"/>
      <c r="X10" s="74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</row>
    <row r="11" customFormat="false" ht="12.75" hidden="false" customHeight="false" outlineLevel="0" collapsed="false">
      <c r="A11" s="75"/>
      <c r="B11" s="48" t="s">
        <v>174</v>
      </c>
      <c r="C11" s="46" t="s">
        <v>255</v>
      </c>
      <c r="D11" s="46" t="s">
        <v>260</v>
      </c>
      <c r="E11" s="47" t="n">
        <v>36465</v>
      </c>
      <c r="F11" s="47" t="n">
        <v>36891</v>
      </c>
      <c r="G11" s="48"/>
      <c r="H11" s="48" t="s">
        <v>261</v>
      </c>
      <c r="I11" s="46" t="s">
        <v>90</v>
      </c>
      <c r="J11" s="60" t="n">
        <f aca="false">3.0417/30.417</f>
        <v>0.1</v>
      </c>
      <c r="K11" s="51" t="n">
        <v>0.0132</v>
      </c>
      <c r="L11" s="51" t="n">
        <v>0.0022</v>
      </c>
      <c r="M11" s="51" t="n">
        <v>0.0075</v>
      </c>
      <c r="N11" s="51" t="n">
        <v>0</v>
      </c>
      <c r="O11" s="52" t="n">
        <v>0.02116</v>
      </c>
      <c r="P11" s="51" t="n">
        <f aca="false">SUM(J11:N11)</f>
        <v>0.1229</v>
      </c>
      <c r="Q11" s="53" t="n">
        <v>62164</v>
      </c>
      <c r="R11" s="46" t="n">
        <v>2000</v>
      </c>
      <c r="S11" s="48" t="s">
        <v>262</v>
      </c>
      <c r="T11" s="79" t="n">
        <f aca="false">J11*J$1*R11</f>
        <v>6000</v>
      </c>
      <c r="U11" s="80"/>
      <c r="V11" s="74" t="s">
        <v>391</v>
      </c>
      <c r="W11" s="74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  <c r="IW11" s="75"/>
    </row>
    <row r="12" customFormat="false" ht="12.75" hidden="false" customHeight="false" outlineLevel="0" collapsed="false">
      <c r="A12" s="75"/>
      <c r="B12" s="48" t="s">
        <v>174</v>
      </c>
      <c r="C12" s="46" t="s">
        <v>255</v>
      </c>
      <c r="D12" s="46" t="s">
        <v>256</v>
      </c>
      <c r="E12" s="47" t="n">
        <v>36800</v>
      </c>
      <c r="F12" s="47" t="n">
        <v>36981</v>
      </c>
      <c r="G12" s="48" t="s">
        <v>257</v>
      </c>
      <c r="H12" s="48" t="s">
        <v>287</v>
      </c>
      <c r="I12" s="46" t="s">
        <v>288</v>
      </c>
      <c r="J12" s="60" t="n">
        <f aca="false">6.029/J$1</f>
        <v>0.200966666666667</v>
      </c>
      <c r="K12" s="51" t="n">
        <v>0.013</v>
      </c>
      <c r="L12" s="51" t="n">
        <v>0.0022</v>
      </c>
      <c r="M12" s="51" t="n">
        <v>0.0072</v>
      </c>
      <c r="N12" s="51" t="n">
        <v>0</v>
      </c>
      <c r="O12" s="52" t="n">
        <v>0.02116</v>
      </c>
      <c r="P12" s="51" t="n">
        <f aca="false">SUM(J12:N12)</f>
        <v>0.223366666666667</v>
      </c>
      <c r="Q12" s="53" t="n">
        <v>67694</v>
      </c>
      <c r="R12" s="46" t="n">
        <v>108648</v>
      </c>
      <c r="S12" s="48" t="s">
        <v>143</v>
      </c>
      <c r="T12" s="79" t="n">
        <f aca="false">J12*J$1*R12</f>
        <v>655038.792</v>
      </c>
      <c r="U12" s="79"/>
      <c r="V12" s="80" t="n">
        <v>231723</v>
      </c>
      <c r="W12" s="48"/>
      <c r="X12" s="74"/>
      <c r="Y12" s="74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</row>
    <row r="13" customFormat="false" ht="12.75" hidden="false" customHeight="false" outlineLevel="0" collapsed="false">
      <c r="A13" s="75"/>
      <c r="B13" s="48" t="s">
        <v>174</v>
      </c>
      <c r="C13" s="46" t="s">
        <v>255</v>
      </c>
      <c r="D13" s="46" t="s">
        <v>256</v>
      </c>
      <c r="E13" s="47" t="n">
        <v>36617</v>
      </c>
      <c r="F13" s="47" t="n">
        <v>36981</v>
      </c>
      <c r="G13" s="48" t="s">
        <v>257</v>
      </c>
      <c r="H13" s="48" t="s">
        <v>193</v>
      </c>
      <c r="I13" s="46" t="s">
        <v>258</v>
      </c>
      <c r="J13" s="60" t="n">
        <v>0.0293</v>
      </c>
      <c r="K13" s="51" t="n">
        <v>0</v>
      </c>
      <c r="L13" s="51" t="n">
        <v>0</v>
      </c>
      <c r="M13" s="51" t="n">
        <v>0</v>
      </c>
      <c r="N13" s="51" t="n">
        <v>0</v>
      </c>
      <c r="O13" s="52" t="n">
        <v>0</v>
      </c>
      <c r="P13" s="51" t="n">
        <f aca="false">SUM(J13:N13)</f>
        <v>0.0293</v>
      </c>
      <c r="Q13" s="53" t="n">
        <v>67712</v>
      </c>
      <c r="R13" s="46" t="n">
        <v>6050607</v>
      </c>
      <c r="S13" s="48" t="s">
        <v>289</v>
      </c>
      <c r="T13" s="79" t="n">
        <f aca="false">J13*R13</f>
        <v>177282.7851</v>
      </c>
      <c r="U13" s="79"/>
      <c r="V13" s="80" t="n">
        <v>235876</v>
      </c>
      <c r="W13" s="48" t="n">
        <v>231698</v>
      </c>
      <c r="X13" s="74"/>
      <c r="Y13" s="74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</row>
    <row r="14" customFormat="false" ht="12.75" hidden="false" customHeight="false" outlineLevel="0" collapsed="false">
      <c r="A14" s="75"/>
      <c r="B14" s="48" t="s">
        <v>174</v>
      </c>
      <c r="C14" s="46" t="s">
        <v>255</v>
      </c>
      <c r="D14" s="46" t="s">
        <v>256</v>
      </c>
      <c r="E14" s="47" t="n">
        <v>36617</v>
      </c>
      <c r="F14" s="47" t="n">
        <v>36981</v>
      </c>
      <c r="G14" s="48" t="s">
        <v>257</v>
      </c>
      <c r="H14" s="48" t="s">
        <v>194</v>
      </c>
      <c r="I14" s="46" t="s">
        <v>258</v>
      </c>
      <c r="J14" s="60" t="n">
        <v>1.524</v>
      </c>
      <c r="K14" s="51" t="n">
        <v>0</v>
      </c>
      <c r="L14" s="51" t="n">
        <v>0</v>
      </c>
      <c r="M14" s="51" t="n">
        <v>0</v>
      </c>
      <c r="N14" s="51" t="n">
        <v>0</v>
      </c>
      <c r="O14" s="52" t="n">
        <v>0</v>
      </c>
      <c r="P14" s="51" t="n">
        <f aca="false">SUM(J14:N14)</f>
        <v>1.524</v>
      </c>
      <c r="Q14" s="53" t="n">
        <v>67712</v>
      </c>
      <c r="R14" s="46" t="n">
        <v>108648</v>
      </c>
      <c r="S14" s="48" t="s">
        <v>289</v>
      </c>
      <c r="T14" s="79" t="n">
        <f aca="false">J14*R14</f>
        <v>165579.552</v>
      </c>
      <c r="U14" s="79"/>
      <c r="V14" s="80" t="n">
        <v>235876</v>
      </c>
      <c r="W14" s="48" t="n">
        <v>231698</v>
      </c>
      <c r="X14" s="74"/>
      <c r="Y14" s="74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</row>
    <row r="15" customFormat="false" ht="12.75" hidden="false" customHeight="false" outlineLevel="0" collapsed="false">
      <c r="A15" s="75"/>
      <c r="B15" s="48" t="s">
        <v>174</v>
      </c>
      <c r="C15" s="46" t="s">
        <v>255</v>
      </c>
      <c r="D15" s="46" t="s">
        <v>256</v>
      </c>
      <c r="E15" s="47" t="n">
        <v>36617</v>
      </c>
      <c r="F15" s="47" t="n">
        <v>36981</v>
      </c>
      <c r="G15" s="48" t="s">
        <v>257</v>
      </c>
      <c r="H15" s="48" t="s">
        <v>193</v>
      </c>
      <c r="I15" s="46" t="s">
        <v>258</v>
      </c>
      <c r="J15" s="60" t="n">
        <v>0</v>
      </c>
      <c r="K15" s="51" t="n">
        <v>0</v>
      </c>
      <c r="L15" s="51" t="n">
        <v>0</v>
      </c>
      <c r="M15" s="51" t="n">
        <v>0</v>
      </c>
      <c r="N15" s="51" t="n">
        <v>0</v>
      </c>
      <c r="O15" s="52" t="n">
        <v>0</v>
      </c>
      <c r="P15" s="51" t="n">
        <f aca="false">SUM(J15:N15)</f>
        <v>0</v>
      </c>
      <c r="Q15" s="53" t="n">
        <v>67713</v>
      </c>
      <c r="R15" s="46" t="n">
        <v>0</v>
      </c>
      <c r="S15" s="48" t="s">
        <v>290</v>
      </c>
      <c r="T15" s="79" t="n">
        <f aca="false">J15*R15</f>
        <v>0</v>
      </c>
      <c r="U15" s="79"/>
      <c r="V15" s="80" t="n">
        <v>235876</v>
      </c>
      <c r="W15" s="48"/>
      <c r="X15" s="74"/>
      <c r="Y15" s="74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  <c r="IW15" s="75"/>
    </row>
    <row r="16" customFormat="false" ht="12.75" hidden="false" customHeight="false" outlineLevel="0" collapsed="false">
      <c r="A16" s="75"/>
      <c r="B16" s="48" t="s">
        <v>174</v>
      </c>
      <c r="C16" s="46" t="s">
        <v>255</v>
      </c>
      <c r="D16" s="46" t="s">
        <v>256</v>
      </c>
      <c r="E16" s="47" t="n">
        <v>36617</v>
      </c>
      <c r="F16" s="47" t="n">
        <v>36981</v>
      </c>
      <c r="G16" s="48" t="s">
        <v>257</v>
      </c>
      <c r="H16" s="48" t="s">
        <v>194</v>
      </c>
      <c r="I16" s="46" t="s">
        <v>258</v>
      </c>
      <c r="J16" s="60" t="n">
        <v>0</v>
      </c>
      <c r="K16" s="51" t="n">
        <v>0</v>
      </c>
      <c r="L16" s="51" t="n">
        <v>0</v>
      </c>
      <c r="M16" s="51" t="n">
        <v>0</v>
      </c>
      <c r="N16" s="51" t="n">
        <v>0</v>
      </c>
      <c r="O16" s="52" t="n">
        <v>0</v>
      </c>
      <c r="P16" s="51" t="n">
        <f aca="false">SUM(J16:N16)</f>
        <v>0</v>
      </c>
      <c r="Q16" s="53" t="n">
        <v>67713</v>
      </c>
      <c r="R16" s="46" t="n">
        <v>0</v>
      </c>
      <c r="S16" s="48" t="s">
        <v>290</v>
      </c>
      <c r="T16" s="79" t="n">
        <f aca="false">J16*R16</f>
        <v>0</v>
      </c>
      <c r="U16" s="79"/>
      <c r="V16" s="80" t="n">
        <v>235876</v>
      </c>
      <c r="W16" s="48"/>
      <c r="X16" s="74"/>
      <c r="Y16" s="74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</row>
    <row r="17" customFormat="false" ht="12.75" hidden="false" customHeight="false" outlineLevel="0" collapsed="false">
      <c r="A17" s="75"/>
      <c r="B17" s="48" t="s">
        <v>174</v>
      </c>
      <c r="C17" s="46" t="s">
        <v>255</v>
      </c>
      <c r="D17" s="46" t="s">
        <v>297</v>
      </c>
      <c r="E17" s="47" t="n">
        <v>36678</v>
      </c>
      <c r="F17" s="47" t="n">
        <v>37042</v>
      </c>
      <c r="G17" s="48" t="s">
        <v>266</v>
      </c>
      <c r="H17" s="48" t="s">
        <v>298</v>
      </c>
      <c r="I17" s="46" t="s">
        <v>90</v>
      </c>
      <c r="J17" s="60" t="n">
        <f aca="false">6.401/J$1</f>
        <v>0.213366666666667</v>
      </c>
      <c r="K17" s="51" t="n">
        <v>0.0132</v>
      </c>
      <c r="L17" s="51" t="n">
        <v>0.0022</v>
      </c>
      <c r="M17" s="51" t="n">
        <v>0.0072</v>
      </c>
      <c r="N17" s="51" t="n">
        <v>0</v>
      </c>
      <c r="O17" s="52" t="n">
        <v>0.02116</v>
      </c>
      <c r="P17" s="51" t="n">
        <f aca="false">SUM(J17:N17)</f>
        <v>0.235966666666667</v>
      </c>
      <c r="Q17" s="53" t="n">
        <v>68359</v>
      </c>
      <c r="R17" s="46" t="n">
        <v>285</v>
      </c>
      <c r="S17" s="48" t="s">
        <v>299</v>
      </c>
      <c r="T17" s="79" t="n">
        <f aca="false">J17*J$1*R17</f>
        <v>1824.285</v>
      </c>
      <c r="U17" s="79"/>
      <c r="V17" s="80" t="n">
        <v>271307</v>
      </c>
      <c r="W17" s="48"/>
      <c r="X17" s="74"/>
      <c r="Y17" s="74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  <c r="IW17" s="75"/>
    </row>
    <row r="18" customFormat="false" ht="12.75" hidden="false" customHeight="false" outlineLevel="0" collapsed="false">
      <c r="A18" s="75"/>
      <c r="B18" s="48" t="s">
        <v>174</v>
      </c>
      <c r="C18" s="46" t="s">
        <v>255</v>
      </c>
      <c r="D18" s="46" t="s">
        <v>269</v>
      </c>
      <c r="E18" s="47" t="n">
        <v>36678</v>
      </c>
      <c r="F18" s="47" t="n">
        <v>37042</v>
      </c>
      <c r="G18" s="48" t="s">
        <v>266</v>
      </c>
      <c r="H18" s="48" t="s">
        <v>270</v>
      </c>
      <c r="I18" s="46" t="s">
        <v>90</v>
      </c>
      <c r="J18" s="60" t="n">
        <f aca="false">6.401/J$1</f>
        <v>0.213366666666667</v>
      </c>
      <c r="K18" s="51" t="n">
        <v>0.0132</v>
      </c>
      <c r="L18" s="51" t="n">
        <v>0.0022</v>
      </c>
      <c r="M18" s="51" t="n">
        <v>0.0072</v>
      </c>
      <c r="N18" s="51" t="n">
        <v>0</v>
      </c>
      <c r="O18" s="52" t="n">
        <v>0.02116</v>
      </c>
      <c r="P18" s="51" t="n">
        <f aca="false">SUM(J18:N18)</f>
        <v>0.235966666666667</v>
      </c>
      <c r="Q18" s="53" t="n">
        <v>68384</v>
      </c>
      <c r="R18" s="46" t="n">
        <v>218</v>
      </c>
      <c r="S18" s="48" t="s">
        <v>300</v>
      </c>
      <c r="T18" s="79" t="n">
        <f aca="false">J18*J$1*R18</f>
        <v>1395.418</v>
      </c>
      <c r="U18" s="79"/>
      <c r="V18" s="80" t="n">
        <v>280570</v>
      </c>
      <c r="W18" s="48"/>
      <c r="X18" s="74"/>
      <c r="Y18" s="74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</row>
    <row r="19" customFormat="false" ht="12.75" hidden="false" customHeight="false" outlineLevel="0" collapsed="false">
      <c r="A19" s="75"/>
      <c r="B19" s="48" t="s">
        <v>174</v>
      </c>
      <c r="C19" s="46" t="s">
        <v>255</v>
      </c>
      <c r="D19" s="46" t="s">
        <v>297</v>
      </c>
      <c r="E19" s="47" t="n">
        <v>36708</v>
      </c>
      <c r="F19" s="47" t="n">
        <v>37072</v>
      </c>
      <c r="G19" s="48" t="s">
        <v>266</v>
      </c>
      <c r="H19" s="48" t="s">
        <v>298</v>
      </c>
      <c r="I19" s="46" t="s">
        <v>90</v>
      </c>
      <c r="J19" s="60" t="n">
        <f aca="false">6.449/J$1</f>
        <v>0.214966666666667</v>
      </c>
      <c r="K19" s="51" t="n">
        <v>0.0132</v>
      </c>
      <c r="L19" s="51" t="n">
        <v>0.0022</v>
      </c>
      <c r="M19" s="51" t="n">
        <v>0.0072</v>
      </c>
      <c r="N19" s="51" t="n">
        <v>0</v>
      </c>
      <c r="O19" s="52" t="n">
        <v>0.02116</v>
      </c>
      <c r="P19" s="51" t="n">
        <f aca="false">SUM(J19:N19)</f>
        <v>0.237566666666667</v>
      </c>
      <c r="Q19" s="53" t="n">
        <v>68616</v>
      </c>
      <c r="R19" s="46" t="n">
        <v>900</v>
      </c>
      <c r="S19" s="48" t="s">
        <v>301</v>
      </c>
      <c r="T19" s="79" t="n">
        <f aca="false">J19*J$1*R19</f>
        <v>5804.1</v>
      </c>
      <c r="U19" s="79"/>
      <c r="V19" s="80" t="n">
        <v>309723</v>
      </c>
      <c r="W19" s="48" t="s">
        <v>302</v>
      </c>
      <c r="X19" s="74"/>
      <c r="Y19" s="74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</row>
    <row r="20" customFormat="false" ht="12.75" hidden="false" customHeight="false" outlineLevel="0" collapsed="false">
      <c r="A20" s="75"/>
      <c r="B20" s="48" t="s">
        <v>174</v>
      </c>
      <c r="C20" s="46" t="s">
        <v>255</v>
      </c>
      <c r="D20" s="46" t="s">
        <v>269</v>
      </c>
      <c r="E20" s="47" t="n">
        <v>36708</v>
      </c>
      <c r="F20" s="47" t="n">
        <v>37072</v>
      </c>
      <c r="G20" s="48" t="s">
        <v>266</v>
      </c>
      <c r="H20" s="48" t="s">
        <v>303</v>
      </c>
      <c r="I20" s="46" t="s">
        <v>90</v>
      </c>
      <c r="J20" s="60" t="n">
        <f aca="false">6.449/J$1</f>
        <v>0.214966666666667</v>
      </c>
      <c r="K20" s="51" t="n">
        <v>0.0132</v>
      </c>
      <c r="L20" s="51" t="n">
        <v>0.0022</v>
      </c>
      <c r="M20" s="51" t="n">
        <v>0.0072</v>
      </c>
      <c r="N20" s="51" t="n">
        <v>0</v>
      </c>
      <c r="O20" s="52" t="n">
        <v>0.02116</v>
      </c>
      <c r="P20" s="51" t="n">
        <f aca="false">SUM(J20:N20)</f>
        <v>0.237566666666667</v>
      </c>
      <c r="Q20" s="53" t="n">
        <v>68635</v>
      </c>
      <c r="R20" s="46" t="n">
        <v>1</v>
      </c>
      <c r="S20" s="48" t="s">
        <v>304</v>
      </c>
      <c r="T20" s="79" t="n">
        <f aca="false">J20*J$1*R20</f>
        <v>6.449</v>
      </c>
      <c r="U20" s="79"/>
      <c r="V20" s="80" t="n">
        <v>312333</v>
      </c>
      <c r="W20" s="48"/>
      <c r="X20" s="74"/>
      <c r="Y20" s="74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</row>
    <row r="21" customFormat="false" ht="12.75" hidden="false" customHeight="false" outlineLevel="0" collapsed="false">
      <c r="A21" s="75"/>
      <c r="B21" s="48" t="s">
        <v>174</v>
      </c>
      <c r="C21" s="46" t="s">
        <v>255</v>
      </c>
      <c r="D21" s="46" t="s">
        <v>269</v>
      </c>
      <c r="E21" s="47" t="n">
        <v>36739</v>
      </c>
      <c r="F21" s="47" t="n">
        <v>37103</v>
      </c>
      <c r="G21" s="48" t="s">
        <v>266</v>
      </c>
      <c r="H21" s="48" t="s">
        <v>298</v>
      </c>
      <c r="I21" s="46" t="s">
        <v>90</v>
      </c>
      <c r="J21" s="60" t="n">
        <f aca="false">6.449/J$1</f>
        <v>0.214966666666667</v>
      </c>
      <c r="K21" s="51" t="n">
        <v>0.0132</v>
      </c>
      <c r="L21" s="51" t="n">
        <v>0.0022</v>
      </c>
      <c r="M21" s="51" t="n">
        <v>0.0072</v>
      </c>
      <c r="N21" s="51" t="n">
        <v>0</v>
      </c>
      <c r="O21" s="52" t="n">
        <v>0.02116</v>
      </c>
      <c r="P21" s="51" t="n">
        <f aca="false">SUM(J21:N21)</f>
        <v>0.237566666666667</v>
      </c>
      <c r="Q21" s="53" t="n">
        <v>64328</v>
      </c>
      <c r="R21" s="46" t="n">
        <v>4</v>
      </c>
      <c r="S21" s="48" t="s">
        <v>324</v>
      </c>
      <c r="T21" s="79" t="n">
        <f aca="false">J21*J$1*R21</f>
        <v>25.796</v>
      </c>
      <c r="U21" s="79"/>
      <c r="V21" s="80" t="n">
        <v>345108</v>
      </c>
      <c r="W21" s="48"/>
      <c r="X21" s="74"/>
      <c r="Y21" s="74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  <c r="IW21" s="75"/>
    </row>
    <row r="22" customFormat="false" ht="12.75" hidden="false" customHeight="false" outlineLevel="0" collapsed="false">
      <c r="A22" s="75"/>
      <c r="B22" s="48" t="s">
        <v>174</v>
      </c>
      <c r="C22" s="46" t="s">
        <v>255</v>
      </c>
      <c r="D22" s="46" t="s">
        <v>269</v>
      </c>
      <c r="E22" s="47" t="n">
        <v>36739</v>
      </c>
      <c r="F22" s="47" t="n">
        <v>37103</v>
      </c>
      <c r="G22" s="48" t="s">
        <v>266</v>
      </c>
      <c r="H22" s="48" t="s">
        <v>270</v>
      </c>
      <c r="I22" s="46" t="s">
        <v>90</v>
      </c>
      <c r="J22" s="60" t="n">
        <f aca="false">6.401/J$1</f>
        <v>0.213366666666667</v>
      </c>
      <c r="K22" s="51" t="n">
        <v>0.0132</v>
      </c>
      <c r="L22" s="51" t="n">
        <v>0.0022</v>
      </c>
      <c r="M22" s="51" t="n">
        <v>0.0072</v>
      </c>
      <c r="N22" s="51" t="n">
        <v>0</v>
      </c>
      <c r="O22" s="52" t="n">
        <v>0.02116</v>
      </c>
      <c r="P22" s="51" t="n">
        <f aca="false">SUM(J22:N22)</f>
        <v>0.235966666666667</v>
      </c>
      <c r="Q22" s="53" t="n">
        <v>68926</v>
      </c>
      <c r="R22" s="46" t="n">
        <v>4</v>
      </c>
      <c r="S22" s="48" t="s">
        <v>322</v>
      </c>
      <c r="T22" s="79" t="n">
        <f aca="false">J22*J$1*R22</f>
        <v>25.604</v>
      </c>
      <c r="U22" s="79"/>
      <c r="V22" s="80" t="n">
        <v>345125</v>
      </c>
      <c r="W22" s="48"/>
      <c r="X22" s="74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</row>
    <row r="23" customFormat="false" ht="12.75" hidden="false" customHeight="false" outlineLevel="0" collapsed="false">
      <c r="A23" s="75"/>
      <c r="B23" s="48"/>
      <c r="C23" s="46"/>
      <c r="D23" s="46"/>
      <c r="E23" s="47"/>
      <c r="F23" s="47"/>
      <c r="G23" s="48"/>
      <c r="H23" s="48"/>
      <c r="I23" s="46"/>
      <c r="J23" s="60"/>
      <c r="K23" s="51"/>
      <c r="L23" s="51"/>
      <c r="M23" s="51"/>
      <c r="N23" s="51"/>
      <c r="O23" s="52"/>
      <c r="P23" s="51"/>
      <c r="Q23" s="53"/>
      <c r="R23" s="46"/>
      <c r="S23" s="48"/>
      <c r="T23" s="79"/>
      <c r="U23" s="79"/>
      <c r="V23" s="80"/>
      <c r="W23" s="48"/>
      <c r="X23" s="74"/>
      <c r="Y23" s="74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</row>
    <row r="24" customFormat="false" ht="12.75" hidden="false" customHeight="false" outlineLevel="0" collapsed="false">
      <c r="A24" s="75"/>
      <c r="B24" s="48"/>
      <c r="C24" s="46"/>
      <c r="D24" s="46"/>
      <c r="E24" s="47"/>
      <c r="F24" s="47"/>
      <c r="G24" s="48"/>
      <c r="H24" s="48"/>
      <c r="I24" s="46"/>
      <c r="J24" s="60"/>
      <c r="K24" s="51"/>
      <c r="L24" s="51"/>
      <c r="M24" s="51"/>
      <c r="N24" s="51"/>
      <c r="O24" s="52"/>
      <c r="P24" s="51"/>
      <c r="Q24" s="53"/>
      <c r="R24" s="46"/>
      <c r="S24" s="48"/>
      <c r="T24" s="79"/>
      <c r="U24" s="79"/>
      <c r="V24" s="80"/>
      <c r="W24" s="48"/>
      <c r="X24" s="74"/>
      <c r="Y24" s="74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</row>
    <row r="25" customFormat="false" ht="12.75" hidden="false" customHeight="false" outlineLevel="0" collapsed="false">
      <c r="A25" s="75"/>
      <c r="B25" s="48"/>
      <c r="C25" s="46"/>
      <c r="D25" s="46"/>
      <c r="E25" s="47"/>
      <c r="F25" s="47"/>
      <c r="G25" s="48"/>
      <c r="H25" s="48"/>
      <c r="I25" s="46"/>
      <c r="J25" s="60"/>
      <c r="K25" s="51"/>
      <c r="L25" s="51"/>
      <c r="M25" s="51"/>
      <c r="N25" s="51"/>
      <c r="O25" s="52"/>
      <c r="P25" s="51"/>
      <c r="Q25" s="53"/>
      <c r="R25" s="46"/>
      <c r="S25" s="48"/>
      <c r="T25" s="79"/>
      <c r="U25" s="79"/>
      <c r="V25" s="80"/>
      <c r="W25" s="48"/>
      <c r="X25" s="74"/>
      <c r="Y25" s="74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</row>
    <row r="26" customFormat="false" ht="12.75" hidden="false" customHeight="false" outlineLevel="0" collapsed="false">
      <c r="A26" s="145"/>
      <c r="B26" s="146" t="s">
        <v>174</v>
      </c>
      <c r="C26" s="113" t="s">
        <v>255</v>
      </c>
      <c r="D26" s="113" t="s">
        <v>332</v>
      </c>
      <c r="E26" s="147" t="n">
        <v>36465</v>
      </c>
      <c r="F26" s="147" t="n">
        <v>36830</v>
      </c>
      <c r="G26" s="146" t="s">
        <v>266</v>
      </c>
      <c r="H26" s="146" t="s">
        <v>392</v>
      </c>
      <c r="I26" s="113" t="s">
        <v>90</v>
      </c>
      <c r="J26" s="148" t="n">
        <f aca="false">6.449/J$1</f>
        <v>0.214966666666667</v>
      </c>
      <c r="K26" s="149" t="n">
        <v>0.0132</v>
      </c>
      <c r="L26" s="149" t="n">
        <v>0.0022</v>
      </c>
      <c r="M26" s="149" t="n">
        <v>0.0072</v>
      </c>
      <c r="N26" s="149" t="n">
        <v>0</v>
      </c>
      <c r="O26" s="150" t="n">
        <v>0.02116</v>
      </c>
      <c r="P26" s="149" t="n">
        <f aca="false">SUM(J26:N26)</f>
        <v>0.237566666666667</v>
      </c>
      <c r="Q26" s="151" t="n">
        <v>65042</v>
      </c>
      <c r="R26" s="113" t="n">
        <v>4427</v>
      </c>
      <c r="S26" s="146" t="s">
        <v>393</v>
      </c>
      <c r="T26" s="152" t="n">
        <f aca="false">J26*J$1*R26</f>
        <v>28549.723</v>
      </c>
      <c r="U26" s="152"/>
      <c r="V26" s="153" t="n">
        <v>162287</v>
      </c>
      <c r="W26" s="146"/>
      <c r="X26" s="154"/>
      <c r="Y26" s="154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  <c r="DW26" s="145"/>
      <c r="DX26" s="145"/>
      <c r="DY26" s="145"/>
      <c r="DZ26" s="145"/>
      <c r="EA26" s="145"/>
      <c r="EB26" s="145"/>
      <c r="EC26" s="145"/>
      <c r="ED26" s="145"/>
      <c r="EE26" s="145"/>
      <c r="EF26" s="145"/>
      <c r="EG26" s="145"/>
      <c r="EH26" s="145"/>
      <c r="EI26" s="145"/>
      <c r="EJ26" s="145"/>
      <c r="EK26" s="145"/>
      <c r="EL26" s="145"/>
      <c r="EM26" s="145"/>
      <c r="EN26" s="145"/>
      <c r="EO26" s="145"/>
      <c r="EP26" s="145"/>
      <c r="EQ26" s="145"/>
      <c r="ER26" s="145"/>
      <c r="ES26" s="145"/>
      <c r="ET26" s="145"/>
      <c r="EU26" s="145"/>
      <c r="EV26" s="145"/>
      <c r="EW26" s="145"/>
      <c r="EX26" s="145"/>
      <c r="EY26" s="145"/>
      <c r="EZ26" s="145"/>
      <c r="FA26" s="145"/>
      <c r="FB26" s="145"/>
      <c r="FC26" s="145"/>
      <c r="FD26" s="145"/>
      <c r="FE26" s="145"/>
      <c r="FF26" s="145"/>
      <c r="FG26" s="145"/>
      <c r="FH26" s="145"/>
      <c r="FI26" s="145"/>
      <c r="FJ26" s="145"/>
      <c r="FK26" s="145"/>
      <c r="FL26" s="145"/>
      <c r="FM26" s="145"/>
      <c r="FN26" s="145"/>
      <c r="FO26" s="145"/>
      <c r="FP26" s="145"/>
      <c r="FQ26" s="145"/>
      <c r="FR26" s="145"/>
      <c r="FS26" s="145"/>
      <c r="FT26" s="145"/>
      <c r="FU26" s="145"/>
      <c r="FV26" s="145"/>
      <c r="FW26" s="145"/>
      <c r="FX26" s="145"/>
      <c r="FY26" s="145"/>
      <c r="FZ26" s="145"/>
      <c r="GA26" s="145"/>
      <c r="GB26" s="145"/>
      <c r="GC26" s="145"/>
      <c r="GD26" s="145"/>
      <c r="GE26" s="145"/>
      <c r="GF26" s="145"/>
      <c r="GG26" s="145"/>
      <c r="GH26" s="145"/>
      <c r="GI26" s="145"/>
      <c r="GJ26" s="145"/>
      <c r="GK26" s="145"/>
      <c r="GL26" s="145"/>
      <c r="GM26" s="145"/>
      <c r="GN26" s="145"/>
      <c r="GO26" s="145"/>
      <c r="GP26" s="145"/>
      <c r="GQ26" s="145"/>
      <c r="GR26" s="145"/>
      <c r="GS26" s="145"/>
      <c r="GT26" s="145"/>
      <c r="GU26" s="145"/>
      <c r="GV26" s="145"/>
      <c r="GW26" s="145"/>
      <c r="GX26" s="145"/>
      <c r="GY26" s="145"/>
      <c r="GZ26" s="145"/>
      <c r="HA26" s="145"/>
      <c r="HB26" s="145"/>
      <c r="HC26" s="145"/>
      <c r="HD26" s="145"/>
      <c r="HE26" s="145"/>
      <c r="HF26" s="145"/>
      <c r="HG26" s="145"/>
      <c r="HH26" s="145"/>
      <c r="HI26" s="145"/>
      <c r="HJ26" s="145"/>
      <c r="HK26" s="145"/>
      <c r="HL26" s="145"/>
      <c r="HM26" s="145"/>
      <c r="HN26" s="145"/>
      <c r="HO26" s="145"/>
      <c r="HP26" s="145"/>
      <c r="HQ26" s="145"/>
      <c r="HR26" s="145"/>
      <c r="HS26" s="145"/>
      <c r="HT26" s="145"/>
      <c r="HU26" s="145"/>
      <c r="HV26" s="145"/>
      <c r="HW26" s="145"/>
      <c r="HX26" s="145"/>
      <c r="HY26" s="145"/>
      <c r="HZ26" s="145"/>
      <c r="IA26" s="145"/>
      <c r="IB26" s="145"/>
      <c r="IC26" s="145"/>
      <c r="ID26" s="145"/>
      <c r="IE26" s="145"/>
      <c r="IF26" s="145"/>
      <c r="IG26" s="145"/>
      <c r="IH26" s="145"/>
      <c r="II26" s="145"/>
      <c r="IJ26" s="145"/>
      <c r="IK26" s="145"/>
      <c r="IL26" s="145"/>
      <c r="IM26" s="145"/>
      <c r="IN26" s="145"/>
      <c r="IO26" s="145"/>
      <c r="IP26" s="145"/>
      <c r="IQ26" s="145"/>
      <c r="IR26" s="145"/>
      <c r="IS26" s="145"/>
      <c r="IT26" s="145"/>
      <c r="IU26" s="145"/>
      <c r="IV26" s="145"/>
      <c r="IW26" s="145"/>
    </row>
    <row r="27" customFormat="false" ht="12.75" hidden="false" customHeight="false" outlineLevel="0" collapsed="false">
      <c r="A27" s="161"/>
      <c r="B27" s="162" t="s">
        <v>174</v>
      </c>
      <c r="C27" s="163" t="s">
        <v>255</v>
      </c>
      <c r="D27" s="163" t="s">
        <v>332</v>
      </c>
      <c r="E27" s="164" t="n">
        <v>36831</v>
      </c>
      <c r="F27" s="164" t="n">
        <v>37195</v>
      </c>
      <c r="G27" s="162" t="s">
        <v>266</v>
      </c>
      <c r="H27" s="162" t="s">
        <v>392</v>
      </c>
      <c r="I27" s="163" t="s">
        <v>90</v>
      </c>
      <c r="J27" s="165" t="n">
        <f aca="false">6.449/J$1</f>
        <v>0.214966666666667</v>
      </c>
      <c r="K27" s="166" t="n">
        <v>0.0132</v>
      </c>
      <c r="L27" s="166" t="n">
        <v>0.0022</v>
      </c>
      <c r="M27" s="166" t="n">
        <v>0.0072</v>
      </c>
      <c r="N27" s="166" t="n">
        <v>0</v>
      </c>
      <c r="O27" s="167" t="n">
        <v>0.02116</v>
      </c>
      <c r="P27" s="166" t="n">
        <f aca="false">SUM(J27:N27)</f>
        <v>0.237566666666667</v>
      </c>
      <c r="Q27" s="168"/>
      <c r="R27" s="163" t="n">
        <v>4018</v>
      </c>
      <c r="S27" s="162" t="s">
        <v>394</v>
      </c>
      <c r="T27" s="169" t="n">
        <f aca="false">J27*J$1*R27</f>
        <v>25912.082</v>
      </c>
      <c r="U27" s="169"/>
      <c r="V27" s="170" t="n">
        <v>162287</v>
      </c>
      <c r="W27" s="162"/>
      <c r="X27" s="171"/>
      <c r="Y27" s="17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  <c r="CQ27" s="161"/>
      <c r="CR27" s="161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  <c r="FD27" s="161"/>
      <c r="FE27" s="161"/>
      <c r="FF27" s="161"/>
      <c r="FG27" s="161"/>
      <c r="FH27" s="161"/>
      <c r="FI27" s="161"/>
      <c r="FJ27" s="161"/>
      <c r="FK27" s="161"/>
      <c r="FL27" s="161"/>
      <c r="FM27" s="161"/>
      <c r="FN27" s="161"/>
      <c r="FO27" s="161"/>
      <c r="FP27" s="161"/>
      <c r="FQ27" s="161"/>
      <c r="FR27" s="161"/>
      <c r="FS27" s="161"/>
      <c r="FT27" s="161"/>
      <c r="FU27" s="161"/>
      <c r="FV27" s="161"/>
      <c r="FW27" s="161"/>
      <c r="FX27" s="161"/>
      <c r="FY27" s="161"/>
      <c r="FZ27" s="161"/>
      <c r="GA27" s="161"/>
      <c r="GB27" s="161"/>
      <c r="GC27" s="161"/>
      <c r="GD27" s="161"/>
      <c r="GE27" s="161"/>
      <c r="GF27" s="161"/>
      <c r="GG27" s="161"/>
      <c r="GH27" s="161"/>
      <c r="GI27" s="161"/>
      <c r="GJ27" s="161"/>
      <c r="GK27" s="161"/>
      <c r="GL27" s="161"/>
      <c r="GM27" s="161"/>
      <c r="GN27" s="161"/>
      <c r="GO27" s="161"/>
      <c r="GP27" s="161"/>
      <c r="GQ27" s="161"/>
      <c r="GR27" s="161"/>
      <c r="GS27" s="161"/>
      <c r="GT27" s="161"/>
      <c r="GU27" s="161"/>
      <c r="GV27" s="161"/>
      <c r="GW27" s="161"/>
      <c r="GX27" s="161"/>
      <c r="GY27" s="161"/>
      <c r="GZ27" s="161"/>
      <c r="HA27" s="161"/>
      <c r="HB27" s="161"/>
      <c r="HC27" s="161"/>
      <c r="HD27" s="161"/>
      <c r="HE27" s="161"/>
      <c r="HF27" s="161"/>
      <c r="HG27" s="161"/>
      <c r="HH27" s="161"/>
      <c r="HI27" s="161"/>
      <c r="HJ27" s="161"/>
      <c r="HK27" s="161"/>
      <c r="HL27" s="161"/>
      <c r="HM27" s="161"/>
      <c r="HN27" s="161"/>
      <c r="HO27" s="161"/>
      <c r="HP27" s="161"/>
      <c r="HQ27" s="161"/>
      <c r="HR27" s="161"/>
      <c r="HS27" s="161"/>
      <c r="HT27" s="161"/>
      <c r="HU27" s="161"/>
      <c r="HV27" s="161"/>
      <c r="HW27" s="161"/>
      <c r="HX27" s="161"/>
      <c r="HY27" s="161"/>
      <c r="HZ27" s="161"/>
      <c r="IA27" s="161"/>
      <c r="IB27" s="161"/>
      <c r="IC27" s="161"/>
      <c r="ID27" s="161"/>
      <c r="IE27" s="161"/>
      <c r="IF27" s="161"/>
      <c r="IG27" s="161"/>
      <c r="IH27" s="161"/>
      <c r="II27" s="161"/>
      <c r="IJ27" s="161"/>
      <c r="IK27" s="161"/>
      <c r="IL27" s="161"/>
      <c r="IM27" s="161"/>
      <c r="IN27" s="161"/>
      <c r="IO27" s="161"/>
      <c r="IP27" s="161"/>
      <c r="IQ27" s="161"/>
      <c r="IR27" s="161"/>
      <c r="IS27" s="161"/>
      <c r="IT27" s="161"/>
      <c r="IU27" s="161"/>
      <c r="IV27" s="161"/>
      <c r="IW27" s="161"/>
    </row>
    <row r="28" customFormat="false" ht="12.75" hidden="false" customHeight="false" outlineLevel="0" collapsed="false">
      <c r="A28" s="75"/>
      <c r="B28" s="48"/>
      <c r="C28" s="46"/>
      <c r="D28" s="46"/>
      <c r="E28" s="47"/>
      <c r="F28" s="47"/>
      <c r="G28" s="48"/>
      <c r="H28" s="48"/>
      <c r="I28" s="46"/>
      <c r="J28" s="60"/>
      <c r="K28" s="51"/>
      <c r="L28" s="51"/>
      <c r="M28" s="51"/>
      <c r="N28" s="51"/>
      <c r="O28" s="52"/>
      <c r="P28" s="51"/>
      <c r="Q28" s="53"/>
      <c r="R28" s="46"/>
      <c r="S28" s="48"/>
      <c r="T28" s="79"/>
      <c r="U28" s="79"/>
      <c r="V28" s="80"/>
      <c r="W28" s="48"/>
      <c r="X28" s="74"/>
      <c r="Y28" s="74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  <c r="IW28" s="75"/>
    </row>
    <row r="29" customFormat="false" ht="12.75" hidden="false" customHeight="false" outlineLevel="0" collapsed="false">
      <c r="A29" s="75"/>
      <c r="B29" s="48" t="s">
        <v>174</v>
      </c>
      <c r="C29" s="46" t="s">
        <v>255</v>
      </c>
      <c r="D29" s="46" t="s">
        <v>265</v>
      </c>
      <c r="E29" s="47" t="n">
        <v>36465</v>
      </c>
      <c r="F29" s="47" t="n">
        <v>37011</v>
      </c>
      <c r="G29" s="48" t="s">
        <v>266</v>
      </c>
      <c r="H29" s="48" t="s">
        <v>267</v>
      </c>
      <c r="I29" s="46" t="s">
        <v>90</v>
      </c>
      <c r="J29" s="60" t="n">
        <f aca="false">6.449/J$1</f>
        <v>0.214966666666667</v>
      </c>
      <c r="K29" s="51" t="n">
        <v>0.0132</v>
      </c>
      <c r="L29" s="51" t="n">
        <v>0.0022</v>
      </c>
      <c r="M29" s="51" t="n">
        <v>0.0072</v>
      </c>
      <c r="N29" s="51" t="n">
        <v>0</v>
      </c>
      <c r="O29" s="52" t="n">
        <v>0.02116</v>
      </c>
      <c r="P29" s="51" t="n">
        <f aca="false">SUM(J29:N29)</f>
        <v>0.237566666666667</v>
      </c>
      <c r="Q29" s="53" t="n">
        <v>65108</v>
      </c>
      <c r="R29" s="46" t="n">
        <v>5000</v>
      </c>
      <c r="S29" s="48" t="s">
        <v>268</v>
      </c>
      <c r="T29" s="79" t="n">
        <f aca="false">J29*J$1*R29</f>
        <v>32245</v>
      </c>
      <c r="U29" s="79"/>
      <c r="V29" s="80" t="n">
        <v>163001</v>
      </c>
      <c r="W29" s="48"/>
      <c r="X29" s="74"/>
      <c r="Y29" s="74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  <c r="IW29" s="75"/>
    </row>
    <row r="30" customFormat="false" ht="12.75" hidden="false" customHeight="false" outlineLevel="0" collapsed="false">
      <c r="A30" s="75"/>
      <c r="B30" s="48" t="s">
        <v>174</v>
      </c>
      <c r="C30" s="46" t="s">
        <v>255</v>
      </c>
      <c r="D30" s="46"/>
      <c r="E30" s="47" t="n">
        <v>36557</v>
      </c>
      <c r="F30" s="47" t="n">
        <v>36830</v>
      </c>
      <c r="G30" s="48" t="s">
        <v>317</v>
      </c>
      <c r="H30" s="48" t="s">
        <v>385</v>
      </c>
      <c r="I30" s="46" t="s">
        <v>90</v>
      </c>
      <c r="J30" s="60" t="n">
        <f aca="false">4.563/J$1</f>
        <v>0.1521</v>
      </c>
      <c r="K30" s="51" t="n">
        <v>0.0132</v>
      </c>
      <c r="L30" s="51" t="n">
        <v>0.0022</v>
      </c>
      <c r="M30" s="51" t="n">
        <v>0.0072</v>
      </c>
      <c r="N30" s="51" t="n">
        <v>0</v>
      </c>
      <c r="O30" s="52" t="n">
        <v>0.02116</v>
      </c>
      <c r="P30" s="51" t="n">
        <f aca="false">SUM(J30:N30)</f>
        <v>0.1747</v>
      </c>
      <c r="Q30" s="53" t="n">
        <v>65418</v>
      </c>
      <c r="R30" s="46" t="n">
        <v>500</v>
      </c>
      <c r="S30" s="48" t="s">
        <v>395</v>
      </c>
      <c r="T30" s="79" t="n">
        <f aca="false">J30*J$1*R30</f>
        <v>2281.5</v>
      </c>
      <c r="U30" s="79"/>
      <c r="V30" s="80" t="n">
        <v>156599</v>
      </c>
      <c r="W30" s="48"/>
      <c r="X30" s="74"/>
      <c r="Y30" s="74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</row>
    <row r="31" customFormat="false" ht="12.75" hidden="false" customHeight="false" outlineLevel="0" collapsed="false">
      <c r="A31" s="75"/>
      <c r="B31" s="48" t="s">
        <v>174</v>
      </c>
      <c r="C31" s="46" t="s">
        <v>255</v>
      </c>
      <c r="D31" s="46" t="s">
        <v>269</v>
      </c>
      <c r="E31" s="47" t="n">
        <v>36557</v>
      </c>
      <c r="F31" s="47" t="n">
        <v>36860</v>
      </c>
      <c r="G31" s="48" t="s">
        <v>266</v>
      </c>
      <c r="H31" s="48" t="s">
        <v>270</v>
      </c>
      <c r="I31" s="46" t="s">
        <v>90</v>
      </c>
      <c r="J31" s="60" t="n">
        <f aca="false">6.449/J$1</f>
        <v>0.214966666666667</v>
      </c>
      <c r="K31" s="51" t="n">
        <v>0.0132</v>
      </c>
      <c r="L31" s="51" t="n">
        <v>0.0022</v>
      </c>
      <c r="M31" s="51" t="n">
        <v>0.0072</v>
      </c>
      <c r="N31" s="51" t="n">
        <v>0</v>
      </c>
      <c r="O31" s="52" t="n">
        <v>0.02116</v>
      </c>
      <c r="P31" s="51" t="n">
        <f aca="false">SUM(J31:N31)</f>
        <v>0.237566666666667</v>
      </c>
      <c r="Q31" s="53" t="n">
        <v>65556</v>
      </c>
      <c r="R31" s="46" t="n">
        <v>3</v>
      </c>
      <c r="S31" s="48" t="s">
        <v>271</v>
      </c>
      <c r="T31" s="79" t="n">
        <f aca="false">J31*J$1*R31</f>
        <v>19.347</v>
      </c>
      <c r="U31" s="79"/>
      <c r="V31" s="80" t="n">
        <v>156602</v>
      </c>
      <c r="W31" s="48"/>
      <c r="X31" s="74"/>
      <c r="Y31" s="74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</row>
    <row r="32" customFormat="false" ht="12.75" hidden="false" customHeight="false" outlineLevel="0" collapsed="false">
      <c r="A32" s="75"/>
      <c r="B32" s="48" t="s">
        <v>174</v>
      </c>
      <c r="C32" s="46" t="s">
        <v>255</v>
      </c>
      <c r="D32" s="46" t="s">
        <v>176</v>
      </c>
      <c r="E32" s="47" t="n">
        <v>36557</v>
      </c>
      <c r="F32" s="47" t="n">
        <v>36922</v>
      </c>
      <c r="G32" s="48" t="s">
        <v>272</v>
      </c>
      <c r="H32" s="48" t="s">
        <v>273</v>
      </c>
      <c r="I32" s="46" t="s">
        <v>90</v>
      </c>
      <c r="J32" s="60" t="n">
        <f aca="false">6.449/J$1</f>
        <v>0.214966666666667</v>
      </c>
      <c r="K32" s="51"/>
      <c r="L32" s="51"/>
      <c r="M32" s="51"/>
      <c r="N32" s="51"/>
      <c r="O32" s="52"/>
      <c r="P32" s="51"/>
      <c r="Q32" s="53" t="n">
        <v>66280</v>
      </c>
      <c r="R32" s="46" t="n">
        <v>1</v>
      </c>
      <c r="S32" s="48" t="s">
        <v>274</v>
      </c>
      <c r="T32" s="79" t="n">
        <f aca="false">J32*J$1*R32</f>
        <v>6.449</v>
      </c>
      <c r="U32" s="79"/>
      <c r="V32" s="80" t="n">
        <v>156606</v>
      </c>
      <c r="W32" s="48"/>
      <c r="X32" s="74"/>
      <c r="Y32" s="74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  <c r="IW32" s="75"/>
    </row>
    <row r="33" customFormat="false" ht="12.75" hidden="false" customHeight="false" outlineLevel="0" collapsed="false">
      <c r="A33" s="75"/>
      <c r="B33" s="48" t="s">
        <v>174</v>
      </c>
      <c r="C33" s="46" t="s">
        <v>255</v>
      </c>
      <c r="D33" s="46" t="s">
        <v>176</v>
      </c>
      <c r="E33" s="47" t="n">
        <v>36557</v>
      </c>
      <c r="F33" s="47" t="n">
        <v>36922</v>
      </c>
      <c r="G33" s="48" t="s">
        <v>272</v>
      </c>
      <c r="H33" s="48" t="s">
        <v>275</v>
      </c>
      <c r="I33" s="46" t="s">
        <v>90</v>
      </c>
      <c r="J33" s="60" t="n">
        <f aca="false">6.449/J$1</f>
        <v>0.214966666666667</v>
      </c>
      <c r="K33" s="51"/>
      <c r="L33" s="51"/>
      <c r="M33" s="51"/>
      <c r="N33" s="51"/>
      <c r="O33" s="52"/>
      <c r="P33" s="51"/>
      <c r="Q33" s="53" t="n">
        <v>66280</v>
      </c>
      <c r="R33" s="46" t="n">
        <v>4</v>
      </c>
      <c r="S33" s="48" t="s">
        <v>274</v>
      </c>
      <c r="T33" s="79" t="n">
        <f aca="false">J33*J$1*R33</f>
        <v>25.796</v>
      </c>
      <c r="U33" s="79"/>
      <c r="V33" s="80" t="n">
        <v>156606</v>
      </c>
      <c r="W33" s="48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</row>
    <row r="34" customFormat="false" ht="12.75" hidden="false" customHeight="false" outlineLevel="0" collapsed="false">
      <c r="A34" s="75"/>
      <c r="B34" s="48" t="s">
        <v>174</v>
      </c>
      <c r="C34" s="46" t="s">
        <v>255</v>
      </c>
      <c r="D34" s="46" t="s">
        <v>176</v>
      </c>
      <c r="E34" s="47" t="n">
        <v>36656</v>
      </c>
      <c r="F34" s="47" t="n">
        <v>36950</v>
      </c>
      <c r="G34" s="48" t="s">
        <v>272</v>
      </c>
      <c r="H34" s="48" t="s">
        <v>273</v>
      </c>
      <c r="I34" s="46" t="s">
        <v>90</v>
      </c>
      <c r="J34" s="60" t="n">
        <v>6.449</v>
      </c>
      <c r="K34" s="51"/>
      <c r="L34" s="51"/>
      <c r="M34" s="51"/>
      <c r="N34" s="51"/>
      <c r="O34" s="52"/>
      <c r="P34" s="51"/>
      <c r="Q34" s="53" t="n">
        <v>68308</v>
      </c>
      <c r="R34" s="46" t="n">
        <v>5</v>
      </c>
      <c r="S34" s="48" t="s">
        <v>296</v>
      </c>
      <c r="T34" s="79" t="n">
        <f aca="false">+R34*J34</f>
        <v>32.245</v>
      </c>
      <c r="U34" s="79"/>
      <c r="V34" s="80" t="n">
        <v>262094</v>
      </c>
      <c r="W34" s="48"/>
      <c r="X34" s="74"/>
      <c r="Y34" s="74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</row>
    <row r="35" customFormat="false" ht="12.75" hidden="false" customHeight="false" outlineLevel="0" collapsed="false">
      <c r="A35" s="75"/>
      <c r="B35" s="48" t="s">
        <v>174</v>
      </c>
      <c r="C35" s="46" t="s">
        <v>255</v>
      </c>
      <c r="D35" s="46" t="s">
        <v>176</v>
      </c>
      <c r="E35" s="47" t="n">
        <v>36656</v>
      </c>
      <c r="F35" s="47" t="n">
        <v>36950</v>
      </c>
      <c r="G35" s="48" t="s">
        <v>272</v>
      </c>
      <c r="H35" s="48" t="s">
        <v>275</v>
      </c>
      <c r="I35" s="46" t="s">
        <v>90</v>
      </c>
      <c r="J35" s="60" t="n">
        <v>6.449</v>
      </c>
      <c r="K35" s="51"/>
      <c r="L35" s="51"/>
      <c r="M35" s="51"/>
      <c r="N35" s="51"/>
      <c r="O35" s="52"/>
      <c r="P35" s="51"/>
      <c r="Q35" s="53" t="n">
        <v>68308</v>
      </c>
      <c r="R35" s="46" t="n">
        <v>4</v>
      </c>
      <c r="S35" s="48" t="s">
        <v>296</v>
      </c>
      <c r="T35" s="79" t="n">
        <f aca="false">+R35*J35</f>
        <v>25.796</v>
      </c>
      <c r="U35" s="79"/>
      <c r="V35" s="80" t="n">
        <v>262094</v>
      </c>
      <c r="W35" s="48"/>
      <c r="X35" s="74"/>
      <c r="Y35" s="74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  <c r="IV35" s="75"/>
      <c r="IW35" s="75"/>
    </row>
    <row r="36" customFormat="false" ht="12.75" hidden="false" customHeight="false" outlineLevel="0" collapsed="false">
      <c r="A36" s="75"/>
      <c r="B36" s="48" t="s">
        <v>174</v>
      </c>
      <c r="C36" s="46" t="s">
        <v>255</v>
      </c>
      <c r="D36" s="46" t="s">
        <v>176</v>
      </c>
      <c r="E36" s="47" t="n">
        <v>36708</v>
      </c>
      <c r="F36" s="47" t="n">
        <v>37072</v>
      </c>
      <c r="G36" s="48" t="s">
        <v>177</v>
      </c>
      <c r="H36" s="48" t="s">
        <v>178</v>
      </c>
      <c r="I36" s="46" t="s">
        <v>179</v>
      </c>
      <c r="J36" s="60" t="n">
        <f aca="false">3.145/J$1</f>
        <v>0.104833333333333</v>
      </c>
      <c r="K36" s="51" t="n">
        <v>0.0132</v>
      </c>
      <c r="L36" s="51" t="n">
        <v>0.0022</v>
      </c>
      <c r="M36" s="51" t="n">
        <v>0</v>
      </c>
      <c r="N36" s="51" t="n">
        <v>0</v>
      </c>
      <c r="O36" s="52" t="n">
        <v>0.02116</v>
      </c>
      <c r="P36" s="51" t="n">
        <f aca="false">SUM(J36:N36)</f>
        <v>0.120233333333333</v>
      </c>
      <c r="Q36" s="53" t="n">
        <v>68635</v>
      </c>
      <c r="R36" s="46" t="n">
        <v>1</v>
      </c>
      <c r="S36" s="48" t="s">
        <v>396</v>
      </c>
      <c r="T36" s="79" t="n">
        <f aca="false">J36*J$1*R36</f>
        <v>3.145</v>
      </c>
      <c r="U36" s="79"/>
      <c r="V36" s="80" t="n">
        <v>312333</v>
      </c>
      <c r="W36" s="48"/>
      <c r="X36" s="74"/>
      <c r="Y36" s="74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  <c r="IW36" s="75"/>
    </row>
    <row r="37" customFormat="false" ht="12.75" hidden="false" customHeight="false" outlineLevel="0" collapsed="false">
      <c r="A37" s="75"/>
      <c r="B37" s="48" t="s">
        <v>174</v>
      </c>
      <c r="C37" s="46" t="s">
        <v>255</v>
      </c>
      <c r="D37" s="46" t="s">
        <v>276</v>
      </c>
      <c r="E37" s="47" t="n">
        <v>36617</v>
      </c>
      <c r="F37" s="47" t="s">
        <v>277</v>
      </c>
      <c r="G37" s="48" t="s">
        <v>278</v>
      </c>
      <c r="H37" s="48"/>
      <c r="I37" s="46" t="s">
        <v>279</v>
      </c>
      <c r="J37" s="60"/>
      <c r="K37" s="51"/>
      <c r="L37" s="51"/>
      <c r="M37" s="51"/>
      <c r="N37" s="51"/>
      <c r="O37" s="52"/>
      <c r="P37" s="51"/>
      <c r="Q37" s="53" t="n">
        <v>66917</v>
      </c>
      <c r="R37" s="46"/>
      <c r="S37" s="48"/>
      <c r="T37" s="79"/>
      <c r="U37" s="79"/>
      <c r="V37" s="80" t="n">
        <v>228085</v>
      </c>
      <c r="W37" s="48"/>
      <c r="X37" s="74"/>
      <c r="Y37" s="74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  <c r="IW37" s="75"/>
    </row>
    <row r="38" customFormat="false" ht="12.75" hidden="false" customHeight="false" outlineLevel="0" collapsed="false">
      <c r="A38" s="75"/>
      <c r="B38" s="48" t="s">
        <v>174</v>
      </c>
      <c r="C38" s="46" t="s">
        <v>255</v>
      </c>
      <c r="D38" s="46" t="s">
        <v>176</v>
      </c>
      <c r="E38" s="47" t="n">
        <v>36617</v>
      </c>
      <c r="F38" s="47" t="n">
        <v>36981</v>
      </c>
      <c r="G38" s="48" t="s">
        <v>272</v>
      </c>
      <c r="H38" s="48" t="s">
        <v>273</v>
      </c>
      <c r="I38" s="46" t="s">
        <v>90</v>
      </c>
      <c r="J38" s="60" t="n">
        <f aca="false">6.401/$J$1</f>
        <v>0.213366666666667</v>
      </c>
      <c r="K38" s="51"/>
      <c r="L38" s="51"/>
      <c r="M38" s="51"/>
      <c r="N38" s="51"/>
      <c r="O38" s="52"/>
      <c r="P38" s="51"/>
      <c r="Q38" s="53" t="n">
        <v>66939</v>
      </c>
      <c r="R38" s="46" t="n">
        <v>5</v>
      </c>
      <c r="S38" s="48" t="s">
        <v>280</v>
      </c>
      <c r="T38" s="79" t="n">
        <f aca="false">+R38*J38</f>
        <v>1.06683333333333</v>
      </c>
      <c r="U38" s="79"/>
      <c r="V38" s="80"/>
      <c r="W38" s="48"/>
      <c r="X38" s="74"/>
      <c r="Y38" s="74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75"/>
      <c r="II38" s="75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  <c r="IW38" s="75"/>
    </row>
    <row r="39" customFormat="false" ht="12.75" hidden="false" customHeight="false" outlineLevel="0" collapsed="false">
      <c r="A39" s="75"/>
      <c r="B39" s="48" t="s">
        <v>174</v>
      </c>
      <c r="C39" s="46" t="s">
        <v>255</v>
      </c>
      <c r="D39" s="46" t="s">
        <v>176</v>
      </c>
      <c r="E39" s="47" t="n">
        <v>36617</v>
      </c>
      <c r="F39" s="47" t="n">
        <v>36981</v>
      </c>
      <c r="G39" s="48" t="s">
        <v>272</v>
      </c>
      <c r="H39" s="48" t="s">
        <v>275</v>
      </c>
      <c r="I39" s="46" t="s">
        <v>90</v>
      </c>
      <c r="J39" s="60" t="n">
        <f aca="false">6.401/$J$1</f>
        <v>0.213366666666667</v>
      </c>
      <c r="K39" s="51"/>
      <c r="L39" s="51"/>
      <c r="M39" s="51"/>
      <c r="N39" s="51"/>
      <c r="O39" s="52"/>
      <c r="P39" s="51"/>
      <c r="Q39" s="53" t="n">
        <v>66939</v>
      </c>
      <c r="R39" s="46" t="n">
        <v>27</v>
      </c>
      <c r="S39" s="48" t="s">
        <v>280</v>
      </c>
      <c r="T39" s="79" t="n">
        <f aca="false">+R39*J39</f>
        <v>5.7609</v>
      </c>
      <c r="U39" s="79"/>
      <c r="V39" s="80"/>
      <c r="W39" s="48"/>
      <c r="X39" s="74"/>
      <c r="Y39" s="74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  <c r="IR39" s="75"/>
      <c r="IS39" s="75"/>
      <c r="IT39" s="75"/>
      <c r="IU39" s="75"/>
      <c r="IV39" s="75"/>
      <c r="IW39" s="75"/>
    </row>
    <row r="40" customFormat="false" ht="12.75" hidden="false" customHeight="false" outlineLevel="0" collapsed="false">
      <c r="A40" s="75"/>
      <c r="B40" s="48" t="s">
        <v>174</v>
      </c>
      <c r="C40" s="46" t="s">
        <v>255</v>
      </c>
      <c r="D40" s="46" t="s">
        <v>176</v>
      </c>
      <c r="E40" s="47" t="n">
        <v>36617</v>
      </c>
      <c r="F40" s="47" t="n">
        <v>36981</v>
      </c>
      <c r="G40" s="48" t="s">
        <v>272</v>
      </c>
      <c r="H40" s="48" t="s">
        <v>281</v>
      </c>
      <c r="I40" s="46" t="s">
        <v>90</v>
      </c>
      <c r="J40" s="60" t="n">
        <f aca="false">6.401/$J$1</f>
        <v>0.213366666666667</v>
      </c>
      <c r="K40" s="51"/>
      <c r="L40" s="51"/>
      <c r="M40" s="51"/>
      <c r="N40" s="51"/>
      <c r="O40" s="52"/>
      <c r="P40" s="51"/>
      <c r="Q40" s="53" t="n">
        <v>66939</v>
      </c>
      <c r="R40" s="46" t="n">
        <v>3</v>
      </c>
      <c r="S40" s="48" t="s">
        <v>280</v>
      </c>
      <c r="T40" s="79" t="n">
        <f aca="false">+R40*J40</f>
        <v>0.6401</v>
      </c>
      <c r="U40" s="79"/>
      <c r="V40" s="80"/>
      <c r="W40" s="48"/>
      <c r="X40" s="74"/>
      <c r="Y40" s="74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  <c r="IW40" s="75"/>
    </row>
    <row r="41" customFormat="false" ht="12.75" hidden="false" customHeight="false" outlineLevel="0" collapsed="false">
      <c r="A41" s="75"/>
      <c r="B41" s="48" t="s">
        <v>174</v>
      </c>
      <c r="C41" s="46" t="s">
        <v>255</v>
      </c>
      <c r="D41" s="46" t="s">
        <v>176</v>
      </c>
      <c r="E41" s="47" t="n">
        <v>36617</v>
      </c>
      <c r="F41" s="47" t="n">
        <v>36981</v>
      </c>
      <c r="G41" s="48" t="s">
        <v>272</v>
      </c>
      <c r="H41" s="48" t="s">
        <v>282</v>
      </c>
      <c r="I41" s="46" t="s">
        <v>90</v>
      </c>
      <c r="J41" s="60" t="n">
        <f aca="false">6.401/$J$1</f>
        <v>0.213366666666667</v>
      </c>
      <c r="K41" s="51"/>
      <c r="L41" s="51"/>
      <c r="M41" s="51"/>
      <c r="N41" s="51"/>
      <c r="O41" s="52"/>
      <c r="P41" s="51"/>
      <c r="Q41" s="53" t="n">
        <v>66939</v>
      </c>
      <c r="R41" s="46" t="n">
        <v>17</v>
      </c>
      <c r="S41" s="48" t="s">
        <v>280</v>
      </c>
      <c r="T41" s="79" t="n">
        <f aca="false">+R41*J41</f>
        <v>3.62723333333333</v>
      </c>
      <c r="U41" s="79"/>
      <c r="V41" s="80"/>
      <c r="W41" s="48"/>
      <c r="X41" s="74"/>
      <c r="Y41" s="74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75"/>
      <c r="IF41" s="75"/>
      <c r="IG41" s="75"/>
      <c r="IH41" s="75"/>
      <c r="II41" s="75"/>
      <c r="IJ41" s="75"/>
      <c r="IK41" s="75"/>
      <c r="IL41" s="75"/>
      <c r="IM41" s="75"/>
      <c r="IN41" s="75"/>
      <c r="IO41" s="75"/>
      <c r="IP41" s="75"/>
      <c r="IQ41" s="75"/>
      <c r="IR41" s="75"/>
      <c r="IS41" s="75"/>
      <c r="IT41" s="75"/>
      <c r="IU41" s="75"/>
      <c r="IV41" s="75"/>
      <c r="IW41" s="75"/>
    </row>
    <row r="42" customFormat="false" ht="12.75" hidden="false" customHeight="false" outlineLevel="0" collapsed="false">
      <c r="A42" s="75"/>
      <c r="B42" s="48" t="s">
        <v>174</v>
      </c>
      <c r="C42" s="46" t="s">
        <v>255</v>
      </c>
      <c r="D42" s="46" t="s">
        <v>283</v>
      </c>
      <c r="E42" s="47" t="n">
        <v>36617</v>
      </c>
      <c r="F42" s="47" t="n">
        <v>36981</v>
      </c>
      <c r="G42" s="48" t="s">
        <v>272</v>
      </c>
      <c r="H42" s="48" t="s">
        <v>284</v>
      </c>
      <c r="I42" s="46" t="s">
        <v>90</v>
      </c>
      <c r="J42" s="60" t="n">
        <f aca="false">6.401/$J$1</f>
        <v>0.213366666666667</v>
      </c>
      <c r="K42" s="51"/>
      <c r="L42" s="51"/>
      <c r="M42" s="51"/>
      <c r="N42" s="51"/>
      <c r="O42" s="52"/>
      <c r="P42" s="51"/>
      <c r="Q42" s="53" t="n">
        <v>66940</v>
      </c>
      <c r="R42" s="46" t="n">
        <v>1</v>
      </c>
      <c r="S42" s="48" t="s">
        <v>285</v>
      </c>
      <c r="T42" s="79" t="n">
        <f aca="false">+R42*J42</f>
        <v>0.213366666666667</v>
      </c>
      <c r="U42" s="79"/>
      <c r="V42" s="80" t="n">
        <v>228134</v>
      </c>
      <c r="W42" s="48"/>
      <c r="X42" s="74"/>
      <c r="Y42" s="74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75"/>
      <c r="II42" s="75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  <c r="IW42" s="75"/>
    </row>
    <row r="43" customFormat="false" ht="12.75" hidden="false" customHeight="false" outlineLevel="0" collapsed="false">
      <c r="A43" s="75"/>
      <c r="B43" s="48" t="s">
        <v>174</v>
      </c>
      <c r="C43" s="46" t="s">
        <v>255</v>
      </c>
      <c r="D43" s="46" t="s">
        <v>283</v>
      </c>
      <c r="E43" s="47" t="n">
        <v>36617</v>
      </c>
      <c r="F43" s="47" t="n">
        <v>36981</v>
      </c>
      <c r="G43" s="48" t="s">
        <v>272</v>
      </c>
      <c r="H43" s="48" t="s">
        <v>286</v>
      </c>
      <c r="I43" s="46" t="s">
        <v>90</v>
      </c>
      <c r="J43" s="60" t="n">
        <f aca="false">6.401/$J$1</f>
        <v>0.213366666666667</v>
      </c>
      <c r="K43" s="51"/>
      <c r="L43" s="51"/>
      <c r="M43" s="51"/>
      <c r="N43" s="51"/>
      <c r="O43" s="52"/>
      <c r="P43" s="51"/>
      <c r="Q43" s="53" t="n">
        <v>66940</v>
      </c>
      <c r="R43" s="46" t="n">
        <v>1</v>
      </c>
      <c r="S43" s="48" t="s">
        <v>285</v>
      </c>
      <c r="T43" s="79" t="n">
        <f aca="false">+R43*J43</f>
        <v>0.213366666666667</v>
      </c>
      <c r="U43" s="79"/>
      <c r="V43" s="80" t="n">
        <v>228134</v>
      </c>
      <c r="W43" s="48"/>
      <c r="X43" s="74"/>
      <c r="Y43" s="74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75"/>
      <c r="IC43" s="75"/>
      <c r="ID43" s="75"/>
      <c r="IE43" s="75"/>
      <c r="IF43" s="75"/>
      <c r="IG43" s="75"/>
      <c r="IH43" s="75"/>
      <c r="II43" s="75"/>
      <c r="IJ43" s="75"/>
      <c r="IK43" s="75"/>
      <c r="IL43" s="75"/>
      <c r="IM43" s="75"/>
      <c r="IN43" s="75"/>
      <c r="IO43" s="75"/>
      <c r="IP43" s="75"/>
      <c r="IQ43" s="75"/>
      <c r="IR43" s="75"/>
      <c r="IS43" s="75"/>
      <c r="IT43" s="75"/>
      <c r="IU43" s="75"/>
      <c r="IV43" s="75"/>
      <c r="IW43" s="75"/>
    </row>
    <row r="44" customFormat="false" ht="12.75" hidden="false" customHeight="false" outlineLevel="0" collapsed="false">
      <c r="A44" s="75"/>
      <c r="B44" s="48" t="s">
        <v>174</v>
      </c>
      <c r="C44" s="46" t="s">
        <v>255</v>
      </c>
      <c r="D44" s="46" t="s">
        <v>283</v>
      </c>
      <c r="E44" s="47" t="n">
        <v>36647</v>
      </c>
      <c r="F44" s="47" t="n">
        <v>37011</v>
      </c>
      <c r="G44" s="48" t="s">
        <v>291</v>
      </c>
      <c r="H44" s="48" t="s">
        <v>292</v>
      </c>
      <c r="I44" s="46" t="s">
        <v>90</v>
      </c>
      <c r="J44" s="60" t="e">
        <f aca="false">6.401/#REF!</f>
        <v>#REF!</v>
      </c>
      <c r="K44" s="51"/>
      <c r="L44" s="51"/>
      <c r="M44" s="51"/>
      <c r="N44" s="51"/>
      <c r="O44" s="52"/>
      <c r="P44" s="51"/>
      <c r="Q44" s="53" t="n">
        <v>68188</v>
      </c>
      <c r="R44" s="46" t="n">
        <v>1</v>
      </c>
      <c r="S44" s="48" t="s">
        <v>293</v>
      </c>
      <c r="T44" s="79" t="e">
        <f aca="false">+J44*R44*13</f>
        <v>#REF!</v>
      </c>
      <c r="U44" s="79"/>
      <c r="V44" s="80" t="n">
        <v>253195</v>
      </c>
      <c r="W44" s="48"/>
      <c r="X44" s="74"/>
      <c r="Y44" s="74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75"/>
      <c r="II44" s="75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  <c r="IW44" s="75"/>
    </row>
    <row r="45" customFormat="false" ht="12.75" hidden="false" customHeight="false" outlineLevel="0" collapsed="false">
      <c r="A45" s="141"/>
      <c r="B45" s="57" t="s">
        <v>174</v>
      </c>
      <c r="C45" s="126" t="s">
        <v>255</v>
      </c>
      <c r="D45" s="126" t="s">
        <v>37</v>
      </c>
      <c r="E45" s="142" t="n">
        <v>36312</v>
      </c>
      <c r="F45" s="142" t="n">
        <v>37011</v>
      </c>
      <c r="G45" s="57" t="s">
        <v>266</v>
      </c>
      <c r="H45" s="57" t="s">
        <v>397</v>
      </c>
      <c r="I45" s="126" t="s">
        <v>90</v>
      </c>
      <c r="J45" s="172"/>
      <c r="K45" s="82"/>
      <c r="L45" s="82"/>
      <c r="M45" s="82"/>
      <c r="N45" s="82"/>
      <c r="O45" s="143"/>
      <c r="P45" s="82"/>
      <c r="Q45" s="123" t="n">
        <v>65403</v>
      </c>
      <c r="R45" s="126"/>
      <c r="S45" s="57" t="s">
        <v>398</v>
      </c>
      <c r="T45" s="55"/>
      <c r="U45" s="55"/>
      <c r="V45" s="56"/>
      <c r="W45" s="57" t="s">
        <v>399</v>
      </c>
      <c r="X45" s="58"/>
      <c r="Y45" s="58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1"/>
      <c r="IS45" s="141"/>
      <c r="IT45" s="141"/>
      <c r="IU45" s="141"/>
      <c r="IV45" s="141"/>
      <c r="IW45" s="141"/>
    </row>
    <row r="46" customFormat="false" ht="12.75" hidden="false" customHeight="false" outlineLevel="0" collapsed="false">
      <c r="A46" s="141"/>
      <c r="B46" s="57" t="s">
        <v>174</v>
      </c>
      <c r="C46" s="126" t="s">
        <v>255</v>
      </c>
      <c r="D46" s="126" t="s">
        <v>180</v>
      </c>
      <c r="E46" s="142" t="n">
        <v>36739</v>
      </c>
      <c r="F46" s="142" t="n">
        <v>37103</v>
      </c>
      <c r="G46" s="57" t="s">
        <v>272</v>
      </c>
      <c r="H46" s="57" t="s">
        <v>323</v>
      </c>
      <c r="I46" s="126" t="s">
        <v>90</v>
      </c>
      <c r="J46" s="60" t="n">
        <f aca="false">6.401/$J$1</f>
        <v>0.213366666666667</v>
      </c>
      <c r="K46" s="82"/>
      <c r="L46" s="82"/>
      <c r="M46" s="82"/>
      <c r="N46" s="82"/>
      <c r="O46" s="143"/>
      <c r="P46" s="82"/>
      <c r="Q46" s="123" t="n">
        <v>68928</v>
      </c>
      <c r="R46" s="126" t="n">
        <v>47</v>
      </c>
      <c r="S46" s="57" t="s">
        <v>324</v>
      </c>
      <c r="T46" s="55" t="n">
        <f aca="false">+J46*R46</f>
        <v>10.0282333333333</v>
      </c>
      <c r="U46" s="55"/>
      <c r="V46" s="56" t="n">
        <v>351966</v>
      </c>
      <c r="W46" s="57"/>
      <c r="X46" s="58"/>
      <c r="Y46" s="58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1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141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1"/>
      <c r="IS46" s="141"/>
      <c r="IT46" s="141"/>
      <c r="IU46" s="141"/>
      <c r="IV46" s="141"/>
      <c r="IW46" s="141"/>
    </row>
    <row r="47" customFormat="false" ht="12.75" hidden="false" customHeight="false" outlineLevel="0" collapsed="false">
      <c r="A47" s="141"/>
      <c r="B47" s="57" t="s">
        <v>174</v>
      </c>
      <c r="C47" s="126" t="s">
        <v>255</v>
      </c>
      <c r="D47" s="126" t="s">
        <v>176</v>
      </c>
      <c r="E47" s="142" t="n">
        <v>36770</v>
      </c>
      <c r="F47" s="142" t="n">
        <v>37134</v>
      </c>
      <c r="G47" s="57" t="s">
        <v>272</v>
      </c>
      <c r="H47" s="57" t="s">
        <v>325</v>
      </c>
      <c r="I47" s="126" t="s">
        <v>90</v>
      </c>
      <c r="J47" s="60" t="n">
        <f aca="false">6.401/$J$1</f>
        <v>0.213366666666667</v>
      </c>
      <c r="K47" s="82"/>
      <c r="L47" s="82"/>
      <c r="M47" s="82"/>
      <c r="N47" s="82"/>
      <c r="O47" s="143"/>
      <c r="P47" s="82"/>
      <c r="Q47" s="123" t="n">
        <v>69144</v>
      </c>
      <c r="R47" s="126" t="n">
        <v>62</v>
      </c>
      <c r="S47" s="57" t="s">
        <v>326</v>
      </c>
      <c r="T47" s="55" t="n">
        <f aca="false">+J47*R47</f>
        <v>13.2287333333333</v>
      </c>
      <c r="U47" s="55"/>
      <c r="V47" s="56"/>
      <c r="W47" s="57"/>
      <c r="X47" s="58"/>
      <c r="Y47" s="58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1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141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1"/>
      <c r="IS47" s="141"/>
      <c r="IT47" s="141"/>
      <c r="IU47" s="141"/>
      <c r="IV47" s="141"/>
      <c r="IW47" s="141"/>
    </row>
    <row r="48" customFormat="false" ht="12.75" hidden="false" customHeight="false" outlineLevel="0" collapsed="false">
      <c r="A48" s="141"/>
      <c r="B48" s="57" t="s">
        <v>174</v>
      </c>
      <c r="C48" s="126" t="s">
        <v>255</v>
      </c>
      <c r="D48" s="126" t="s">
        <v>176</v>
      </c>
      <c r="E48" s="142" t="n">
        <v>36800</v>
      </c>
      <c r="F48" s="142" t="n">
        <v>37164</v>
      </c>
      <c r="G48" s="57" t="s">
        <v>272</v>
      </c>
      <c r="H48" s="57" t="s">
        <v>327</v>
      </c>
      <c r="I48" s="126" t="s">
        <v>90</v>
      </c>
      <c r="J48" s="172" t="e">
        <f aca="false">6.401/#REF!</f>
        <v>#REF!</v>
      </c>
      <c r="K48" s="82"/>
      <c r="L48" s="82"/>
      <c r="M48" s="82"/>
      <c r="N48" s="82"/>
      <c r="O48" s="143"/>
      <c r="P48" s="82"/>
      <c r="Q48" s="123" t="n">
        <v>69424</v>
      </c>
      <c r="R48" s="126" t="n">
        <v>13</v>
      </c>
      <c r="S48" s="57" t="s">
        <v>328</v>
      </c>
      <c r="T48" s="55" t="e">
        <f aca="false">+J48*R48</f>
        <v>#REF!</v>
      </c>
      <c r="U48" s="55"/>
      <c r="V48" s="56" t="n">
        <v>418221</v>
      </c>
      <c r="W48" s="57"/>
      <c r="X48" s="58"/>
      <c r="Y48" s="58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1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1"/>
      <c r="IT48" s="141"/>
      <c r="IU48" s="141"/>
      <c r="IV48" s="141"/>
      <c r="IW48" s="141"/>
    </row>
    <row r="49" customFormat="false" ht="12.75" hidden="false" customHeight="false" outlineLevel="0" collapsed="false">
      <c r="A49" s="141"/>
      <c r="B49" s="57" t="s">
        <v>174</v>
      </c>
      <c r="C49" s="126" t="s">
        <v>255</v>
      </c>
      <c r="D49" s="126" t="s">
        <v>180</v>
      </c>
      <c r="E49" s="142" t="n">
        <v>36647</v>
      </c>
      <c r="F49" s="142" t="n">
        <v>37011</v>
      </c>
      <c r="G49" s="57" t="s">
        <v>272</v>
      </c>
      <c r="H49" s="57" t="s">
        <v>294</v>
      </c>
      <c r="I49" s="126" t="s">
        <v>90</v>
      </c>
      <c r="J49" s="60" t="n">
        <f aca="false">6.401/$J$1</f>
        <v>0.213366666666667</v>
      </c>
      <c r="K49" s="82"/>
      <c r="L49" s="82"/>
      <c r="M49" s="82"/>
      <c r="N49" s="82"/>
      <c r="O49" s="143"/>
      <c r="P49" s="82"/>
      <c r="Q49" s="123" t="n">
        <v>68257</v>
      </c>
      <c r="R49" s="126" t="n">
        <v>21</v>
      </c>
      <c r="S49" s="57" t="s">
        <v>295</v>
      </c>
      <c r="T49" s="55" t="n">
        <f aca="false">+R49*J49</f>
        <v>4.4807</v>
      </c>
      <c r="U49" s="55"/>
      <c r="V49" s="56" t="n">
        <v>254718</v>
      </c>
      <c r="W49" s="57"/>
      <c r="X49" s="58"/>
      <c r="Y49" s="58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  <c r="IT49" s="141"/>
      <c r="IU49" s="141"/>
      <c r="IV49" s="141"/>
      <c r="IW49" s="141"/>
    </row>
    <row r="50" customFormat="false" ht="12.75" hidden="false" customHeight="false" outlineLevel="0" collapsed="false">
      <c r="G50" s="42"/>
      <c r="H50" s="42"/>
      <c r="O50" s="43"/>
      <c r="T50" s="79" t="n">
        <f aca="false">+R50*J50</f>
        <v>0</v>
      </c>
      <c r="V50" s="44"/>
      <c r="W50" s="42"/>
      <c r="X50" s="44"/>
      <c r="Y50" s="44"/>
    </row>
    <row r="51" customFormat="false" ht="12.75" hidden="false" customHeight="false" outlineLevel="0" collapsed="false">
      <c r="B51" s="130" t="s">
        <v>143</v>
      </c>
      <c r="C51" s="131" t="s">
        <v>143</v>
      </c>
      <c r="D51" s="131" t="s">
        <v>143</v>
      </c>
      <c r="E51" s="133" t="s">
        <v>143</v>
      </c>
      <c r="F51" s="133" t="s">
        <v>143</v>
      </c>
      <c r="G51" s="130" t="s">
        <v>143</v>
      </c>
      <c r="H51" s="134" t="s">
        <v>143</v>
      </c>
      <c r="I51" s="131" t="s">
        <v>143</v>
      </c>
      <c r="J51" s="135"/>
      <c r="K51" s="136"/>
      <c r="L51" s="136"/>
      <c r="M51" s="136"/>
      <c r="N51" s="136"/>
      <c r="O51" s="137"/>
      <c r="P51" s="136"/>
      <c r="Q51" s="138" t="s">
        <v>143</v>
      </c>
      <c r="R51" s="131" t="n">
        <f aca="false">SUM(R15:R49)</f>
        <v>15573</v>
      </c>
      <c r="S51" s="130" t="s">
        <v>143</v>
      </c>
      <c r="T51" s="139" t="e">
        <f aca="false">SUM(T4:T49)</f>
        <v>#REF!</v>
      </c>
      <c r="U51" s="139" t="e">
        <f aca="false">SUM(#REF!)</f>
        <v>#REF!</v>
      </c>
      <c r="V51" s="140"/>
      <c r="W51" s="134"/>
      <c r="X51" s="74"/>
      <c r="Y51" s="74"/>
    </row>
    <row r="54" customFormat="false" ht="12.75" hidden="false" customHeight="false" outlineLevel="0" collapsed="false">
      <c r="B54" s="65" t="s">
        <v>154</v>
      </c>
      <c r="C54" s="66" t="s">
        <v>155</v>
      </c>
      <c r="D54" s="66" t="s">
        <v>156</v>
      </c>
      <c r="E54" s="67" t="s">
        <v>157</v>
      </c>
      <c r="F54" s="67"/>
      <c r="G54" s="65" t="s">
        <v>158</v>
      </c>
      <c r="H54" s="65" t="s">
        <v>159</v>
      </c>
      <c r="I54" s="66" t="s">
        <v>160</v>
      </c>
      <c r="J54" s="68" t="s">
        <v>161</v>
      </c>
      <c r="K54" s="66" t="s">
        <v>162</v>
      </c>
      <c r="L54" s="66" t="s">
        <v>163</v>
      </c>
      <c r="M54" s="66" t="s">
        <v>164</v>
      </c>
      <c r="N54" s="66" t="s">
        <v>165</v>
      </c>
      <c r="O54" s="69" t="s">
        <v>166</v>
      </c>
      <c r="P54" s="66" t="s">
        <v>167</v>
      </c>
      <c r="Q54" s="70" t="s">
        <v>168</v>
      </c>
      <c r="R54" s="66" t="s">
        <v>169</v>
      </c>
      <c r="S54" s="65" t="s">
        <v>170</v>
      </c>
      <c r="T54" s="71" t="s">
        <v>171</v>
      </c>
      <c r="U54" s="71" t="s">
        <v>172</v>
      </c>
      <c r="V54" s="72" t="s">
        <v>173</v>
      </c>
      <c r="W54" s="73" t="e">
        <f aca="false">+#REF!</f>
        <v>#REF!</v>
      </c>
      <c r="X54" s="74"/>
      <c r="Y54" s="74"/>
    </row>
    <row r="55" customFormat="false" ht="12.75" hidden="false" customHeight="false" outlineLevel="0" collapsed="false">
      <c r="A55" s="75"/>
      <c r="B55" s="48" t="s">
        <v>174</v>
      </c>
      <c r="C55" s="46" t="s">
        <v>175</v>
      </c>
      <c r="D55" s="46" t="s">
        <v>180</v>
      </c>
      <c r="E55" s="47" t="n">
        <v>36678</v>
      </c>
      <c r="F55" s="47" t="n">
        <v>37042</v>
      </c>
      <c r="G55" s="48" t="s">
        <v>177</v>
      </c>
      <c r="H55" s="48" t="s">
        <v>178</v>
      </c>
      <c r="I55" s="46" t="s">
        <v>179</v>
      </c>
      <c r="J55" s="60" t="n">
        <f aca="false">3.145/J$1</f>
        <v>0.104833333333333</v>
      </c>
      <c r="K55" s="51" t="n">
        <v>0.0132</v>
      </c>
      <c r="L55" s="51" t="n">
        <v>0.0022</v>
      </c>
      <c r="M55" s="51" t="n">
        <v>0</v>
      </c>
      <c r="N55" s="51" t="n">
        <v>0</v>
      </c>
      <c r="O55" s="52" t="n">
        <v>0.02116</v>
      </c>
      <c r="P55" s="51" t="n">
        <f aca="false">SUM(J55:N55)</f>
        <v>0.120233333333333</v>
      </c>
      <c r="Q55" s="53" t="n">
        <v>68360</v>
      </c>
      <c r="R55" s="46" t="n">
        <v>291</v>
      </c>
      <c r="S55" s="48"/>
      <c r="T55" s="79" t="n">
        <f aca="false">J55*J$1*R55</f>
        <v>915.195</v>
      </c>
      <c r="U55" s="79"/>
      <c r="V55" s="80" t="n">
        <v>271311</v>
      </c>
      <c r="W55" s="48"/>
      <c r="X55" s="74"/>
      <c r="Y55" s="74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5"/>
      <c r="HG55" s="75"/>
      <c r="HH55" s="75"/>
      <c r="HI55" s="75"/>
      <c r="HJ55" s="75"/>
      <c r="HK55" s="75"/>
      <c r="HL55" s="75"/>
      <c r="HM55" s="75"/>
      <c r="HN55" s="75"/>
      <c r="HO55" s="75"/>
      <c r="HP55" s="75"/>
      <c r="HQ55" s="75"/>
      <c r="HR55" s="75"/>
      <c r="HS55" s="75"/>
      <c r="HT55" s="75"/>
      <c r="HU55" s="75"/>
      <c r="HV55" s="75"/>
      <c r="HW55" s="75"/>
      <c r="HX55" s="75"/>
      <c r="HY55" s="75"/>
      <c r="HZ55" s="75"/>
      <c r="IA55" s="75"/>
      <c r="IB55" s="75"/>
      <c r="IC55" s="75"/>
      <c r="ID55" s="75"/>
      <c r="IE55" s="75"/>
      <c r="IF55" s="75"/>
      <c r="IG55" s="75"/>
      <c r="IH55" s="75"/>
      <c r="II55" s="75"/>
      <c r="IJ55" s="75"/>
      <c r="IK55" s="75"/>
      <c r="IL55" s="75"/>
      <c r="IM55" s="75"/>
      <c r="IN55" s="75"/>
      <c r="IO55" s="75"/>
      <c r="IP55" s="75"/>
      <c r="IQ55" s="75"/>
      <c r="IR55" s="75"/>
      <c r="IS55" s="75"/>
      <c r="IT55" s="75"/>
      <c r="IU55" s="75"/>
      <c r="IV55" s="75"/>
      <c r="IW55" s="75"/>
    </row>
    <row r="56" customFormat="false" ht="12.75" hidden="false" customHeight="false" outlineLevel="0" collapsed="false">
      <c r="A56" s="75"/>
      <c r="B56" s="48" t="s">
        <v>174</v>
      </c>
      <c r="C56" s="46" t="s">
        <v>175</v>
      </c>
      <c r="D56" s="46" t="s">
        <v>176</v>
      </c>
      <c r="E56" s="47" t="n">
        <v>36678</v>
      </c>
      <c r="F56" s="47" t="n">
        <v>37042</v>
      </c>
      <c r="G56" s="48" t="s">
        <v>177</v>
      </c>
      <c r="H56" s="48" t="s">
        <v>178</v>
      </c>
      <c r="I56" s="46" t="s">
        <v>179</v>
      </c>
      <c r="J56" s="60" t="n">
        <f aca="false">3.145/J$1</f>
        <v>0.104833333333333</v>
      </c>
      <c r="K56" s="51" t="n">
        <v>0.0132</v>
      </c>
      <c r="L56" s="51" t="n">
        <v>0.0022</v>
      </c>
      <c r="M56" s="51" t="n">
        <v>0</v>
      </c>
      <c r="N56" s="51" t="n">
        <v>0</v>
      </c>
      <c r="O56" s="52" t="n">
        <v>0.02116</v>
      </c>
      <c r="P56" s="51" t="n">
        <f aca="false">SUM(J56:N56)</f>
        <v>0.120233333333333</v>
      </c>
      <c r="Q56" s="53" t="n">
        <v>68385</v>
      </c>
      <c r="R56" s="46" t="n">
        <v>223</v>
      </c>
      <c r="S56" s="48"/>
      <c r="T56" s="79" t="n">
        <f aca="false">J56*J$1*R56</f>
        <v>701.335</v>
      </c>
      <c r="U56" s="79"/>
      <c r="V56" s="80" t="n">
        <v>280550</v>
      </c>
      <c r="W56" s="48"/>
      <c r="X56" s="74"/>
      <c r="Y56" s="74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5"/>
      <c r="FH56" s="75"/>
      <c r="FI56" s="75"/>
      <c r="FJ56" s="75"/>
      <c r="FK56" s="75"/>
      <c r="FL56" s="75"/>
      <c r="FM56" s="75"/>
      <c r="FN56" s="75"/>
      <c r="FO56" s="75"/>
      <c r="FP56" s="75"/>
      <c r="FQ56" s="75"/>
      <c r="FR56" s="75"/>
      <c r="FS56" s="75"/>
      <c r="FT56" s="75"/>
      <c r="FU56" s="75"/>
      <c r="FV56" s="75"/>
      <c r="FW56" s="75"/>
      <c r="FX56" s="75"/>
      <c r="FY56" s="75"/>
      <c r="FZ56" s="75"/>
      <c r="GA56" s="75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L56" s="75"/>
      <c r="GM56" s="75"/>
      <c r="GN56" s="75"/>
      <c r="GO56" s="75"/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5"/>
      <c r="HB56" s="75"/>
      <c r="HC56" s="75"/>
      <c r="HD56" s="75"/>
      <c r="HE56" s="75"/>
      <c r="HF56" s="75"/>
      <c r="HG56" s="75"/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5"/>
      <c r="IF56" s="75"/>
      <c r="IG56" s="75"/>
      <c r="IH56" s="75"/>
      <c r="II56" s="75"/>
      <c r="IJ56" s="75"/>
      <c r="IK56" s="75"/>
      <c r="IL56" s="75"/>
      <c r="IM56" s="75"/>
      <c r="IN56" s="75"/>
      <c r="IO56" s="75"/>
      <c r="IP56" s="75"/>
      <c r="IQ56" s="75"/>
      <c r="IR56" s="75"/>
      <c r="IS56" s="75"/>
      <c r="IT56" s="75"/>
      <c r="IU56" s="75"/>
      <c r="IV56" s="75"/>
      <c r="IW56" s="75"/>
    </row>
    <row r="57" customFormat="false" ht="12.75" hidden="false" customHeight="false" outlineLevel="0" collapsed="false">
      <c r="A57" s="75"/>
      <c r="B57" s="48" t="s">
        <v>174</v>
      </c>
      <c r="C57" s="46" t="s">
        <v>175</v>
      </c>
      <c r="D57" s="46" t="s">
        <v>180</v>
      </c>
      <c r="E57" s="47" t="n">
        <v>36708</v>
      </c>
      <c r="F57" s="47" t="n">
        <v>37072</v>
      </c>
      <c r="G57" s="48" t="s">
        <v>177</v>
      </c>
      <c r="H57" s="48" t="s">
        <v>178</v>
      </c>
      <c r="I57" s="46" t="s">
        <v>179</v>
      </c>
      <c r="J57" s="60" t="n">
        <f aca="false">3.145/J$1</f>
        <v>0.104833333333333</v>
      </c>
      <c r="K57" s="51" t="n">
        <v>0.0132</v>
      </c>
      <c r="L57" s="51" t="n">
        <v>0.0022</v>
      </c>
      <c r="M57" s="51" t="n">
        <v>0</v>
      </c>
      <c r="N57" s="51" t="n">
        <v>0</v>
      </c>
      <c r="O57" s="52" t="n">
        <v>0.02116</v>
      </c>
      <c r="P57" s="51" t="n">
        <f aca="false">SUM(J57:N57)</f>
        <v>0.120233333333333</v>
      </c>
      <c r="Q57" s="53" t="n">
        <v>68615</v>
      </c>
      <c r="R57" s="46" t="n">
        <v>920</v>
      </c>
      <c r="S57" s="48"/>
      <c r="T57" s="79" t="n">
        <f aca="false">J57*J$1*R57</f>
        <v>2893.4</v>
      </c>
      <c r="U57" s="79"/>
      <c r="V57" s="80" t="n">
        <v>309873</v>
      </c>
      <c r="W57" s="48"/>
      <c r="X57" s="74"/>
      <c r="Y57" s="74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  <c r="GS57" s="75"/>
      <c r="GT57" s="75"/>
      <c r="GU57" s="75"/>
      <c r="GV57" s="75"/>
      <c r="GW57" s="75"/>
      <c r="GX57" s="75"/>
      <c r="GY57" s="75"/>
      <c r="GZ57" s="75"/>
      <c r="HA57" s="75"/>
      <c r="HB57" s="75"/>
      <c r="HC57" s="75"/>
      <c r="HD57" s="75"/>
      <c r="HE57" s="75"/>
      <c r="HF57" s="75"/>
      <c r="HG57" s="75"/>
      <c r="HH57" s="75"/>
      <c r="HI57" s="75"/>
      <c r="HJ57" s="75"/>
      <c r="HK57" s="75"/>
      <c r="HL57" s="75"/>
      <c r="HM57" s="75"/>
      <c r="HN57" s="75"/>
      <c r="HO57" s="75"/>
      <c r="HP57" s="75"/>
      <c r="HQ57" s="75"/>
      <c r="HR57" s="75"/>
      <c r="HS57" s="75"/>
      <c r="HT57" s="75"/>
      <c r="HU57" s="75"/>
      <c r="HV57" s="75"/>
      <c r="HW57" s="75"/>
      <c r="HX57" s="75"/>
      <c r="HY57" s="75"/>
      <c r="HZ57" s="75"/>
      <c r="IA57" s="75"/>
      <c r="IB57" s="75"/>
      <c r="IC57" s="75"/>
      <c r="ID57" s="75"/>
      <c r="IE57" s="75"/>
      <c r="IF57" s="75"/>
      <c r="IG57" s="75"/>
      <c r="IH57" s="75"/>
      <c r="II57" s="75"/>
      <c r="IJ57" s="75"/>
      <c r="IK57" s="75"/>
      <c r="IL57" s="75"/>
      <c r="IM57" s="75"/>
      <c r="IN57" s="75"/>
      <c r="IO57" s="75"/>
      <c r="IP57" s="75"/>
      <c r="IQ57" s="75"/>
      <c r="IR57" s="75"/>
      <c r="IS57" s="75"/>
      <c r="IT57" s="75"/>
      <c r="IU57" s="75"/>
      <c r="IV57" s="75"/>
      <c r="IW57" s="75"/>
    </row>
    <row r="58" customFormat="false" ht="12.75" hidden="false" customHeight="false" outlineLevel="0" collapsed="false">
      <c r="A58" s="75"/>
      <c r="B58" s="48"/>
      <c r="C58" s="46"/>
      <c r="D58" s="46"/>
      <c r="E58" s="47"/>
      <c r="F58" s="47"/>
      <c r="G58" s="48"/>
      <c r="H58" s="48"/>
      <c r="I58" s="46"/>
      <c r="J58" s="60"/>
      <c r="K58" s="51"/>
      <c r="L58" s="51"/>
      <c r="M58" s="51"/>
      <c r="N58" s="51"/>
      <c r="O58" s="52"/>
      <c r="P58" s="51"/>
      <c r="Q58" s="53"/>
      <c r="R58" s="46"/>
      <c r="S58" s="48"/>
      <c r="T58" s="79"/>
      <c r="U58" s="79"/>
      <c r="V58" s="80"/>
      <c r="W58" s="48"/>
      <c r="X58" s="74"/>
      <c r="Y58" s="74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  <c r="FR58" s="75"/>
      <c r="FS58" s="75"/>
      <c r="FT58" s="75"/>
      <c r="FU58" s="75"/>
      <c r="FV58" s="75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  <c r="GS58" s="75"/>
      <c r="GT58" s="75"/>
      <c r="GU58" s="75"/>
      <c r="GV58" s="75"/>
      <c r="GW58" s="75"/>
      <c r="GX58" s="75"/>
      <c r="GY58" s="75"/>
      <c r="GZ58" s="75"/>
      <c r="HA58" s="75"/>
      <c r="HB58" s="75"/>
      <c r="HC58" s="75"/>
      <c r="HD58" s="75"/>
      <c r="HE58" s="75"/>
      <c r="HF58" s="75"/>
      <c r="HG58" s="75"/>
      <c r="HH58" s="75"/>
      <c r="HI58" s="75"/>
      <c r="HJ58" s="75"/>
      <c r="HK58" s="75"/>
      <c r="HL58" s="75"/>
      <c r="HM58" s="75"/>
      <c r="HN58" s="75"/>
      <c r="HO58" s="75"/>
      <c r="HP58" s="75"/>
      <c r="HQ58" s="75"/>
      <c r="HR58" s="75"/>
      <c r="HS58" s="75"/>
      <c r="HT58" s="75"/>
      <c r="HU58" s="75"/>
      <c r="HV58" s="75"/>
      <c r="HW58" s="75"/>
      <c r="HX58" s="75"/>
      <c r="HY58" s="75"/>
      <c r="HZ58" s="75"/>
      <c r="IA58" s="75"/>
      <c r="IB58" s="75"/>
      <c r="IC58" s="75"/>
      <c r="ID58" s="75"/>
      <c r="IE58" s="75"/>
      <c r="IF58" s="75"/>
      <c r="IG58" s="75"/>
      <c r="IH58" s="75"/>
      <c r="II58" s="75"/>
      <c r="IJ58" s="75"/>
      <c r="IK58" s="75"/>
      <c r="IL58" s="75"/>
      <c r="IM58" s="75"/>
      <c r="IN58" s="75"/>
      <c r="IO58" s="75"/>
      <c r="IP58" s="75"/>
      <c r="IQ58" s="75"/>
      <c r="IR58" s="75"/>
      <c r="IS58" s="75"/>
      <c r="IT58" s="75"/>
      <c r="IU58" s="75"/>
      <c r="IV58" s="75"/>
      <c r="IW58" s="75"/>
    </row>
    <row r="59" customFormat="false" ht="12.75" hidden="false" customHeight="false" outlineLevel="0" collapsed="false">
      <c r="A59" s="145"/>
      <c r="B59" s="146" t="s">
        <v>174</v>
      </c>
      <c r="C59" s="113" t="s">
        <v>175</v>
      </c>
      <c r="D59" s="113" t="s">
        <v>176</v>
      </c>
      <c r="E59" s="147" t="n">
        <v>36465</v>
      </c>
      <c r="F59" s="147" t="n">
        <v>36830</v>
      </c>
      <c r="G59" s="146" t="s">
        <v>177</v>
      </c>
      <c r="H59" s="146" t="s">
        <v>178</v>
      </c>
      <c r="I59" s="113" t="s">
        <v>179</v>
      </c>
      <c r="J59" s="148" t="n">
        <f aca="false">3.145/J$1</f>
        <v>0.104833333333333</v>
      </c>
      <c r="K59" s="149" t="n">
        <v>0.0132</v>
      </c>
      <c r="L59" s="149" t="n">
        <v>0.0022</v>
      </c>
      <c r="M59" s="149" t="n">
        <v>0</v>
      </c>
      <c r="N59" s="149" t="n">
        <v>0</v>
      </c>
      <c r="O59" s="150" t="n">
        <v>0.02116</v>
      </c>
      <c r="P59" s="149" t="n">
        <f aca="false">SUM(J59:N59)</f>
        <v>0.120233333333333</v>
      </c>
      <c r="Q59" s="151" t="n">
        <v>65027</v>
      </c>
      <c r="R59" s="113" t="n">
        <v>131</v>
      </c>
      <c r="S59" s="146" t="s">
        <v>400</v>
      </c>
      <c r="T59" s="152" t="n">
        <f aca="false">J59*J$1*R59</f>
        <v>411.995</v>
      </c>
      <c r="U59" s="152"/>
      <c r="V59" s="153" t="n">
        <v>156666</v>
      </c>
      <c r="W59" s="146" t="s">
        <v>401</v>
      </c>
      <c r="X59" s="154"/>
      <c r="Y59" s="154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5"/>
      <c r="BR59" s="145"/>
      <c r="BS59" s="145"/>
      <c r="BT59" s="145"/>
      <c r="BU59" s="145"/>
      <c r="BV59" s="145"/>
      <c r="BW59" s="145"/>
      <c r="BX59" s="145"/>
      <c r="BY59" s="145"/>
      <c r="BZ59" s="145"/>
      <c r="CA59" s="145"/>
      <c r="CB59" s="145"/>
      <c r="CC59" s="145"/>
      <c r="CD59" s="145"/>
      <c r="CE59" s="145"/>
      <c r="CF59" s="145"/>
      <c r="CG59" s="145"/>
      <c r="CH59" s="145"/>
      <c r="CI59" s="145"/>
      <c r="CJ59" s="145"/>
      <c r="CK59" s="145"/>
      <c r="CL59" s="145"/>
      <c r="CM59" s="145"/>
      <c r="CN59" s="145"/>
      <c r="CO59" s="145"/>
      <c r="CP59" s="145"/>
      <c r="CQ59" s="145"/>
      <c r="CR59" s="145"/>
      <c r="CS59" s="145"/>
      <c r="CT59" s="145"/>
      <c r="CU59" s="145"/>
      <c r="CV59" s="145"/>
      <c r="CW59" s="145"/>
      <c r="CX59" s="145"/>
      <c r="CY59" s="145"/>
      <c r="CZ59" s="145"/>
      <c r="DA59" s="145"/>
      <c r="DB59" s="145"/>
      <c r="DC59" s="145"/>
      <c r="DD59" s="145"/>
      <c r="DE59" s="145"/>
      <c r="DF59" s="145"/>
      <c r="DG59" s="145"/>
      <c r="DH59" s="145"/>
      <c r="DI59" s="145"/>
      <c r="DJ59" s="145"/>
      <c r="DK59" s="145"/>
      <c r="DL59" s="145"/>
      <c r="DM59" s="145"/>
      <c r="DN59" s="145"/>
      <c r="DO59" s="145"/>
      <c r="DP59" s="145"/>
      <c r="DQ59" s="145"/>
      <c r="DR59" s="145"/>
      <c r="DS59" s="145"/>
      <c r="DT59" s="145"/>
      <c r="DU59" s="145"/>
      <c r="DV59" s="145"/>
      <c r="DW59" s="145"/>
      <c r="DX59" s="145"/>
      <c r="DY59" s="145"/>
      <c r="DZ59" s="145"/>
      <c r="EA59" s="145"/>
      <c r="EB59" s="145"/>
      <c r="EC59" s="145"/>
      <c r="ED59" s="145"/>
      <c r="EE59" s="145"/>
      <c r="EF59" s="145"/>
      <c r="EG59" s="145"/>
      <c r="EH59" s="145"/>
      <c r="EI59" s="145"/>
      <c r="EJ59" s="145"/>
      <c r="EK59" s="145"/>
      <c r="EL59" s="145"/>
      <c r="EM59" s="145"/>
      <c r="EN59" s="145"/>
      <c r="EO59" s="145"/>
      <c r="EP59" s="145"/>
      <c r="EQ59" s="145"/>
      <c r="ER59" s="145"/>
      <c r="ES59" s="145"/>
      <c r="ET59" s="145"/>
      <c r="EU59" s="145"/>
      <c r="EV59" s="145"/>
      <c r="EW59" s="145"/>
      <c r="EX59" s="145"/>
      <c r="EY59" s="145"/>
      <c r="EZ59" s="145"/>
      <c r="FA59" s="145"/>
      <c r="FB59" s="145"/>
      <c r="FC59" s="145"/>
      <c r="FD59" s="145"/>
      <c r="FE59" s="145"/>
      <c r="FF59" s="145"/>
      <c r="FG59" s="145"/>
      <c r="FH59" s="145"/>
      <c r="FI59" s="145"/>
      <c r="FJ59" s="145"/>
      <c r="FK59" s="145"/>
      <c r="FL59" s="145"/>
      <c r="FM59" s="145"/>
      <c r="FN59" s="145"/>
      <c r="FO59" s="145"/>
      <c r="FP59" s="145"/>
      <c r="FQ59" s="145"/>
      <c r="FR59" s="145"/>
      <c r="FS59" s="145"/>
      <c r="FT59" s="145"/>
      <c r="FU59" s="145"/>
      <c r="FV59" s="145"/>
      <c r="FW59" s="145"/>
      <c r="FX59" s="145"/>
      <c r="FY59" s="145"/>
      <c r="FZ59" s="145"/>
      <c r="GA59" s="145"/>
      <c r="GB59" s="145"/>
      <c r="GC59" s="145"/>
      <c r="GD59" s="145"/>
      <c r="GE59" s="145"/>
      <c r="GF59" s="145"/>
      <c r="GG59" s="145"/>
      <c r="GH59" s="145"/>
      <c r="GI59" s="145"/>
      <c r="GJ59" s="145"/>
      <c r="GK59" s="145"/>
      <c r="GL59" s="145"/>
      <c r="GM59" s="145"/>
      <c r="GN59" s="145"/>
      <c r="GO59" s="145"/>
      <c r="GP59" s="145"/>
      <c r="GQ59" s="145"/>
      <c r="GR59" s="145"/>
      <c r="GS59" s="145"/>
      <c r="GT59" s="145"/>
      <c r="GU59" s="145"/>
      <c r="GV59" s="145"/>
      <c r="GW59" s="145"/>
      <c r="GX59" s="145"/>
      <c r="GY59" s="145"/>
      <c r="GZ59" s="145"/>
      <c r="HA59" s="145"/>
      <c r="HB59" s="145"/>
      <c r="HC59" s="145"/>
      <c r="HD59" s="145"/>
      <c r="HE59" s="145"/>
      <c r="HF59" s="145"/>
      <c r="HG59" s="145"/>
      <c r="HH59" s="145"/>
      <c r="HI59" s="145"/>
      <c r="HJ59" s="145"/>
      <c r="HK59" s="145"/>
      <c r="HL59" s="145"/>
      <c r="HM59" s="145"/>
      <c r="HN59" s="145"/>
      <c r="HO59" s="145"/>
      <c r="HP59" s="145"/>
      <c r="HQ59" s="145"/>
      <c r="HR59" s="145"/>
      <c r="HS59" s="145"/>
      <c r="HT59" s="145"/>
      <c r="HU59" s="145"/>
      <c r="HV59" s="145"/>
      <c r="HW59" s="145"/>
      <c r="HX59" s="145"/>
      <c r="HY59" s="145"/>
      <c r="HZ59" s="145"/>
      <c r="IA59" s="145"/>
      <c r="IB59" s="145"/>
      <c r="IC59" s="145"/>
      <c r="ID59" s="145"/>
      <c r="IE59" s="145"/>
      <c r="IF59" s="145"/>
      <c r="IG59" s="145"/>
      <c r="IH59" s="145"/>
      <c r="II59" s="145"/>
      <c r="IJ59" s="145"/>
      <c r="IK59" s="145"/>
      <c r="IL59" s="145"/>
      <c r="IM59" s="145"/>
      <c r="IN59" s="145"/>
      <c r="IO59" s="145"/>
      <c r="IP59" s="145"/>
      <c r="IQ59" s="145"/>
      <c r="IR59" s="145"/>
      <c r="IS59" s="145"/>
      <c r="IT59" s="145"/>
      <c r="IU59" s="145"/>
      <c r="IV59" s="145"/>
      <c r="IW59" s="145"/>
    </row>
    <row r="60" customFormat="false" ht="12.75" hidden="false" customHeight="false" outlineLevel="0" collapsed="false">
      <c r="A60" s="161"/>
      <c r="B60" s="162" t="s">
        <v>260</v>
      </c>
      <c r="C60" s="163" t="s">
        <v>175</v>
      </c>
      <c r="D60" s="163" t="s">
        <v>176</v>
      </c>
      <c r="E60" s="164" t="n">
        <v>36831</v>
      </c>
      <c r="F60" s="164" t="n">
        <v>37195</v>
      </c>
      <c r="G60" s="162" t="s">
        <v>177</v>
      </c>
      <c r="H60" s="162" t="s">
        <v>178</v>
      </c>
      <c r="I60" s="163" t="s">
        <v>179</v>
      </c>
      <c r="J60" s="165" t="n">
        <f aca="false">3.145/J$1</f>
        <v>0.104833333333333</v>
      </c>
      <c r="K60" s="166" t="n">
        <v>0.0132</v>
      </c>
      <c r="L60" s="166" t="n">
        <v>0.0022</v>
      </c>
      <c r="M60" s="166" t="n">
        <v>0</v>
      </c>
      <c r="N60" s="166" t="n">
        <v>0</v>
      </c>
      <c r="O60" s="167" t="n">
        <v>0.02116</v>
      </c>
      <c r="P60" s="166" t="n">
        <f aca="false">SUM(J60:N60)</f>
        <v>0.120233333333333</v>
      </c>
      <c r="Q60" s="168"/>
      <c r="R60" s="163" t="n">
        <v>129</v>
      </c>
      <c r="S60" s="162" t="s">
        <v>402</v>
      </c>
      <c r="T60" s="169" t="n">
        <f aca="false">J60*J$1*R60</f>
        <v>405.705</v>
      </c>
      <c r="U60" s="169"/>
      <c r="V60" s="170" t="n">
        <v>156666</v>
      </c>
      <c r="W60" s="162" t="s">
        <v>401</v>
      </c>
      <c r="X60" s="171"/>
      <c r="Y60" s="17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  <c r="IV60" s="161"/>
      <c r="IW60" s="161"/>
    </row>
    <row r="61" customFormat="false" ht="12.75" hidden="false" customHeight="false" outlineLevel="0" collapsed="false">
      <c r="A61" s="75"/>
      <c r="B61" s="48"/>
      <c r="C61" s="46"/>
      <c r="D61" s="46"/>
      <c r="E61" s="47"/>
      <c r="F61" s="47"/>
      <c r="G61" s="48"/>
      <c r="H61" s="48"/>
      <c r="I61" s="46"/>
      <c r="J61" s="60"/>
      <c r="K61" s="51"/>
      <c r="L61" s="51"/>
      <c r="M61" s="51"/>
      <c r="N61" s="51"/>
      <c r="O61" s="52"/>
      <c r="P61" s="51"/>
      <c r="Q61" s="53"/>
      <c r="R61" s="46"/>
      <c r="S61" s="48"/>
      <c r="T61" s="79"/>
      <c r="U61" s="79"/>
      <c r="V61" s="80"/>
      <c r="W61" s="48"/>
      <c r="X61" s="74"/>
      <c r="Y61" s="74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  <c r="HI61" s="75"/>
      <c r="HJ61" s="75"/>
      <c r="HK61" s="75"/>
      <c r="HL61" s="75"/>
      <c r="HM61" s="75"/>
      <c r="HN61" s="75"/>
      <c r="HO61" s="75"/>
      <c r="HP61" s="75"/>
      <c r="HQ61" s="75"/>
      <c r="HR61" s="75"/>
      <c r="HS61" s="75"/>
      <c r="HT61" s="75"/>
      <c r="HU61" s="75"/>
      <c r="HV61" s="75"/>
      <c r="HW61" s="75"/>
      <c r="HX61" s="75"/>
      <c r="HY61" s="75"/>
      <c r="HZ61" s="75"/>
      <c r="IA61" s="75"/>
      <c r="IB61" s="75"/>
      <c r="IC61" s="75"/>
      <c r="ID61" s="75"/>
      <c r="IE61" s="75"/>
      <c r="IF61" s="75"/>
      <c r="IG61" s="75"/>
      <c r="IH61" s="75"/>
      <c r="II61" s="75"/>
      <c r="IJ61" s="75"/>
      <c r="IK61" s="75"/>
      <c r="IL61" s="75"/>
      <c r="IM61" s="75"/>
      <c r="IN61" s="75"/>
      <c r="IO61" s="75"/>
      <c r="IP61" s="75"/>
      <c r="IQ61" s="75"/>
      <c r="IR61" s="75"/>
      <c r="IS61" s="75"/>
      <c r="IT61" s="75"/>
      <c r="IU61" s="75"/>
      <c r="IV61" s="75"/>
      <c r="IW61" s="75"/>
    </row>
    <row r="62" customFormat="false" ht="12.75" hidden="false" customHeight="false" outlineLevel="0" collapsed="false">
      <c r="A62" s="75"/>
      <c r="B62" s="48" t="s">
        <v>174</v>
      </c>
      <c r="C62" s="46" t="s">
        <v>175</v>
      </c>
      <c r="D62" s="46" t="s">
        <v>176</v>
      </c>
      <c r="E62" s="47" t="n">
        <v>36495</v>
      </c>
      <c r="F62" s="47" t="n">
        <v>36860</v>
      </c>
      <c r="G62" s="48" t="s">
        <v>177</v>
      </c>
      <c r="H62" s="48" t="s">
        <v>178</v>
      </c>
      <c r="I62" s="46" t="s">
        <v>179</v>
      </c>
      <c r="J62" s="60" t="n">
        <f aca="false">3.145/J$1</f>
        <v>0.104833333333333</v>
      </c>
      <c r="K62" s="51" t="n">
        <v>0.0132</v>
      </c>
      <c r="L62" s="51" t="n">
        <v>0.0022</v>
      </c>
      <c r="M62" s="51" t="n">
        <v>0</v>
      </c>
      <c r="N62" s="51" t="n">
        <v>0</v>
      </c>
      <c r="O62" s="52" t="n">
        <v>0.02116</v>
      </c>
      <c r="P62" s="51" t="n">
        <f aca="false">SUM(J62:N62)</f>
        <v>0.120233333333333</v>
      </c>
      <c r="Q62" s="53" t="n">
        <v>65557</v>
      </c>
      <c r="R62" s="46" t="n">
        <v>3</v>
      </c>
      <c r="S62" s="48"/>
      <c r="T62" s="79" t="n">
        <f aca="false">J62*J$1*R62</f>
        <v>9.435</v>
      </c>
      <c r="U62" s="79"/>
      <c r="V62" s="80" t="n">
        <v>156669</v>
      </c>
      <c r="W62" s="48"/>
      <c r="X62" s="74"/>
      <c r="Y62" s="74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</row>
    <row r="63" customFormat="false" ht="12.75" hidden="false" customHeight="false" outlineLevel="0" collapsed="false">
      <c r="A63" s="75"/>
      <c r="B63" s="48" t="s">
        <v>174</v>
      </c>
      <c r="C63" s="46" t="s">
        <v>175</v>
      </c>
      <c r="D63" s="46" t="s">
        <v>180</v>
      </c>
      <c r="E63" s="47" t="n">
        <v>36708</v>
      </c>
      <c r="F63" s="47" t="s">
        <v>403</v>
      </c>
      <c r="G63" s="48" t="s">
        <v>177</v>
      </c>
      <c r="H63" s="48" t="s">
        <v>178</v>
      </c>
      <c r="I63" s="46" t="s">
        <v>179</v>
      </c>
      <c r="J63" s="60" t="e">
        <f aca="false">3.145/J44</f>
        <v>#REF!</v>
      </c>
      <c r="K63" s="51"/>
      <c r="L63" s="51"/>
      <c r="M63" s="51"/>
      <c r="N63" s="51"/>
      <c r="O63" s="52"/>
      <c r="P63" s="51"/>
      <c r="Q63" s="53" t="n">
        <v>68634</v>
      </c>
      <c r="R63" s="46" t="n">
        <v>1</v>
      </c>
      <c r="S63" s="48"/>
      <c r="T63" s="79" t="e">
        <f aca="false">J63*J$1*R63</f>
        <v>#REF!</v>
      </c>
      <c r="U63" s="79"/>
      <c r="V63" s="80" t="n">
        <v>312338</v>
      </c>
      <c r="W63" s="48"/>
      <c r="X63" s="74"/>
      <c r="Y63" s="74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  <c r="EO63" s="75"/>
      <c r="EP63" s="75"/>
      <c r="EQ63" s="75"/>
      <c r="ER63" s="75"/>
      <c r="ES63" s="75"/>
      <c r="ET63" s="75"/>
      <c r="EU63" s="75"/>
      <c r="EV63" s="75"/>
      <c r="EW63" s="75"/>
      <c r="EX63" s="75"/>
      <c r="EY63" s="75"/>
      <c r="EZ63" s="75"/>
      <c r="FA63" s="75"/>
      <c r="FB63" s="75"/>
      <c r="FC63" s="75"/>
      <c r="FD63" s="75"/>
      <c r="FE63" s="75"/>
      <c r="FF63" s="75"/>
      <c r="FG63" s="75"/>
      <c r="FH63" s="75"/>
      <c r="FI63" s="75"/>
      <c r="FJ63" s="75"/>
      <c r="FK63" s="75"/>
      <c r="FL63" s="75"/>
      <c r="FM63" s="75"/>
      <c r="FN63" s="75"/>
      <c r="FO63" s="75"/>
      <c r="FP63" s="75"/>
      <c r="FQ63" s="75"/>
      <c r="FR63" s="75"/>
      <c r="FS63" s="75"/>
      <c r="FT63" s="75"/>
      <c r="FU63" s="75"/>
      <c r="FV63" s="75"/>
      <c r="FW63" s="75"/>
      <c r="FX63" s="75"/>
      <c r="FY63" s="75"/>
      <c r="FZ63" s="75"/>
      <c r="GA63" s="75"/>
      <c r="GB63" s="75"/>
      <c r="GC63" s="75"/>
      <c r="GD63" s="75"/>
      <c r="GE63" s="75"/>
      <c r="GF63" s="75"/>
      <c r="GG63" s="75"/>
      <c r="GH63" s="75"/>
      <c r="GI63" s="75"/>
      <c r="GJ63" s="75"/>
      <c r="GK63" s="75"/>
      <c r="GL63" s="75"/>
      <c r="GM63" s="75"/>
      <c r="GN63" s="75"/>
      <c r="GO63" s="75"/>
      <c r="GP63" s="75"/>
      <c r="GQ63" s="75"/>
      <c r="GR63" s="75"/>
      <c r="GS63" s="75"/>
      <c r="GT63" s="75"/>
      <c r="GU63" s="75"/>
      <c r="GV63" s="75"/>
      <c r="GW63" s="75"/>
      <c r="GX63" s="75"/>
      <c r="GY63" s="75"/>
      <c r="GZ63" s="75"/>
      <c r="HA63" s="75"/>
      <c r="HB63" s="75"/>
      <c r="HC63" s="75"/>
      <c r="HD63" s="75"/>
      <c r="HE63" s="75"/>
      <c r="HF63" s="75"/>
      <c r="HG63" s="75"/>
      <c r="HH63" s="75"/>
      <c r="HI63" s="75"/>
      <c r="HJ63" s="75"/>
      <c r="HK63" s="75"/>
      <c r="HL63" s="75"/>
      <c r="HM63" s="75"/>
      <c r="HN63" s="75"/>
      <c r="HO63" s="75"/>
      <c r="HP63" s="75"/>
      <c r="HQ63" s="75"/>
      <c r="HR63" s="75"/>
      <c r="HS63" s="75"/>
      <c r="HT63" s="75"/>
      <c r="HU63" s="75"/>
      <c r="HV63" s="75"/>
      <c r="HW63" s="75"/>
      <c r="HX63" s="75"/>
      <c r="HY63" s="75"/>
      <c r="HZ63" s="75"/>
      <c r="IA63" s="75"/>
      <c r="IB63" s="75"/>
      <c r="IC63" s="75"/>
      <c r="ID63" s="75"/>
      <c r="IE63" s="75"/>
      <c r="IF63" s="75"/>
      <c r="IG63" s="75"/>
      <c r="IH63" s="75"/>
      <c r="II63" s="75"/>
      <c r="IJ63" s="75"/>
      <c r="IK63" s="75"/>
      <c r="IL63" s="75"/>
      <c r="IM63" s="75"/>
      <c r="IN63" s="75"/>
      <c r="IO63" s="75"/>
      <c r="IP63" s="75"/>
      <c r="IQ63" s="75"/>
      <c r="IR63" s="75"/>
      <c r="IS63" s="75"/>
      <c r="IT63" s="75"/>
      <c r="IU63" s="75"/>
      <c r="IV63" s="75"/>
      <c r="IW63" s="75"/>
    </row>
    <row r="64" customFormat="false" ht="12.75" hidden="false" customHeight="false" outlineLevel="0" collapsed="false">
      <c r="A64" s="75"/>
      <c r="B64" s="48" t="s">
        <v>174</v>
      </c>
      <c r="C64" s="46" t="s">
        <v>175</v>
      </c>
      <c r="D64" s="46" t="s">
        <v>176</v>
      </c>
      <c r="E64" s="47" t="n">
        <v>36557</v>
      </c>
      <c r="F64" s="47" t="n">
        <v>36922</v>
      </c>
      <c r="G64" s="48" t="s">
        <v>177</v>
      </c>
      <c r="H64" s="48" t="s">
        <v>178</v>
      </c>
      <c r="I64" s="46" t="s">
        <v>179</v>
      </c>
      <c r="J64" s="60" t="n">
        <f aca="false">3.145/31</f>
        <v>0.101451612903226</v>
      </c>
      <c r="K64" s="51"/>
      <c r="L64" s="51"/>
      <c r="M64" s="51"/>
      <c r="N64" s="51"/>
      <c r="O64" s="52"/>
      <c r="P64" s="51"/>
      <c r="Q64" s="53" t="n">
        <v>66283</v>
      </c>
      <c r="R64" s="46" t="n">
        <v>5</v>
      </c>
      <c r="S64" s="48"/>
      <c r="T64" s="81" t="n">
        <f aca="false">+J64*R64*31</f>
        <v>15.725</v>
      </c>
      <c r="U64" s="79"/>
      <c r="V64" s="80" t="n">
        <v>156674</v>
      </c>
      <c r="W64" s="48"/>
      <c r="X64" s="74"/>
      <c r="Y64" s="74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  <c r="EO64" s="75"/>
      <c r="EP64" s="75"/>
      <c r="EQ64" s="75"/>
      <c r="ER64" s="75"/>
      <c r="ES64" s="75"/>
      <c r="ET64" s="75"/>
      <c r="EU64" s="75"/>
      <c r="EV64" s="75"/>
      <c r="EW64" s="75"/>
      <c r="EX64" s="75"/>
      <c r="EY64" s="75"/>
      <c r="EZ64" s="75"/>
      <c r="FA64" s="75"/>
      <c r="FB64" s="75"/>
      <c r="FC64" s="75"/>
      <c r="FD64" s="75"/>
      <c r="FE64" s="75"/>
      <c r="FF64" s="75"/>
      <c r="FG64" s="75"/>
      <c r="FH64" s="75"/>
      <c r="FI64" s="75"/>
      <c r="FJ64" s="75"/>
      <c r="FK64" s="75"/>
      <c r="FL64" s="75"/>
      <c r="FM64" s="75"/>
      <c r="FN64" s="75"/>
      <c r="FO64" s="75"/>
      <c r="FP64" s="75"/>
      <c r="FQ64" s="75"/>
      <c r="FR64" s="75"/>
      <c r="FS64" s="75"/>
      <c r="FT64" s="75"/>
      <c r="FU64" s="75"/>
      <c r="FV64" s="75"/>
      <c r="FW64" s="75"/>
      <c r="FX64" s="75"/>
      <c r="FY64" s="75"/>
      <c r="FZ64" s="75"/>
      <c r="GA64" s="75"/>
      <c r="GB64" s="75"/>
      <c r="GC64" s="75"/>
      <c r="GD64" s="75"/>
      <c r="GE64" s="75"/>
      <c r="GF64" s="75"/>
      <c r="GG64" s="75"/>
      <c r="GH64" s="75"/>
      <c r="GI64" s="75"/>
      <c r="GJ64" s="75"/>
      <c r="GK64" s="75"/>
      <c r="GL64" s="75"/>
      <c r="GM64" s="75"/>
      <c r="GN64" s="75"/>
      <c r="GO64" s="75"/>
      <c r="GP64" s="75"/>
      <c r="GQ64" s="75"/>
      <c r="GR64" s="75"/>
      <c r="GS64" s="75"/>
      <c r="GT64" s="75"/>
      <c r="GU64" s="75"/>
      <c r="GV64" s="75"/>
      <c r="GW64" s="75"/>
      <c r="GX64" s="75"/>
      <c r="GY64" s="75"/>
      <c r="GZ64" s="75"/>
      <c r="HA64" s="75"/>
      <c r="HB64" s="75"/>
      <c r="HC64" s="75"/>
      <c r="HD64" s="75"/>
      <c r="HE64" s="75"/>
      <c r="HF64" s="75"/>
      <c r="HG64" s="75"/>
      <c r="HH64" s="75"/>
      <c r="HI64" s="75"/>
      <c r="HJ64" s="75"/>
      <c r="HK64" s="75"/>
      <c r="HL64" s="75"/>
      <c r="HM64" s="75"/>
      <c r="HN64" s="75"/>
      <c r="HO64" s="75"/>
      <c r="HP64" s="75"/>
      <c r="HQ64" s="75"/>
      <c r="HR64" s="75"/>
      <c r="HS64" s="75"/>
      <c r="HT64" s="75"/>
      <c r="HU64" s="75"/>
      <c r="HV64" s="75"/>
      <c r="HW64" s="75"/>
      <c r="HX64" s="75"/>
      <c r="HY64" s="75"/>
      <c r="HZ64" s="75"/>
      <c r="IA64" s="75"/>
      <c r="IB64" s="75"/>
      <c r="IC64" s="75"/>
      <c r="ID64" s="75"/>
      <c r="IE64" s="75"/>
      <c r="IF64" s="75"/>
      <c r="IG64" s="75"/>
      <c r="IH64" s="75"/>
      <c r="II64" s="75"/>
      <c r="IJ64" s="75"/>
      <c r="IK64" s="75"/>
      <c r="IL64" s="75"/>
      <c r="IM64" s="75"/>
      <c r="IN64" s="75"/>
      <c r="IO64" s="75"/>
      <c r="IP64" s="75"/>
      <c r="IQ64" s="75"/>
      <c r="IR64" s="75"/>
      <c r="IS64" s="75"/>
      <c r="IT64" s="75"/>
      <c r="IU64" s="75"/>
      <c r="IV64" s="75"/>
      <c r="IW64" s="75"/>
    </row>
    <row r="65" customFormat="false" ht="12.75" hidden="false" customHeight="false" outlineLevel="0" collapsed="false">
      <c r="A65" s="75"/>
      <c r="B65" s="48" t="s">
        <v>174</v>
      </c>
      <c r="C65" s="46" t="s">
        <v>175</v>
      </c>
      <c r="D65" s="46" t="s">
        <v>176</v>
      </c>
      <c r="E65" s="47" t="n">
        <v>36617</v>
      </c>
      <c r="F65" s="47" t="n">
        <v>36981</v>
      </c>
      <c r="G65" s="48" t="s">
        <v>177</v>
      </c>
      <c r="H65" s="48" t="s">
        <v>178</v>
      </c>
      <c r="I65" s="46" t="s">
        <v>179</v>
      </c>
      <c r="J65" s="60" t="e">
        <f aca="false">3.15/J44</f>
        <v>#REF!</v>
      </c>
      <c r="K65" s="51"/>
      <c r="L65" s="51"/>
      <c r="M65" s="51"/>
      <c r="N65" s="51"/>
      <c r="O65" s="52"/>
      <c r="P65" s="51"/>
      <c r="Q65" s="53" t="n">
        <v>66941</v>
      </c>
      <c r="R65" s="46" t="n">
        <v>53</v>
      </c>
      <c r="S65" s="48"/>
      <c r="T65" s="81" t="e">
        <f aca="false">+J65*R65*31</f>
        <v>#REF!</v>
      </c>
      <c r="U65" s="79"/>
      <c r="V65" s="80" t="n">
        <v>228122</v>
      </c>
      <c r="W65" s="48"/>
      <c r="X65" s="74"/>
      <c r="Y65" s="74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  <c r="EO65" s="75"/>
      <c r="EP65" s="75"/>
      <c r="EQ65" s="75"/>
      <c r="ER65" s="75"/>
      <c r="ES65" s="75"/>
      <c r="ET65" s="75"/>
      <c r="EU65" s="75"/>
      <c r="EV65" s="75"/>
      <c r="EW65" s="75"/>
      <c r="EX65" s="75"/>
      <c r="EY65" s="75"/>
      <c r="EZ65" s="75"/>
      <c r="FA65" s="75"/>
      <c r="FB65" s="75"/>
      <c r="FC65" s="75"/>
      <c r="FD65" s="75"/>
      <c r="FE65" s="75"/>
      <c r="FF65" s="75"/>
      <c r="FG65" s="75"/>
      <c r="FH65" s="75"/>
      <c r="FI65" s="75"/>
      <c r="FJ65" s="75"/>
      <c r="FK65" s="75"/>
      <c r="FL65" s="75"/>
      <c r="FM65" s="75"/>
      <c r="FN65" s="75"/>
      <c r="FO65" s="75"/>
      <c r="FP65" s="75"/>
      <c r="FQ65" s="75"/>
      <c r="FR65" s="75"/>
      <c r="FS65" s="75"/>
      <c r="FT65" s="75"/>
      <c r="FU65" s="75"/>
      <c r="FV65" s="75"/>
      <c r="FW65" s="75"/>
      <c r="FX65" s="75"/>
      <c r="FY65" s="75"/>
      <c r="FZ65" s="75"/>
      <c r="GA65" s="75"/>
      <c r="GB65" s="75"/>
      <c r="GC65" s="75"/>
      <c r="GD65" s="75"/>
      <c r="GE65" s="75"/>
      <c r="GF65" s="75"/>
      <c r="GG65" s="75"/>
      <c r="GH65" s="75"/>
      <c r="GI65" s="75"/>
      <c r="GJ65" s="75"/>
      <c r="GK65" s="75"/>
      <c r="GL65" s="75"/>
      <c r="GM65" s="75"/>
      <c r="GN65" s="75"/>
      <c r="GO65" s="75"/>
      <c r="GP65" s="75"/>
      <c r="GQ65" s="75"/>
      <c r="GR65" s="75"/>
      <c r="GS65" s="75"/>
      <c r="GT65" s="75"/>
      <c r="GU65" s="75"/>
      <c r="GV65" s="75"/>
      <c r="GW65" s="75"/>
      <c r="GX65" s="75"/>
      <c r="GY65" s="75"/>
      <c r="GZ65" s="75"/>
      <c r="HA65" s="75"/>
      <c r="HB65" s="75"/>
      <c r="HC65" s="75"/>
      <c r="HD65" s="75"/>
      <c r="HE65" s="75"/>
      <c r="HF65" s="75"/>
      <c r="HG65" s="75"/>
      <c r="HH65" s="75"/>
      <c r="HI65" s="75"/>
      <c r="HJ65" s="75"/>
      <c r="HK65" s="75"/>
      <c r="HL65" s="75"/>
      <c r="HM65" s="75"/>
      <c r="HN65" s="75"/>
      <c r="HO65" s="75"/>
      <c r="HP65" s="75"/>
      <c r="HQ65" s="75"/>
      <c r="HR65" s="75"/>
      <c r="HS65" s="75"/>
      <c r="HT65" s="75"/>
      <c r="HU65" s="75"/>
      <c r="HV65" s="75"/>
      <c r="HW65" s="75"/>
      <c r="HX65" s="75"/>
      <c r="HY65" s="75"/>
      <c r="HZ65" s="75"/>
      <c r="IA65" s="75"/>
      <c r="IB65" s="75"/>
      <c r="IC65" s="75"/>
      <c r="ID65" s="75"/>
      <c r="IE65" s="75"/>
      <c r="IF65" s="75"/>
      <c r="IG65" s="75"/>
      <c r="IH65" s="75"/>
      <c r="II65" s="75"/>
      <c r="IJ65" s="75"/>
      <c r="IK65" s="75"/>
      <c r="IL65" s="75"/>
      <c r="IM65" s="75"/>
      <c r="IN65" s="75"/>
      <c r="IO65" s="75"/>
      <c r="IP65" s="75"/>
      <c r="IQ65" s="75"/>
      <c r="IR65" s="75"/>
      <c r="IS65" s="75"/>
      <c r="IT65" s="75"/>
      <c r="IU65" s="75"/>
      <c r="IV65" s="75"/>
      <c r="IW65" s="75"/>
    </row>
    <row r="66" customFormat="false" ht="12.75" hidden="false" customHeight="false" outlineLevel="0" collapsed="false">
      <c r="A66" s="75"/>
      <c r="B66" s="48" t="s">
        <v>174</v>
      </c>
      <c r="C66" s="46" t="s">
        <v>175</v>
      </c>
      <c r="D66" s="46" t="s">
        <v>176</v>
      </c>
      <c r="E66" s="47" t="n">
        <v>36656</v>
      </c>
      <c r="F66" s="47" t="n">
        <v>36950</v>
      </c>
      <c r="G66" s="48" t="s">
        <v>177</v>
      </c>
      <c r="H66" s="48" t="s">
        <v>178</v>
      </c>
      <c r="I66" s="46" t="s">
        <v>179</v>
      </c>
      <c r="J66" s="60" t="e">
        <f aca="false">3.145/J44</f>
        <v>#REF!</v>
      </c>
      <c r="K66" s="51"/>
      <c r="L66" s="51"/>
      <c r="M66" s="51"/>
      <c r="N66" s="51"/>
      <c r="O66" s="52"/>
      <c r="P66" s="51"/>
      <c r="Q66" s="53" t="n">
        <v>68309</v>
      </c>
      <c r="R66" s="46" t="n">
        <v>9</v>
      </c>
      <c r="S66" s="48"/>
      <c r="T66" s="79" t="e">
        <f aca="false">+R66*J66*$J$1</f>
        <v>#REF!</v>
      </c>
      <c r="U66" s="79"/>
      <c r="V66" s="80" t="n">
        <v>262090</v>
      </c>
      <c r="W66" s="48" t="s">
        <v>182</v>
      </c>
      <c r="X66" s="74"/>
      <c r="Y66" s="74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  <c r="GS66" s="75"/>
      <c r="GT66" s="75"/>
      <c r="GU66" s="75"/>
      <c r="GV66" s="75"/>
      <c r="GW66" s="75"/>
      <c r="GX66" s="75"/>
      <c r="GY66" s="75"/>
      <c r="GZ66" s="75"/>
      <c r="HA66" s="75"/>
      <c r="HB66" s="75"/>
      <c r="HC66" s="75"/>
      <c r="HD66" s="75"/>
      <c r="HE66" s="75"/>
      <c r="HF66" s="75"/>
      <c r="HG66" s="75"/>
      <c r="HH66" s="75"/>
      <c r="HI66" s="75"/>
      <c r="HJ66" s="75"/>
      <c r="HK66" s="75"/>
      <c r="HL66" s="75"/>
      <c r="HM66" s="75"/>
      <c r="HN66" s="75"/>
      <c r="HO66" s="75"/>
      <c r="HP66" s="75"/>
      <c r="HQ66" s="75"/>
      <c r="HR66" s="75"/>
      <c r="HS66" s="75"/>
      <c r="HT66" s="75"/>
      <c r="HU66" s="75"/>
      <c r="HV66" s="75"/>
      <c r="HW66" s="75"/>
      <c r="HX66" s="75"/>
      <c r="HY66" s="75"/>
      <c r="HZ66" s="75"/>
      <c r="IA66" s="75"/>
      <c r="IB66" s="75"/>
      <c r="IC66" s="75"/>
      <c r="ID66" s="75"/>
      <c r="IE66" s="75"/>
      <c r="IF66" s="75"/>
      <c r="IG66" s="75"/>
      <c r="IH66" s="75"/>
      <c r="II66" s="75"/>
      <c r="IJ66" s="75"/>
      <c r="IK66" s="75"/>
      <c r="IL66" s="75"/>
      <c r="IM66" s="75"/>
      <c r="IN66" s="75"/>
      <c r="IO66" s="75"/>
      <c r="IP66" s="75"/>
      <c r="IQ66" s="75"/>
      <c r="IR66" s="75"/>
      <c r="IS66" s="75"/>
      <c r="IT66" s="75"/>
      <c r="IU66" s="75"/>
      <c r="IV66" s="75"/>
      <c r="IW66" s="75"/>
    </row>
    <row r="67" customFormat="false" ht="12.75" hidden="false" customHeight="false" outlineLevel="0" collapsed="false">
      <c r="A67" s="75"/>
      <c r="B67" s="48" t="s">
        <v>174</v>
      </c>
      <c r="C67" s="46" t="s">
        <v>175</v>
      </c>
      <c r="D67" s="46" t="s">
        <v>176</v>
      </c>
      <c r="E67" s="47" t="n">
        <v>36739</v>
      </c>
      <c r="F67" s="47" t="n">
        <v>36738</v>
      </c>
      <c r="G67" s="48" t="s">
        <v>177</v>
      </c>
      <c r="H67" s="48" t="s">
        <v>178</v>
      </c>
      <c r="I67" s="46" t="s">
        <v>179</v>
      </c>
      <c r="J67" s="60" t="e">
        <f aca="false">3.145/J44</f>
        <v>#REF!</v>
      </c>
      <c r="K67" s="51"/>
      <c r="L67" s="51"/>
      <c r="M67" s="51"/>
      <c r="N67" s="51"/>
      <c r="O67" s="52"/>
      <c r="P67" s="51"/>
      <c r="Q67" s="53" t="n">
        <v>68929</v>
      </c>
      <c r="R67" s="46" t="n">
        <v>48</v>
      </c>
      <c r="S67" s="48" t="s">
        <v>185</v>
      </c>
      <c r="T67" s="79" t="e">
        <f aca="false">+R67*J67*$J$1</f>
        <v>#REF!</v>
      </c>
      <c r="U67" s="79"/>
      <c r="V67" s="80" t="n">
        <v>345091</v>
      </c>
      <c r="W67" s="48"/>
      <c r="X67" s="74"/>
      <c r="Y67" s="74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  <c r="EO67" s="75"/>
      <c r="EP67" s="75"/>
      <c r="EQ67" s="7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75"/>
      <c r="FD67" s="75"/>
      <c r="FE67" s="75"/>
      <c r="FF67" s="75"/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  <c r="FS67" s="75"/>
      <c r="FT67" s="75"/>
      <c r="FU67" s="75"/>
      <c r="FV67" s="75"/>
      <c r="FW67" s="75"/>
      <c r="FX67" s="75"/>
      <c r="FY67" s="75"/>
      <c r="FZ67" s="75"/>
      <c r="GA67" s="75"/>
      <c r="GB67" s="75"/>
      <c r="GC67" s="75"/>
      <c r="GD67" s="75"/>
      <c r="GE67" s="75"/>
      <c r="GF67" s="75"/>
      <c r="GG67" s="75"/>
      <c r="GH67" s="75"/>
      <c r="GI67" s="75"/>
      <c r="GJ67" s="75"/>
      <c r="GK67" s="75"/>
      <c r="GL67" s="75"/>
      <c r="GM67" s="75"/>
      <c r="GN67" s="75"/>
      <c r="GO67" s="75"/>
      <c r="GP67" s="75"/>
      <c r="GQ67" s="75"/>
      <c r="GR67" s="75"/>
      <c r="GS67" s="75"/>
      <c r="GT67" s="75"/>
      <c r="GU67" s="75"/>
      <c r="GV67" s="75"/>
      <c r="GW67" s="75"/>
      <c r="GX67" s="75"/>
      <c r="GY67" s="75"/>
      <c r="GZ67" s="75"/>
      <c r="HA67" s="75"/>
      <c r="HB67" s="75"/>
      <c r="HC67" s="75"/>
      <c r="HD67" s="75"/>
      <c r="HE67" s="75"/>
      <c r="HF67" s="75"/>
      <c r="HG67" s="75"/>
      <c r="HH67" s="75"/>
      <c r="HI67" s="75"/>
      <c r="HJ67" s="75"/>
      <c r="HK67" s="75"/>
      <c r="HL67" s="75"/>
      <c r="HM67" s="75"/>
      <c r="HN67" s="75"/>
      <c r="HO67" s="75"/>
      <c r="HP67" s="75"/>
      <c r="HQ67" s="75"/>
      <c r="HR67" s="75"/>
      <c r="HS67" s="75"/>
      <c r="HT67" s="75"/>
      <c r="HU67" s="75"/>
      <c r="HV67" s="75"/>
      <c r="HW67" s="75"/>
      <c r="HX67" s="75"/>
      <c r="HY67" s="75"/>
      <c r="HZ67" s="75"/>
      <c r="IA67" s="75"/>
      <c r="IB67" s="75"/>
      <c r="IC67" s="75"/>
      <c r="ID67" s="75"/>
      <c r="IE67" s="75"/>
      <c r="IF67" s="75"/>
      <c r="IG67" s="75"/>
      <c r="IH67" s="75"/>
      <c r="II67" s="75"/>
      <c r="IJ67" s="75"/>
      <c r="IK67" s="75"/>
      <c r="IL67" s="75"/>
      <c r="IM67" s="75"/>
      <c r="IN67" s="75"/>
      <c r="IO67" s="75"/>
      <c r="IP67" s="75"/>
      <c r="IQ67" s="75"/>
      <c r="IR67" s="75"/>
      <c r="IS67" s="75"/>
      <c r="IT67" s="75"/>
      <c r="IU67" s="75"/>
      <c r="IV67" s="75"/>
      <c r="IW67" s="75"/>
    </row>
    <row r="68" customFormat="false" ht="12.75" hidden="false" customHeight="false" outlineLevel="0" collapsed="false">
      <c r="A68" s="75"/>
      <c r="B68" s="48" t="s">
        <v>174</v>
      </c>
      <c r="C68" s="46" t="s">
        <v>175</v>
      </c>
      <c r="D68" s="46" t="s">
        <v>176</v>
      </c>
      <c r="E68" s="47" t="n">
        <v>36739</v>
      </c>
      <c r="F68" s="47" t="n">
        <v>37103</v>
      </c>
      <c r="G68" s="48" t="s">
        <v>177</v>
      </c>
      <c r="H68" s="48" t="s">
        <v>178</v>
      </c>
      <c r="I68" s="46" t="s">
        <v>179</v>
      </c>
      <c r="J68" s="60" t="e">
        <f aca="false">3.145/J44</f>
        <v>#REF!</v>
      </c>
      <c r="K68" s="51"/>
      <c r="L68" s="51"/>
      <c r="M68" s="51"/>
      <c r="N68" s="51"/>
      <c r="O68" s="52"/>
      <c r="P68" s="51"/>
      <c r="Q68" s="53" t="n">
        <v>68927</v>
      </c>
      <c r="R68" s="46" t="n">
        <v>4</v>
      </c>
      <c r="S68" s="48" t="s">
        <v>184</v>
      </c>
      <c r="T68" s="79" t="e">
        <f aca="false">+R68*J68*$J$1</f>
        <v>#REF!</v>
      </c>
      <c r="U68" s="79"/>
      <c r="V68" s="80" t="n">
        <v>345112</v>
      </c>
      <c r="W68" s="48"/>
      <c r="X68" s="74"/>
      <c r="Y68" s="74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  <c r="EO68" s="75"/>
      <c r="EP68" s="75"/>
      <c r="EQ68" s="75"/>
      <c r="ER68" s="75"/>
      <c r="ES68" s="75"/>
      <c r="ET68" s="75"/>
      <c r="EU68" s="75"/>
      <c r="EV68" s="75"/>
      <c r="EW68" s="75"/>
      <c r="EX68" s="75"/>
      <c r="EY68" s="75"/>
      <c r="EZ68" s="75"/>
      <c r="FA68" s="75"/>
      <c r="FB68" s="75"/>
      <c r="FC68" s="75"/>
      <c r="FD68" s="75"/>
      <c r="FE68" s="75"/>
      <c r="FF68" s="75"/>
      <c r="FG68" s="75"/>
      <c r="FH68" s="75"/>
      <c r="FI68" s="75"/>
      <c r="FJ68" s="75"/>
      <c r="FK68" s="75"/>
      <c r="FL68" s="75"/>
      <c r="FM68" s="75"/>
      <c r="FN68" s="75"/>
      <c r="FO68" s="75"/>
      <c r="FP68" s="75"/>
      <c r="FQ68" s="75"/>
      <c r="FR68" s="75"/>
      <c r="FS68" s="75"/>
      <c r="FT68" s="75"/>
      <c r="FU68" s="75"/>
      <c r="FV68" s="75"/>
      <c r="FW68" s="75"/>
      <c r="FX68" s="75"/>
      <c r="FY68" s="75"/>
      <c r="FZ68" s="75"/>
      <c r="GA68" s="75"/>
      <c r="GB68" s="75"/>
      <c r="GC68" s="75"/>
      <c r="GD68" s="75"/>
      <c r="GE68" s="75"/>
      <c r="GF68" s="75"/>
      <c r="GG68" s="75"/>
      <c r="GH68" s="75"/>
      <c r="GI68" s="75"/>
      <c r="GJ68" s="75"/>
      <c r="GK68" s="75"/>
      <c r="GL68" s="75"/>
      <c r="GM68" s="75"/>
      <c r="GN68" s="75"/>
      <c r="GO68" s="75"/>
      <c r="GP68" s="75"/>
      <c r="GQ68" s="75"/>
      <c r="GR68" s="75"/>
      <c r="GS68" s="75"/>
      <c r="GT68" s="75"/>
      <c r="GU68" s="75"/>
      <c r="GV68" s="75"/>
      <c r="GW68" s="75"/>
      <c r="GX68" s="75"/>
      <c r="GY68" s="75"/>
      <c r="GZ68" s="75"/>
      <c r="HA68" s="75"/>
      <c r="HB68" s="75"/>
      <c r="HC68" s="75"/>
      <c r="HD68" s="75"/>
      <c r="HE68" s="75"/>
      <c r="HF68" s="75"/>
      <c r="HG68" s="75"/>
      <c r="HH68" s="75"/>
      <c r="HI68" s="75"/>
      <c r="HJ68" s="75"/>
      <c r="HK68" s="75"/>
      <c r="HL68" s="75"/>
      <c r="HM68" s="75"/>
      <c r="HN68" s="75"/>
      <c r="HO68" s="75"/>
      <c r="HP68" s="75"/>
      <c r="HQ68" s="75"/>
      <c r="HR68" s="75"/>
      <c r="HS68" s="75"/>
      <c r="HT68" s="75"/>
      <c r="HU68" s="75"/>
      <c r="HV68" s="75"/>
      <c r="HW68" s="75"/>
      <c r="HX68" s="75"/>
      <c r="HY68" s="75"/>
      <c r="HZ68" s="75"/>
      <c r="IA68" s="75"/>
      <c r="IB68" s="75"/>
      <c r="IC68" s="75"/>
      <c r="ID68" s="75"/>
      <c r="IE68" s="75"/>
      <c r="IF68" s="75"/>
      <c r="IG68" s="75"/>
      <c r="IH68" s="75"/>
      <c r="II68" s="75"/>
      <c r="IJ68" s="75"/>
      <c r="IK68" s="75"/>
      <c r="IL68" s="75"/>
      <c r="IM68" s="75"/>
      <c r="IN68" s="75"/>
      <c r="IO68" s="75"/>
      <c r="IP68" s="75"/>
      <c r="IQ68" s="75"/>
      <c r="IR68" s="75"/>
      <c r="IS68" s="75"/>
      <c r="IT68" s="75"/>
      <c r="IU68" s="75"/>
      <c r="IV68" s="75"/>
      <c r="IW68" s="75"/>
    </row>
    <row r="69" customFormat="false" ht="12.75" hidden="false" customHeight="false" outlineLevel="0" collapsed="false">
      <c r="A69" s="75"/>
      <c r="B69" s="48" t="s">
        <v>174</v>
      </c>
      <c r="C69" s="46" t="s">
        <v>175</v>
      </c>
      <c r="D69" s="46" t="s">
        <v>176</v>
      </c>
      <c r="E69" s="47" t="n">
        <v>36770</v>
      </c>
      <c r="F69" s="47" t="n">
        <v>37104</v>
      </c>
      <c r="G69" s="48" t="s">
        <v>177</v>
      </c>
      <c r="H69" s="48" t="s">
        <v>178</v>
      </c>
      <c r="I69" s="46" t="s">
        <v>179</v>
      </c>
      <c r="J69" s="60" t="e">
        <f aca="false">3.145/J44</f>
        <v>#REF!</v>
      </c>
      <c r="K69" s="51"/>
      <c r="L69" s="51"/>
      <c r="M69" s="51"/>
      <c r="N69" s="51"/>
      <c r="O69" s="52"/>
      <c r="P69" s="51"/>
      <c r="Q69" s="53" t="n">
        <v>69145</v>
      </c>
      <c r="R69" s="46" t="n">
        <v>63</v>
      </c>
      <c r="S69" s="48" t="s">
        <v>186</v>
      </c>
      <c r="T69" s="79" t="e">
        <f aca="false">+R69*J69*J44</f>
        <v>#REF!</v>
      </c>
      <c r="U69" s="79"/>
      <c r="V69" s="80" t="n">
        <v>372169</v>
      </c>
      <c r="W69" s="48"/>
      <c r="X69" s="74"/>
      <c r="Y69" s="74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  <c r="GV69" s="75"/>
      <c r="GW69" s="75"/>
      <c r="GX69" s="75"/>
      <c r="GY69" s="75"/>
      <c r="GZ69" s="75"/>
      <c r="HA69" s="75"/>
      <c r="HB69" s="75"/>
      <c r="HC69" s="75"/>
      <c r="HD69" s="75"/>
      <c r="HE69" s="75"/>
      <c r="HF69" s="75"/>
      <c r="HG69" s="75"/>
      <c r="HH69" s="75"/>
      <c r="HI69" s="75"/>
      <c r="HJ69" s="75"/>
      <c r="HK69" s="75"/>
      <c r="HL69" s="75"/>
      <c r="HM69" s="75"/>
      <c r="HN69" s="75"/>
      <c r="HO69" s="75"/>
      <c r="HP69" s="75"/>
      <c r="HQ69" s="75"/>
      <c r="HR69" s="75"/>
      <c r="HS69" s="75"/>
      <c r="HT69" s="75"/>
      <c r="HU69" s="75"/>
      <c r="HV69" s="75"/>
      <c r="HW69" s="75"/>
      <c r="HX69" s="75"/>
      <c r="HY69" s="75"/>
      <c r="HZ69" s="75"/>
      <c r="IA69" s="75"/>
      <c r="IB69" s="75"/>
      <c r="IC69" s="75"/>
      <c r="ID69" s="75"/>
      <c r="IE69" s="75"/>
      <c r="IF69" s="75"/>
      <c r="IG69" s="75"/>
      <c r="IH69" s="75"/>
      <c r="II69" s="75"/>
      <c r="IJ69" s="75"/>
      <c r="IK69" s="75"/>
      <c r="IL69" s="75"/>
      <c r="IM69" s="75"/>
      <c r="IN69" s="75"/>
      <c r="IO69" s="75"/>
      <c r="IP69" s="75"/>
      <c r="IQ69" s="75"/>
      <c r="IR69" s="75"/>
      <c r="IS69" s="75"/>
      <c r="IT69" s="75"/>
      <c r="IU69" s="75"/>
      <c r="IV69" s="75"/>
      <c r="IW69" s="75"/>
    </row>
    <row r="70" customFormat="false" ht="12.75" hidden="false" customHeight="false" outlineLevel="0" collapsed="false">
      <c r="A70" s="75"/>
      <c r="B70" s="48" t="s">
        <v>174</v>
      </c>
      <c r="C70" s="46" t="s">
        <v>175</v>
      </c>
      <c r="D70" s="46" t="s">
        <v>176</v>
      </c>
      <c r="E70" s="47" t="n">
        <v>36800</v>
      </c>
      <c r="F70" s="47" t="n">
        <v>36799</v>
      </c>
      <c r="G70" s="48" t="s">
        <v>177</v>
      </c>
      <c r="H70" s="48" t="s">
        <v>178</v>
      </c>
      <c r="I70" s="46" t="s">
        <v>179</v>
      </c>
      <c r="J70" s="60" t="e">
        <f aca="false">3.145/J44</f>
        <v>#REF!</v>
      </c>
      <c r="K70" s="51"/>
      <c r="L70" s="51"/>
      <c r="M70" s="51"/>
      <c r="N70" s="51"/>
      <c r="O70" s="52"/>
      <c r="P70" s="51"/>
      <c r="Q70" s="53" t="n">
        <v>69357</v>
      </c>
      <c r="R70" s="46" t="n">
        <v>13</v>
      </c>
      <c r="S70" s="48" t="s">
        <v>187</v>
      </c>
      <c r="T70" s="79" t="e">
        <f aca="false">+R70*J70*J44</f>
        <v>#REF!</v>
      </c>
      <c r="U70" s="79"/>
      <c r="V70" s="80" t="n">
        <v>418249</v>
      </c>
      <c r="W70" s="48"/>
      <c r="X70" s="74"/>
      <c r="Y70" s="74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  <c r="GS70" s="75"/>
      <c r="GT70" s="75"/>
      <c r="GU70" s="75"/>
      <c r="GV70" s="75"/>
      <c r="GW70" s="75"/>
      <c r="GX70" s="75"/>
      <c r="GY70" s="75"/>
      <c r="GZ70" s="75"/>
      <c r="HA70" s="75"/>
      <c r="HB70" s="75"/>
      <c r="HC70" s="75"/>
      <c r="HD70" s="75"/>
      <c r="HE70" s="75"/>
      <c r="HF70" s="75"/>
      <c r="HG70" s="75"/>
      <c r="HH70" s="75"/>
      <c r="HI70" s="75"/>
      <c r="HJ70" s="75"/>
      <c r="HK70" s="75"/>
      <c r="HL70" s="75"/>
      <c r="HM70" s="75"/>
      <c r="HN70" s="75"/>
      <c r="HO70" s="75"/>
      <c r="HP70" s="75"/>
      <c r="HQ70" s="75"/>
      <c r="HR70" s="75"/>
      <c r="HS70" s="75"/>
      <c r="HT70" s="75"/>
      <c r="HU70" s="75"/>
      <c r="HV70" s="75"/>
      <c r="HW70" s="75"/>
      <c r="HX70" s="75"/>
      <c r="HY70" s="75"/>
      <c r="HZ70" s="75"/>
      <c r="IA70" s="75"/>
      <c r="IB70" s="75"/>
      <c r="IC70" s="75"/>
      <c r="ID70" s="75"/>
      <c r="IE70" s="75"/>
      <c r="IF70" s="75"/>
      <c r="IG70" s="75"/>
      <c r="IH70" s="75"/>
      <c r="II70" s="75"/>
      <c r="IJ70" s="75"/>
      <c r="IK70" s="75"/>
      <c r="IL70" s="75"/>
      <c r="IM70" s="75"/>
      <c r="IN70" s="75"/>
      <c r="IO70" s="75"/>
      <c r="IP70" s="75"/>
      <c r="IQ70" s="75"/>
      <c r="IR70" s="75"/>
      <c r="IS70" s="75"/>
      <c r="IT70" s="75"/>
      <c r="IU70" s="75"/>
      <c r="IV70" s="75"/>
      <c r="IW70" s="75"/>
    </row>
    <row r="71" customFormat="false" ht="12.75" hidden="false" customHeight="false" outlineLevel="0" collapsed="false">
      <c r="A71" s="75"/>
      <c r="B71" s="48" t="s">
        <v>174</v>
      </c>
      <c r="C71" s="46" t="s">
        <v>175</v>
      </c>
      <c r="D71" s="46" t="s">
        <v>180</v>
      </c>
      <c r="E71" s="47" t="n">
        <v>36647</v>
      </c>
      <c r="F71" s="47" t="n">
        <v>37011</v>
      </c>
      <c r="G71" s="48" t="s">
        <v>177</v>
      </c>
      <c r="H71" s="48" t="s">
        <v>178</v>
      </c>
      <c r="I71" s="46" t="s">
        <v>179</v>
      </c>
      <c r="J71" s="60" t="e">
        <f aca="false">3.154/J44</f>
        <v>#REF!</v>
      </c>
      <c r="K71" s="51"/>
      <c r="L71" s="51"/>
      <c r="M71" s="51"/>
      <c r="N71" s="51"/>
      <c r="O71" s="52"/>
      <c r="P71" s="51"/>
      <c r="Q71" s="53" t="n">
        <v>68281</v>
      </c>
      <c r="R71" s="46" t="n">
        <v>21</v>
      </c>
      <c r="S71" s="48" t="s">
        <v>181</v>
      </c>
      <c r="T71" s="79" t="e">
        <f aca="false">+R71*J71*$J$1</f>
        <v>#REF!</v>
      </c>
      <c r="U71" s="79"/>
      <c r="V71" s="80" t="n">
        <v>256413</v>
      </c>
      <c r="W71" s="48"/>
      <c r="X71" s="74"/>
      <c r="Y71" s="74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5"/>
      <c r="FU71" s="75"/>
      <c r="FV71" s="75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  <c r="GS71" s="75"/>
      <c r="GT71" s="75"/>
      <c r="GU71" s="75"/>
      <c r="GV71" s="75"/>
      <c r="GW71" s="75"/>
      <c r="GX71" s="75"/>
      <c r="GY71" s="75"/>
      <c r="GZ71" s="75"/>
      <c r="HA71" s="75"/>
      <c r="HB71" s="75"/>
      <c r="HC71" s="75"/>
      <c r="HD71" s="75"/>
      <c r="HE71" s="75"/>
      <c r="HF71" s="75"/>
      <c r="HG71" s="75"/>
      <c r="HH71" s="75"/>
      <c r="HI71" s="75"/>
      <c r="HJ71" s="75"/>
      <c r="HK71" s="75"/>
      <c r="HL71" s="75"/>
      <c r="HM71" s="75"/>
      <c r="HN71" s="75"/>
      <c r="HO71" s="75"/>
      <c r="HP71" s="75"/>
      <c r="HQ71" s="75"/>
      <c r="HR71" s="75"/>
      <c r="HS71" s="75"/>
      <c r="HT71" s="75"/>
      <c r="HU71" s="75"/>
      <c r="HV71" s="75"/>
      <c r="HW71" s="75"/>
      <c r="HX71" s="75"/>
      <c r="HY71" s="75"/>
      <c r="HZ71" s="75"/>
      <c r="IA71" s="75"/>
      <c r="IB71" s="75"/>
      <c r="IC71" s="75"/>
      <c r="ID71" s="75"/>
      <c r="IE71" s="75"/>
      <c r="IF71" s="75"/>
      <c r="IG71" s="75"/>
      <c r="IH71" s="75"/>
      <c r="II71" s="75"/>
      <c r="IJ71" s="75"/>
      <c r="IK71" s="75"/>
      <c r="IL71" s="75"/>
      <c r="IM71" s="75"/>
      <c r="IN71" s="75"/>
      <c r="IO71" s="75"/>
      <c r="IP71" s="75"/>
      <c r="IQ71" s="75"/>
      <c r="IR71" s="75"/>
      <c r="IS71" s="75"/>
      <c r="IT71" s="75"/>
      <c r="IU71" s="75"/>
      <c r="IV71" s="75"/>
      <c r="IW71" s="75"/>
    </row>
    <row r="72" customFormat="false" ht="12.75" hidden="false" customHeight="false" outlineLevel="0" collapsed="false">
      <c r="G72" s="42"/>
      <c r="H72" s="42"/>
      <c r="O72" s="43"/>
      <c r="V72" s="44"/>
      <c r="W72" s="42"/>
      <c r="X72" s="44"/>
      <c r="Y72" s="44"/>
    </row>
    <row r="73" customFormat="false" ht="12.75" hidden="false" customHeight="false" outlineLevel="0" collapsed="false">
      <c r="A73" s="75"/>
      <c r="B73" s="48"/>
      <c r="C73" s="46"/>
      <c r="D73" s="46"/>
      <c r="E73" s="47"/>
      <c r="F73" s="47"/>
      <c r="G73" s="48"/>
      <c r="H73" s="48"/>
      <c r="I73" s="46"/>
      <c r="J73" s="60"/>
      <c r="K73" s="51"/>
      <c r="L73" s="51"/>
      <c r="M73" s="51"/>
      <c r="N73" s="51"/>
      <c r="O73" s="52"/>
      <c r="P73" s="51"/>
      <c r="Q73" s="53"/>
      <c r="R73" s="46"/>
      <c r="S73" s="48"/>
      <c r="T73" s="79"/>
      <c r="U73" s="79"/>
      <c r="V73" s="80"/>
      <c r="W73" s="48"/>
      <c r="X73" s="74"/>
      <c r="Y73" s="74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  <c r="GS73" s="75"/>
      <c r="GT73" s="75"/>
      <c r="GU73" s="75"/>
      <c r="GV73" s="75"/>
      <c r="GW73" s="75"/>
      <c r="GX73" s="75"/>
      <c r="GY73" s="75"/>
      <c r="GZ73" s="75"/>
      <c r="HA73" s="75"/>
      <c r="HB73" s="75"/>
      <c r="HC73" s="75"/>
      <c r="HD73" s="75"/>
      <c r="HE73" s="75"/>
      <c r="HF73" s="75"/>
      <c r="HG73" s="75"/>
      <c r="HH73" s="75"/>
      <c r="HI73" s="75"/>
      <c r="HJ73" s="75"/>
      <c r="HK73" s="75"/>
      <c r="HL73" s="75"/>
      <c r="HM73" s="75"/>
      <c r="HN73" s="75"/>
      <c r="HO73" s="75"/>
      <c r="HP73" s="75"/>
      <c r="HQ73" s="75"/>
      <c r="HR73" s="75"/>
      <c r="HS73" s="75"/>
      <c r="HT73" s="75"/>
      <c r="HU73" s="75"/>
      <c r="HV73" s="75"/>
      <c r="HW73" s="75"/>
      <c r="HX73" s="75"/>
      <c r="HY73" s="75"/>
      <c r="HZ73" s="75"/>
      <c r="IA73" s="75"/>
      <c r="IB73" s="75"/>
      <c r="IC73" s="75"/>
      <c r="ID73" s="75"/>
      <c r="IE73" s="75"/>
      <c r="IF73" s="75"/>
      <c r="IG73" s="75"/>
      <c r="IH73" s="75"/>
      <c r="II73" s="75"/>
      <c r="IJ73" s="75"/>
      <c r="IK73" s="75"/>
      <c r="IL73" s="75"/>
      <c r="IM73" s="75"/>
      <c r="IN73" s="75"/>
      <c r="IO73" s="75"/>
      <c r="IP73" s="75"/>
      <c r="IQ73" s="75"/>
      <c r="IR73" s="75"/>
      <c r="IS73" s="75"/>
      <c r="IT73" s="75"/>
      <c r="IU73" s="75"/>
      <c r="IV73" s="75"/>
      <c r="IW73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2000-09-14T15:03:17Z</cp:lastPrinted>
  <cp:revision>0</cp:revision>
  <dc:subject/>
  <dc:title/>
</cp:coreProperties>
</file>