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pot Deals" sheetId="2" state="visible" r:id="rId4"/>
    <sheet name="CGAS" sheetId="3" state="visible" r:id="rId5"/>
    <sheet name="Pricing" sheetId="4" state="visible" r:id="rId6"/>
    <sheet name="CES Retail East" sheetId="5" state="visible" r:id="rId7"/>
    <sheet name="CES Retail Mrkt" sheetId="6" state="visible" r:id="rId8"/>
    <sheet name="Sheet1" sheetId="7" state="visible" r:id="rId9"/>
    <sheet name="Sheet2" sheetId="8" state="visible" r:id="rId10"/>
  </sheets>
  <definedNames>
    <definedName function="false" hidden="false" localSheetId="4" name="_xlnm.Print_Area" vbProcedure="false">'CES Retail East'!$A$1:$AC$91</definedName>
    <definedName function="false" hidden="false" localSheetId="5" name="_xlnm.Print_Area" vbProcedure="false">'CES Retail Mrkt'!$A$18:$W$61</definedName>
    <definedName function="false" hidden="false" localSheetId="0" name="_xlnm.Print_Area" vbProcedure="false">'Pricing Notes'!$A$1:$N$72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Purchased from New Power at $5.32, deal 431846.  Bookout with deal 431849.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7</xdr:col>
                <xdr:colOff>52</xdr:colOff>
                <xdr:row>15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414075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6</xdr:col>
                <xdr:colOff>16</xdr:colOff>
                <xdr:row>8</xdr:row>
                <xdr:rowOff>16</xdr:rowOff>
              </xdr:to>
            </anchor>
          </commentPr>
        </mc:Choice>
        <mc:Fallback/>
      </mc:AlternateContent>
    </comment>
    <comment ref="S1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back 10,000 dth day for the 7th - 31st
at $5.32,  see deal 431846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37</xdr:colOff>
                <xdr:row>10</xdr:row>
                <xdr:rowOff>7</xdr:rowOff>
              </xdr:from>
              <xdr:to>
                <xdr:col>22</xdr:col>
                <xdr:colOff>95</xdr:colOff>
                <xdr:row>17</xdr:row>
                <xdr:rowOff>11</xdr:rowOff>
              </xdr:to>
            </anchor>
          </commentPr>
        </mc:Choice>
        <mc:Fallback/>
      </mc:AlternateContent>
    </comment>
    <comment ref="S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10,000 dth of pool gas to Aquila from the 27th - 31st.  ENA will show this as a sale to New Power at the pool, see deal 452810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37</xdr:colOff>
                <xdr:row>30</xdr:row>
                <xdr:rowOff>7</xdr:rowOff>
              </xdr:from>
              <xdr:to>
                <xdr:col>22</xdr:col>
                <xdr:colOff>95</xdr:colOff>
                <xdr:row>37</xdr:row>
                <xdr:rowOff>17</xdr:rowOff>
              </xdr:to>
            </anchor>
          </commentPr>
        </mc:Choice>
        <mc:Fallback/>
      </mc:AlternateContent>
    </comment>
    <comment ref="W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Gas Daily buyback deals  456630 and 456638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22</xdr:colOff>
                <xdr:row>3</xdr:row>
                <xdr:rowOff>7</xdr:rowOff>
              </xdr:from>
              <xdr:to>
                <xdr:col>30</xdr:col>
                <xdr:colOff>5</xdr:colOff>
                <xdr:row>12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<sst xmlns="http://schemas.openxmlformats.org/spreadsheetml/2006/main" count="2188" uniqueCount="397">
  <si>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</si>
  <si>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</si>
  <si>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</si>
  <si>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</si>
  <si>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</si>
  <si>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</si>
  <si>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</si>
  <si>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</si>
  <si>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</si>
  <si>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</si>
  <si>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</si>
  <si>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</si>
  <si>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</si>
  <si>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</si>
  <si>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</si>
  <si>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</si>
  <si>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</si>
  <si>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</si>
  <si>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</si>
  <si>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</si>
  <si>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</si>
  <si>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</si>
  <si>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</si>
  <si>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</si>
  <si>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</si>
  <si>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</si>
  <si>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</si>
  <si>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</si>
  <si>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</si>
  <si>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</si>
  <si>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</si>
  <si>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</si>
  <si>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</si>
  <si>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</si>
  <si>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</si>
  <si>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</si>
  <si>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</si>
  <si>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</si>
  <si>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</si>
  <si>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</si>
  <si>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</si>
  <si>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</si>
  <si>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</si>
  <si>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</si>
  <si>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</si>
  <si>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</si>
  <si>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</si>
  <si>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</si>
  <si>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</si>
  <si>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</si>
  <si>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</si>
  <si>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</si>
  <si>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</si>
  <si>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</si>
  <si>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</si>
  <si>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</si>
  <si>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</si>
  <si>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</si>
  <si>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</si>
  <si>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</si>
  <si>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</si>
  <si>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</si>
  <si>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</si>
  <si>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</si>
  <si>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</si>
  <si>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CityGate Load</t>
  </si>
  <si>
    <t xml:space="preserve">A+B+C</t>
  </si>
  <si>
    <t xml:space="preserve">Storage</t>
  </si>
  <si>
    <t xml:space="preserve">Total </t>
  </si>
  <si>
    <t xml:space="preserve">Strg W/D</t>
  </si>
  <si>
    <t xml:space="preserve">Transport</t>
  </si>
  <si>
    <t xml:space="preserve">GD Purch from NP</t>
  </si>
  <si>
    <t xml:space="preserve">GD Sales to NP</t>
  </si>
  <si>
    <t xml:space="preserve">CES Retail</t>
  </si>
  <si>
    <t xml:space="preserve">Calp</t>
  </si>
  <si>
    <t xml:space="preserve">Dayton</t>
  </si>
  <si>
    <t xml:space="preserve">Total</t>
  </si>
  <si>
    <t xml:space="preserve">Net</t>
  </si>
  <si>
    <t xml:space="preserve">Sales</t>
  </si>
  <si>
    <t xml:space="preserve">Capacity</t>
  </si>
  <si>
    <t xml:space="preserve">Gross</t>
  </si>
  <si>
    <t xml:space="preserve">Req'd</t>
  </si>
  <si>
    <t xml:space="preserve">1st of Month</t>
  </si>
  <si>
    <t xml:space="preserve">Strg Vol</t>
  </si>
  <si>
    <t xml:space="preserve">Total Req</t>
  </si>
  <si>
    <t xml:space="preserve">Gas Daily</t>
  </si>
  <si>
    <t xml:space="preserve">Amount</t>
  </si>
  <si>
    <t xml:space="preserve">Volume</t>
  </si>
  <si>
    <t xml:space="preserve">Rate</t>
  </si>
  <si>
    <t xml:space="preserve">Comment</t>
  </si>
  <si>
    <t xml:space="preserve">Deal 456638  Gas Daily buyback from New Power</t>
  </si>
  <si>
    <t xml:space="preserve">Deal 456630  FOM Index sale to New Power</t>
  </si>
  <si>
    <t xml:space="preserve">Pricing reconciliation</t>
  </si>
  <si>
    <t xml:space="preserve">FOM Volume</t>
  </si>
  <si>
    <t xml:space="preserve">Undertakes - these volumes should be backed out of the Citygate deal.</t>
  </si>
  <si>
    <t xml:space="preserve">Overtakes - should be included in the Citygate deal [Price = $5.0595 + $.1466]</t>
  </si>
  <si>
    <t xml:space="preserve">Due to skill (or luck) this volume ties to the volume in column B</t>
  </si>
  <si>
    <t xml:space="preserve">Double Transport</t>
  </si>
  <si>
    <t xml:space="preserve">Variable cost for gas delivered to storage to keep net withdrawals at 0.</t>
  </si>
  <si>
    <t xml:space="preserve">GRI and ACA refund for storage gas delivered to Citygate</t>
  </si>
  <si>
    <t xml:space="preserve">Total dollars</t>
  </si>
  <si>
    <t xml:space="preserve">Total dollars divided by Citygate volume.</t>
  </si>
  <si>
    <t xml:space="preserve">CNG</t>
  </si>
  <si>
    <t xml:space="preserve">FT</t>
  </si>
  <si>
    <t xml:space="preserve">Index</t>
  </si>
  <si>
    <t xml:space="preserve">Index Prem</t>
  </si>
  <si>
    <t xml:space="preserve">Comm</t>
  </si>
  <si>
    <t xml:space="preserve">Surcharges</t>
  </si>
  <si>
    <t xml:space="preserve">Fuel</t>
  </si>
  <si>
    <t xml:space="preserve">Demand For ENA Trans</t>
  </si>
  <si>
    <t xml:space="preserve">Deal 418424</t>
  </si>
  <si>
    <t xml:space="preserve">FTS</t>
  </si>
  <si>
    <t xml:space="preserve">ENA Trsp</t>
  </si>
  <si>
    <t xml:space="preserve">Storage Injection:</t>
  </si>
  <si>
    <t xml:space="preserve">Inj Comm</t>
  </si>
  <si>
    <t xml:space="preserve">Deal 377076</t>
  </si>
  <si>
    <t xml:space="preserve">Deal 414075</t>
  </si>
  <si>
    <t xml:space="preserve">Gas sourced from Storage - October and April only.</t>
  </si>
  <si>
    <t xml:space="preserve">Other Deals</t>
  </si>
  <si>
    <t xml:space="preserve">Bookout - deal 389587 with deal 376880.  Deal 376880 is a NYMX plus sale to New Power.  ENA purchased the gas back</t>
  </si>
  <si>
    <t xml:space="preserve">at CGAS IF + $.0075 at the pool and includes the volume in the FOM citygate deal.</t>
  </si>
  <si>
    <t xml:space="preserve">Bookout - deal 380503 with deal 380492.  Deal 380492 is a NYMX plus sale to New Power.  ENA purchased the gas back</t>
  </si>
  <si>
    <t xml:space="preserve">Bookout - deal 422170 with deal 377268.   Deal 377268 is a NYMX plus deal for deliveries to WGL.  New Power is taking all deliveries to WGL</t>
  </si>
  <si>
    <t xml:space="preserve">on CGAS with CGAS FOM pricing.  I will purchase the TRCO gas back at the FOM CGAS citygate price of $5.7641.</t>
  </si>
  <si>
    <t xml:space="preserve">Bookout - deal 422169 with deal 377264.   Deal 377264 is a NYMX plus deal for deliveries to WGL.  New Power is taking all deliveries to WGL</t>
  </si>
  <si>
    <t xml:space="preserve">CGLF</t>
  </si>
  <si>
    <t xml:space="preserve">FT-1</t>
  </si>
  <si>
    <t xml:space="preserve">Deal 380571 (bookout with deal 420055)</t>
  </si>
  <si>
    <t xml:space="preserve">Deals 480324 at $5.4833, and 480325 priced at IF + $.0075</t>
  </si>
  <si>
    <t xml:space="preserve">Deal 227081, 227113</t>
  </si>
  <si>
    <t xml:space="preserve">Note:  New Power purchased gas from ENA at CGLF Mainline (deal 380571).  ENA will buy this gas back at the CGLF Onshore Index plus $.06,</t>
  </si>
  <si>
    <t xml:space="preserve">and sell the gas back to New Power at CGAS pool at CGLFOnshore Index +$.06 + variable cost from Mainline to Leach, deal 480324,</t>
  </si>
  <si>
    <t xml:space="preserve">ENA will buy the CGAS Pool gas back at the FOM price for CGAS, deal 480325.</t>
  </si>
  <si>
    <t xml:space="preserve">Bookout - deal 411958 with 377250 AND deal 411959 with 377251.   Deals 377251 &amp; 377250 are NYMX plus deals.  Deal 412415 has all Tetco volumes at FOM index price.</t>
  </si>
  <si>
    <t xml:space="preserve">Deals 411958 and 411959 are priced at the FOM index price.</t>
  </si>
  <si>
    <t xml:space="preserve">FT Z3-Z4</t>
  </si>
  <si>
    <t xml:space="preserve">St 65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</si>
  <si>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</si>
  <si>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</si>
  <si>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</si>
  <si>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</si>
  <si>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</si>
  <si>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Delivered Price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</si>
  <si>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</si>
  <si>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</si>
  <si>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</si>
  <si>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</si>
  <si>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</si>
  <si>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</si>
  <si>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</si>
  <si>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</si>
  <si>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</si>
  <si>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</si>
  <si>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</si>
  <si>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</si>
  <si>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</si>
  <si>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La</t>
  </si>
  <si>
    <t xml:space="preserve">Deal 231744</t>
  </si>
  <si>
    <t xml:space="preserve">CES East Desk Transportation Capacity for October,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</si>
  <si>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</si>
  <si>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</si>
  <si>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</si>
  <si>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</si>
  <si>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</si>
  <si>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</si>
  <si>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</si>
  <si>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</si>
  <si>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</si>
  <si>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</si>
  <si>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</si>
  <si>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</si>
  <si>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</si>
  <si>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</si>
  <si>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</si>
  <si>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</si>
  <si>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</si>
  <si>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</si>
  <si>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</si>
  <si>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</si>
  <si>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</si>
  <si>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</si>
  <si>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</si>
  <si>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</si>
  <si>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</si>
  <si>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</si>
  <si>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</si>
  <si>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</si>
  <si>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</si>
  <si>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</si>
  <si>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</si>
  <si>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</si>
  <si>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</si>
  <si>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</si>
  <si>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</si>
  <si>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</si>
  <si>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#27128</t>
  </si>
  <si>
    <t xml:space="preserve">6/31/01</t>
  </si>
  <si>
    <t xml:space="preserve">#27775</t>
  </si>
  <si>
    <t xml:space="preserve">#28330</t>
  </si>
  <si>
    <t xml:space="preserve">From CES #66615</t>
  </si>
  <si>
    <t xml:space="preserve">#29638</t>
  </si>
  <si>
    <t xml:space="preserve">#29637</t>
  </si>
  <si>
    <t xml:space="preserve">#29879</t>
  </si>
  <si>
    <t xml:space="preserve">#30177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</si>
  <si>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</si>
  <si>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</si>
  <si>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</si>
  <si>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</si>
  <si>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</si>
  <si>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</si>
  <si>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2000001931</t>
  </si>
  <si>
    <t xml:space="preserve">MDWQ</t>
  </si>
  <si>
    <t xml:space="preserve">2000001942</t>
  </si>
  <si>
    <t xml:space="preserve">Z1</t>
  </si>
  <si>
    <t xml:space="preserve">Z3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</si>
  <si>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</si>
  <si>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</si>
  <si>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</si>
  <si>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</si>
  <si>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</si>
  <si>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</si>
  <si>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2000001914</t>
  </si>
  <si>
    <t xml:space="preserve">2000001890</t>
  </si>
  <si>
    <t xml:space="preserve">SGA</t>
  </si>
  <si>
    <t xml:space="preserve">FSGA25</t>
  </si>
  <si>
    <t xml:space="preserve">2000002078</t>
  </si>
  <si>
    <t xml:space="preserve">2000001952</t>
  </si>
  <si>
    <t xml:space="preserve">Tenn</t>
  </si>
  <si>
    <t xml:space="preserve">Atlanta</t>
  </si>
  <si>
    <t xml:space="preserve">10/31/000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</si>
  <si>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</si>
  <si>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</si>
  <si>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</si>
  <si>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</si>
  <si>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</si>
  <si>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</si>
  <si>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</si>
  <si>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</si>
  <si>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</si>
  <si>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</si>
  <si>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</si>
  <si>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</si>
  <si>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</si>
  <si>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</si>
  <si>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</si>
  <si>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</si>
  <si>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#021608</t>
  </si>
  <si>
    <t xml:space="preserve">10/31/00.</t>
  </si>
  <si>
    <t xml:space="preserve">#021349</t>
  </si>
  <si>
    <t xml:space="preserve">6971 St 85</t>
  </si>
  <si>
    <t xml:space="preserve">FTCHR</t>
  </si>
  <si>
    <t xml:space="preserve">#021350</t>
  </si>
  <si>
    <t xml:space="preserve">#021609</t>
  </si>
  <si>
    <t xml:space="preserve">#021610</t>
  </si>
  <si>
    <t xml:space="preserve">WSR Capacity</t>
  </si>
  <si>
    <t xml:space="preserve">WSR</t>
  </si>
  <si>
    <t xml:space="preserve">#021646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</si>
  <si>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</si>
  <si>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</si>
  <si>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</si>
  <si>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</si>
  <si>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</si>
  <si>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</si>
  <si>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</si>
  <si>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#021645</t>
  </si>
  <si>
    <t xml:space="preserve">#21645</t>
  </si>
  <si>
    <t xml:space="preserve">Deal 380571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</si>
  <si>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</si>
  <si>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</si>
  <si>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</si>
  <si>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</si>
  <si>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#14174</t>
  </si>
  <si>
    <t xml:space="preserve">#14376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</si>
  <si>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</si>
  <si>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</si>
  <si>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</si>
  <si>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</si>
  <si>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</si>
  <si>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</si>
  <si>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</si>
  <si>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</si>
  <si>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</si>
  <si>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</si>
  <si>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</si>
  <si>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</si>
  <si>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</si>
  <si>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</si>
  <si>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</si>
  <si>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</si>
  <si>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</si>
  <si>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</si>
  <si>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</si>
  <si>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</si>
  <si>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</si>
  <si>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</si>
  <si>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</si>
  <si>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</si>
  <si>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</si>
  <si>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</si>
  <si>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</si>
  <si>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</si>
  <si>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</si>
  <si>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</si>
  <si>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</si>
  <si>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</si>
  <si>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</si>
  <si>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</si>
  <si>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</si>
  <si>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</si>
  <si>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#29635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</si>
  <si>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</si>
  <si>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</si>
  <si>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</si>
  <si>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</si>
  <si>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</si>
  <si>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</si>
  <si>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</si>
  <si>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</si>
  <si>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</si>
  <si>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</si>
  <si>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</si>
  <si>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</si>
  <si>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</si>
  <si>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</si>
  <si>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</si>
  <si>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</si>
  <si>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</si>
  <si>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</si>
  <si>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</si>
  <si>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</si>
  <si>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</si>
  <si>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</si>
  <si>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</si>
  <si>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</si>
  <si>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</si>
  <si>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</si>
  <si>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</si>
  <si>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</si>
  <si>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</si>
  <si>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</si>
  <si>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</si>
  <si>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</si>
  <si>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</si>
  <si>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</si>
  <si>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#29636</t>
  </si>
  <si>
    <t xml:space="preserve">19e, 19-32, 19-27, 19-26</t>
  </si>
  <si>
    <t xml:space="preserve">#29880</t>
  </si>
  <si>
    <t xml:space="preserve">19-26, 19-27, 19e</t>
  </si>
  <si>
    <t xml:space="preserve">#30178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</si>
  <si>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</si>
  <si>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</si>
  <si>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</si>
  <si>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</si>
  <si>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</si>
  <si>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</si>
  <si>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Deal 380492</t>
  </si>
  <si>
    <t xml:space="preserve">Scheduling Fee deal 414075</t>
  </si>
  <si>
    <t xml:space="preserve">TSP</t>
  </si>
  <si>
    <t xml:space="preserve">Svc Contract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</si>
  <si>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</si>
  <si>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</si>
  <si>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</si>
  <si>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</si>
  <si>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</si>
  <si>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</si>
  <si>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</si>
  <si>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</si>
  <si>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</si>
  <si>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</si>
  <si>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</si>
  <si>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</si>
  <si>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</si>
  <si>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</si>
  <si>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</si>
  <si>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</si>
  <si>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</si>
  <si>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</si>
  <si>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</si>
  <si>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</si>
  <si>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</si>
  <si>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</si>
  <si>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</si>
  <si>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</si>
  <si>
    <t xml:space="preserve">23N-7  COH 5-7</t>
  </si>
  <si>
    <t xml:space="preserve">#30172 ROFR</t>
  </si>
  <si>
    <t xml:space="preserve">19-26  CMD 8-26</t>
  </si>
  <si>
    <t xml:space="preserve">#30485</t>
  </si>
  <si>
    <t xml:space="preserve">19-27  CMD 8-27</t>
  </si>
  <si>
    <t xml:space="preserve">19-32  CMD 8-32</t>
  </si>
  <si>
    <t xml:space="preserve">19E  CMD 4-25</t>
  </si>
  <si>
    <t xml:space="preserve">A05  Delmont</t>
  </si>
  <si>
    <t xml:space="preserve">CPA 8, various</t>
  </si>
  <si>
    <t xml:space="preserve">#30497</t>
  </si>
  <si>
    <t xml:space="preserve">A06 McClellandtown</t>
  </si>
  <si>
    <t xml:space="preserve">#30496</t>
  </si>
  <si>
    <t xml:space="preserve">#29290</t>
  </si>
  <si>
    <t xml:space="preserve">#30484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</si>
</sst>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_(\$* #,##0.0000_);_(\$* \(#,##0.0000\);_(\$* \-????_);_(@_)"/>
    <numFmt numFmtId="170" formatCode="\$#,##0.0000"/>
    <numFmt numFmtId="171" formatCode="\$#,##0.00"/>
    <numFmt numFmtId="172" formatCode="\$#,##0.0000_);[RED]&quot;($&quot;#,##0.0000\)"/>
    <numFmt numFmtId="173" formatCode="\$#,##0.0000_);&quot;($&quot;#,##0.0000\)"/>
    <numFmt numFmtId="174" formatCode="0%"/>
    <numFmt numFmtId="175" formatCode="0.0000%"/>
    <numFmt numFmtId="176" formatCode="\$#,##0.00_);&quot;($&quot;#,##0.00\)"/>
    <numFmt numFmtId="177" formatCode="0.000%"/>
    <numFmt numFmtId="178" formatCode="0.00%"/>
    <numFmt numFmtId="179" formatCode="[$-409]#,##0_);[RED]\(#,##0\)"/>
    <numFmt numFmtId="180" formatCode="[$-409]m/d/yyyy"/>
    <numFmt numFmtId="181" formatCode="#,##0"/>
    <numFmt numFmtId="182" formatCode="0"/>
    <numFmt numFmtId="183" formatCode="#,##0.00000"/>
    <numFmt numFmtId="184" formatCode="@"/>
    <numFmt numFmtId="185" formatCode="[$-409]d\-mmm"/>
    <numFmt numFmtId="186" formatCode="[$-409]#,##0.00_);[RED]\(#,##0.00\)"/>
    <numFmt numFmtId="187" formatCode="0_);[RED]\(0\)"/>
    <numFmt numFmtId="188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CC9CCC"/>
        <bgColor rgb="FFFF99CC"/>
      </patternFill>
    </fill>
    <fill>
      <patternFill patternType="solid">
        <fgColor rgb="FFFFFF99"/>
        <bgColor rgb="FFFFFF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73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75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1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1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0" width="14.99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5" t="n">
        <v>1</v>
      </c>
      <c r="B6" s="0" t="n">
        <v>0</v>
      </c>
    </row>
    <row r="7" customFormat="false" ht="12.75" hidden="false" customHeight="false" outlineLevel="0" collapsed="false">
      <c r="A7" s="5" t="n">
        <f aca="false">+A6+1</f>
        <v>2</v>
      </c>
      <c r="B7" s="0" t="n">
        <f aca="false">+B6</f>
        <v>0</v>
      </c>
    </row>
    <row r="8" customFormat="false" ht="12.75" hidden="false" customHeight="false" outlineLevel="0" collapsed="false">
      <c r="A8" s="5" t="n">
        <f aca="false">+A7+1</f>
        <v>3</v>
      </c>
      <c r="B8" s="0" t="n">
        <f aca="false">+B7</f>
        <v>0</v>
      </c>
    </row>
    <row r="9" customFormat="false" ht="12.75" hidden="false" customHeight="false" outlineLevel="0" collapsed="false">
      <c r="A9" s="5" t="n">
        <f aca="false">+A8+1</f>
        <v>4</v>
      </c>
      <c r="B9" s="0" t="n">
        <f aca="false">+B8</f>
        <v>0</v>
      </c>
    </row>
    <row r="10" customFormat="false" ht="12.75" hidden="false" customHeight="false" outlineLevel="0" collapsed="false">
      <c r="A10" s="5" t="n">
        <f aca="false">+A9+1</f>
        <v>5</v>
      </c>
      <c r="B10" s="0" t="n">
        <f aca="false">+B9</f>
        <v>0</v>
      </c>
    </row>
    <row r="11" customFormat="false" ht="12.75" hidden="false" customHeight="false" outlineLevel="0" collapsed="false">
      <c r="A11" s="5" t="n">
        <f aca="false">+A10+1</f>
        <v>6</v>
      </c>
      <c r="B11" s="0" t="n">
        <f aca="false">+B10</f>
        <v>0</v>
      </c>
    </row>
    <row r="12" customFormat="false" ht="12.75" hidden="false" customHeight="false" outlineLevel="0" collapsed="false">
      <c r="A12" s="5" t="n">
        <f aca="false">+A11+1</f>
        <v>7</v>
      </c>
      <c r="B12" s="0" t="n">
        <v>10000</v>
      </c>
    </row>
    <row r="13" customFormat="false" ht="12.75" hidden="false" customHeight="false" outlineLevel="0" collapsed="false">
      <c r="A13" s="5" t="n">
        <f aca="false">+A12+1</f>
        <v>8</v>
      </c>
      <c r="B13" s="0" t="n">
        <f aca="false">+B12</f>
        <v>10000</v>
      </c>
    </row>
    <row r="14" customFormat="false" ht="12.75" hidden="false" customHeight="false" outlineLevel="0" collapsed="false">
      <c r="A14" s="5" t="n">
        <f aca="false">+A13+1</f>
        <v>9</v>
      </c>
      <c r="B14" s="0" t="n">
        <f aca="false">+B13</f>
        <v>10000</v>
      </c>
    </row>
    <row r="15" customFormat="false" ht="12.75" hidden="false" customHeight="false" outlineLevel="0" collapsed="false">
      <c r="A15" s="5" t="n">
        <f aca="false">+A14+1</f>
        <v>10</v>
      </c>
      <c r="B15" s="0" t="n">
        <f aca="false">+B14</f>
        <v>10000</v>
      </c>
    </row>
    <row r="16" customFormat="false" ht="12.75" hidden="false" customHeight="false" outlineLevel="0" collapsed="false">
      <c r="A16" s="5" t="n">
        <f aca="false">+A15+1</f>
        <v>11</v>
      </c>
      <c r="B16" s="0" t="n">
        <f aca="false">+B15</f>
        <v>10000</v>
      </c>
    </row>
    <row r="17" customFormat="false" ht="12.75" hidden="false" customHeight="false" outlineLevel="0" collapsed="false">
      <c r="A17" s="5" t="n">
        <f aca="false">+A16+1</f>
        <v>12</v>
      </c>
      <c r="B17" s="0" t="n">
        <f aca="false">+B16</f>
        <v>10000</v>
      </c>
    </row>
    <row r="18" customFormat="false" ht="12.75" hidden="false" customHeight="false" outlineLevel="0" collapsed="false">
      <c r="A18" s="5" t="n">
        <f aca="false">+A17+1</f>
        <v>13</v>
      </c>
      <c r="B18" s="0" t="n">
        <f aca="false">+B17</f>
        <v>10000</v>
      </c>
    </row>
    <row r="19" customFormat="false" ht="12.75" hidden="false" customHeight="false" outlineLevel="0" collapsed="false">
      <c r="A19" s="5" t="n">
        <f aca="false">+A18+1</f>
        <v>14</v>
      </c>
      <c r="B19" s="0" t="n">
        <f aca="false">+B18</f>
        <v>10000</v>
      </c>
    </row>
    <row r="20" customFormat="false" ht="12.75" hidden="false" customHeight="false" outlineLevel="0" collapsed="false">
      <c r="A20" s="5" t="n">
        <f aca="false">+A19+1</f>
        <v>15</v>
      </c>
      <c r="B20" s="0" t="n">
        <f aca="false">+B19</f>
        <v>10000</v>
      </c>
    </row>
    <row r="21" customFormat="false" ht="12.75" hidden="false" customHeight="false" outlineLevel="0" collapsed="false">
      <c r="A21" s="5" t="n">
        <f aca="false">+A20+1</f>
        <v>16</v>
      </c>
      <c r="B21" s="0" t="n">
        <f aca="false">+B20</f>
        <v>10000</v>
      </c>
    </row>
    <row r="22" customFormat="false" ht="12.75" hidden="false" customHeight="false" outlineLevel="0" collapsed="false">
      <c r="A22" s="5" t="n">
        <f aca="false">+A21+1</f>
        <v>17</v>
      </c>
      <c r="B22" s="0" t="n">
        <f aca="false">+B21</f>
        <v>10000</v>
      </c>
    </row>
    <row r="23" customFormat="false" ht="12.75" hidden="false" customHeight="false" outlineLevel="0" collapsed="false">
      <c r="A23" s="5" t="n">
        <f aca="false">+A22+1</f>
        <v>18</v>
      </c>
      <c r="B23" s="0" t="n">
        <f aca="false">+B22</f>
        <v>10000</v>
      </c>
    </row>
    <row r="24" customFormat="false" ht="12.75" hidden="false" customHeight="false" outlineLevel="0" collapsed="false">
      <c r="A24" s="5" t="n">
        <f aca="false">+A23+1</f>
        <v>19</v>
      </c>
      <c r="B24" s="0" t="n">
        <f aca="false">+B23</f>
        <v>10000</v>
      </c>
    </row>
    <row r="25" customFormat="false" ht="12.75" hidden="false" customHeight="false" outlineLevel="0" collapsed="false">
      <c r="A25" s="5" t="n">
        <f aca="false">+A24+1</f>
        <v>20</v>
      </c>
      <c r="B25" s="0" t="n">
        <f aca="false">+B24</f>
        <v>10000</v>
      </c>
    </row>
    <row r="26" customFormat="false" ht="12.75" hidden="false" customHeight="false" outlineLevel="0" collapsed="false">
      <c r="A26" s="5" t="n">
        <f aca="false">+A25+1</f>
        <v>21</v>
      </c>
      <c r="B26" s="0" t="n">
        <f aca="false">+B25</f>
        <v>10000</v>
      </c>
    </row>
    <row r="27" customFormat="false" ht="12.75" hidden="false" customHeight="false" outlineLevel="0" collapsed="false">
      <c r="A27" s="5" t="n">
        <f aca="false">+A26+1</f>
        <v>22</v>
      </c>
      <c r="B27" s="0" t="n">
        <f aca="false">+B26</f>
        <v>10000</v>
      </c>
    </row>
    <row r="28" customFormat="false" ht="12.75" hidden="false" customHeight="false" outlineLevel="0" collapsed="false">
      <c r="A28" s="5" t="n">
        <f aca="false">+A27+1</f>
        <v>23</v>
      </c>
      <c r="B28" s="0" t="n">
        <f aca="false">+B27</f>
        <v>10000</v>
      </c>
    </row>
    <row r="29" customFormat="false" ht="12.75" hidden="false" customHeight="false" outlineLevel="0" collapsed="false">
      <c r="A29" s="5" t="n">
        <f aca="false">+A28+1</f>
        <v>24</v>
      </c>
      <c r="B29" s="0" t="n">
        <f aca="false">+B28</f>
        <v>10000</v>
      </c>
    </row>
    <row r="30" customFormat="false" ht="12.75" hidden="false" customHeight="false" outlineLevel="0" collapsed="false">
      <c r="A30" s="5" t="n">
        <f aca="false">+A29+1</f>
        <v>25</v>
      </c>
      <c r="B30" s="0" t="n">
        <f aca="false">+B29</f>
        <v>10000</v>
      </c>
    </row>
    <row r="31" customFormat="false" ht="12.75" hidden="false" customHeight="false" outlineLevel="0" collapsed="false">
      <c r="A31" s="5" t="n">
        <f aca="false">+A30+1</f>
        <v>26</v>
      </c>
      <c r="B31" s="0" t="n">
        <f aca="false">+B30</f>
        <v>10000</v>
      </c>
    </row>
    <row r="32" customFormat="false" ht="12.75" hidden="false" customHeight="false" outlineLevel="0" collapsed="false">
      <c r="A32" s="5" t="n">
        <f aca="false">+A31+1</f>
        <v>27</v>
      </c>
      <c r="B32" s="0" t="n">
        <f aca="false">+B31</f>
        <v>10000</v>
      </c>
    </row>
    <row r="33" customFormat="false" ht="12.75" hidden="false" customHeight="false" outlineLevel="0" collapsed="false">
      <c r="A33" s="5" t="n">
        <f aca="false">+A32+1</f>
        <v>28</v>
      </c>
      <c r="B33" s="0" t="n">
        <f aca="false">+B32</f>
        <v>10000</v>
      </c>
    </row>
    <row r="34" customFormat="false" ht="12.75" hidden="false" customHeight="false" outlineLevel="0" collapsed="false">
      <c r="A34" s="5" t="n">
        <f aca="false">+A33+1</f>
        <v>29</v>
      </c>
      <c r="B34" s="0" t="n">
        <f aca="false">+B33</f>
        <v>10000</v>
      </c>
    </row>
    <row r="35" customFormat="false" ht="12.75" hidden="false" customHeight="false" outlineLevel="0" collapsed="false">
      <c r="A35" s="5" t="n">
        <f aca="false">+A34+1</f>
        <v>30</v>
      </c>
      <c r="B35" s="0" t="n">
        <f aca="false">+B34</f>
        <v>10000</v>
      </c>
    </row>
    <row r="36" customFormat="false" ht="12.75" hidden="false" customHeight="false" outlineLevel="0" collapsed="false">
      <c r="A36" s="5" t="n">
        <f aca="false">+A35+1</f>
        <v>31</v>
      </c>
      <c r="B36" s="0" t="n">
        <f aca="false">+B35</f>
        <v>10000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N42" activePane="bottomRight" state="frozen"/>
      <selection pane="topLeft" activeCell="A1" activeCellId="0" sqref="A1"/>
      <selection pane="topRight" activeCell="N1" activeCellId="0" sqref="N1"/>
      <selection pane="bottomLeft" activeCell="A42" activeCellId="0" sqref="A42"/>
      <selection pane="bottomRight" activeCell="W63" activeCellId="0" sqref="W6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0.41"/>
    <col collapsed="false" customWidth="true" hidden="false" outlineLevel="0" max="9" min="9" style="4" width="3.28"/>
    <col collapsed="false" customWidth="true" hidden="false" outlineLevel="0" max="10" min="10" style="4" width="12.85"/>
    <col collapsed="false" customWidth="true" hidden="false" outlineLevel="0" max="11" min="11" style="4" width="1.7"/>
    <col collapsed="false" customWidth="false" hidden="false" outlineLevel="0" max="18" min="12" style="4" width="9.14"/>
    <col collapsed="false" customWidth="true" hidden="false" outlineLevel="0" max="19" min="19" style="4" width="11.28"/>
    <col collapsed="false" customWidth="true" hidden="false" outlineLevel="0" max="20" min="20" style="4" width="10.28"/>
    <col collapsed="false" customWidth="true" hidden="false" outlineLevel="0" max="21" min="21" style="4" width="17.99"/>
    <col collapsed="false" customWidth="true" hidden="false" outlineLevel="0" max="22" min="22" style="4" width="3.56"/>
    <col collapsed="false" customWidth="true" hidden="false" outlineLevel="0" max="23" min="23" style="4" width="12.99"/>
    <col collapsed="false" customWidth="true" hidden="false" outlineLevel="0" max="24" min="24" style="4" width="4.14"/>
    <col collapsed="false" customWidth="true" hidden="false" outlineLevel="0" max="25" min="25" style="4" width="12.28"/>
    <col collapsed="false" customWidth="true" hidden="false" outlineLevel="0" max="26" min="26" style="4" width="13.85"/>
    <col collapsed="false" customWidth="true" hidden="false" outlineLevel="0" max="27" min="27" style="4" width="2.84"/>
    <col collapsed="false" customWidth="false" hidden="false" outlineLevel="0" max="28" min="28" style="4" width="9.14"/>
    <col collapsed="false" customWidth="true" hidden="false" outlineLevel="0" max="29" min="29" style="4" width="4.14"/>
    <col collapsed="false" customWidth="true" hidden="false" outlineLevel="0" max="30" min="30" style="4" width="12.28"/>
    <col collapsed="false" customWidth="true" hidden="false" outlineLevel="0" max="31" min="31" style="4" width="15.85"/>
    <col collapsed="false" customWidth="true" hidden="false" outlineLevel="0" max="32" min="32" style="4" width="2.84"/>
    <col collapsed="false" customWidth="false" hidden="false" outlineLevel="0" max="33" min="33" style="4" width="9.14"/>
    <col collapsed="false" customWidth="true" hidden="false" outlineLevel="0" max="34" min="34" style="4" width="13.85"/>
    <col collapsed="false" customWidth="false" hidden="false" outlineLevel="0" max="257" min="35" style="4" width="9.14"/>
  </cols>
  <sheetData>
    <row r="1" customFormat="false" ht="12.75" hidden="false" customHeight="false" outlineLevel="0" collapsed="false">
      <c r="Y1" s="6"/>
      <c r="AD1" s="6"/>
    </row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C3" s="5"/>
      <c r="AD3" s="5"/>
      <c r="AE3" s="5"/>
    </row>
    <row r="4" customFormat="false" ht="12.75" hidden="false" customHeight="false" outlineLevel="0" collapsed="false">
      <c r="A4" s="5"/>
      <c r="B4" s="5" t="s">
        <v>65</v>
      </c>
      <c r="C4" s="5"/>
      <c r="D4" s="5"/>
      <c r="E4" s="5"/>
      <c r="F4" s="5" t="s">
        <v>66</v>
      </c>
      <c r="G4" s="5"/>
      <c r="H4" s="7" t="s">
        <v>67</v>
      </c>
      <c r="I4" s="5"/>
      <c r="J4" s="5" t="s">
        <v>68</v>
      </c>
      <c r="K4" s="5"/>
      <c r="L4" s="5"/>
      <c r="M4" s="5" t="s">
        <v>69</v>
      </c>
      <c r="N4" s="5" t="s">
        <v>69</v>
      </c>
      <c r="O4" s="5" t="s">
        <v>70</v>
      </c>
      <c r="P4" s="5"/>
      <c r="Q4" s="5"/>
      <c r="R4" s="5"/>
      <c r="S4" s="5"/>
      <c r="T4" s="5"/>
      <c r="U4" s="5"/>
      <c r="V4" s="5"/>
      <c r="W4" s="5"/>
      <c r="X4" s="5"/>
      <c r="Y4" s="8" t="s">
        <v>71</v>
      </c>
      <c r="Z4" s="8"/>
      <c r="AC4" s="5"/>
      <c r="AD4" s="8" t="s">
        <v>72</v>
      </c>
      <c r="AE4" s="8"/>
    </row>
    <row r="5" customFormat="false" ht="12.75" hidden="false" customHeight="false" outlineLevel="0" collapsed="false">
      <c r="A5" s="5"/>
      <c r="B5" s="5" t="s">
        <v>73</v>
      </c>
      <c r="C5" s="5" t="s">
        <v>74</v>
      </c>
      <c r="D5" s="5" t="s">
        <v>75</v>
      </c>
      <c r="E5" s="5"/>
      <c r="F5" s="5" t="s">
        <v>76</v>
      </c>
      <c r="G5" s="5"/>
      <c r="H5" s="9" t="s">
        <v>77</v>
      </c>
      <c r="I5" s="5"/>
      <c r="J5" s="5" t="s">
        <v>78</v>
      </c>
      <c r="K5" s="5"/>
      <c r="L5" s="5" t="s">
        <v>79</v>
      </c>
      <c r="M5" s="5" t="s">
        <v>80</v>
      </c>
      <c r="N5" s="5" t="s">
        <v>77</v>
      </c>
      <c r="O5" s="5" t="s">
        <v>81</v>
      </c>
      <c r="P5" s="5"/>
      <c r="Q5" s="5"/>
      <c r="R5" s="5"/>
      <c r="S5" s="10" t="s">
        <v>82</v>
      </c>
      <c r="T5" s="11" t="s">
        <v>83</v>
      </c>
      <c r="U5" s="7" t="s">
        <v>84</v>
      </c>
      <c r="V5" s="5"/>
      <c r="W5" s="5" t="s">
        <v>19</v>
      </c>
      <c r="X5" s="5"/>
      <c r="Y5" s="12" t="s">
        <v>85</v>
      </c>
      <c r="Z5" s="9" t="s">
        <v>86</v>
      </c>
      <c r="AB5" s="4" t="s">
        <v>20</v>
      </c>
      <c r="AC5" s="5"/>
      <c r="AD5" s="12" t="s">
        <v>85</v>
      </c>
      <c r="AE5" s="9" t="s">
        <v>86</v>
      </c>
    </row>
    <row r="6" customFormat="false" ht="12.75" hidden="false" customHeight="false" outlineLevel="0" collapsed="false">
      <c r="A6" s="5" t="n">
        <v>1</v>
      </c>
      <c r="B6" s="5" t="n">
        <v>26517</v>
      </c>
      <c r="C6" s="5" t="n">
        <v>0</v>
      </c>
      <c r="D6" s="5" t="n">
        <v>0</v>
      </c>
      <c r="E6" s="5"/>
      <c r="F6" s="5" t="n">
        <f aca="false">SUM(B6:D6)</f>
        <v>26517</v>
      </c>
      <c r="G6" s="5"/>
      <c r="H6" s="5" t="n">
        <v>3904</v>
      </c>
      <c r="I6" s="5"/>
      <c r="J6" s="5" t="n">
        <f aca="false">+B6+H6</f>
        <v>30421</v>
      </c>
      <c r="K6" s="5"/>
      <c r="L6" s="5" t="n">
        <v>142945</v>
      </c>
      <c r="M6" s="5" t="n">
        <v>4462</v>
      </c>
      <c r="N6" s="5" t="n">
        <v>4363</v>
      </c>
      <c r="O6" s="5" t="n">
        <f aca="false">+J6+M6</f>
        <v>34883</v>
      </c>
      <c r="P6" s="5"/>
      <c r="Q6" s="5"/>
      <c r="R6" s="5"/>
      <c r="S6" s="13" t="n">
        <v>51762</v>
      </c>
      <c r="T6" s="5" t="n">
        <v>3904</v>
      </c>
      <c r="U6" s="14" t="n">
        <f aca="false">+T6+S6</f>
        <v>55666</v>
      </c>
      <c r="V6" s="5"/>
      <c r="W6" s="5" t="n">
        <f aca="false">IF(U6-J6&gt;0,U6-J6,0)</f>
        <v>25245</v>
      </c>
      <c r="X6" s="5"/>
      <c r="Y6" s="15" t="n">
        <v>5.32</v>
      </c>
      <c r="Z6" s="16" t="n">
        <f aca="false">(+Y6-0.01)*W6</f>
        <v>134050.95</v>
      </c>
      <c r="AB6" s="5" t="n">
        <f aca="false">IF(U6-J6&lt;0,J6-U6,0)</f>
        <v>0</v>
      </c>
      <c r="AC6" s="5"/>
      <c r="AD6" s="15" t="n">
        <v>5.32</v>
      </c>
      <c r="AE6" s="16" t="n">
        <f aca="false">(+AD6+0.01)*AB6</f>
        <v>0</v>
      </c>
    </row>
    <row r="7" customFormat="false" ht="12.75" hidden="false" customHeight="false" outlineLevel="0" collapsed="false">
      <c r="A7" s="5" t="n">
        <f aca="false">+A6+1</f>
        <v>2</v>
      </c>
      <c r="B7" s="5" t="n">
        <v>26139</v>
      </c>
      <c r="C7" s="5" t="n">
        <f aca="false">+C6</f>
        <v>0</v>
      </c>
      <c r="D7" s="5" t="n">
        <f aca="false">+D6</f>
        <v>0</v>
      </c>
      <c r="E7" s="5"/>
      <c r="F7" s="5" t="n">
        <f aca="false">SUM(B7:D7)</f>
        <v>26139</v>
      </c>
      <c r="G7" s="5"/>
      <c r="H7" s="5" t="n">
        <f aca="false">+H6</f>
        <v>3904</v>
      </c>
      <c r="I7" s="5"/>
      <c r="J7" s="5" t="n">
        <f aca="false">+B7+H7</f>
        <v>30043</v>
      </c>
      <c r="K7" s="5"/>
      <c r="L7" s="5" t="n">
        <f aca="false">+L6</f>
        <v>142945</v>
      </c>
      <c r="M7" s="5" t="n">
        <v>4581</v>
      </c>
      <c r="N7" s="5" t="n">
        <v>4480</v>
      </c>
      <c r="O7" s="5" t="n">
        <f aca="false">+J7+M7</f>
        <v>34624</v>
      </c>
      <c r="P7" s="5"/>
      <c r="Q7" s="5"/>
      <c r="R7" s="5"/>
      <c r="S7" s="13" t="n">
        <f aca="false">+S6</f>
        <v>51762</v>
      </c>
      <c r="T7" s="5" t="n">
        <f aca="false">+T6</f>
        <v>3904</v>
      </c>
      <c r="U7" s="14" t="n">
        <f aca="false">+T7+S7</f>
        <v>55666</v>
      </c>
      <c r="V7" s="5"/>
      <c r="W7" s="5" t="n">
        <f aca="false">IF(U7-J7&gt;0,U7-J7,0)</f>
        <v>25623</v>
      </c>
      <c r="X7" s="5"/>
      <c r="Y7" s="15" t="n">
        <v>5.32</v>
      </c>
      <c r="Z7" s="16" t="n">
        <f aca="false">(+Y7-0.01)*W7</f>
        <v>136058.13</v>
      </c>
      <c r="AB7" s="5" t="n">
        <f aca="false">IF(U7-J7&lt;0,J7-U7,0)</f>
        <v>0</v>
      </c>
      <c r="AC7" s="5"/>
      <c r="AD7" s="15" t="n">
        <v>5.32</v>
      </c>
      <c r="AE7" s="16" t="n">
        <f aca="false">(+AD7+0.01)*AB7</f>
        <v>0</v>
      </c>
    </row>
    <row r="8" customFormat="false" ht="12.75" hidden="false" customHeight="false" outlineLevel="0" collapsed="false">
      <c r="A8" s="5" t="n">
        <f aca="false">+A7+1</f>
        <v>3</v>
      </c>
      <c r="B8" s="5" t="n">
        <v>26139</v>
      </c>
      <c r="C8" s="5" t="n">
        <f aca="false">+C7</f>
        <v>0</v>
      </c>
      <c r="D8" s="5" t="n">
        <f aca="false">+D7</f>
        <v>0</v>
      </c>
      <c r="E8" s="5"/>
      <c r="F8" s="5" t="n">
        <f aca="false">SUM(B8:D8)</f>
        <v>26139</v>
      </c>
      <c r="G8" s="5"/>
      <c r="H8" s="5" t="n">
        <f aca="false">+H7</f>
        <v>3904</v>
      </c>
      <c r="I8" s="5"/>
      <c r="J8" s="5" t="n">
        <f aca="false">+B8+H8</f>
        <v>30043</v>
      </c>
      <c r="K8" s="5"/>
      <c r="L8" s="5" t="n">
        <f aca="false">+L7</f>
        <v>142945</v>
      </c>
      <c r="M8" s="5" t="n">
        <v>4581</v>
      </c>
      <c r="N8" s="5" t="n">
        <v>4480</v>
      </c>
      <c r="O8" s="5" t="n">
        <f aca="false">+J8+M8</f>
        <v>34624</v>
      </c>
      <c r="P8" s="5"/>
      <c r="Q8" s="5"/>
      <c r="R8" s="5"/>
      <c r="S8" s="13" t="n">
        <f aca="false">+S7</f>
        <v>51762</v>
      </c>
      <c r="T8" s="5" t="n">
        <f aca="false">+T7</f>
        <v>3904</v>
      </c>
      <c r="U8" s="14" t="n">
        <f aca="false">+T8+S8</f>
        <v>55666</v>
      </c>
      <c r="V8" s="5"/>
      <c r="W8" s="5" t="n">
        <f aca="false">IF(U8-J8&gt;0,U8-J8,0)</f>
        <v>25623</v>
      </c>
      <c r="X8" s="5"/>
      <c r="Y8" s="15" t="n">
        <v>5.395</v>
      </c>
      <c r="Z8" s="16" t="n">
        <f aca="false">(+Y8-0.01)*W8</f>
        <v>137979.855</v>
      </c>
      <c r="AB8" s="5" t="n">
        <f aca="false">IF(U8-J8&lt;0,J8-U8,0)</f>
        <v>0</v>
      </c>
      <c r="AC8" s="5"/>
      <c r="AD8" s="15" t="n">
        <v>5.395</v>
      </c>
      <c r="AE8" s="16" t="n">
        <f aca="false">(+AD8+0.01)*AB8</f>
        <v>0</v>
      </c>
    </row>
    <row r="9" customFormat="false" ht="12.75" hidden="false" customHeight="false" outlineLevel="0" collapsed="false">
      <c r="A9" s="5" t="n">
        <f aca="false">+A8+1</f>
        <v>4</v>
      </c>
      <c r="B9" s="5" t="n">
        <v>31010</v>
      </c>
      <c r="C9" s="5" t="n">
        <f aca="false">+C8</f>
        <v>0</v>
      </c>
      <c r="D9" s="5" t="n">
        <f aca="false">+D8</f>
        <v>0</v>
      </c>
      <c r="E9" s="5"/>
      <c r="F9" s="5" t="n">
        <f aca="false">SUM(B9:D9)</f>
        <v>31010</v>
      </c>
      <c r="G9" s="5"/>
      <c r="H9" s="5" t="n">
        <f aca="false">+H8</f>
        <v>3904</v>
      </c>
      <c r="I9" s="5"/>
      <c r="J9" s="5" t="n">
        <f aca="false">+B9+H9</f>
        <v>34914</v>
      </c>
      <c r="K9" s="5"/>
      <c r="L9" s="5" t="n">
        <f aca="false">+L8</f>
        <v>142945</v>
      </c>
      <c r="M9" s="5" t="n">
        <v>6137</v>
      </c>
      <c r="N9" s="5" t="n">
        <v>6002</v>
      </c>
      <c r="O9" s="5" t="n">
        <f aca="false">+J9+M9</f>
        <v>41051</v>
      </c>
      <c r="P9" s="5"/>
      <c r="Q9" s="5"/>
      <c r="R9" s="5"/>
      <c r="S9" s="13" t="n">
        <f aca="false">+S8</f>
        <v>51762</v>
      </c>
      <c r="T9" s="5" t="n">
        <f aca="false">+T8</f>
        <v>3904</v>
      </c>
      <c r="U9" s="14" t="n">
        <f aca="false">+T9+S9</f>
        <v>55666</v>
      </c>
      <c r="V9" s="5"/>
      <c r="W9" s="5" t="n">
        <f aca="false">IF(U9-J9&gt;0,U9-J9,0)</f>
        <v>20752</v>
      </c>
      <c r="X9" s="5"/>
      <c r="Y9" s="15" t="n">
        <v>5.415</v>
      </c>
      <c r="Z9" s="16" t="n">
        <f aca="false">(+Y9-0.01)*W9</f>
        <v>112164.56</v>
      </c>
      <c r="AB9" s="5" t="n">
        <f aca="false">IF(U9-J9&lt;0,J9-U9,0)</f>
        <v>0</v>
      </c>
      <c r="AC9" s="5"/>
      <c r="AD9" s="15" t="n">
        <v>5.415</v>
      </c>
      <c r="AE9" s="16" t="n">
        <f aca="false">(+AD9+0.01)*AB9</f>
        <v>0</v>
      </c>
    </row>
    <row r="10" customFormat="false" ht="12.75" hidden="false" customHeight="false" outlineLevel="0" collapsed="false">
      <c r="A10" s="5" t="n">
        <f aca="false">+A9+1</f>
        <v>5</v>
      </c>
      <c r="B10" s="5" t="n">
        <v>37063</v>
      </c>
      <c r="C10" s="5" t="n">
        <f aca="false">+C9</f>
        <v>0</v>
      </c>
      <c r="D10" s="5" t="n">
        <f aca="false">+D9</f>
        <v>0</v>
      </c>
      <c r="E10" s="5"/>
      <c r="F10" s="5" t="n">
        <f aca="false">SUM(B10:D10)</f>
        <v>37063</v>
      </c>
      <c r="G10" s="5"/>
      <c r="H10" s="5" t="n">
        <f aca="false">+H9</f>
        <v>3904</v>
      </c>
      <c r="I10" s="5"/>
      <c r="J10" s="5" t="n">
        <f aca="false">+B10+H10</f>
        <v>40967</v>
      </c>
      <c r="K10" s="5"/>
      <c r="L10" s="5" t="n">
        <f aca="false">+L9</f>
        <v>142945</v>
      </c>
      <c r="M10" s="5" t="n">
        <v>9070</v>
      </c>
      <c r="N10" s="5" t="n">
        <v>8871</v>
      </c>
      <c r="O10" s="5" t="n">
        <f aca="false">+J10+M10</f>
        <v>50037</v>
      </c>
      <c r="P10" s="5"/>
      <c r="Q10" s="5"/>
      <c r="R10" s="5"/>
      <c r="S10" s="13" t="n">
        <f aca="false">+S9</f>
        <v>51762</v>
      </c>
      <c r="T10" s="5" t="n">
        <f aca="false">+T9</f>
        <v>3904</v>
      </c>
      <c r="U10" s="14" t="n">
        <f aca="false">+T10+S10</f>
        <v>55666</v>
      </c>
      <c r="V10" s="5"/>
      <c r="W10" s="5" t="n">
        <f aca="false">IF(U10-J10&gt;0,U10-J10,0)</f>
        <v>14699</v>
      </c>
      <c r="X10" s="5"/>
      <c r="Y10" s="15" t="n">
        <v>5.44</v>
      </c>
      <c r="Z10" s="16" t="n">
        <f aca="false">(+Y10-0.01)*W10</f>
        <v>79815.57</v>
      </c>
      <c r="AB10" s="5" t="n">
        <f aca="false">IF(U10-J10&lt;0,J10-U10,0)</f>
        <v>0</v>
      </c>
      <c r="AC10" s="5"/>
      <c r="AD10" s="15" t="n">
        <v>5.44</v>
      </c>
      <c r="AE10" s="16" t="n">
        <f aca="false">(+AD10+0.01)*AB10</f>
        <v>0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68651</v>
      </c>
      <c r="C11" s="5" t="n">
        <f aca="false">+C10</f>
        <v>0</v>
      </c>
      <c r="D11" s="5" t="n">
        <f aca="false">+D10</f>
        <v>0</v>
      </c>
      <c r="E11" s="5"/>
      <c r="F11" s="5" t="n">
        <f aca="false">SUM(B11:D11)</f>
        <v>68651</v>
      </c>
      <c r="G11" s="5"/>
      <c r="H11" s="5" t="n">
        <f aca="false">+H10</f>
        <v>3904</v>
      </c>
      <c r="I11" s="5"/>
      <c r="J11" s="5" t="n">
        <f aca="false">+B11+H11</f>
        <v>72555</v>
      </c>
      <c r="K11" s="5"/>
      <c r="L11" s="5" t="n">
        <f aca="false">+L10</f>
        <v>142945</v>
      </c>
      <c r="M11" s="5" t="n">
        <v>18169</v>
      </c>
      <c r="N11" s="5" t="n">
        <v>17772</v>
      </c>
      <c r="O11" s="5" t="n">
        <f aca="false">+J11+M11</f>
        <v>90724</v>
      </c>
      <c r="P11" s="5"/>
      <c r="Q11" s="5"/>
      <c r="R11" s="5"/>
      <c r="S11" s="13" t="n">
        <f aca="false">+S10</f>
        <v>51762</v>
      </c>
      <c r="T11" s="5" t="n">
        <f aca="false">+T10</f>
        <v>3904</v>
      </c>
      <c r="U11" s="14" t="n">
        <f aca="false">+T11+S11</f>
        <v>55666</v>
      </c>
      <c r="V11" s="5"/>
      <c r="W11" s="5" t="n">
        <f aca="false">IF(U11-J11&gt;0,U11-J11,0)</f>
        <v>0</v>
      </c>
      <c r="X11" s="5"/>
      <c r="Y11" s="15" t="n">
        <v>5.485</v>
      </c>
      <c r="Z11" s="16" t="n">
        <f aca="false">(+Y11-0.01)*W11</f>
        <v>0</v>
      </c>
      <c r="AB11" s="5" t="n">
        <f aca="false">IF(U11-J11&lt;0,J11-U11,0)</f>
        <v>16889</v>
      </c>
      <c r="AC11" s="5"/>
      <c r="AD11" s="15" t="n">
        <v>5.485</v>
      </c>
      <c r="AE11" s="16" t="n">
        <f aca="false">(+AD11+0.01)*AB11</f>
        <v>92805.055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v>80147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80147</v>
      </c>
      <c r="G12" s="5"/>
      <c r="H12" s="5" t="n">
        <f aca="false">+H11</f>
        <v>3904</v>
      </c>
      <c r="I12" s="5"/>
      <c r="J12" s="5" t="n">
        <f aca="false">+B12+H12</f>
        <v>84051</v>
      </c>
      <c r="K12" s="5"/>
      <c r="L12" s="5" t="n">
        <f aca="false">+L11</f>
        <v>142945</v>
      </c>
      <c r="M12" s="5" t="n">
        <v>26981</v>
      </c>
      <c r="N12" s="5" t="n">
        <v>26392</v>
      </c>
      <c r="O12" s="5" t="n">
        <f aca="false">+J12+M12</f>
        <v>111032</v>
      </c>
      <c r="P12" s="5"/>
      <c r="Q12" s="5"/>
      <c r="R12" s="5"/>
      <c r="S12" s="13" t="n">
        <f aca="false">+S11-10000</f>
        <v>41762</v>
      </c>
      <c r="T12" s="5" t="n">
        <f aca="false">+T11</f>
        <v>3904</v>
      </c>
      <c r="U12" s="14" t="n">
        <f aca="false">+T12+S12</f>
        <v>45666</v>
      </c>
      <c r="V12" s="5"/>
      <c r="W12" s="5" t="n">
        <f aca="false">IF(U12-J12&gt;0,U12-J12,0)</f>
        <v>0</v>
      </c>
      <c r="X12" s="5"/>
      <c r="Y12" s="15" t="n">
        <v>5.285</v>
      </c>
      <c r="Z12" s="16" t="n">
        <f aca="false">(+Y12-0.01)*W12</f>
        <v>0</v>
      </c>
      <c r="AB12" s="5" t="n">
        <f aca="false">IF(U12-J12&lt;0,J12-U12,0)</f>
        <v>38385</v>
      </c>
      <c r="AC12" s="5"/>
      <c r="AD12" s="15" t="n">
        <v>5.285</v>
      </c>
      <c r="AE12" s="16" t="n">
        <f aca="false">(+AD12+0.01)*AB12</f>
        <v>203248.575</v>
      </c>
    </row>
    <row r="13" customFormat="false" ht="12.75" hidden="false" customHeight="false" outlineLevel="0" collapsed="false">
      <c r="A13" s="5" t="n">
        <f aca="false">+A12+1</f>
        <v>8</v>
      </c>
      <c r="B13" s="5" t="n">
        <v>81455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81455</v>
      </c>
      <c r="G13" s="5"/>
      <c r="H13" s="5" t="n">
        <f aca="false">+H12</f>
        <v>3904</v>
      </c>
      <c r="I13" s="5"/>
      <c r="J13" s="5" t="n">
        <f aca="false">+B13+H13</f>
        <v>85359</v>
      </c>
      <c r="K13" s="5"/>
      <c r="L13" s="5" t="n">
        <f aca="false">+L12</f>
        <v>142945</v>
      </c>
      <c r="M13" s="5" t="n">
        <v>27330</v>
      </c>
      <c r="N13" s="5" t="n">
        <v>26735</v>
      </c>
      <c r="O13" s="5" t="n">
        <f aca="false">+J13+M13</f>
        <v>112689</v>
      </c>
      <c r="P13" s="5"/>
      <c r="Q13" s="5"/>
      <c r="R13" s="5"/>
      <c r="S13" s="13" t="n">
        <f aca="false">+S12</f>
        <v>41762</v>
      </c>
      <c r="T13" s="5" t="n">
        <f aca="false">+T12</f>
        <v>3904</v>
      </c>
      <c r="U13" s="14" t="n">
        <f aca="false">+T13+S13</f>
        <v>45666</v>
      </c>
      <c r="V13" s="5"/>
      <c r="W13" s="5" t="n">
        <f aca="false">IF(U13-J13&gt;0,U13-J13,0)</f>
        <v>0</v>
      </c>
      <c r="X13" s="5"/>
      <c r="Y13" s="15" t="n">
        <v>5.285</v>
      </c>
      <c r="Z13" s="16" t="n">
        <f aca="false">(+Y13-0.01)*W13</f>
        <v>0</v>
      </c>
      <c r="AB13" s="5" t="n">
        <f aca="false">IF(U13-J13&lt;0,J13-U13,0)</f>
        <v>39693</v>
      </c>
      <c r="AC13" s="5"/>
      <c r="AD13" s="15" t="n">
        <v>5.285</v>
      </c>
      <c r="AE13" s="16" t="n">
        <f aca="false">(+AD13+0.01)*AB13</f>
        <v>210174.435</v>
      </c>
    </row>
    <row r="14" customFormat="false" ht="12.75" hidden="false" customHeight="false" outlineLevel="0" collapsed="false">
      <c r="A14" s="5" t="n">
        <f aca="false">+A13+1</f>
        <v>9</v>
      </c>
      <c r="B14" s="5" t="n">
        <v>69723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69723</v>
      </c>
      <c r="G14" s="5"/>
      <c r="H14" s="5" t="n">
        <f aca="false">+H13</f>
        <v>3904</v>
      </c>
      <c r="I14" s="5"/>
      <c r="J14" s="5" t="n">
        <f aca="false">+B14+H14</f>
        <v>73627</v>
      </c>
      <c r="K14" s="5"/>
      <c r="L14" s="5" t="n">
        <f aca="false">+L13</f>
        <v>142945</v>
      </c>
      <c r="M14" s="5" t="n">
        <v>16584</v>
      </c>
      <c r="N14" s="5" t="n">
        <v>16221</v>
      </c>
      <c r="O14" s="5" t="n">
        <f aca="false">+J14+M14</f>
        <v>90211</v>
      </c>
      <c r="P14" s="5"/>
      <c r="Q14" s="5"/>
      <c r="R14" s="5"/>
      <c r="S14" s="13" t="n">
        <f aca="false">+S13</f>
        <v>41762</v>
      </c>
      <c r="T14" s="5" t="n">
        <f aca="false">+T13</f>
        <v>3904</v>
      </c>
      <c r="U14" s="14" t="n">
        <f aca="false">+T14+S14</f>
        <v>45666</v>
      </c>
      <c r="V14" s="5"/>
      <c r="W14" s="5" t="n">
        <f aca="false">IF(U14-J14&gt;0,U14-J14,0)</f>
        <v>0</v>
      </c>
      <c r="X14" s="5"/>
      <c r="Y14" s="15" t="n">
        <v>5.285</v>
      </c>
      <c r="Z14" s="16" t="n">
        <f aca="false">(+Y14-0.01)*W14</f>
        <v>0</v>
      </c>
      <c r="AB14" s="5" t="n">
        <f aca="false">IF(U14-J14&lt;0,J14-U14,0)</f>
        <v>27961</v>
      </c>
      <c r="AC14" s="5"/>
      <c r="AD14" s="15" t="n">
        <v>5.285</v>
      </c>
      <c r="AE14" s="16" t="n">
        <f aca="false">(+AD14+0.01)*AB14</f>
        <v>148053.495</v>
      </c>
    </row>
    <row r="15" customFormat="false" ht="12.75" hidden="false" customHeight="false" outlineLevel="0" collapsed="false">
      <c r="A15" s="5" t="n">
        <f aca="false">+A14+1</f>
        <v>10</v>
      </c>
      <c r="B15" s="5" t="n">
        <v>59895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59895</v>
      </c>
      <c r="G15" s="5"/>
      <c r="H15" s="5" t="n">
        <f aca="false">+H14</f>
        <v>3904</v>
      </c>
      <c r="I15" s="5"/>
      <c r="J15" s="5" t="n">
        <f aca="false">+B15+H15</f>
        <v>63799</v>
      </c>
      <c r="K15" s="5"/>
      <c r="L15" s="5" t="n">
        <f aca="false">+L14</f>
        <v>142945</v>
      </c>
      <c r="M15" s="5" t="n">
        <v>15560</v>
      </c>
      <c r="N15" s="5" t="n">
        <v>15220</v>
      </c>
      <c r="O15" s="5" t="n">
        <f aca="false">+J15+M15</f>
        <v>79359</v>
      </c>
      <c r="P15" s="5"/>
      <c r="Q15" s="5"/>
      <c r="R15" s="5"/>
      <c r="S15" s="13" t="n">
        <f aca="false">+S14</f>
        <v>41762</v>
      </c>
      <c r="T15" s="5" t="n">
        <f aca="false">+T14</f>
        <v>3904</v>
      </c>
      <c r="U15" s="14" t="n">
        <f aca="false">+T15+S15</f>
        <v>45666</v>
      </c>
      <c r="V15" s="5"/>
      <c r="W15" s="5" t="n">
        <f aca="false">IF(U15-J15&gt;0,U15-J15,0)</f>
        <v>0</v>
      </c>
      <c r="X15" s="5"/>
      <c r="Y15" s="15" t="n">
        <v>5.28</v>
      </c>
      <c r="Z15" s="16" t="n">
        <f aca="false">(+Y15-0.01)*W15</f>
        <v>0</v>
      </c>
      <c r="AB15" s="5" t="n">
        <f aca="false">IF(U15-J15&lt;0,J15-U15,0)</f>
        <v>18133</v>
      </c>
      <c r="AC15" s="5"/>
      <c r="AD15" s="15" t="n">
        <v>5.28</v>
      </c>
      <c r="AE15" s="16" t="n">
        <f aca="false">(+AD15+0.01)*AB15</f>
        <v>95923.57</v>
      </c>
    </row>
    <row r="16" customFormat="false" ht="12.75" hidden="false" customHeight="false" outlineLevel="0" collapsed="false">
      <c r="A16" s="5" t="n">
        <f aca="false">+A15+1</f>
        <v>11</v>
      </c>
      <c r="B16" s="5" t="n">
        <v>52457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52457</v>
      </c>
      <c r="G16" s="5"/>
      <c r="H16" s="5" t="n">
        <f aca="false">+H15</f>
        <v>3904</v>
      </c>
      <c r="I16" s="5"/>
      <c r="J16" s="5" t="n">
        <f aca="false">+B16+H16</f>
        <v>56361</v>
      </c>
      <c r="K16" s="5"/>
      <c r="L16" s="5" t="n">
        <f aca="false">+L15</f>
        <v>142945</v>
      </c>
      <c r="M16" s="5" t="n">
        <v>17559</v>
      </c>
      <c r="N16" s="5" t="n">
        <v>17175</v>
      </c>
      <c r="O16" s="5" t="n">
        <f aca="false">+J16+M16</f>
        <v>73920</v>
      </c>
      <c r="P16" s="5"/>
      <c r="Q16" s="5"/>
      <c r="R16" s="5"/>
      <c r="S16" s="13" t="n">
        <f aca="false">+S15</f>
        <v>41762</v>
      </c>
      <c r="T16" s="5" t="n">
        <f aca="false">+T15</f>
        <v>3904</v>
      </c>
      <c r="U16" s="14" t="n">
        <f aca="false">+T16+S16</f>
        <v>45666</v>
      </c>
      <c r="V16" s="5"/>
      <c r="W16" s="5" t="n">
        <f aca="false">IF(U16-J16&gt;0,U16-J16,0)</f>
        <v>0</v>
      </c>
      <c r="X16" s="5"/>
      <c r="Y16" s="15" t="n">
        <v>5.3</v>
      </c>
      <c r="Z16" s="16" t="n">
        <f aca="false">(+Y16-0.01)*W16</f>
        <v>0</v>
      </c>
      <c r="AB16" s="5" t="n">
        <f aca="false">IF(U16-J16&lt;0,J16-U16,0)</f>
        <v>10695</v>
      </c>
      <c r="AC16" s="5"/>
      <c r="AD16" s="15" t="n">
        <v>5.3</v>
      </c>
      <c r="AE16" s="16" t="n">
        <f aca="false">(+AD16+0.01)*AB16</f>
        <v>56790.45</v>
      </c>
    </row>
    <row r="17" customFormat="false" ht="12.75" hidden="false" customHeight="false" outlineLevel="0" collapsed="false">
      <c r="A17" s="5" t="n">
        <f aca="false">+A16+1</f>
        <v>12</v>
      </c>
      <c r="B17" s="5" t="n">
        <v>43374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43374</v>
      </c>
      <c r="G17" s="5"/>
      <c r="H17" s="5" t="n">
        <f aca="false">+H16</f>
        <v>3904</v>
      </c>
      <c r="I17" s="5"/>
      <c r="J17" s="5" t="n">
        <f aca="false">+B17+H17</f>
        <v>47278</v>
      </c>
      <c r="K17" s="5"/>
      <c r="L17" s="5" t="n">
        <f aca="false">+L16</f>
        <v>142945</v>
      </c>
      <c r="M17" s="5" t="n">
        <v>11980</v>
      </c>
      <c r="N17" s="5" t="n">
        <v>11718</v>
      </c>
      <c r="O17" s="5" t="n">
        <f aca="false">+J17+M17</f>
        <v>59258</v>
      </c>
      <c r="P17" s="5"/>
      <c r="Q17" s="5"/>
      <c r="R17" s="5"/>
      <c r="S17" s="13" t="n">
        <f aca="false">+S16</f>
        <v>41762</v>
      </c>
      <c r="T17" s="5" t="n">
        <f aca="false">+T16</f>
        <v>3904</v>
      </c>
      <c r="U17" s="14" t="n">
        <f aca="false">+T17+S17</f>
        <v>45666</v>
      </c>
      <c r="V17" s="5"/>
      <c r="W17" s="5" t="n">
        <f aca="false">IF(U17-J17&gt;0,U17-J17,0)</f>
        <v>0</v>
      </c>
      <c r="X17" s="5"/>
      <c r="Y17" s="15" t="n">
        <v>5.355</v>
      </c>
      <c r="Z17" s="16" t="n">
        <f aca="false">(+Y17-0.01)*W17</f>
        <v>0</v>
      </c>
      <c r="AB17" s="5" t="n">
        <f aca="false">IF(U17-J17&lt;0,J17-U17,0)</f>
        <v>1612</v>
      </c>
      <c r="AC17" s="5"/>
      <c r="AD17" s="15" t="n">
        <v>5.355</v>
      </c>
      <c r="AE17" s="16" t="n">
        <f aca="false">(+AD17+0.01)*AB17</f>
        <v>8648.38</v>
      </c>
    </row>
    <row r="18" customFormat="false" ht="12.75" hidden="false" customHeight="false" outlineLevel="0" collapsed="false">
      <c r="A18" s="5" t="n">
        <f aca="false">+A17+1</f>
        <v>13</v>
      </c>
      <c r="B18" s="5" t="n">
        <v>31609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31609</v>
      </c>
      <c r="G18" s="5"/>
      <c r="H18" s="5" t="n">
        <f aca="false">+H17</f>
        <v>3904</v>
      </c>
      <c r="I18" s="5"/>
      <c r="J18" s="5" t="n">
        <f aca="false">+B18+H18</f>
        <v>35513</v>
      </c>
      <c r="K18" s="5"/>
      <c r="L18" s="5" t="n">
        <f aca="false">+L17</f>
        <v>142945</v>
      </c>
      <c r="M18" s="5" t="n">
        <v>7389</v>
      </c>
      <c r="N18" s="5" t="n">
        <v>7227</v>
      </c>
      <c r="O18" s="5" t="n">
        <f aca="false">+J18+M18</f>
        <v>42902</v>
      </c>
      <c r="P18" s="5"/>
      <c r="Q18" s="5"/>
      <c r="R18" s="5"/>
      <c r="S18" s="13" t="n">
        <f aca="false">+S17</f>
        <v>41762</v>
      </c>
      <c r="T18" s="5" t="n">
        <f aca="false">+T17</f>
        <v>3904</v>
      </c>
      <c r="U18" s="14" t="n">
        <f aca="false">+T18+S18</f>
        <v>45666</v>
      </c>
      <c r="V18" s="5"/>
      <c r="W18" s="5" t="n">
        <f aca="false">IF(U18-J18&gt;0,U18-J18,0)</f>
        <v>10153</v>
      </c>
      <c r="X18" s="5"/>
      <c r="Y18" s="15" t="n">
        <v>5.775</v>
      </c>
      <c r="Z18" s="16" t="n">
        <f aca="false">(+Y18-0.01)*W18</f>
        <v>58532.045</v>
      </c>
      <c r="AB18" s="5" t="n">
        <f aca="false">IF(U18-J18&lt;0,J18-U18,0)</f>
        <v>0</v>
      </c>
      <c r="AC18" s="5"/>
      <c r="AD18" s="15" t="n">
        <v>5.775</v>
      </c>
      <c r="AE18" s="16" t="n">
        <f aca="false">(+AD18+0.01)*AB18</f>
        <v>0</v>
      </c>
    </row>
    <row r="19" customFormat="false" ht="12.75" hidden="false" customHeight="false" outlineLevel="0" collapsed="false">
      <c r="A19" s="5" t="n">
        <f aca="false">+A18+1</f>
        <v>14</v>
      </c>
      <c r="B19" s="5" t="n">
        <v>26139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26139</v>
      </c>
      <c r="G19" s="5"/>
      <c r="H19" s="5" t="n">
        <f aca="false">+H18</f>
        <v>3904</v>
      </c>
      <c r="I19" s="5"/>
      <c r="J19" s="5" t="n">
        <f aca="false">+B19+H19</f>
        <v>30043</v>
      </c>
      <c r="K19" s="5"/>
      <c r="L19" s="5" t="n">
        <f aca="false">+L18</f>
        <v>142945</v>
      </c>
      <c r="M19" s="5" t="n">
        <v>4540</v>
      </c>
      <c r="N19" s="5" t="n">
        <v>4440</v>
      </c>
      <c r="O19" s="5" t="n">
        <f aca="false">+J19+M19</f>
        <v>34583</v>
      </c>
      <c r="P19" s="5"/>
      <c r="Q19" s="5"/>
      <c r="R19" s="5"/>
      <c r="S19" s="13" t="n">
        <f aca="false">+S18</f>
        <v>41762</v>
      </c>
      <c r="T19" s="5" t="n">
        <f aca="false">+T18</f>
        <v>3904</v>
      </c>
      <c r="U19" s="14" t="n">
        <f aca="false">+T19+S19</f>
        <v>45666</v>
      </c>
      <c r="V19" s="5"/>
      <c r="W19" s="5" t="n">
        <f aca="false">IF(U19-J19&gt;0,U19-J19,0)</f>
        <v>15623</v>
      </c>
      <c r="X19" s="5"/>
      <c r="Y19" s="15" t="n">
        <v>5.635</v>
      </c>
      <c r="Z19" s="16" t="n">
        <f aca="false">(+Y19-0.01)*W19</f>
        <v>87879.375</v>
      </c>
      <c r="AB19" s="5" t="n">
        <f aca="false">IF(U19-J19&lt;0,J19-U19,0)</f>
        <v>0</v>
      </c>
      <c r="AC19" s="5"/>
      <c r="AD19" s="15" t="n">
        <v>5.635</v>
      </c>
      <c r="AE19" s="16" t="n">
        <f aca="false">(+AD19+0.01)*AB19</f>
        <v>0</v>
      </c>
    </row>
    <row r="20" customFormat="false" ht="12.75" hidden="false" customHeight="false" outlineLevel="0" collapsed="false">
      <c r="A20" s="5" t="n">
        <f aca="false">+A19+1</f>
        <v>15</v>
      </c>
      <c r="B20" s="5" t="n">
        <v>33089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33089</v>
      </c>
      <c r="G20" s="5"/>
      <c r="H20" s="5" t="n">
        <f aca="false">+H19</f>
        <v>3904</v>
      </c>
      <c r="I20" s="5"/>
      <c r="J20" s="5" t="n">
        <f aca="false">+B20+H20</f>
        <v>36993</v>
      </c>
      <c r="K20" s="5"/>
      <c r="L20" s="5" t="n">
        <f aca="false">+L19</f>
        <v>142945</v>
      </c>
      <c r="M20" s="5" t="n">
        <v>8862</v>
      </c>
      <c r="N20" s="5" t="n">
        <v>8670</v>
      </c>
      <c r="O20" s="5" t="n">
        <f aca="false">+J20+M20</f>
        <v>45855</v>
      </c>
      <c r="P20" s="5"/>
      <c r="Q20" s="5"/>
      <c r="R20" s="5"/>
      <c r="S20" s="13" t="n">
        <f aca="false">+S19</f>
        <v>41762</v>
      </c>
      <c r="T20" s="5" t="n">
        <f aca="false">+T19</f>
        <v>3904</v>
      </c>
      <c r="U20" s="14" t="n">
        <f aca="false">+T20+S20</f>
        <v>45666</v>
      </c>
      <c r="V20" s="5"/>
      <c r="W20" s="5" t="n">
        <f aca="false">IF(U20-J20&gt;0,U20-J20,0)</f>
        <v>8673</v>
      </c>
      <c r="X20" s="5"/>
      <c r="Y20" s="15" t="n">
        <v>5.635</v>
      </c>
      <c r="Z20" s="16" t="n">
        <f aca="false">(+Y20-0.01)*W20</f>
        <v>48785.625</v>
      </c>
      <c r="AB20" s="5" t="n">
        <f aca="false">IF(U20-J20&lt;0,J20-U20,0)</f>
        <v>0</v>
      </c>
      <c r="AC20" s="5"/>
      <c r="AD20" s="15" t="n">
        <v>5.635</v>
      </c>
      <c r="AE20" s="16" t="n">
        <f aca="false">(+AD20+0.01)*AB20</f>
        <v>0</v>
      </c>
    </row>
    <row r="21" customFormat="false" ht="12.75" hidden="false" customHeight="false" outlineLevel="0" collapsed="false">
      <c r="A21" s="5" t="n">
        <f aca="false">+A20+1</f>
        <v>16</v>
      </c>
      <c r="B21" s="5" t="n">
        <v>36772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36772</v>
      </c>
      <c r="G21" s="5"/>
      <c r="H21" s="5" t="n">
        <f aca="false">+H20</f>
        <v>3904</v>
      </c>
      <c r="I21" s="5"/>
      <c r="J21" s="5" t="n">
        <f aca="false">+B21+H21</f>
        <v>40676</v>
      </c>
      <c r="K21" s="5"/>
      <c r="L21" s="5" t="n">
        <f aca="false">+L20</f>
        <v>142945</v>
      </c>
      <c r="M21" s="5" t="n">
        <v>6718</v>
      </c>
      <c r="N21" s="5" t="n">
        <v>6570</v>
      </c>
      <c r="O21" s="5" t="n">
        <f aca="false">+J21+M21</f>
        <v>47394</v>
      </c>
      <c r="P21" s="5"/>
      <c r="Q21" s="5"/>
      <c r="R21" s="5"/>
      <c r="S21" s="13" t="n">
        <f aca="false">+S20</f>
        <v>41762</v>
      </c>
      <c r="T21" s="5" t="n">
        <f aca="false">+T20</f>
        <v>3904</v>
      </c>
      <c r="U21" s="14" t="n">
        <f aca="false">+T21+S21</f>
        <v>45666</v>
      </c>
      <c r="V21" s="5"/>
      <c r="W21" s="5" t="n">
        <f aca="false">IF(U21-J21&gt;0,U21-J21,0)</f>
        <v>4990</v>
      </c>
      <c r="X21" s="5"/>
      <c r="Y21" s="15" t="n">
        <v>5.635</v>
      </c>
      <c r="Z21" s="16" t="n">
        <f aca="false">(+Y21-0.01)*W21</f>
        <v>28068.75</v>
      </c>
      <c r="AB21" s="5" t="n">
        <f aca="false">IF(U21-J21&lt;0,J21-U21,0)</f>
        <v>0</v>
      </c>
      <c r="AC21" s="5"/>
      <c r="AD21" s="15" t="n">
        <v>5.635</v>
      </c>
      <c r="AE21" s="16" t="n">
        <f aca="false">(+AD21+0.01)*AB21</f>
        <v>0</v>
      </c>
    </row>
    <row r="22" customFormat="false" ht="12.75" hidden="false" customHeight="false" outlineLevel="0" collapsed="false">
      <c r="A22" s="5" t="n">
        <f aca="false">+A21+1</f>
        <v>17</v>
      </c>
      <c r="B22" s="5" t="n">
        <v>43013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43013</v>
      </c>
      <c r="G22" s="5"/>
      <c r="H22" s="5" t="n">
        <f aca="false">+H21</f>
        <v>3904</v>
      </c>
      <c r="I22" s="5"/>
      <c r="J22" s="5" t="n">
        <f aca="false">+B22+H22</f>
        <v>46917</v>
      </c>
      <c r="K22" s="5"/>
      <c r="L22" s="5" t="n">
        <f aca="false">+L21</f>
        <v>142945</v>
      </c>
      <c r="M22" s="5" t="n">
        <v>12462</v>
      </c>
      <c r="N22" s="5" t="n">
        <v>12189</v>
      </c>
      <c r="O22" s="5" t="n">
        <f aca="false">+J22+M22</f>
        <v>59379</v>
      </c>
      <c r="P22" s="5"/>
      <c r="Q22" s="5"/>
      <c r="R22" s="5"/>
      <c r="S22" s="13" t="n">
        <f aca="false">+S21</f>
        <v>41762</v>
      </c>
      <c r="T22" s="5" t="n">
        <f aca="false">+T21</f>
        <v>3904</v>
      </c>
      <c r="U22" s="14" t="n">
        <f aca="false">+T22+S22</f>
        <v>45666</v>
      </c>
      <c r="V22" s="5"/>
      <c r="W22" s="5" t="n">
        <f aca="false">IF(U22-J22&gt;0,U22-J22,0)</f>
        <v>0</v>
      </c>
      <c r="X22" s="5"/>
      <c r="Y22" s="15" t="n">
        <v>5.56</v>
      </c>
      <c r="Z22" s="16" t="n">
        <f aca="false">(+Y22-0.01)*W22</f>
        <v>0</v>
      </c>
      <c r="AB22" s="5" t="n">
        <f aca="false">IF(U22-J22&lt;0,J22-U22,0)</f>
        <v>1251</v>
      </c>
      <c r="AC22" s="5"/>
      <c r="AD22" s="15" t="n">
        <v>5.56</v>
      </c>
      <c r="AE22" s="16" t="n">
        <f aca="false">(+AD22+0.01)*AB22</f>
        <v>6968.07</v>
      </c>
    </row>
    <row r="23" customFormat="false" ht="12.75" hidden="false" customHeight="false" outlineLevel="0" collapsed="false">
      <c r="A23" s="5" t="n">
        <f aca="false">+A22+1</f>
        <v>18</v>
      </c>
      <c r="B23" s="5" t="n">
        <v>51174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51174</v>
      </c>
      <c r="G23" s="5"/>
      <c r="H23" s="5" t="n">
        <f aca="false">+H22</f>
        <v>3904</v>
      </c>
      <c r="I23" s="5"/>
      <c r="J23" s="5" t="n">
        <f aca="false">+B23+H23</f>
        <v>55078</v>
      </c>
      <c r="K23" s="5"/>
      <c r="L23" s="5" t="n">
        <f aca="false">+L22</f>
        <v>142945</v>
      </c>
      <c r="M23" s="5" t="n">
        <v>18591</v>
      </c>
      <c r="N23" s="5" t="n">
        <v>18184</v>
      </c>
      <c r="O23" s="5" t="n">
        <f aca="false">+J23+M23</f>
        <v>73669</v>
      </c>
      <c r="P23" s="5"/>
      <c r="Q23" s="5"/>
      <c r="R23" s="5"/>
      <c r="S23" s="13" t="n">
        <f aca="false">+S22</f>
        <v>41762</v>
      </c>
      <c r="T23" s="5" t="n">
        <f aca="false">+T22</f>
        <v>3904</v>
      </c>
      <c r="U23" s="14" t="n">
        <f aca="false">+T23+S23</f>
        <v>45666</v>
      </c>
      <c r="V23" s="5"/>
      <c r="W23" s="5" t="n">
        <f aca="false">IF(U23-J23&gt;0,U23-J23,0)</f>
        <v>0</v>
      </c>
      <c r="X23" s="5"/>
      <c r="Y23" s="15" t="n">
        <v>5.5</v>
      </c>
      <c r="Z23" s="16" t="n">
        <f aca="false">(+Y23-0.01)*W23</f>
        <v>0</v>
      </c>
      <c r="AB23" s="5" t="n">
        <f aca="false">IF(U23-J23&lt;0,J23-U23,0)</f>
        <v>9412</v>
      </c>
      <c r="AC23" s="5"/>
      <c r="AD23" s="15" t="n">
        <v>5.5</v>
      </c>
      <c r="AE23" s="16" t="n">
        <f aca="false">(+AD23+0.01)*AB23</f>
        <v>51860.12</v>
      </c>
    </row>
    <row r="24" customFormat="false" ht="12.75" hidden="false" customHeight="false" outlineLevel="0" collapsed="false">
      <c r="A24" s="5" t="n">
        <f aca="false">+A23+1</f>
        <v>19</v>
      </c>
      <c r="B24" s="5" t="n">
        <v>39020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39020</v>
      </c>
      <c r="G24" s="5"/>
      <c r="H24" s="5" t="n">
        <f aca="false">+H23</f>
        <v>3904</v>
      </c>
      <c r="I24" s="5"/>
      <c r="J24" s="5" t="n">
        <f aca="false">+B24+H24</f>
        <v>42924</v>
      </c>
      <c r="K24" s="5"/>
      <c r="L24" s="5" t="n">
        <f aca="false">+L23</f>
        <v>142945</v>
      </c>
      <c r="M24" s="5" t="n">
        <v>7095</v>
      </c>
      <c r="N24" s="5" t="n">
        <v>6940</v>
      </c>
      <c r="O24" s="5" t="n">
        <f aca="false">+J24+M24</f>
        <v>50019</v>
      </c>
      <c r="P24" s="5"/>
      <c r="Q24" s="5"/>
      <c r="R24" s="5"/>
      <c r="S24" s="13" t="n">
        <f aca="false">+S23</f>
        <v>41762</v>
      </c>
      <c r="T24" s="5" t="n">
        <f aca="false">+T23</f>
        <v>3904</v>
      </c>
      <c r="U24" s="14" t="n">
        <f aca="false">+T24+S24</f>
        <v>45666</v>
      </c>
      <c r="V24" s="5"/>
      <c r="W24" s="5" t="n">
        <f aca="false">IF(U24-J24&gt;0,U24-J24,0)</f>
        <v>2742</v>
      </c>
      <c r="X24" s="5"/>
      <c r="Y24" s="15" t="n">
        <v>5.63</v>
      </c>
      <c r="Z24" s="16" t="n">
        <f aca="false">(+Y24-0.01)*W24</f>
        <v>15410.04</v>
      </c>
      <c r="AB24" s="5" t="n">
        <f aca="false">IF(U24-J24&lt;0,J24-U24,0)</f>
        <v>0</v>
      </c>
      <c r="AC24" s="5"/>
      <c r="AD24" s="15" t="n">
        <v>5.63</v>
      </c>
      <c r="AE24" s="16" t="n">
        <f aca="false">(+AD24+0.01)*AB24</f>
        <v>0</v>
      </c>
    </row>
    <row r="25" customFormat="false" ht="12.75" hidden="false" customHeight="false" outlineLevel="0" collapsed="false">
      <c r="A25" s="5" t="n">
        <f aca="false">+A24+1</f>
        <v>20</v>
      </c>
      <c r="B25" s="5" t="n">
        <v>31206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31206</v>
      </c>
      <c r="G25" s="5"/>
      <c r="H25" s="5" t="n">
        <f aca="false">+H24</f>
        <v>3904</v>
      </c>
      <c r="I25" s="5"/>
      <c r="J25" s="5" t="n">
        <f aca="false">+B25+H25</f>
        <v>35110</v>
      </c>
      <c r="K25" s="5"/>
      <c r="L25" s="5" t="n">
        <f aca="false">+L24</f>
        <v>142945</v>
      </c>
      <c r="M25" s="5" t="n">
        <v>5806</v>
      </c>
      <c r="N25" s="5" t="n">
        <v>5679</v>
      </c>
      <c r="O25" s="5" t="n">
        <f aca="false">+J25+M25</f>
        <v>40916</v>
      </c>
      <c r="P25" s="5"/>
      <c r="Q25" s="5"/>
      <c r="R25" s="5"/>
      <c r="S25" s="13" t="n">
        <f aca="false">+S24</f>
        <v>41762</v>
      </c>
      <c r="T25" s="5" t="n">
        <f aca="false">+T24</f>
        <v>3904</v>
      </c>
      <c r="U25" s="14" t="n">
        <f aca="false">+T25+S25</f>
        <v>45666</v>
      </c>
      <c r="V25" s="5"/>
      <c r="W25" s="5" t="n">
        <f aca="false">IF(U25-J25&gt;0,U25-J25,0)</f>
        <v>10556</v>
      </c>
      <c r="X25" s="5"/>
      <c r="Y25" s="15" t="n">
        <v>5.245</v>
      </c>
      <c r="Z25" s="16" t="n">
        <f aca="false">(+Y25-0.01)*W25</f>
        <v>55260.66</v>
      </c>
      <c r="AB25" s="5" t="n">
        <f aca="false">IF(U25-J25&lt;0,J25-U25,0)</f>
        <v>0</v>
      </c>
      <c r="AC25" s="5"/>
      <c r="AD25" s="15" t="n">
        <v>5.245</v>
      </c>
      <c r="AE25" s="16" t="n">
        <f aca="false">(+AD25+0.01)*AB25</f>
        <v>0</v>
      </c>
    </row>
    <row r="26" customFormat="false" ht="12.75" hidden="false" customHeight="false" outlineLevel="0" collapsed="false">
      <c r="A26" s="5" t="n">
        <f aca="false">+A25+1</f>
        <v>21</v>
      </c>
      <c r="B26" s="5" t="n">
        <v>30982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30982</v>
      </c>
      <c r="G26" s="5"/>
      <c r="H26" s="5" t="n">
        <f aca="false">+H25</f>
        <v>3904</v>
      </c>
      <c r="I26" s="5"/>
      <c r="J26" s="5" t="n">
        <f aca="false">+B26+H26</f>
        <v>34886</v>
      </c>
      <c r="K26" s="5"/>
      <c r="L26" s="5" t="n">
        <f aca="false">+L25</f>
        <v>142945</v>
      </c>
      <c r="M26" s="5" t="n">
        <v>1289</v>
      </c>
      <c r="N26" s="5" t="n">
        <v>1261</v>
      </c>
      <c r="O26" s="5" t="n">
        <f aca="false">+J26+M26</f>
        <v>36175</v>
      </c>
      <c r="P26" s="5"/>
      <c r="Q26" s="5"/>
      <c r="R26" s="5"/>
      <c r="S26" s="13" t="n">
        <f aca="false">+S25</f>
        <v>41762</v>
      </c>
      <c r="T26" s="5" t="n">
        <f aca="false">+T25</f>
        <v>3904</v>
      </c>
      <c r="U26" s="14" t="n">
        <f aca="false">+T26+S26</f>
        <v>45666</v>
      </c>
      <c r="V26" s="5"/>
      <c r="W26" s="5" t="n">
        <f aca="false">IF(U26-J26&gt;0,U26-J26,0)</f>
        <v>10780</v>
      </c>
      <c r="X26" s="5"/>
      <c r="Y26" s="15" t="n">
        <v>5.065</v>
      </c>
      <c r="Z26" s="16" t="n">
        <f aca="false">(+Y26-0.01)*W26</f>
        <v>54492.9</v>
      </c>
      <c r="AB26" s="5" t="n">
        <f aca="false">IF(U26-J26&lt;0,J26-U26,0)</f>
        <v>0</v>
      </c>
      <c r="AC26" s="5"/>
      <c r="AD26" s="15" t="n">
        <v>5.065</v>
      </c>
      <c r="AE26" s="16" t="n">
        <f aca="false">(+AD26+0.01)*AB26</f>
        <v>0</v>
      </c>
    </row>
    <row r="27" customFormat="false" ht="12.75" hidden="false" customHeight="false" outlineLevel="0" collapsed="false">
      <c r="A27" s="5" t="n">
        <f aca="false">+A26+1</f>
        <v>22</v>
      </c>
      <c r="B27" s="5" t="n">
        <v>35476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35476</v>
      </c>
      <c r="G27" s="5"/>
      <c r="H27" s="5" t="n">
        <f aca="false">+H26</f>
        <v>3904</v>
      </c>
      <c r="I27" s="5"/>
      <c r="J27" s="5" t="n">
        <f aca="false">+B27+H27</f>
        <v>39380</v>
      </c>
      <c r="K27" s="5"/>
      <c r="L27" s="5" t="n">
        <f aca="false">+L26</f>
        <v>142945</v>
      </c>
      <c r="M27" s="5" t="n">
        <v>4178</v>
      </c>
      <c r="N27" s="5" t="n">
        <v>4087</v>
      </c>
      <c r="O27" s="5" t="n">
        <f aca="false">+J27+M27</f>
        <v>43558</v>
      </c>
      <c r="P27" s="5"/>
      <c r="Q27" s="5"/>
      <c r="R27" s="5"/>
      <c r="S27" s="13" t="n">
        <f aca="false">+S26</f>
        <v>41762</v>
      </c>
      <c r="T27" s="5" t="n">
        <f aca="false">+T26</f>
        <v>3904</v>
      </c>
      <c r="U27" s="14" t="n">
        <f aca="false">+T27+S27</f>
        <v>45666</v>
      </c>
      <c r="V27" s="5"/>
      <c r="W27" s="5" t="n">
        <f aca="false">IF(U27-J27&gt;0,U27-J27,0)</f>
        <v>6286</v>
      </c>
      <c r="X27" s="5"/>
      <c r="Y27" s="15" t="n">
        <v>5.065</v>
      </c>
      <c r="Z27" s="16" t="n">
        <f aca="false">(+Y27-0.01)*W27</f>
        <v>31775.73</v>
      </c>
      <c r="AB27" s="5" t="n">
        <f aca="false">IF(U27-J27&lt;0,J27-U27,0)</f>
        <v>0</v>
      </c>
      <c r="AC27" s="5"/>
      <c r="AD27" s="15" t="n">
        <v>5.065</v>
      </c>
      <c r="AE27" s="16" t="n">
        <f aca="false">(+AD27+0.01)*AB27</f>
        <v>0</v>
      </c>
    </row>
    <row r="28" customFormat="false" ht="12.75" hidden="false" customHeight="false" outlineLevel="0" collapsed="false">
      <c r="A28" s="5" t="n">
        <f aca="false">+A27+1</f>
        <v>23</v>
      </c>
      <c r="B28" s="5" t="n">
        <v>27496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27496</v>
      </c>
      <c r="G28" s="5"/>
      <c r="H28" s="5" t="n">
        <f aca="false">+H27</f>
        <v>3904</v>
      </c>
      <c r="I28" s="5"/>
      <c r="J28" s="5" t="n">
        <f aca="false">+B28+H28</f>
        <v>31400</v>
      </c>
      <c r="K28" s="5"/>
      <c r="L28" s="5" t="n">
        <f aca="false">+L27</f>
        <v>142945</v>
      </c>
      <c r="M28" s="5" t="n">
        <v>1153</v>
      </c>
      <c r="N28" s="5" t="n">
        <v>1127</v>
      </c>
      <c r="O28" s="5" t="n">
        <f aca="false">+J28+M28</f>
        <v>32553</v>
      </c>
      <c r="P28" s="5"/>
      <c r="Q28" s="5"/>
      <c r="R28" s="5"/>
      <c r="S28" s="13" t="n">
        <f aca="false">+S27</f>
        <v>41762</v>
      </c>
      <c r="T28" s="5" t="n">
        <f aca="false">+T27</f>
        <v>3904</v>
      </c>
      <c r="U28" s="14" t="n">
        <f aca="false">+T28+S28</f>
        <v>45666</v>
      </c>
      <c r="V28" s="5"/>
      <c r="W28" s="5" t="n">
        <f aca="false">IF(U28-J28&gt;0,U28-J28,0)</f>
        <v>14266</v>
      </c>
      <c r="X28" s="5"/>
      <c r="Y28" s="15" t="n">
        <v>5.065</v>
      </c>
      <c r="Z28" s="16" t="n">
        <f aca="false">(+Y28-0.01)*W28</f>
        <v>72114.63</v>
      </c>
      <c r="AB28" s="5" t="n">
        <f aca="false">IF(U28-J28&lt;0,J28-U28,0)</f>
        <v>0</v>
      </c>
      <c r="AC28" s="5"/>
      <c r="AD28" s="15" t="n">
        <v>5.065</v>
      </c>
      <c r="AE28" s="16" t="n">
        <f aca="false">(+AD28+0.01)*AB28</f>
        <v>0</v>
      </c>
    </row>
    <row r="29" customFormat="false" ht="12.75" hidden="false" customHeight="false" outlineLevel="0" collapsed="false">
      <c r="A29" s="5" t="n">
        <f aca="false">+A28+1</f>
        <v>24</v>
      </c>
      <c r="B29" s="5" t="n">
        <v>27088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27088</v>
      </c>
      <c r="G29" s="5"/>
      <c r="H29" s="5" t="n">
        <f aca="false">+H28</f>
        <v>3904</v>
      </c>
      <c r="I29" s="5"/>
      <c r="J29" s="5" t="n">
        <f aca="false">+B29+H29</f>
        <v>30992</v>
      </c>
      <c r="K29" s="5"/>
      <c r="L29" s="5" t="n">
        <f aca="false">+L28</f>
        <v>142945</v>
      </c>
      <c r="M29" s="5" t="n">
        <v>2854</v>
      </c>
      <c r="N29" s="5" t="n">
        <v>2791</v>
      </c>
      <c r="O29" s="5" t="n">
        <f aca="false">+J29+M29</f>
        <v>33846</v>
      </c>
      <c r="P29" s="5"/>
      <c r="Q29" s="5"/>
      <c r="R29" s="5"/>
      <c r="S29" s="13" t="n">
        <f aca="false">+S28</f>
        <v>41762</v>
      </c>
      <c r="T29" s="5" t="n">
        <f aca="false">+T28</f>
        <v>3904</v>
      </c>
      <c r="U29" s="14" t="n">
        <f aca="false">+T29+S29</f>
        <v>45666</v>
      </c>
      <c r="V29" s="5"/>
      <c r="W29" s="5" t="n">
        <f aca="false">IF(U29-J29&gt;0,U29-J29,0)</f>
        <v>14674</v>
      </c>
      <c r="X29" s="5"/>
      <c r="Y29" s="15" t="n">
        <v>5.04</v>
      </c>
      <c r="Z29" s="16" t="n">
        <f aca="false">(+Y29-0.01)*W29</f>
        <v>73810.22</v>
      </c>
      <c r="AB29" s="5" t="n">
        <f aca="false">IF(U29-J29&lt;0,J29-U29,0)</f>
        <v>0</v>
      </c>
      <c r="AC29" s="5"/>
      <c r="AD29" s="15" t="n">
        <v>5.04</v>
      </c>
      <c r="AE29" s="16" t="n">
        <f aca="false">(+AD29+0.01)*AB29</f>
        <v>0</v>
      </c>
    </row>
    <row r="30" customFormat="false" ht="12.75" hidden="false" customHeight="false" outlineLevel="0" collapsed="false">
      <c r="A30" s="5" t="n">
        <f aca="false">+A29+1</f>
        <v>25</v>
      </c>
      <c r="B30" s="5" t="n">
        <v>29146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29146</v>
      </c>
      <c r="G30" s="5"/>
      <c r="H30" s="5" t="n">
        <f aca="false">+H29</f>
        <v>3904</v>
      </c>
      <c r="I30" s="5"/>
      <c r="J30" s="5" t="n">
        <f aca="false">+B30+H30</f>
        <v>33050</v>
      </c>
      <c r="K30" s="5"/>
      <c r="L30" s="5" t="n">
        <f aca="false">+L29</f>
        <v>142945</v>
      </c>
      <c r="M30" s="5" t="n">
        <v>7432</v>
      </c>
      <c r="N30" s="5" t="n">
        <v>7269</v>
      </c>
      <c r="O30" s="5" t="n">
        <f aca="false">+J30+M30</f>
        <v>40482</v>
      </c>
      <c r="P30" s="5"/>
      <c r="Q30" s="5"/>
      <c r="R30" s="5"/>
      <c r="S30" s="13" t="n">
        <f aca="false">+S29</f>
        <v>41762</v>
      </c>
      <c r="T30" s="5" t="n">
        <f aca="false">+T29</f>
        <v>3904</v>
      </c>
      <c r="U30" s="14" t="n">
        <f aca="false">+T30+S30</f>
        <v>45666</v>
      </c>
      <c r="V30" s="5"/>
      <c r="W30" s="5" t="n">
        <f aca="false">IF(U30-J30&gt;0,U30-J30,0)</f>
        <v>12616</v>
      </c>
      <c r="X30" s="5"/>
      <c r="Y30" s="15" t="n">
        <v>5.05</v>
      </c>
      <c r="Z30" s="16" t="n">
        <f aca="false">(+Y30-0.01)*W30</f>
        <v>63584.64</v>
      </c>
      <c r="AB30" s="5" t="n">
        <f aca="false">IF(U30-J30&lt;0,J30-U30,0)</f>
        <v>0</v>
      </c>
      <c r="AC30" s="5"/>
      <c r="AD30" s="15" t="n">
        <v>5.05</v>
      </c>
      <c r="AE30" s="16" t="n">
        <f aca="false">(+AD30+0.01)*AB30</f>
        <v>0</v>
      </c>
      <c r="AG30" s="15"/>
      <c r="AH30" s="16"/>
    </row>
    <row r="31" customFormat="false" ht="12.75" hidden="false" customHeight="false" outlineLevel="0" collapsed="false">
      <c r="A31" s="5" t="n">
        <f aca="false">+A30+1</f>
        <v>26</v>
      </c>
      <c r="B31" s="5" t="n">
        <v>26229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26229</v>
      </c>
      <c r="G31" s="5"/>
      <c r="H31" s="5" t="n">
        <f aca="false">+H30</f>
        <v>3904</v>
      </c>
      <c r="I31" s="5"/>
      <c r="J31" s="5" t="n">
        <f aca="false">+B31+H31</f>
        <v>30133</v>
      </c>
      <c r="K31" s="5"/>
      <c r="L31" s="5" t="n">
        <f aca="false">+L30</f>
        <v>142945</v>
      </c>
      <c r="M31" s="5" t="n">
        <v>4581</v>
      </c>
      <c r="N31" s="5" t="n">
        <v>4480</v>
      </c>
      <c r="O31" s="5" t="n">
        <f aca="false">+J31+M31</f>
        <v>34714</v>
      </c>
      <c r="P31" s="5"/>
      <c r="Q31" s="5"/>
      <c r="R31" s="5"/>
      <c r="S31" s="13" t="n">
        <f aca="false">+S30</f>
        <v>41762</v>
      </c>
      <c r="T31" s="5" t="n">
        <f aca="false">+T30</f>
        <v>3904</v>
      </c>
      <c r="U31" s="14" t="n">
        <f aca="false">+T31+S31</f>
        <v>45666</v>
      </c>
      <c r="V31" s="5"/>
      <c r="W31" s="5" t="n">
        <f aca="false">IF(U31-J31&gt;0,U31-J31,0)</f>
        <v>15533</v>
      </c>
      <c r="X31" s="5"/>
      <c r="Y31" s="15" t="n">
        <v>4.825</v>
      </c>
      <c r="Z31" s="16" t="n">
        <f aca="false">(+Y31-0.01)*W31</f>
        <v>74791.395</v>
      </c>
      <c r="AB31" s="5" t="n">
        <f aca="false">IF(U31-J31&lt;0,J31-U31,0)</f>
        <v>0</v>
      </c>
      <c r="AC31" s="5"/>
      <c r="AD31" s="15" t="n">
        <v>4.825</v>
      </c>
      <c r="AE31" s="16" t="n">
        <f aca="false">(+AD31+0.01)*AB31</f>
        <v>0</v>
      </c>
      <c r="AG31" s="15"/>
      <c r="AH31" s="16"/>
    </row>
    <row r="32" customFormat="false" ht="12.75" hidden="false" customHeight="false" outlineLevel="0" collapsed="false">
      <c r="A32" s="5" t="n">
        <f aca="false">+A31+1</f>
        <v>27</v>
      </c>
      <c r="B32" s="5" t="n">
        <v>26354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26354</v>
      </c>
      <c r="G32" s="5"/>
      <c r="H32" s="5" t="n">
        <f aca="false">+H31</f>
        <v>3904</v>
      </c>
      <c r="I32" s="5"/>
      <c r="J32" s="5" t="n">
        <f aca="false">+B32+H32</f>
        <v>30258</v>
      </c>
      <c r="K32" s="5"/>
      <c r="L32" s="5" t="n">
        <f aca="false">+L31</f>
        <v>142945</v>
      </c>
      <c r="M32" s="5" t="n">
        <v>1833</v>
      </c>
      <c r="N32" s="5" t="n">
        <v>1792</v>
      </c>
      <c r="O32" s="5" t="n">
        <f aca="false">+J32+M32</f>
        <v>32091</v>
      </c>
      <c r="P32" s="5"/>
      <c r="Q32" s="5"/>
      <c r="R32" s="5"/>
      <c r="S32" s="13" t="n">
        <f aca="false">+S31-10000</f>
        <v>31762</v>
      </c>
      <c r="T32" s="5" t="n">
        <f aca="false">+T31</f>
        <v>3904</v>
      </c>
      <c r="U32" s="14" t="n">
        <f aca="false">+T32+S32</f>
        <v>35666</v>
      </c>
      <c r="V32" s="5"/>
      <c r="W32" s="5" t="n">
        <f aca="false">IF(U32-J32&gt;0,U32-J32,0)</f>
        <v>5408</v>
      </c>
      <c r="X32" s="5"/>
      <c r="Y32" s="15" t="n">
        <v>4.8</v>
      </c>
      <c r="Z32" s="16" t="n">
        <f aca="false">(+Y32-0.01)*W32</f>
        <v>25904.32</v>
      </c>
      <c r="AB32" s="5" t="n">
        <f aca="false">IF(U32-J32&lt;0,J32-U32,0)</f>
        <v>0</v>
      </c>
      <c r="AC32" s="5"/>
      <c r="AD32" s="15" t="n">
        <v>4.8</v>
      </c>
      <c r="AE32" s="16" t="n">
        <f aca="false">(+AD32+0.01)*AB32</f>
        <v>0</v>
      </c>
      <c r="AG32" s="15"/>
      <c r="AH32" s="16"/>
    </row>
    <row r="33" customFormat="false" ht="12.75" hidden="false" customHeight="false" outlineLevel="0" collapsed="false">
      <c r="A33" s="5" t="n">
        <f aca="false">+A32+1</f>
        <v>28</v>
      </c>
      <c r="B33" s="5" t="n">
        <v>71649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71649</v>
      </c>
      <c r="G33" s="5"/>
      <c r="H33" s="5" t="n">
        <f aca="false">+H32</f>
        <v>3904</v>
      </c>
      <c r="I33" s="5"/>
      <c r="J33" s="5" t="n">
        <f aca="false">+B33+H33</f>
        <v>75553</v>
      </c>
      <c r="K33" s="5"/>
      <c r="L33" s="5" t="n">
        <f aca="false">+L32</f>
        <v>142945</v>
      </c>
      <c r="M33" s="5" t="n">
        <v>31124</v>
      </c>
      <c r="N33" s="5" t="n">
        <v>30444</v>
      </c>
      <c r="O33" s="5" t="n">
        <f aca="false">+J33+M33</f>
        <v>106677</v>
      </c>
      <c r="P33" s="5"/>
      <c r="Q33" s="5"/>
      <c r="R33" s="5"/>
      <c r="S33" s="13" t="n">
        <f aca="false">+S32</f>
        <v>31762</v>
      </c>
      <c r="T33" s="5" t="n">
        <f aca="false">+T32</f>
        <v>3904</v>
      </c>
      <c r="U33" s="14" t="n">
        <f aca="false">+T33+S33</f>
        <v>35666</v>
      </c>
      <c r="V33" s="5"/>
      <c r="W33" s="5" t="n">
        <f aca="false">IF(U33-J33&gt;0,U33-J33,0)</f>
        <v>0</v>
      </c>
      <c r="X33" s="5"/>
      <c r="Y33" s="15" t="n">
        <v>4.695</v>
      </c>
      <c r="Z33" s="16" t="n">
        <f aca="false">(+Y33-0.01)*W33</f>
        <v>0</v>
      </c>
      <c r="AB33" s="5" t="n">
        <f aca="false">IF(U33-J33&lt;0,J33-U33,0)</f>
        <v>39887</v>
      </c>
      <c r="AC33" s="5"/>
      <c r="AD33" s="15" t="n">
        <v>4.695</v>
      </c>
      <c r="AE33" s="16" t="n">
        <f aca="false">(+AD33+0.01)*AB33</f>
        <v>187668.335</v>
      </c>
      <c r="AG33" s="15"/>
      <c r="AH33" s="16"/>
    </row>
    <row r="34" customFormat="false" ht="12.75" hidden="false" customHeight="false" outlineLevel="0" collapsed="false">
      <c r="A34" s="5" t="n">
        <f aca="false">+A33+1</f>
        <v>29</v>
      </c>
      <c r="B34" s="5" t="n">
        <v>72347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72347</v>
      </c>
      <c r="G34" s="5"/>
      <c r="H34" s="5" t="n">
        <f aca="false">+H33</f>
        <v>3904</v>
      </c>
      <c r="I34" s="5"/>
      <c r="J34" s="5" t="n">
        <f aca="false">+B34+H34</f>
        <v>76251</v>
      </c>
      <c r="K34" s="5"/>
      <c r="L34" s="5" t="n">
        <f aca="false">+L33</f>
        <v>142945</v>
      </c>
      <c r="M34" s="5" t="n">
        <v>26304</v>
      </c>
      <c r="N34" s="5" t="n">
        <v>25730</v>
      </c>
      <c r="O34" s="5" t="n">
        <f aca="false">+J34+M34</f>
        <v>102555</v>
      </c>
      <c r="P34" s="5"/>
      <c r="Q34" s="5"/>
      <c r="R34" s="5"/>
      <c r="S34" s="13" t="n">
        <f aca="false">+S33</f>
        <v>31762</v>
      </c>
      <c r="T34" s="5" t="n">
        <f aca="false">+T33</f>
        <v>3904</v>
      </c>
      <c r="U34" s="14" t="n">
        <f aca="false">+T34+S34</f>
        <v>35666</v>
      </c>
      <c r="V34" s="5"/>
      <c r="W34" s="5" t="n">
        <f aca="false">IF(U34-J34&gt;0,U34-J34,0)</f>
        <v>0</v>
      </c>
      <c r="X34" s="5"/>
      <c r="Y34" s="15" t="n">
        <v>4.695</v>
      </c>
      <c r="Z34" s="16" t="n">
        <f aca="false">(+Y34-0.01)*W34</f>
        <v>0</v>
      </c>
      <c r="AB34" s="5" t="n">
        <f aca="false">IF(U34-J34&lt;0,J34-U34,0)</f>
        <v>40585</v>
      </c>
      <c r="AC34" s="5"/>
      <c r="AD34" s="15" t="n">
        <v>4.695</v>
      </c>
      <c r="AE34" s="16" t="n">
        <f aca="false">(+AD34+0.01)*AB34</f>
        <v>190952.425</v>
      </c>
      <c r="AG34" s="15"/>
      <c r="AH34" s="16"/>
    </row>
    <row r="35" customFormat="false" ht="12.75" hidden="false" customHeight="false" outlineLevel="0" collapsed="false">
      <c r="A35" s="5" t="n">
        <f aca="false">+A34+1</f>
        <v>30</v>
      </c>
      <c r="B35" s="5" t="n">
        <v>65704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65704</v>
      </c>
      <c r="G35" s="5"/>
      <c r="H35" s="5" t="n">
        <f aca="false">+H34</f>
        <v>3904</v>
      </c>
      <c r="I35" s="5"/>
      <c r="J35" s="5" t="n">
        <f aca="false">+B35+H35</f>
        <v>69608</v>
      </c>
      <c r="K35" s="5"/>
      <c r="L35" s="5" t="n">
        <f aca="false">+L34</f>
        <v>142945</v>
      </c>
      <c r="M35" s="5" t="n">
        <v>24173</v>
      </c>
      <c r="N35" s="5" t="n">
        <v>23643</v>
      </c>
      <c r="O35" s="5" t="n">
        <f aca="false">+J35+M35</f>
        <v>93781</v>
      </c>
      <c r="P35" s="5"/>
      <c r="Q35" s="5"/>
      <c r="R35" s="5"/>
      <c r="S35" s="13" t="n">
        <f aca="false">+S34</f>
        <v>31762</v>
      </c>
      <c r="T35" s="5" t="n">
        <f aca="false">+T34</f>
        <v>3904</v>
      </c>
      <c r="U35" s="14" t="n">
        <f aca="false">+T35+S35</f>
        <v>35666</v>
      </c>
      <c r="V35" s="5"/>
      <c r="W35" s="5" t="n">
        <f aca="false">IF(U35-J35&gt;0,U35-J35,0)</f>
        <v>0</v>
      </c>
      <c r="X35" s="5"/>
      <c r="Y35" s="15" t="n">
        <v>4.695</v>
      </c>
      <c r="Z35" s="16" t="n">
        <f aca="false">(+Y35-0.01)*W35</f>
        <v>0</v>
      </c>
      <c r="AB35" s="5" t="n">
        <f aca="false">IF(U35-J35&lt;0,J35-U35,0)</f>
        <v>33942</v>
      </c>
      <c r="AC35" s="5"/>
      <c r="AD35" s="15" t="n">
        <v>4.695</v>
      </c>
      <c r="AE35" s="16" t="n">
        <f aca="false">(+AD35+0.01)*AB35</f>
        <v>159697.11</v>
      </c>
      <c r="AG35" s="15"/>
      <c r="AH35" s="16"/>
    </row>
    <row r="36" customFormat="false" ht="12.75" hidden="false" customHeight="false" outlineLevel="0" collapsed="false">
      <c r="A36" s="5" t="n">
        <f aca="false">+A35+1</f>
        <v>31</v>
      </c>
      <c r="B36" s="5" t="n">
        <v>52265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52265</v>
      </c>
      <c r="G36" s="5"/>
      <c r="H36" s="5" t="n">
        <f aca="false">+H35</f>
        <v>3904</v>
      </c>
      <c r="I36" s="5"/>
      <c r="J36" s="5" t="n">
        <f aca="false">+B36+H36</f>
        <v>56169</v>
      </c>
      <c r="K36" s="5"/>
      <c r="L36" s="5" t="n">
        <f aca="false">+L35</f>
        <v>142945</v>
      </c>
      <c r="M36" s="5" t="n">
        <v>21488</v>
      </c>
      <c r="N36" s="5" t="n">
        <v>21019</v>
      </c>
      <c r="O36" s="5" t="n">
        <f aca="false">+J36+M36</f>
        <v>77657</v>
      </c>
      <c r="P36" s="5"/>
      <c r="Q36" s="5"/>
      <c r="R36" s="5"/>
      <c r="S36" s="13" t="n">
        <f aca="false">+S35</f>
        <v>31762</v>
      </c>
      <c r="T36" s="5" t="n">
        <f aca="false">+T35</f>
        <v>3904</v>
      </c>
      <c r="U36" s="14" t="n">
        <f aca="false">+T36+S36</f>
        <v>35666</v>
      </c>
      <c r="V36" s="5"/>
      <c r="W36" s="5" t="n">
        <f aca="false">IF(U36-J36&gt;0,U36-J36,0)</f>
        <v>0</v>
      </c>
      <c r="X36" s="5"/>
      <c r="Y36" s="15" t="n">
        <v>4.855</v>
      </c>
      <c r="Z36" s="16" t="n">
        <f aca="false">(+Y36-0.01)*W36</f>
        <v>0</v>
      </c>
      <c r="AB36" s="5" t="n">
        <f aca="false">IF(U36-J36&lt;0,J36-U36,0)</f>
        <v>20503</v>
      </c>
      <c r="AC36" s="5"/>
      <c r="AD36" s="15" t="n">
        <v>4.855</v>
      </c>
      <c r="AE36" s="16" t="n">
        <f aca="false">(+AD36+0.01)*AB36</f>
        <v>99747.095</v>
      </c>
      <c r="AG36" s="15"/>
      <c r="AH36" s="16"/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C37" s="5"/>
      <c r="AD37" s="5"/>
      <c r="AE37" s="5"/>
    </row>
    <row r="38" customFormat="false" ht="12.75" hidden="false" customHeight="false" outlineLevel="0" collapsed="false">
      <c r="A38" s="5"/>
      <c r="B38" s="5" t="n">
        <f aca="false">SUM(B6:B37)</f>
        <v>1359328</v>
      </c>
      <c r="C38" s="5" t="n">
        <f aca="false">SUM(C6:C37)</f>
        <v>0</v>
      </c>
      <c r="D38" s="5" t="n">
        <f aca="false">SUM(D6:D37)</f>
        <v>0</v>
      </c>
      <c r="E38" s="5"/>
      <c r="F38" s="5" t="n">
        <f aca="false">SUM(F6:F37)</f>
        <v>1359328</v>
      </c>
      <c r="G38" s="5"/>
      <c r="H38" s="5" t="n">
        <f aca="false">SUM(H6:H37)</f>
        <v>121024</v>
      </c>
      <c r="I38" s="5"/>
      <c r="J38" s="5" t="n">
        <f aca="false">SUM(J6:J37)</f>
        <v>1480352</v>
      </c>
      <c r="K38" s="5"/>
      <c r="L38" s="5" t="n">
        <f aca="false">SUM(L6:L37)</f>
        <v>4431295</v>
      </c>
      <c r="M38" s="5" t="n">
        <f aca="false">SUM(M6:M37)</f>
        <v>360866</v>
      </c>
      <c r="N38" s="5" t="n">
        <f aca="false">SUM(N6:N37)</f>
        <v>352971</v>
      </c>
      <c r="O38" s="5"/>
      <c r="P38" s="5"/>
      <c r="Q38" s="5"/>
      <c r="R38" s="5"/>
      <c r="S38" s="5" t="n">
        <f aca="false">SUM(S6:S37)</f>
        <v>1304622</v>
      </c>
      <c r="T38" s="5" t="n">
        <f aca="false">SUM(T6:T37)</f>
        <v>121024</v>
      </c>
      <c r="U38" s="5" t="n">
        <f aca="false">SUM(U6:U37)</f>
        <v>1425646</v>
      </c>
      <c r="V38" s="5"/>
      <c r="W38" s="5" t="n">
        <f aca="false">SUM(W6:W37)</f>
        <v>244242</v>
      </c>
      <c r="X38" s="5"/>
      <c r="Y38" s="5"/>
      <c r="Z38" s="16" t="n">
        <f aca="false">SUM(Z6:Z36)</f>
        <v>1290479.395</v>
      </c>
      <c r="AB38" s="5" t="n">
        <f aca="false">SUM(AB6:AB37)</f>
        <v>298948</v>
      </c>
      <c r="AC38" s="5"/>
      <c r="AD38" s="5"/>
      <c r="AE38" s="16" t="n">
        <f aca="false">SUM(AE6:AE36)</f>
        <v>1512537.115</v>
      </c>
      <c r="AH38" s="16"/>
    </row>
    <row r="39" customFormat="false" ht="12.75" hidden="false" customHeight="false" outlineLevel="0" collapsed="false">
      <c r="Z39" s="17" t="n">
        <f aca="false">ROUND(+Z38/W38,4)</f>
        <v>5.2836</v>
      </c>
      <c r="AE39" s="17" t="n">
        <f aca="false">ROUND(+AE38/AB38,4)</f>
        <v>5.0595</v>
      </c>
    </row>
    <row r="41" customFormat="false" ht="12.75" hidden="false" customHeight="false" outlineLevel="0" collapsed="false">
      <c r="W41" s="4" t="s">
        <v>87</v>
      </c>
      <c r="Y41" s="4" t="s">
        <v>88</v>
      </c>
      <c r="Z41" s="4" t="s">
        <v>89</v>
      </c>
    </row>
    <row r="42" customFormat="false" ht="12.75" hidden="false" customHeight="false" outlineLevel="0" collapsed="false">
      <c r="W42" s="4" t="n">
        <v>244242</v>
      </c>
      <c r="Y42" s="17" t="n">
        <f aca="false">+Z39</f>
        <v>5.2836</v>
      </c>
      <c r="Z42" s="4" t="s">
        <v>90</v>
      </c>
      <c r="AD42" s="17"/>
    </row>
    <row r="43" customFormat="false" ht="12.75" hidden="false" customHeight="false" outlineLevel="0" collapsed="false">
      <c r="W43" s="4" t="n">
        <v>244242</v>
      </c>
      <c r="Y43" s="17" t="n">
        <f aca="false">5.55+0.0075</f>
        <v>5.5575</v>
      </c>
      <c r="Z43" s="4" t="s">
        <v>91</v>
      </c>
      <c r="AD43" s="17"/>
    </row>
    <row r="44" customFormat="false" ht="12.75" hidden="false" customHeight="false" outlineLevel="0" collapsed="false">
      <c r="Y44" s="17"/>
      <c r="AD44" s="17"/>
    </row>
    <row r="45" customFormat="false" ht="12.75" hidden="false" customHeight="false" outlineLevel="0" collapsed="false">
      <c r="W45" s="18" t="n">
        <f aca="false">+Y45*W43</f>
        <v>66897.8838000001</v>
      </c>
      <c r="Y45" s="17" t="n">
        <f aca="false">+Y43-Y42</f>
        <v>0.2739</v>
      </c>
      <c r="AD45" s="17"/>
    </row>
    <row r="48" customFormat="false" ht="12.75" hidden="false" customHeight="false" outlineLevel="0" collapsed="false">
      <c r="S48" s="4" t="s">
        <v>92</v>
      </c>
    </row>
    <row r="51" customFormat="false" ht="12.75" hidden="false" customHeight="false" outlineLevel="0" collapsed="false">
      <c r="S51" s="4" t="s">
        <v>87</v>
      </c>
      <c r="T51" s="4" t="s">
        <v>18</v>
      </c>
      <c r="U51" s="4" t="s">
        <v>86</v>
      </c>
      <c r="W51" s="4" t="s">
        <v>89</v>
      </c>
    </row>
    <row r="52" customFormat="false" ht="12.75" hidden="false" customHeight="false" outlineLevel="0" collapsed="false">
      <c r="S52" s="4" t="n">
        <f aca="false">+S38</f>
        <v>1304622</v>
      </c>
      <c r="T52" s="19" t="n">
        <v>5.7041</v>
      </c>
      <c r="U52" s="18" t="n">
        <f aca="false">+T52*S52</f>
        <v>7441694.3502</v>
      </c>
      <c r="W52" s="4" t="s">
        <v>93</v>
      </c>
    </row>
    <row r="53" customFormat="false" ht="12.75" hidden="false" customHeight="false" outlineLevel="0" collapsed="false">
      <c r="S53" s="4" t="n">
        <f aca="false">-W38</f>
        <v>-244242</v>
      </c>
      <c r="T53" s="19" t="n">
        <v>5.7041</v>
      </c>
      <c r="U53" s="18" t="n">
        <f aca="false">+T53*S53</f>
        <v>-1393180.7922</v>
      </c>
      <c r="W53" s="4" t="s">
        <v>94</v>
      </c>
    </row>
    <row r="54" customFormat="false" ht="12.75" hidden="false" customHeight="false" outlineLevel="0" collapsed="false">
      <c r="S54" s="4" t="n">
        <f aca="false">+AB38</f>
        <v>298948</v>
      </c>
      <c r="T54" s="19" t="n">
        <f aca="false">5.0595+0.1466</f>
        <v>5.2061</v>
      </c>
      <c r="U54" s="18" t="n">
        <f aca="false">+T54*S54</f>
        <v>1556353.1828</v>
      </c>
      <c r="W54" s="4" t="s">
        <v>95</v>
      </c>
    </row>
    <row r="55" customFormat="false" ht="13.5" hidden="false" customHeight="false" outlineLevel="0" collapsed="false">
      <c r="S55" s="4" t="n">
        <f aca="false">SUM(S52:S54)</f>
        <v>1359328</v>
      </c>
      <c r="U55" s="20" t="n">
        <f aca="false">SUM(U52:U54)</f>
        <v>7604866.7408</v>
      </c>
      <c r="W55" s="4" t="s">
        <v>96</v>
      </c>
    </row>
    <row r="56" customFormat="false" ht="13.5" hidden="false" customHeight="false" outlineLevel="0" collapsed="false"/>
    <row r="57" customFormat="false" ht="12.75" hidden="false" customHeight="false" outlineLevel="0" collapsed="false">
      <c r="S57" s="4" t="s">
        <v>97</v>
      </c>
    </row>
    <row r="58" customFormat="false" ht="12.75" hidden="false" customHeight="false" outlineLevel="0" collapsed="false">
      <c r="S58" s="4" t="n">
        <v>360866</v>
      </c>
      <c r="T58" s="19" t="n">
        <v>0.1466</v>
      </c>
      <c r="U58" s="18" t="n">
        <f aca="false">+T58*S58</f>
        <v>52902.9556</v>
      </c>
      <c r="W58" s="4" t="s">
        <v>98</v>
      </c>
    </row>
    <row r="59" customFormat="false" ht="12.75" hidden="false" customHeight="false" outlineLevel="0" collapsed="false">
      <c r="S59" s="4" t="n">
        <v>-352971</v>
      </c>
      <c r="T59" s="19" t="n">
        <f aca="false">0.0022+0.0072</f>
        <v>0.0094</v>
      </c>
      <c r="U59" s="18" t="n">
        <f aca="false">+T59*S59</f>
        <v>-3317.9274</v>
      </c>
      <c r="W59" s="4" t="s">
        <v>99</v>
      </c>
    </row>
    <row r="60" customFormat="false" ht="13.5" hidden="false" customHeight="false" outlineLevel="0" collapsed="false">
      <c r="U60" s="20" t="n">
        <f aca="false">SUM(U57:U59)</f>
        <v>49585.0282</v>
      </c>
    </row>
    <row r="61" customFormat="false" ht="13.5" hidden="false" customHeight="false" outlineLevel="0" collapsed="false"/>
    <row r="62" customFormat="false" ht="12.75" hidden="false" customHeight="false" outlineLevel="0" collapsed="false">
      <c r="S62" s="4" t="n">
        <f aca="false">+S55</f>
        <v>1359328</v>
      </c>
      <c r="U62" s="21" t="n">
        <f aca="false">+U60+U55</f>
        <v>7654451.769</v>
      </c>
      <c r="W62" s="4" t="s">
        <v>100</v>
      </c>
    </row>
    <row r="63" customFormat="false" ht="12.75" hidden="false" customHeight="false" outlineLevel="0" collapsed="false">
      <c r="U63" s="21" t="n">
        <f aca="false">+U62/S62</f>
        <v>5.63105576358318</v>
      </c>
      <c r="W63" s="4" t="s">
        <v>101</v>
      </c>
    </row>
  </sheetData>
  <mergeCells count="2">
    <mergeCell ref="Y4:Z4"/>
    <mergeCell ref="AD4:AE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7" activeCellId="0" sqref="G8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2" width="15.56"/>
    <col collapsed="false" customWidth="false" hidden="false" outlineLevel="0" max="2" min="2" style="22" width="9.14"/>
    <col collapsed="false" customWidth="true" hidden="false" outlineLevel="0" max="3" min="3" style="22" width="12.42"/>
    <col collapsed="false" customWidth="true" hidden="false" outlineLevel="0" max="4" min="4" style="22" width="12.14"/>
    <col collapsed="false" customWidth="true" hidden="false" outlineLevel="0" max="5" min="5" style="22" width="10.99"/>
    <col collapsed="false" customWidth="false" hidden="false" outlineLevel="0" max="6" min="6" style="22" width="9.14"/>
    <col collapsed="false" customWidth="true" hidden="false" outlineLevel="0" max="7" min="7" style="22" width="14.99"/>
    <col collapsed="false" customWidth="false" hidden="false" outlineLevel="0" max="11" min="8" style="22" width="9.14"/>
    <col collapsed="false" customWidth="true" hidden="false" outlineLevel="0" max="12" min="12" style="22" width="14.7"/>
    <col collapsed="false" customWidth="false" hidden="false" outlineLevel="0" max="257" min="13" style="22" width="9.14"/>
  </cols>
  <sheetData>
    <row r="1" customFormat="false" ht="12.75" hidden="false" customHeight="false" outlineLevel="0" collapsed="false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Format="false" ht="12.75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customFormat="false" ht="12.75" hidden="false" customHeight="false" outlineLevel="0" collapsed="false">
      <c r="A3" s="23" t="s">
        <v>102</v>
      </c>
      <c r="C3" s="22" t="s">
        <v>103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customFormat="false" ht="12.75" hidden="false" customHeight="false" outlineLevel="0" collapsed="false">
      <c r="A4" s="22" t="s">
        <v>104</v>
      </c>
      <c r="B4" s="22" t="s">
        <v>37</v>
      </c>
      <c r="C4" s="24" t="n">
        <v>5.63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12.75" hidden="false" customHeight="false" outlineLevel="0" collapsed="false">
      <c r="A5" s="22" t="s">
        <v>105</v>
      </c>
      <c r="C5" s="24" t="n">
        <v>0.01</v>
      </c>
      <c r="E5" s="6"/>
      <c r="F5" s="6"/>
      <c r="G5" s="6"/>
      <c r="H5" s="6"/>
      <c r="I5" s="6"/>
      <c r="J5" s="6"/>
      <c r="K5" s="6"/>
      <c r="L5" s="6"/>
      <c r="M5" s="6"/>
      <c r="N5" s="6"/>
    </row>
    <row r="6" customFormat="false" ht="12.75" hidden="false" customHeight="false" outlineLevel="0" collapsed="false">
      <c r="A6" s="22" t="s">
        <v>106</v>
      </c>
      <c r="C6" s="24" t="n">
        <v>0.044</v>
      </c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2.75" hidden="false" customHeight="false" outlineLevel="0" collapsed="false">
      <c r="A7" s="22" t="s">
        <v>107</v>
      </c>
      <c r="C7" s="24" t="n">
        <v>0.0022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customFormat="false" ht="12.75" hidden="false" customHeight="false" outlineLevel="0" collapsed="false">
      <c r="A8" s="22" t="s">
        <v>108</v>
      </c>
      <c r="C8" s="25" t="n">
        <v>0.0228</v>
      </c>
      <c r="E8" s="6"/>
      <c r="F8" s="6"/>
      <c r="G8" s="6"/>
      <c r="H8" s="6"/>
      <c r="I8" s="6"/>
      <c r="J8" s="6"/>
      <c r="K8" s="6"/>
      <c r="L8" s="6"/>
      <c r="M8" s="6"/>
      <c r="N8" s="6"/>
    </row>
    <row r="9" customFormat="false" ht="12.75" hidden="false" customHeight="false" outlineLevel="0" collapsed="false">
      <c r="A9" s="22" t="s">
        <v>70</v>
      </c>
      <c r="C9" s="26" t="n">
        <f aca="false">ROUND((+C4+C5)/(1-C8)+(C6+C7),4)-C4-C5</f>
        <v>0.1778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0" customFormat="false" ht="12.75" hidden="false" customHeight="false" outlineLevel="0" collapsed="false">
      <c r="A10" s="22" t="s">
        <v>109</v>
      </c>
      <c r="C10" s="27" t="n">
        <v>0.06</v>
      </c>
      <c r="E10" s="6"/>
      <c r="F10" s="6"/>
      <c r="G10" s="6"/>
      <c r="H10" s="6"/>
      <c r="I10" s="6"/>
      <c r="J10" s="6"/>
      <c r="K10" s="6"/>
      <c r="L10" s="6"/>
      <c r="M10" s="6"/>
      <c r="N10" s="6"/>
    </row>
    <row r="11" customFormat="false" ht="13.5" hidden="false" customHeight="false" outlineLevel="0" collapsed="false">
      <c r="C11" s="28" t="n">
        <f aca="false">SUM(C4:C5,C9,C10)</f>
        <v>5.8778</v>
      </c>
      <c r="D11" s="29" t="s">
        <v>110</v>
      </c>
      <c r="E11" s="6"/>
      <c r="F11" s="6"/>
      <c r="G11" s="6"/>
      <c r="H11" s="6"/>
      <c r="I11" s="6"/>
      <c r="J11" s="6"/>
      <c r="K11" s="6"/>
      <c r="L11" s="6"/>
      <c r="M11" s="6"/>
      <c r="N11" s="6"/>
    </row>
    <row r="12" customFormat="false" ht="13.5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customFormat="false" ht="12.7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customFormat="false" ht="12.7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customFormat="false" ht="12.75" hidden="false" customHeight="false" outlineLevel="0" collapsed="false">
      <c r="A15" s="23" t="s">
        <v>37</v>
      </c>
      <c r="C15" s="22" t="s">
        <v>111</v>
      </c>
      <c r="E15" s="22" t="s">
        <v>112</v>
      </c>
      <c r="F15" s="6"/>
      <c r="G15" s="6"/>
      <c r="H15" s="6"/>
      <c r="I15" s="6"/>
      <c r="J15" s="6"/>
      <c r="K15" s="6"/>
      <c r="L15" s="6"/>
      <c r="M15" s="6"/>
      <c r="N15" s="6"/>
    </row>
    <row r="16" customFormat="false" ht="12.75" hidden="false" customHeight="false" outlineLevel="0" collapsed="false">
      <c r="A16" s="22" t="s">
        <v>104</v>
      </c>
      <c r="B16" s="22" t="s">
        <v>37</v>
      </c>
      <c r="C16" s="24" t="n">
        <v>5.55</v>
      </c>
      <c r="E16" s="24" t="n">
        <f aca="false">+C22</f>
        <v>5.7041</v>
      </c>
      <c r="F16" s="6"/>
      <c r="G16" s="6" t="s">
        <v>113</v>
      </c>
      <c r="H16" s="6"/>
      <c r="I16" s="24" t="n">
        <f aca="false">+C22</f>
        <v>5.7041</v>
      </c>
      <c r="J16" s="6"/>
      <c r="K16" s="6"/>
      <c r="L16" s="6"/>
      <c r="M16" s="6"/>
      <c r="N16" s="6"/>
    </row>
    <row r="17" customFormat="false" ht="12.75" hidden="false" customHeight="false" outlineLevel="0" collapsed="false">
      <c r="A17" s="22" t="s">
        <v>105</v>
      </c>
      <c r="C17" s="24" t="n">
        <v>0.0075</v>
      </c>
      <c r="E17" s="24" t="n">
        <v>0</v>
      </c>
      <c r="F17" s="6"/>
      <c r="G17" s="6"/>
      <c r="H17" s="6"/>
      <c r="I17" s="24" t="n">
        <v>0</v>
      </c>
      <c r="J17" s="6"/>
      <c r="K17" s="6"/>
      <c r="L17" s="6"/>
      <c r="M17" s="6"/>
      <c r="N17" s="6"/>
    </row>
    <row r="18" customFormat="false" ht="12.75" hidden="false" customHeight="false" outlineLevel="0" collapsed="false">
      <c r="A18" s="22" t="s">
        <v>106</v>
      </c>
      <c r="C18" s="24" t="n">
        <v>0.0133</v>
      </c>
      <c r="E18" s="24" t="n">
        <v>0.0133</v>
      </c>
      <c r="F18" s="6"/>
      <c r="G18" s="6" t="s">
        <v>114</v>
      </c>
      <c r="H18" s="6"/>
      <c r="I18" s="24" t="n">
        <v>0.0153</v>
      </c>
      <c r="J18" s="6"/>
      <c r="K18" s="6"/>
      <c r="L18" s="6"/>
      <c r="M18" s="6"/>
      <c r="N18" s="6"/>
    </row>
    <row r="19" customFormat="false" ht="12.75" hidden="false" customHeight="false" outlineLevel="0" collapsed="false">
      <c r="A19" s="22" t="s">
        <v>107</v>
      </c>
      <c r="C19" s="24" t="n">
        <v>0.0094</v>
      </c>
      <c r="E19" s="24" t="n">
        <v>0</v>
      </c>
      <c r="F19" s="6"/>
      <c r="G19" s="6" t="s">
        <v>108</v>
      </c>
      <c r="H19" s="6"/>
      <c r="I19" s="25" t="n">
        <v>0.0017</v>
      </c>
      <c r="J19" s="6"/>
      <c r="K19" s="6"/>
      <c r="L19" s="6"/>
      <c r="M19" s="6"/>
      <c r="N19" s="6"/>
    </row>
    <row r="20" customFormat="false" ht="12.75" hidden="false" customHeight="false" outlineLevel="0" collapsed="false">
      <c r="A20" s="22" t="s">
        <v>108</v>
      </c>
      <c r="C20" s="25" t="n">
        <v>0.02184</v>
      </c>
      <c r="E20" s="25" t="n">
        <v>0.02184</v>
      </c>
      <c r="F20" s="6"/>
      <c r="G20" s="6"/>
      <c r="H20" s="6"/>
      <c r="I20" s="26" t="n">
        <f aca="false">ROUND(+I16/(1-I19)+I18,4)-I16</f>
        <v>0.0249999999999995</v>
      </c>
      <c r="J20" s="6"/>
      <c r="K20" s="6"/>
      <c r="L20" s="6"/>
      <c r="M20" s="6"/>
      <c r="N20" s="6"/>
    </row>
    <row r="21" customFormat="false" ht="13.5" hidden="false" customHeight="false" outlineLevel="0" collapsed="false">
      <c r="A21" s="22" t="s">
        <v>70</v>
      </c>
      <c r="C21" s="26" t="n">
        <f aca="false">ROUND(+C16/(1-C20)+(C18+C19),4)-C16</f>
        <v>0.1466</v>
      </c>
      <c r="E21" s="26" t="n">
        <f aca="false">ROUND(+E16/(1-E20)+(E18+E19),4)-E16</f>
        <v>0.1407</v>
      </c>
      <c r="F21" s="6"/>
      <c r="G21" s="6"/>
      <c r="H21" s="6"/>
      <c r="I21" s="28" t="n">
        <f aca="false">I16+I20</f>
        <v>5.7291</v>
      </c>
      <c r="J21" s="30" t="s">
        <v>115</v>
      </c>
      <c r="K21" s="6"/>
      <c r="L21" s="31"/>
      <c r="M21" s="6"/>
      <c r="N21" s="6"/>
    </row>
    <row r="22" customFormat="false" ht="14.25" hidden="false" customHeight="false" outlineLevel="0" collapsed="false">
      <c r="C22" s="32" t="n">
        <f aca="false">SUM(C16,C17,C21)</f>
        <v>5.7041</v>
      </c>
      <c r="D22" s="29" t="s">
        <v>116</v>
      </c>
      <c r="E22" s="26" t="n">
        <v>0.02</v>
      </c>
      <c r="F22" s="6"/>
      <c r="G22" s="6"/>
      <c r="H22" s="6"/>
      <c r="I22" s="33"/>
      <c r="J22" s="6"/>
      <c r="K22" s="6"/>
      <c r="L22" s="31"/>
      <c r="M22" s="6"/>
      <c r="N22" s="6"/>
    </row>
    <row r="23" customFormat="false" ht="14.25" hidden="false" customHeight="false" outlineLevel="0" collapsed="false">
      <c r="E23" s="32" t="n">
        <f aca="false">+E22+E21+E16</f>
        <v>5.8648</v>
      </c>
      <c r="F23" s="29" t="s">
        <v>117</v>
      </c>
      <c r="H23" s="6"/>
      <c r="I23" s="34"/>
      <c r="J23" s="6"/>
      <c r="K23" s="6"/>
      <c r="L23" s="31"/>
      <c r="M23" s="6"/>
      <c r="N23" s="6"/>
    </row>
    <row r="24" customFormat="false" ht="13.5" hidden="false" customHeight="false" outlineLevel="0" collapsed="false">
      <c r="C24" s="35"/>
      <c r="E24" s="35"/>
      <c r="H24" s="6"/>
      <c r="I24" s="34"/>
      <c r="J24" s="6"/>
      <c r="K24" s="6"/>
      <c r="L24" s="31"/>
      <c r="M24" s="6"/>
      <c r="N24" s="6"/>
    </row>
    <row r="25" customFormat="false" ht="12.75" hidden="false" customHeight="false" outlineLevel="0" collapsed="false">
      <c r="A25" s="22" t="s">
        <v>118</v>
      </c>
      <c r="C25" s="35"/>
      <c r="E25" s="35"/>
      <c r="H25" s="6"/>
      <c r="I25" s="34"/>
      <c r="J25" s="6"/>
      <c r="K25" s="6"/>
      <c r="L25" s="31"/>
      <c r="M25" s="6"/>
      <c r="N25" s="6"/>
    </row>
    <row r="26" customFormat="false" ht="12.75" hidden="false" customHeight="false" outlineLevel="0" collapsed="false">
      <c r="B26" s="29" t="s">
        <v>119</v>
      </c>
      <c r="C26" s="35"/>
      <c r="E26" s="35"/>
      <c r="H26" s="6"/>
      <c r="I26" s="34"/>
      <c r="J26" s="6"/>
      <c r="K26" s="6"/>
      <c r="L26" s="31"/>
      <c r="M26" s="6"/>
      <c r="N26" s="6"/>
    </row>
    <row r="27" customFormat="false" ht="12.75" hidden="false" customHeight="false" outlineLevel="0" collapsed="false">
      <c r="C27" s="35" t="s">
        <v>120</v>
      </c>
      <c r="E27" s="35"/>
      <c r="H27" s="6"/>
      <c r="I27" s="34"/>
      <c r="J27" s="6"/>
      <c r="K27" s="6"/>
      <c r="L27" s="31"/>
      <c r="M27" s="6"/>
      <c r="N27" s="6"/>
    </row>
    <row r="28" customFormat="false" ht="12.75" hidden="false" customHeight="false" outlineLevel="0" collapsed="false">
      <c r="C28" s="35"/>
      <c r="E28" s="35"/>
      <c r="H28" s="6"/>
      <c r="I28" s="34"/>
      <c r="J28" s="6"/>
      <c r="K28" s="6"/>
      <c r="L28" s="31"/>
      <c r="M28" s="6"/>
      <c r="N28" s="6"/>
    </row>
    <row r="29" customFormat="false" ht="12.75" hidden="false" customHeight="false" outlineLevel="0" collapsed="false">
      <c r="B29" s="29" t="s">
        <v>121</v>
      </c>
      <c r="C29" s="35"/>
      <c r="E29" s="35"/>
      <c r="H29" s="6"/>
      <c r="I29" s="34"/>
      <c r="J29" s="6"/>
      <c r="K29" s="6"/>
      <c r="L29" s="31"/>
      <c r="M29" s="6"/>
      <c r="N29" s="6"/>
    </row>
    <row r="30" customFormat="false" ht="12.75" hidden="false" customHeight="false" outlineLevel="0" collapsed="false">
      <c r="C30" s="35" t="s">
        <v>120</v>
      </c>
      <c r="E30" s="35"/>
      <c r="H30" s="6"/>
      <c r="I30" s="34"/>
      <c r="J30" s="6"/>
      <c r="K30" s="6"/>
      <c r="L30" s="31"/>
      <c r="M30" s="6"/>
      <c r="N30" s="6"/>
    </row>
    <row r="31" customFormat="false" ht="12.75" hidden="false" customHeight="false" outlineLevel="0" collapsed="false">
      <c r="C31" s="35"/>
      <c r="E31" s="35"/>
      <c r="H31" s="6"/>
      <c r="I31" s="34"/>
      <c r="J31" s="6"/>
      <c r="K31" s="6"/>
      <c r="L31" s="31"/>
      <c r="M31" s="6"/>
      <c r="N31" s="6"/>
    </row>
    <row r="32" customFormat="false" ht="12.75" hidden="false" customHeight="false" outlineLevel="0" collapsed="false">
      <c r="B32" s="29" t="s">
        <v>122</v>
      </c>
      <c r="C32" s="35"/>
      <c r="E32" s="35"/>
      <c r="H32" s="6"/>
      <c r="I32" s="34"/>
      <c r="J32" s="6"/>
      <c r="K32" s="6"/>
      <c r="L32" s="31"/>
      <c r="M32" s="6"/>
      <c r="N32" s="6"/>
    </row>
    <row r="33" customFormat="false" ht="12.75" hidden="false" customHeight="false" outlineLevel="0" collapsed="false">
      <c r="C33" s="35" t="s">
        <v>123</v>
      </c>
      <c r="E33" s="35"/>
      <c r="H33" s="6"/>
      <c r="I33" s="34"/>
      <c r="J33" s="6"/>
      <c r="K33" s="6"/>
      <c r="L33" s="31"/>
      <c r="M33" s="6"/>
      <c r="N33" s="6"/>
    </row>
    <row r="34" customFormat="false" ht="12.75" hidden="false" customHeight="false" outlineLevel="0" collapsed="false">
      <c r="C34" s="35"/>
      <c r="E34" s="35"/>
      <c r="H34" s="6"/>
      <c r="I34" s="34"/>
      <c r="J34" s="6"/>
      <c r="K34" s="6"/>
      <c r="L34" s="31"/>
      <c r="M34" s="6"/>
      <c r="N34" s="6"/>
    </row>
    <row r="35" customFormat="false" ht="12.75" hidden="false" customHeight="false" outlineLevel="0" collapsed="false">
      <c r="B35" s="29" t="s">
        <v>124</v>
      </c>
      <c r="C35" s="35"/>
      <c r="E35" s="35"/>
      <c r="H35" s="6"/>
      <c r="I35" s="34"/>
      <c r="J35" s="6"/>
      <c r="K35" s="6"/>
      <c r="L35" s="31"/>
      <c r="M35" s="6"/>
      <c r="N35" s="6"/>
    </row>
    <row r="36" customFormat="false" ht="12.75" hidden="false" customHeight="false" outlineLevel="0" collapsed="false">
      <c r="C36" s="35" t="s">
        <v>123</v>
      </c>
      <c r="E36" s="35"/>
      <c r="H36" s="6"/>
      <c r="I36" s="34"/>
      <c r="J36" s="6"/>
      <c r="K36" s="6"/>
      <c r="L36" s="31"/>
      <c r="M36" s="6"/>
      <c r="N36" s="6"/>
    </row>
    <row r="37" customFormat="false" ht="12.75" hidden="false" customHeight="false" outlineLevel="0" collapsed="false">
      <c r="C37" s="35"/>
      <c r="E37" s="35"/>
      <c r="H37" s="6"/>
      <c r="I37" s="34"/>
      <c r="J37" s="6"/>
      <c r="K37" s="6"/>
      <c r="L37" s="31"/>
      <c r="M37" s="6"/>
      <c r="N37" s="6"/>
    </row>
    <row r="38" customFormat="false" ht="12.75" hidden="false" customHeight="false" outlineLevel="0" collapsed="false">
      <c r="C38" s="35"/>
      <c r="E38" s="35"/>
      <c r="H38" s="6"/>
      <c r="I38" s="34"/>
      <c r="J38" s="6"/>
      <c r="K38" s="6"/>
      <c r="L38" s="31"/>
      <c r="M38" s="6"/>
      <c r="N38" s="6"/>
    </row>
    <row r="39" customFormat="false" ht="12.75" hidden="false" customHeight="false" outlineLevel="0" collapsed="false">
      <c r="C39" s="35"/>
      <c r="E39" s="35"/>
      <c r="H39" s="6"/>
      <c r="I39" s="34"/>
      <c r="J39" s="6"/>
      <c r="K39" s="6"/>
      <c r="L39" s="31"/>
      <c r="M39" s="6"/>
      <c r="N39" s="6"/>
    </row>
    <row r="40" customFormat="false" ht="12.75" hidden="false" customHeight="false" outlineLevel="0" collapsed="false">
      <c r="C40" s="36"/>
      <c r="E40" s="36"/>
      <c r="H40" s="6"/>
      <c r="I40" s="6"/>
      <c r="J40" s="6"/>
      <c r="K40" s="6"/>
      <c r="L40" s="31"/>
      <c r="M40" s="6"/>
      <c r="N40" s="6"/>
    </row>
    <row r="41" customFormat="false" ht="12.75" hidden="false" customHeight="false" outlineLevel="0" collapsed="false">
      <c r="C41" s="36"/>
      <c r="E41" s="36"/>
      <c r="H41" s="6"/>
      <c r="I41" s="6"/>
      <c r="J41" s="6"/>
      <c r="K41" s="6"/>
      <c r="L41" s="31"/>
      <c r="M41" s="6"/>
      <c r="N41" s="6"/>
    </row>
    <row r="42" customFormat="false" ht="12.75" hidden="false" customHeight="false" outlineLevel="0" collapsed="false">
      <c r="C42" s="36"/>
      <c r="E42" s="36"/>
      <c r="H42" s="6"/>
      <c r="I42" s="6"/>
      <c r="J42" s="6"/>
      <c r="K42" s="6"/>
      <c r="L42" s="31"/>
      <c r="M42" s="6"/>
      <c r="N42" s="6"/>
    </row>
    <row r="43" customFormat="false" ht="12.75" hidden="false" customHeight="false" outlineLevel="0" collapsed="false">
      <c r="A43" s="23" t="s">
        <v>125</v>
      </c>
      <c r="C43" s="22" t="s">
        <v>126</v>
      </c>
      <c r="D43" s="37" t="s">
        <v>87</v>
      </c>
      <c r="E43" s="37"/>
      <c r="F43" s="38"/>
      <c r="G43" s="38"/>
      <c r="H43" s="38"/>
      <c r="I43" s="38"/>
      <c r="J43" s="6"/>
      <c r="K43" s="6"/>
      <c r="L43" s="6"/>
      <c r="M43" s="6"/>
      <c r="N43" s="6"/>
    </row>
    <row r="44" customFormat="false" ht="12.75" hidden="false" customHeight="false" outlineLevel="0" collapsed="false">
      <c r="A44" s="22" t="s">
        <v>104</v>
      </c>
      <c r="B44" s="22" t="s">
        <v>125</v>
      </c>
      <c r="C44" s="24" t="n">
        <v>5.25</v>
      </c>
      <c r="D44" s="39" t="n">
        <v>1168</v>
      </c>
      <c r="E44" s="40" t="s">
        <v>127</v>
      </c>
      <c r="F44" s="41"/>
      <c r="G44" s="38"/>
      <c r="H44" s="38"/>
      <c r="I44" s="33"/>
      <c r="J44" s="6"/>
      <c r="K44" s="6"/>
      <c r="L44" s="6"/>
      <c r="M44" s="6"/>
      <c r="N44" s="6"/>
    </row>
    <row r="45" customFormat="false" ht="12.75" hidden="false" customHeight="false" outlineLevel="0" collapsed="false">
      <c r="A45" s="22" t="s">
        <v>105</v>
      </c>
      <c r="C45" s="24" t="n">
        <v>0.06</v>
      </c>
      <c r="D45" s="37"/>
      <c r="E45" s="33"/>
      <c r="F45" s="38"/>
      <c r="G45" s="38"/>
      <c r="H45" s="38"/>
      <c r="I45" s="33"/>
      <c r="J45" s="6"/>
      <c r="K45" s="6"/>
      <c r="L45" s="6"/>
      <c r="M45" s="6"/>
      <c r="N45" s="6"/>
    </row>
    <row r="46" customFormat="false" ht="12.75" hidden="false" customHeight="false" outlineLevel="0" collapsed="false">
      <c r="A46" s="22" t="s">
        <v>106</v>
      </c>
      <c r="C46" s="24" t="n">
        <v>0.017</v>
      </c>
      <c r="D46" s="37"/>
      <c r="E46" s="33"/>
      <c r="F46" s="38"/>
      <c r="G46" s="38"/>
      <c r="H46" s="38"/>
      <c r="I46" s="33"/>
      <c r="J46" s="6"/>
      <c r="K46" s="6"/>
      <c r="L46" s="6"/>
      <c r="M46" s="6"/>
      <c r="N46" s="6"/>
    </row>
    <row r="47" customFormat="false" ht="12.75" hidden="false" customHeight="false" outlineLevel="0" collapsed="false">
      <c r="A47" s="22" t="s">
        <v>107</v>
      </c>
      <c r="C47" s="24" t="n">
        <v>0.0022</v>
      </c>
      <c r="D47" s="37"/>
      <c r="E47" s="33"/>
      <c r="F47" s="38"/>
      <c r="G47" s="38"/>
      <c r="H47" s="38"/>
      <c r="I47" s="25"/>
      <c r="J47" s="6"/>
      <c r="K47" s="6"/>
      <c r="L47" s="6"/>
      <c r="M47" s="6"/>
      <c r="N47" s="6"/>
    </row>
    <row r="48" customFormat="false" ht="12.75" hidden="false" customHeight="false" outlineLevel="0" collapsed="false">
      <c r="A48" s="22" t="s">
        <v>108</v>
      </c>
      <c r="C48" s="25" t="n">
        <v>0.0282</v>
      </c>
      <c r="D48" s="40" t="n">
        <f aca="false">ROUND(+D44*(1-C48),0)</f>
        <v>1135</v>
      </c>
      <c r="E48" s="42" t="s">
        <v>128</v>
      </c>
      <c r="F48" s="38"/>
      <c r="G48" s="38"/>
      <c r="H48" s="38"/>
      <c r="I48" s="33"/>
      <c r="J48" s="6"/>
      <c r="K48" s="6"/>
      <c r="L48" s="6"/>
      <c r="M48" s="6"/>
      <c r="N48" s="6"/>
    </row>
    <row r="49" customFormat="false" ht="12.75" hidden="false" customHeight="false" outlineLevel="0" collapsed="false">
      <c r="A49" s="22" t="s">
        <v>70</v>
      </c>
      <c r="C49" s="26" t="n">
        <f aca="false">ROUND((+C44+C45)/(1-C48)+(C46+C47),4)-C44-C45</f>
        <v>0.1733</v>
      </c>
      <c r="D49" s="37"/>
      <c r="E49" s="33"/>
      <c r="F49" s="38"/>
      <c r="G49" s="38"/>
      <c r="H49" s="38"/>
      <c r="I49" s="33"/>
      <c r="J49" s="6"/>
      <c r="K49" s="6"/>
      <c r="L49" s="31"/>
      <c r="M49" s="6"/>
      <c r="N49" s="6"/>
    </row>
    <row r="50" customFormat="false" ht="13.5" hidden="false" customHeight="false" outlineLevel="0" collapsed="false">
      <c r="C50" s="32" t="n">
        <f aca="false">SUM(C44,C45,C49)</f>
        <v>5.4833</v>
      </c>
      <c r="D50" s="37"/>
      <c r="E50" s="33"/>
      <c r="F50" s="38"/>
      <c r="G50" s="38"/>
      <c r="H50" s="38"/>
      <c r="I50" s="33"/>
      <c r="J50" s="6"/>
      <c r="K50" s="6"/>
      <c r="L50" s="31"/>
      <c r="M50" s="6"/>
      <c r="N50" s="6"/>
    </row>
    <row r="51" customFormat="false" ht="13.5" hidden="false" customHeight="false" outlineLevel="0" collapsed="false">
      <c r="A51" s="22" t="s">
        <v>129</v>
      </c>
      <c r="D51" s="37"/>
      <c r="E51" s="33"/>
      <c r="F51" s="37"/>
      <c r="G51" s="37"/>
      <c r="H51" s="38"/>
      <c r="I51" s="38"/>
      <c r="J51" s="6"/>
      <c r="K51" s="6"/>
      <c r="L51" s="31"/>
      <c r="M51" s="6"/>
      <c r="N51" s="6"/>
    </row>
    <row r="52" customFormat="false" ht="12.75" hidden="false" customHeight="false" outlineLevel="0" collapsed="false">
      <c r="C52" s="35"/>
      <c r="E52" s="35"/>
      <c r="H52" s="6"/>
      <c r="I52" s="6"/>
      <c r="J52" s="6"/>
      <c r="K52" s="6"/>
      <c r="L52" s="31"/>
      <c r="M52" s="6"/>
      <c r="N52" s="6"/>
    </row>
    <row r="53" customFormat="false" ht="12.75" hidden="false" customHeight="false" outlineLevel="0" collapsed="false">
      <c r="A53" s="29" t="s">
        <v>130</v>
      </c>
      <c r="C53" s="36"/>
      <c r="E53" s="36"/>
      <c r="H53" s="6"/>
      <c r="I53" s="6"/>
      <c r="J53" s="6"/>
      <c r="K53" s="6"/>
      <c r="L53" s="31"/>
      <c r="M53" s="6"/>
      <c r="N53" s="6"/>
    </row>
    <row r="54" customFormat="false" ht="12.75" hidden="false" customHeight="false" outlineLevel="0" collapsed="false">
      <c r="B54" s="22" t="s">
        <v>131</v>
      </c>
      <c r="C54" s="24"/>
      <c r="H54" s="6"/>
      <c r="I54" s="6"/>
      <c r="J54" s="6"/>
      <c r="K54" s="6"/>
      <c r="L54" s="31"/>
      <c r="M54" s="6"/>
      <c r="N54" s="6"/>
    </row>
    <row r="55" customFormat="false" ht="12.75" hidden="false" customHeight="false" outlineLevel="0" collapsed="false">
      <c r="A55" s="6"/>
      <c r="B55" s="6" t="s">
        <v>132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customFormat="false" ht="12.7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customFormat="false" ht="12.7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customFormat="false" ht="12.7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customFormat="false" ht="12.7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customFormat="false" ht="12.7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customFormat="false" ht="12.7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customFormat="false" ht="12.7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customFormat="false" ht="12.75" hidden="false" customHeight="false" outlineLevel="0" collapsed="false">
      <c r="A64" s="23" t="s">
        <v>44</v>
      </c>
      <c r="E64" s="6"/>
      <c r="F64" s="6"/>
      <c r="G64" s="6"/>
      <c r="H64" s="6"/>
      <c r="I64" s="6"/>
      <c r="J64" s="6"/>
      <c r="K64" s="6"/>
      <c r="L64" s="6"/>
      <c r="M64" s="6"/>
      <c r="N64" s="6"/>
    </row>
    <row r="65" customFormat="false" ht="12.7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customFormat="false" ht="12.75" hidden="false" customHeight="false" outlineLevel="0" collapsed="false">
      <c r="A66" s="6"/>
      <c r="B66" s="29" t="s">
        <v>133</v>
      </c>
      <c r="C66" s="3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customFormat="false" ht="12.75" hidden="false" customHeight="false" outlineLevel="0" collapsed="false">
      <c r="A67" s="6"/>
      <c r="C67" s="35" t="s">
        <v>134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customFormat="false" ht="12.75" hidden="false" customHeight="false" outlineLevel="0" collapsed="false">
      <c r="A72" s="43" t="s">
        <v>62</v>
      </c>
      <c r="G72" s="44"/>
      <c r="H72" s="44"/>
    </row>
    <row r="73" customFormat="false" ht="12.75" hidden="false" customHeight="false" outlineLevel="0" collapsed="false">
      <c r="D73" s="45"/>
      <c r="F73" s="46"/>
      <c r="G73" s="44"/>
    </row>
    <row r="74" customFormat="false" ht="12.75" hidden="false" customHeight="false" outlineLevel="0" collapsed="false">
      <c r="K74" s="44"/>
      <c r="L74" s="24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customFormat="false" ht="12" hidden="false" customHeight="false" outlineLevel="0" collapsed="false">
      <c r="A76" s="22" t="s">
        <v>135</v>
      </c>
      <c r="E76" s="37"/>
      <c r="F76" s="37"/>
      <c r="G76" s="37"/>
      <c r="H76" s="37"/>
      <c r="I76" s="37"/>
      <c r="J76" s="37"/>
      <c r="K76" s="37"/>
      <c r="L76" s="37"/>
    </row>
    <row r="77" customFormat="false" ht="12.75" hidden="false" customHeight="false" outlineLevel="0" collapsed="false">
      <c r="A77" s="22" t="s">
        <v>104</v>
      </c>
      <c r="B77" s="22" t="s">
        <v>136</v>
      </c>
      <c r="C77" s="24" t="n">
        <v>4.36</v>
      </c>
      <c r="E77" s="37"/>
      <c r="F77" s="37"/>
      <c r="G77" s="33"/>
      <c r="H77" s="37"/>
      <c r="I77" s="37"/>
      <c r="J77" s="37"/>
      <c r="K77" s="33"/>
      <c r="L77" s="47"/>
    </row>
    <row r="78" customFormat="false" ht="12.75" hidden="false" customHeight="false" outlineLevel="0" collapsed="false">
      <c r="C78" s="24" t="n">
        <v>0.0075</v>
      </c>
      <c r="E78" s="37"/>
      <c r="F78" s="37"/>
      <c r="G78" s="33"/>
      <c r="H78" s="37"/>
      <c r="I78" s="37"/>
      <c r="J78" s="37"/>
      <c r="K78" s="33"/>
      <c r="L78" s="47"/>
    </row>
    <row r="79" customFormat="false" ht="12.75" hidden="false" customHeight="false" outlineLevel="0" collapsed="false">
      <c r="A79" s="22" t="s">
        <v>106</v>
      </c>
      <c r="B79" s="44"/>
      <c r="C79" s="24" t="n">
        <v>0.014</v>
      </c>
      <c r="E79" s="37"/>
      <c r="F79" s="47"/>
      <c r="G79" s="33"/>
      <c r="H79" s="37"/>
      <c r="I79" s="37"/>
      <c r="J79" s="47"/>
      <c r="K79" s="33"/>
      <c r="L79" s="47"/>
    </row>
    <row r="80" customFormat="false" ht="12.75" hidden="false" customHeight="false" outlineLevel="0" collapsed="false">
      <c r="A80" s="22" t="s">
        <v>107</v>
      </c>
      <c r="B80" s="44"/>
      <c r="C80" s="24" t="n">
        <v>0.0225</v>
      </c>
      <c r="E80" s="37"/>
      <c r="F80" s="47"/>
      <c r="G80" s="33"/>
      <c r="H80" s="37"/>
      <c r="I80" s="37"/>
      <c r="J80" s="47"/>
      <c r="K80" s="33"/>
      <c r="L80" s="47"/>
    </row>
    <row r="81" customFormat="false" ht="12.75" hidden="false" customHeight="false" outlineLevel="0" collapsed="false">
      <c r="A81" s="22" t="s">
        <v>108</v>
      </c>
      <c r="B81" s="48"/>
      <c r="C81" s="49" t="n">
        <v>0.0235</v>
      </c>
      <c r="E81" s="37"/>
      <c r="F81" s="48"/>
      <c r="G81" s="49"/>
      <c r="H81" s="37"/>
      <c r="I81" s="37"/>
      <c r="J81" s="48"/>
      <c r="K81" s="49"/>
      <c r="L81" s="47"/>
    </row>
    <row r="82" customFormat="false" ht="12.75" hidden="false" customHeight="false" outlineLevel="0" collapsed="false">
      <c r="A82" s="22" t="s">
        <v>70</v>
      </c>
      <c r="C82" s="26" t="n">
        <f aca="false">ROUND((+C77+C78)/(1-C81)+(C79+C80),4)-C77-C78</f>
        <v>0.1416</v>
      </c>
      <c r="E82" s="37"/>
      <c r="F82" s="37"/>
      <c r="G82" s="33"/>
      <c r="H82" s="37"/>
      <c r="I82" s="37"/>
      <c r="J82" s="37"/>
      <c r="K82" s="33"/>
      <c r="L82" s="47"/>
    </row>
    <row r="83" customFormat="false" ht="13.5" hidden="false" customHeight="false" outlineLevel="0" collapsed="false">
      <c r="C83" s="32" t="n">
        <f aca="false">SUM(C82,C77:C78)</f>
        <v>4.5091</v>
      </c>
      <c r="D83" s="22" t="s">
        <v>137</v>
      </c>
      <c r="E83" s="37"/>
      <c r="F83" s="37"/>
      <c r="G83" s="37"/>
      <c r="H83" s="37"/>
      <c r="I83" s="37"/>
      <c r="J83" s="37"/>
      <c r="K83" s="37"/>
      <c r="L83" s="47"/>
      <c r="M83" s="46"/>
      <c r="N83" s="24"/>
    </row>
    <row r="84" customFormat="false" ht="13.5" hidden="false" customHeight="false" outlineLevel="0" collapsed="false">
      <c r="B84" s="44"/>
      <c r="C84" s="24"/>
      <c r="G84" s="46"/>
      <c r="H84" s="50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customFormat="false" ht="12" hidden="false" customHeight="false" outlineLevel="0" collapsed="false">
      <c r="A87" s="22" t="s">
        <v>138</v>
      </c>
      <c r="I87" s="22" t="s">
        <v>139</v>
      </c>
    </row>
    <row r="88" customFormat="false" ht="12.75" hidden="false" customHeight="false" outlineLevel="0" collapsed="false">
      <c r="A88" s="22" t="s">
        <v>104</v>
      </c>
      <c r="B88" s="22" t="s">
        <v>140</v>
      </c>
      <c r="C88" s="24" t="n">
        <v>4.37</v>
      </c>
      <c r="I88" s="22" t="s">
        <v>104</v>
      </c>
      <c r="J88" s="22" t="s">
        <v>140</v>
      </c>
      <c r="K88" s="24" t="n">
        <v>4.37</v>
      </c>
      <c r="L88" s="44"/>
    </row>
    <row r="89" customFormat="false" ht="12.75" hidden="false" customHeight="false" outlineLevel="0" collapsed="false">
      <c r="A89" s="22" t="s">
        <v>105</v>
      </c>
      <c r="C89" s="24" t="n">
        <v>0.0175</v>
      </c>
      <c r="K89" s="24" t="n">
        <v>0.0175</v>
      </c>
      <c r="L89" s="44"/>
    </row>
    <row r="90" customFormat="false" ht="12.75" hidden="false" customHeight="false" outlineLevel="0" collapsed="false">
      <c r="A90" s="22" t="s">
        <v>106</v>
      </c>
      <c r="B90" s="44"/>
      <c r="C90" s="24" t="n">
        <v>0.0115</v>
      </c>
      <c r="I90" s="22" t="s">
        <v>106</v>
      </c>
      <c r="J90" s="44"/>
      <c r="K90" s="24" t="n">
        <v>0.0023</v>
      </c>
      <c r="L90" s="44"/>
    </row>
    <row r="91" customFormat="false" ht="12.75" hidden="false" customHeight="false" outlineLevel="0" collapsed="false">
      <c r="A91" s="22" t="s">
        <v>107</v>
      </c>
      <c r="B91" s="44"/>
      <c r="C91" s="24" t="n">
        <v>0.0094</v>
      </c>
      <c r="D91" s="22" t="s">
        <v>141</v>
      </c>
      <c r="I91" s="22" t="s">
        <v>107</v>
      </c>
      <c r="J91" s="44"/>
      <c r="K91" s="24" t="n">
        <v>0.0094</v>
      </c>
      <c r="L91" s="22" t="s">
        <v>141</v>
      </c>
    </row>
    <row r="92" customFormat="false" ht="12.75" hidden="false" customHeight="false" outlineLevel="0" collapsed="false">
      <c r="A92" s="22" t="s">
        <v>108</v>
      </c>
      <c r="B92" s="48"/>
      <c r="C92" s="49" t="n">
        <v>0.019</v>
      </c>
      <c r="I92" s="22" t="s">
        <v>108</v>
      </c>
      <c r="J92" s="48"/>
      <c r="K92" s="49" t="n">
        <v>0.019</v>
      </c>
      <c r="L92" s="44"/>
    </row>
    <row r="93" customFormat="false" ht="12.75" hidden="false" customHeight="false" outlineLevel="0" collapsed="false">
      <c r="A93" s="22" t="s">
        <v>70</v>
      </c>
      <c r="C93" s="26" t="n">
        <f aca="false">ROUND((+C88+C89)/(1-C92)+(C90+C91),4)-C88-C89</f>
        <v>0.1059</v>
      </c>
      <c r="I93" s="22" t="s">
        <v>70</v>
      </c>
      <c r="K93" s="26" t="n">
        <f aca="false">ROUND((+K88+K89)/(1-K92)+(K90+K91),4)-K88-K89</f>
        <v>0.0967000000000003</v>
      </c>
      <c r="L93" s="44"/>
    </row>
    <row r="94" customFormat="false" ht="13.5" hidden="false" customHeight="false" outlineLevel="0" collapsed="false">
      <c r="A94" s="22" t="s">
        <v>142</v>
      </c>
      <c r="C94" s="32" t="n">
        <f aca="false">SUM(C93,C88:C89)</f>
        <v>4.4934</v>
      </c>
      <c r="D94" s="22" t="s">
        <v>143</v>
      </c>
      <c r="I94" s="37" t="s">
        <v>142</v>
      </c>
      <c r="J94" s="37"/>
      <c r="K94" s="32" t="n">
        <f aca="false">SUM(K93,K88:K89)</f>
        <v>4.4842</v>
      </c>
      <c r="L94" s="44" t="s">
        <v>144</v>
      </c>
      <c r="M94" s="46"/>
      <c r="N94" s="24"/>
    </row>
    <row r="95" customFormat="false" ht="13.5" hidden="false" customHeight="false" outlineLevel="0" collapsed="false">
      <c r="B95" s="44"/>
      <c r="C95" s="24"/>
      <c r="G95" s="46"/>
      <c r="H95" s="50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customFormat="false" ht="12" hidden="false" customHeight="false" outlineLevel="0" collapsed="false">
      <c r="A97" s="22" t="s">
        <v>145</v>
      </c>
    </row>
    <row r="98" customFormat="false" ht="12" hidden="false" customHeight="false" outlineLevel="0" collapsed="false">
      <c r="A98" s="22" t="s">
        <v>104</v>
      </c>
      <c r="B98" s="22" t="s">
        <v>140</v>
      </c>
      <c r="C98" s="24" t="n">
        <v>4.37</v>
      </c>
      <c r="D98" s="22" t="s">
        <v>146</v>
      </c>
    </row>
    <row r="99" customFormat="false" ht="12.75" hidden="false" customHeight="false" outlineLevel="0" collapsed="false">
      <c r="A99" s="22" t="s">
        <v>106</v>
      </c>
      <c r="B99" s="44"/>
      <c r="C99" s="24" t="n">
        <v>0.0203</v>
      </c>
    </row>
    <row r="100" customFormat="false" ht="12.75" hidden="false" customHeight="false" outlineLevel="0" collapsed="false">
      <c r="A100" s="22" t="s">
        <v>107</v>
      </c>
      <c r="B100" s="44"/>
      <c r="C100" s="24" t="n">
        <v>0.0225</v>
      </c>
    </row>
    <row r="101" customFormat="false" ht="12" hidden="false" customHeight="false" outlineLevel="0" collapsed="false">
      <c r="A101" s="22" t="s">
        <v>108</v>
      </c>
      <c r="B101" s="48"/>
      <c r="C101" s="49" t="n">
        <v>0.0343</v>
      </c>
    </row>
    <row r="102" customFormat="false" ht="12" hidden="false" customHeight="false" outlineLevel="0" collapsed="false">
      <c r="A102" s="22" t="s">
        <v>70</v>
      </c>
      <c r="C102" s="26" t="n">
        <v>0.1428</v>
      </c>
    </row>
    <row r="103" customFormat="false" ht="12" hidden="false" customHeight="false" outlineLevel="0" collapsed="false">
      <c r="A103" s="22" t="s">
        <v>147</v>
      </c>
      <c r="C103" s="27" t="n">
        <v>0.27</v>
      </c>
    </row>
    <row r="104" customFormat="false" ht="12.75" hidden="false" customHeight="false" outlineLevel="0" collapsed="false">
      <c r="A104" s="22" t="s">
        <v>142</v>
      </c>
      <c r="C104" s="32" t="n">
        <v>3.0428</v>
      </c>
      <c r="D104" s="22" t="s">
        <v>148</v>
      </c>
    </row>
    <row r="105" customFormat="false" ht="12.75" hidden="false" customHeight="false" outlineLevel="0" collapsed="false">
      <c r="D105" s="22" t="s">
        <v>149</v>
      </c>
    </row>
    <row r="106" customFormat="false" ht="12" hidden="false" customHeight="false" outlineLevel="0" collapsed="false">
      <c r="D106" s="22" t="s">
        <v>150</v>
      </c>
    </row>
    <row r="110" customFormat="false" ht="12" hidden="false" customHeight="false" outlineLevel="0" collapsed="false">
      <c r="A110" s="22" t="s">
        <v>151</v>
      </c>
    </row>
    <row r="111" customFormat="false" ht="12" hidden="false" customHeight="false" outlineLevel="0" collapsed="false">
      <c r="A111" s="22" t="s">
        <v>104</v>
      </c>
      <c r="B111" s="22" t="s">
        <v>136</v>
      </c>
      <c r="C111" s="24" t="n">
        <v>4.36</v>
      </c>
    </row>
    <row r="112" customFormat="false" ht="12" hidden="false" customHeight="false" outlineLevel="0" collapsed="false">
      <c r="C112" s="24" t="n">
        <v>0.0075</v>
      </c>
    </row>
    <row r="113" customFormat="false" ht="12.75" hidden="false" customHeight="false" outlineLevel="0" collapsed="false">
      <c r="A113" s="22" t="s">
        <v>106</v>
      </c>
      <c r="B113" s="44"/>
      <c r="C113" s="24" t="n">
        <v>0.0228</v>
      </c>
    </row>
    <row r="114" customFormat="false" ht="12.75" hidden="false" customHeight="false" outlineLevel="0" collapsed="false">
      <c r="A114" s="22" t="s">
        <v>107</v>
      </c>
      <c r="B114" s="44"/>
      <c r="C114" s="24" t="n">
        <v>0.0225</v>
      </c>
    </row>
    <row r="115" customFormat="false" ht="12" hidden="false" customHeight="false" outlineLevel="0" collapsed="false">
      <c r="A115" s="22" t="s">
        <v>108</v>
      </c>
      <c r="B115" s="48"/>
      <c r="C115" s="49" t="n">
        <v>0.0388</v>
      </c>
    </row>
    <row r="116" customFormat="false" ht="12" hidden="false" customHeight="false" outlineLevel="0" collapsed="false">
      <c r="A116" s="22" t="s">
        <v>70</v>
      </c>
      <c r="C116" s="26" t="n">
        <f aca="false">ROUND((+C111+C112)/(1-C115)+(C113+C114),4)-C111-C112</f>
        <v>0.2216</v>
      </c>
    </row>
    <row r="117" customFormat="false" ht="12.75" hidden="false" customHeight="false" outlineLevel="0" collapsed="false">
      <c r="A117" s="22" t="s">
        <v>142</v>
      </c>
      <c r="C117" s="32" t="n">
        <f aca="false">SUM(C116,C111:C112)</f>
        <v>4.5891</v>
      </c>
      <c r="D117" s="22" t="s">
        <v>152</v>
      </c>
    </row>
    <row r="118" customFormat="false" ht="12.75" hidden="false" customHeight="false" outlineLevel="0" collapsed="false"/>
    <row r="124" customFormat="false" ht="12" hidden="false" customHeight="false" outlineLevel="0" collapsed="false">
      <c r="A124" s="23" t="s">
        <v>153</v>
      </c>
    </row>
    <row r="125" customFormat="false" ht="12" hidden="false" customHeight="false" outlineLevel="0" collapsed="false">
      <c r="A125" s="22" t="s">
        <v>104</v>
      </c>
      <c r="B125" s="22" t="s">
        <v>154</v>
      </c>
      <c r="C125" s="24" t="n">
        <v>4.33</v>
      </c>
    </row>
    <row r="126" customFormat="false" ht="12" hidden="false" customHeight="false" outlineLevel="0" collapsed="false">
      <c r="A126" s="22" t="s">
        <v>105</v>
      </c>
      <c r="C126" s="24" t="n">
        <v>-0.01</v>
      </c>
    </row>
    <row r="127" customFormat="false" ht="12" hidden="false" customHeight="false" outlineLevel="0" collapsed="false">
      <c r="A127" s="22" t="s">
        <v>106</v>
      </c>
      <c r="C127" s="24" t="n">
        <v>0.0323</v>
      </c>
    </row>
    <row r="128" customFormat="false" ht="12" hidden="false" customHeight="false" outlineLevel="0" collapsed="false">
      <c r="A128" s="22" t="s">
        <v>107</v>
      </c>
      <c r="C128" s="24" t="n">
        <v>0.0094</v>
      </c>
    </row>
    <row r="129" customFormat="false" ht="12" hidden="false" customHeight="false" outlineLevel="0" collapsed="false">
      <c r="A129" s="22" t="s">
        <v>108</v>
      </c>
      <c r="C129" s="49" t="n">
        <v>0.0268</v>
      </c>
    </row>
    <row r="130" customFormat="false" ht="12" hidden="false" customHeight="false" outlineLevel="0" collapsed="false">
      <c r="A130" s="22" t="s">
        <v>70</v>
      </c>
      <c r="C130" s="26" t="n">
        <f aca="false">ROUND((+C125+C126)/(1-C129)+(C127+C128),4)-C125-C126</f>
        <v>0.1607</v>
      </c>
    </row>
    <row r="131" customFormat="false" ht="12.75" hidden="false" customHeight="false" outlineLevel="0" collapsed="false">
      <c r="A131" s="22" t="s">
        <v>142</v>
      </c>
      <c r="C131" s="32" t="n">
        <f aca="false">SUM(C130,C125:C126)</f>
        <v>4.4807</v>
      </c>
      <c r="D131" s="22" t="s">
        <v>155</v>
      </c>
    </row>
    <row r="132" customFormat="false" ht="12.75" hidden="false" customHeight="false" outlineLevel="0" collapsed="false"/>
    <row r="134" customFormat="false" ht="12" hidden="false" customHeight="false" outlineLevel="0" collapsed="false">
      <c r="A134" s="23" t="s">
        <v>63</v>
      </c>
    </row>
    <row r="135" customFormat="false" ht="12" hidden="false" customHeight="false" outlineLevel="0" collapsed="false">
      <c r="A135" s="22" t="s">
        <v>104</v>
      </c>
      <c r="B135" s="22" t="s">
        <v>156</v>
      </c>
      <c r="C135" s="24" t="n">
        <v>4.35</v>
      </c>
    </row>
    <row r="136" customFormat="false" ht="12" hidden="false" customHeight="false" outlineLevel="0" collapsed="false">
      <c r="A136" s="22" t="s">
        <v>105</v>
      </c>
      <c r="C136" s="24" t="n">
        <v>0.0075</v>
      </c>
    </row>
    <row r="137" customFormat="false" ht="12" hidden="false" customHeight="false" outlineLevel="0" collapsed="false">
      <c r="A137" s="22" t="s">
        <v>106</v>
      </c>
      <c r="C137" s="24" t="n">
        <v>0.021</v>
      </c>
    </row>
    <row r="138" customFormat="false" ht="12" hidden="false" customHeight="false" outlineLevel="0" collapsed="false">
      <c r="A138" s="22" t="s">
        <v>107</v>
      </c>
      <c r="C138" s="24" t="n">
        <f aca="false">0.0022+0.0072</f>
        <v>0.0094</v>
      </c>
    </row>
    <row r="139" customFormat="false" ht="12" hidden="false" customHeight="false" outlineLevel="0" collapsed="false">
      <c r="A139" s="22" t="s">
        <v>108</v>
      </c>
      <c r="C139" s="49" t="n">
        <v>0.026</v>
      </c>
    </row>
    <row r="140" customFormat="false" ht="12" hidden="false" customHeight="false" outlineLevel="0" collapsed="false">
      <c r="A140" s="22" t="s">
        <v>70</v>
      </c>
      <c r="C140" s="26" t="n">
        <f aca="false">ROUND((+C135+C136)/(1-C139)-(C135+C136)+C137+C138,4)</f>
        <v>0.1467</v>
      </c>
    </row>
    <row r="141" customFormat="false" ht="12.75" hidden="false" customHeight="false" outlineLevel="0" collapsed="false">
      <c r="A141" s="22" t="s">
        <v>142</v>
      </c>
      <c r="C141" s="32" t="n">
        <f aca="false">SUM(C140,C135:C136)</f>
        <v>4.5042</v>
      </c>
      <c r="D141" s="22" t="s">
        <v>157</v>
      </c>
    </row>
    <row r="142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F83" colorId="64" zoomScale="100" zoomScaleNormal="100" zoomScalePageLayoutView="100" workbookViewId="0">
      <selection pane="topLeft" activeCell="U90" activeCellId="0" sqref="U9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4" width="9.14"/>
    <col collapsed="false" customWidth="true" hidden="false" outlineLevel="0" max="2" min="2" style="44" width="9.99"/>
    <col collapsed="false" customWidth="false" hidden="false" outlineLevel="0" max="3" min="3" style="44" width="9.14"/>
    <col collapsed="false" customWidth="true" hidden="false" outlineLevel="0" max="4" min="4" style="44" width="10.56"/>
    <col collapsed="false" customWidth="true" hidden="false" outlineLevel="0" max="5" min="5" style="44" width="9.28"/>
    <col collapsed="false" customWidth="true" hidden="false" outlineLevel="0" max="6" min="6" style="44" width="9.56"/>
    <col collapsed="false" customWidth="true" hidden="false" outlineLevel="0" max="7" min="7" style="51" width="12.42"/>
    <col collapsed="false" customWidth="true" hidden="false" outlineLevel="0" max="8" min="8" style="51" width="13.99"/>
    <col collapsed="false" customWidth="true" hidden="false" outlineLevel="0" max="9" min="9" style="44" width="10.71"/>
    <col collapsed="false" customWidth="true" hidden="false" outlineLevel="0" max="10" min="10" style="44" width="7.7"/>
    <col collapsed="false" customWidth="true" hidden="true" outlineLevel="0" max="14" min="11" style="44" width="9.06"/>
    <col collapsed="false" customWidth="true" hidden="true" outlineLevel="0" max="15" min="15" style="52" width="9.06"/>
    <col collapsed="false" customWidth="true" hidden="true" outlineLevel="0" max="16" min="16" style="44" width="9.06"/>
    <col collapsed="false" customWidth="true" hidden="false" outlineLevel="0" max="17" min="17" style="44" width="11.7"/>
    <col collapsed="false" customWidth="true" hidden="false" outlineLevel="0" max="18" min="18" style="44" width="9.41"/>
    <col collapsed="false" customWidth="true" hidden="false" outlineLevel="0" max="19" min="19" style="44" width="12.28"/>
    <col collapsed="false" customWidth="true" hidden="false" outlineLevel="0" max="20" min="20" style="44" width="10.71"/>
    <col collapsed="false" customWidth="true" hidden="false" outlineLevel="0" max="21" min="21" style="44" width="11.85"/>
    <col collapsed="false" customWidth="true" hidden="false" outlineLevel="0" max="22" min="22" style="53" width="14.85"/>
    <col collapsed="false" customWidth="true" hidden="false" outlineLevel="0" max="23" min="23" style="51" width="42.28"/>
    <col collapsed="false" customWidth="false" hidden="false" outlineLevel="0" max="25" min="24" style="53" width="9.14"/>
    <col collapsed="false" customWidth="true" hidden="false" outlineLevel="0" max="26" min="26" style="44" width="12.42"/>
    <col collapsed="false" customWidth="false" hidden="false" outlineLevel="0" max="257" min="27" style="44" width="9.14"/>
  </cols>
  <sheetData>
    <row r="1" customFormat="false" ht="12.75" hidden="false" customHeight="false" outlineLevel="0" collapsed="false">
      <c r="B1" s="54" t="s">
        <v>158</v>
      </c>
      <c r="C1" s="55"/>
      <c r="D1" s="55"/>
      <c r="E1" s="56"/>
      <c r="F1" s="56"/>
      <c r="G1" s="57"/>
      <c r="H1" s="57"/>
      <c r="I1" s="55" t="s">
        <v>159</v>
      </c>
      <c r="J1" s="58" t="n">
        <v>31</v>
      </c>
      <c r="K1" s="59" t="s">
        <v>160</v>
      </c>
      <c r="L1" s="60"/>
      <c r="M1" s="60"/>
      <c r="N1" s="60"/>
      <c r="O1" s="61"/>
      <c r="P1" s="60"/>
      <c r="Q1" s="62"/>
      <c r="R1" s="63"/>
      <c r="S1" s="64"/>
      <c r="T1" s="64"/>
      <c r="U1" s="64"/>
      <c r="V1" s="65"/>
      <c r="W1" s="66"/>
      <c r="X1" s="67"/>
      <c r="Y1" s="67"/>
    </row>
    <row r="2" customFormat="false" ht="12.75" hidden="false" customHeight="false" outlineLevel="0" collapsed="false">
      <c r="B2" s="57" t="s">
        <v>161</v>
      </c>
      <c r="C2" s="57"/>
      <c r="D2" s="57"/>
      <c r="E2" s="56"/>
      <c r="F2" s="56"/>
      <c r="G2" s="57"/>
      <c r="H2" s="57"/>
      <c r="I2" s="55"/>
      <c r="J2" s="58"/>
      <c r="K2" s="59" t="s">
        <v>162</v>
      </c>
      <c r="L2" s="60"/>
      <c r="M2" s="60"/>
      <c r="N2" s="60"/>
      <c r="O2" s="61"/>
      <c r="P2" s="60"/>
      <c r="Q2" s="62"/>
      <c r="R2" s="63"/>
      <c r="S2" s="64"/>
      <c r="T2" s="64"/>
      <c r="U2" s="64"/>
      <c r="V2" s="65"/>
      <c r="W2" s="66"/>
      <c r="X2" s="67"/>
      <c r="Y2" s="67"/>
    </row>
    <row r="3" customFormat="false" ht="12.75" hidden="false" customHeight="false" outlineLevel="0" collapsed="false">
      <c r="B3" s="57" t="s">
        <v>163</v>
      </c>
      <c r="C3" s="57"/>
      <c r="D3" s="57"/>
      <c r="E3" s="56"/>
      <c r="F3" s="56"/>
      <c r="G3" s="68" t="s">
        <v>155</v>
      </c>
      <c r="H3" s="57" t="s">
        <v>155</v>
      </c>
      <c r="I3" s="63" t="s">
        <v>155</v>
      </c>
      <c r="J3" s="69"/>
      <c r="K3" s="70" t="s">
        <v>155</v>
      </c>
      <c r="L3" s="60"/>
      <c r="M3" s="70" t="s">
        <v>155</v>
      </c>
      <c r="N3" s="60"/>
      <c r="O3" s="61"/>
      <c r="P3" s="70" t="s">
        <v>155</v>
      </c>
      <c r="Q3" s="62"/>
      <c r="R3" s="63"/>
      <c r="S3" s="64"/>
      <c r="T3" s="64"/>
      <c r="U3" s="64"/>
      <c r="V3" s="65"/>
      <c r="W3" s="66"/>
      <c r="X3" s="67"/>
      <c r="Y3" s="67"/>
    </row>
    <row r="4" customFormat="false" ht="12.75" hidden="false" customHeight="false" outlineLevel="0" collapsed="false">
      <c r="B4" s="57"/>
      <c r="C4" s="55"/>
      <c r="D4" s="55"/>
      <c r="E4" s="56"/>
      <c r="F4" s="56"/>
      <c r="G4" s="71"/>
      <c r="H4" s="57"/>
      <c r="I4" s="71"/>
      <c r="J4" s="69"/>
      <c r="K4" s="71"/>
      <c r="L4" s="60"/>
      <c r="M4" s="71"/>
      <c r="N4" s="63"/>
      <c r="O4" s="61"/>
      <c r="P4" s="63"/>
      <c r="Q4" s="62"/>
      <c r="R4" s="63"/>
      <c r="S4" s="64"/>
      <c r="T4" s="72"/>
      <c r="U4" s="72"/>
      <c r="V4" s="73"/>
      <c r="W4" s="66"/>
      <c r="X4" s="67"/>
      <c r="Y4" s="67"/>
    </row>
    <row r="5" customFormat="false" ht="12.75" hidden="false" customHeight="false" outlineLevel="0" collapsed="false">
      <c r="B5" s="57" t="s">
        <v>164</v>
      </c>
      <c r="C5" s="55"/>
      <c r="D5" s="57"/>
      <c r="E5" s="56"/>
      <c r="F5" s="56"/>
      <c r="G5" s="71"/>
      <c r="H5" s="57"/>
      <c r="I5" s="71"/>
      <c r="J5" s="69"/>
      <c r="K5" s="71"/>
      <c r="L5" s="60"/>
      <c r="M5" s="71"/>
      <c r="N5" s="63"/>
      <c r="O5" s="61"/>
      <c r="P5" s="63"/>
      <c r="Q5" s="62"/>
      <c r="R5" s="63"/>
      <c r="S5" s="64"/>
      <c r="T5" s="72"/>
      <c r="U5" s="72"/>
      <c r="V5" s="73"/>
      <c r="W5" s="66"/>
      <c r="X5" s="67"/>
      <c r="Y5" s="67"/>
    </row>
    <row r="6" customFormat="false" ht="12.75" hidden="false" customHeight="false" outlineLevel="0" collapsed="false">
      <c r="B6" s="57"/>
      <c r="C6" s="55" t="s">
        <v>165</v>
      </c>
      <c r="D6" s="55"/>
      <c r="E6" s="56"/>
      <c r="F6" s="56"/>
      <c r="G6" s="71"/>
      <c r="H6" s="57"/>
      <c r="I6" s="71"/>
      <c r="J6" s="69"/>
      <c r="K6" s="71"/>
      <c r="L6" s="60"/>
      <c r="M6" s="71"/>
      <c r="N6" s="63"/>
      <c r="O6" s="61"/>
      <c r="P6" s="63"/>
      <c r="Q6" s="62"/>
      <c r="R6" s="63"/>
      <c r="S6" s="64"/>
      <c r="T6" s="72"/>
      <c r="U6" s="72"/>
      <c r="V6" s="73"/>
      <c r="W6" s="66"/>
      <c r="X6" s="67"/>
      <c r="Y6" s="67"/>
    </row>
    <row r="7" customFormat="false" ht="12.75" hidden="false" customHeight="false" outlineLevel="0" collapsed="false">
      <c r="B7" s="57"/>
      <c r="C7" s="55"/>
      <c r="D7" s="55"/>
      <c r="E7" s="56"/>
      <c r="F7" s="56"/>
      <c r="G7" s="71"/>
      <c r="H7" s="57"/>
      <c r="I7" s="71"/>
      <c r="J7" s="69"/>
      <c r="K7" s="71"/>
      <c r="L7" s="60"/>
      <c r="M7" s="71"/>
      <c r="N7" s="63"/>
      <c r="O7" s="61"/>
      <c r="P7" s="63"/>
      <c r="Q7" s="62"/>
      <c r="R7" s="63"/>
      <c r="S7" s="64"/>
      <c r="T7" s="72"/>
      <c r="U7" s="72"/>
      <c r="V7" s="73"/>
      <c r="W7" s="66"/>
      <c r="X7" s="67"/>
      <c r="Y7" s="67"/>
    </row>
    <row r="8" customFormat="false" ht="12.75" hidden="false" customHeight="false" outlineLevel="0" collapsed="false">
      <c r="B8" s="57"/>
      <c r="C8" s="55"/>
      <c r="D8" s="55"/>
      <c r="E8" s="56"/>
      <c r="F8" s="56"/>
      <c r="G8" s="71"/>
      <c r="H8" s="57"/>
      <c r="I8" s="71"/>
      <c r="J8" s="69"/>
      <c r="K8" s="71"/>
      <c r="L8" s="60"/>
      <c r="M8" s="71"/>
      <c r="N8" s="63"/>
      <c r="O8" s="61"/>
      <c r="P8" s="63"/>
      <c r="Q8" s="62"/>
      <c r="R8" s="63"/>
      <c r="S8" s="64"/>
      <c r="T8" s="72"/>
      <c r="U8" s="72"/>
      <c r="V8" s="73"/>
      <c r="W8" s="66"/>
      <c r="X8" s="67"/>
      <c r="Y8" s="67"/>
    </row>
    <row r="9" customFormat="false" ht="12.75" hidden="false" customHeight="false" outlineLevel="0" collapsed="false">
      <c r="B9" s="57"/>
      <c r="C9" s="55"/>
      <c r="D9" s="55"/>
      <c r="E9" s="56"/>
      <c r="F9" s="56"/>
      <c r="G9" s="71"/>
      <c r="H9" s="57"/>
      <c r="I9" s="71"/>
      <c r="J9" s="69"/>
      <c r="K9" s="71"/>
      <c r="L9" s="60"/>
      <c r="M9" s="71"/>
      <c r="N9" s="63"/>
      <c r="O9" s="61"/>
      <c r="P9" s="63"/>
      <c r="Q9" s="62"/>
      <c r="R9" s="63"/>
      <c r="S9" s="64"/>
      <c r="T9" s="72"/>
      <c r="U9" s="72"/>
      <c r="V9" s="73"/>
      <c r="W9" s="66"/>
      <c r="X9" s="67"/>
      <c r="Y9" s="67"/>
    </row>
    <row r="10" customFormat="false" ht="12.75" hidden="false" customHeight="false" outlineLevel="0" collapsed="false">
      <c r="B10" s="57"/>
      <c r="C10" s="55"/>
      <c r="D10" s="55"/>
      <c r="E10" s="56"/>
      <c r="F10" s="56"/>
      <c r="G10" s="71"/>
      <c r="H10" s="57"/>
      <c r="I10" s="71"/>
      <c r="J10" s="69"/>
      <c r="K10" s="71"/>
      <c r="L10" s="60"/>
      <c r="M10" s="71"/>
      <c r="N10" s="63"/>
      <c r="O10" s="61"/>
      <c r="P10" s="63"/>
      <c r="Q10" s="62"/>
      <c r="R10" s="63"/>
      <c r="S10" s="64"/>
      <c r="T10" s="72"/>
      <c r="U10" s="72"/>
      <c r="V10" s="73"/>
      <c r="W10" s="66"/>
      <c r="X10" s="67"/>
      <c r="Y10" s="67"/>
    </row>
    <row r="11" customFormat="false" ht="12.75" hidden="false" customHeight="false" outlineLevel="0" collapsed="false">
      <c r="B11" s="74" t="s">
        <v>166</v>
      </c>
      <c r="C11" s="75" t="s">
        <v>167</v>
      </c>
      <c r="D11" s="75" t="s">
        <v>168</v>
      </c>
      <c r="E11" s="76" t="s">
        <v>169</v>
      </c>
      <c r="F11" s="76"/>
      <c r="G11" s="74" t="s">
        <v>170</v>
      </c>
      <c r="H11" s="74" t="s">
        <v>171</v>
      </c>
      <c r="I11" s="75" t="s">
        <v>172</v>
      </c>
      <c r="J11" s="77" t="s">
        <v>173</v>
      </c>
      <c r="K11" s="75" t="s">
        <v>174</v>
      </c>
      <c r="L11" s="75" t="s">
        <v>175</v>
      </c>
      <c r="M11" s="75" t="s">
        <v>176</v>
      </c>
      <c r="N11" s="75" t="s">
        <v>177</v>
      </c>
      <c r="O11" s="78" t="s">
        <v>178</v>
      </c>
      <c r="P11" s="75" t="s">
        <v>179</v>
      </c>
      <c r="Q11" s="79" t="s">
        <v>180</v>
      </c>
      <c r="R11" s="75" t="s">
        <v>181</v>
      </c>
      <c r="S11" s="74" t="s">
        <v>182</v>
      </c>
      <c r="T11" s="80" t="s">
        <v>183</v>
      </c>
      <c r="U11" s="80" t="s">
        <v>184</v>
      </c>
      <c r="V11" s="81" t="s">
        <v>185</v>
      </c>
      <c r="W11" s="82" t="e">
        <f aca="false">+#REF!</f>
        <v>#REF!</v>
      </c>
      <c r="X11" s="83"/>
      <c r="Y11" s="83"/>
    </row>
    <row r="12" customFormat="false" ht="12.75" hidden="false" customHeight="false" outlineLevel="0" collapsed="false">
      <c r="A12" s="84"/>
      <c r="B12" s="85" t="s">
        <v>186</v>
      </c>
      <c r="C12" s="86" t="s">
        <v>187</v>
      </c>
      <c r="D12" s="86" t="s">
        <v>188</v>
      </c>
      <c r="E12" s="87" t="n">
        <v>36678</v>
      </c>
      <c r="F12" s="87" t="n">
        <v>37042</v>
      </c>
      <c r="G12" s="85" t="s">
        <v>189</v>
      </c>
      <c r="H12" s="85" t="s">
        <v>190</v>
      </c>
      <c r="I12" s="86" t="s">
        <v>191</v>
      </c>
      <c r="J12" s="88" t="n">
        <f aca="false">3.145/J$1</f>
        <v>0.101451612903226</v>
      </c>
      <c r="K12" s="89" t="n">
        <v>0.0132</v>
      </c>
      <c r="L12" s="89" t="n">
        <v>0.0022</v>
      </c>
      <c r="M12" s="89" t="n">
        <v>0</v>
      </c>
      <c r="N12" s="89" t="n">
        <v>0</v>
      </c>
      <c r="O12" s="90" t="n">
        <v>0.02116</v>
      </c>
      <c r="P12" s="89" t="n">
        <f aca="false">SUM(J12:N12)</f>
        <v>0.116851612903226</v>
      </c>
      <c r="Q12" s="91" t="n">
        <v>68360</v>
      </c>
      <c r="R12" s="86" t="n">
        <v>291</v>
      </c>
      <c r="S12" s="85"/>
      <c r="T12" s="92" t="n">
        <f aca="false">J12*J$1*R12</f>
        <v>915.195</v>
      </c>
      <c r="U12" s="92"/>
      <c r="V12" s="93" t="n">
        <v>271311</v>
      </c>
      <c r="W12" s="85"/>
      <c r="X12" s="94"/>
      <c r="Y12" s="9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12.75" hidden="false" customHeight="false" outlineLevel="0" collapsed="false">
      <c r="A13" s="84"/>
      <c r="B13" s="85" t="s">
        <v>186</v>
      </c>
      <c r="C13" s="86" t="s">
        <v>187</v>
      </c>
      <c r="D13" s="86" t="s">
        <v>192</v>
      </c>
      <c r="E13" s="87" t="n">
        <v>36678</v>
      </c>
      <c r="F13" s="87" t="n">
        <v>37042</v>
      </c>
      <c r="G13" s="85" t="s">
        <v>189</v>
      </c>
      <c r="H13" s="85" t="s">
        <v>190</v>
      </c>
      <c r="I13" s="86" t="s">
        <v>191</v>
      </c>
      <c r="J13" s="88" t="n">
        <f aca="false">3.145/J$1</f>
        <v>0.101451612903226</v>
      </c>
      <c r="K13" s="89" t="n">
        <v>0.0132</v>
      </c>
      <c r="L13" s="89" t="n">
        <v>0.0022</v>
      </c>
      <c r="M13" s="89" t="n">
        <v>0</v>
      </c>
      <c r="N13" s="89" t="n">
        <v>0</v>
      </c>
      <c r="O13" s="90" t="n">
        <v>0.02116</v>
      </c>
      <c r="P13" s="89" t="n">
        <f aca="false">SUM(J13:N13)</f>
        <v>0.116851612903226</v>
      </c>
      <c r="Q13" s="91" t="n">
        <v>68385</v>
      </c>
      <c r="R13" s="86" t="n">
        <v>223</v>
      </c>
      <c r="S13" s="85"/>
      <c r="T13" s="92" t="n">
        <f aca="false">J13*J$1*R13</f>
        <v>701.335</v>
      </c>
      <c r="U13" s="92"/>
      <c r="V13" s="93" t="n">
        <v>280550</v>
      </c>
      <c r="W13" s="85"/>
      <c r="X13" s="94"/>
      <c r="Y13" s="9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12.75" hidden="false" customHeight="false" outlineLevel="0" collapsed="false">
      <c r="A14" s="84"/>
      <c r="B14" s="85" t="s">
        <v>186</v>
      </c>
      <c r="C14" s="86" t="s">
        <v>187</v>
      </c>
      <c r="D14" s="86" t="s">
        <v>188</v>
      </c>
      <c r="E14" s="87" t="n">
        <v>36708</v>
      </c>
      <c r="F14" s="87" t="n">
        <v>37072</v>
      </c>
      <c r="G14" s="85" t="s">
        <v>189</v>
      </c>
      <c r="H14" s="85" t="s">
        <v>190</v>
      </c>
      <c r="I14" s="86" t="s">
        <v>191</v>
      </c>
      <c r="J14" s="88" t="n">
        <f aca="false">3.145/J$1</f>
        <v>0.101451612903226</v>
      </c>
      <c r="K14" s="89" t="n">
        <v>0.0132</v>
      </c>
      <c r="L14" s="89" t="n">
        <v>0.0022</v>
      </c>
      <c r="M14" s="89" t="n">
        <v>0</v>
      </c>
      <c r="N14" s="89" t="n">
        <v>0</v>
      </c>
      <c r="O14" s="90" t="n">
        <v>0.02116</v>
      </c>
      <c r="P14" s="89" t="n">
        <f aca="false">SUM(J14:N14)</f>
        <v>0.116851612903226</v>
      </c>
      <c r="Q14" s="91" t="n">
        <v>68615</v>
      </c>
      <c r="R14" s="86" t="n">
        <v>920</v>
      </c>
      <c r="S14" s="85"/>
      <c r="T14" s="92" t="n">
        <f aca="false">J14*J$1*R14</f>
        <v>2893.4</v>
      </c>
      <c r="U14" s="92"/>
      <c r="V14" s="93" t="n">
        <v>309873</v>
      </c>
      <c r="W14" s="85"/>
      <c r="X14" s="94"/>
      <c r="Y14" s="9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12.75" hidden="false" customHeight="false" outlineLevel="0" collapsed="false">
      <c r="A15" s="84"/>
      <c r="B15" s="85" t="s">
        <v>186</v>
      </c>
      <c r="C15" s="86" t="s">
        <v>187</v>
      </c>
      <c r="D15" s="86" t="s">
        <v>192</v>
      </c>
      <c r="E15" s="87" t="n">
        <v>36465</v>
      </c>
      <c r="F15" s="87" t="n">
        <v>36830</v>
      </c>
      <c r="G15" s="85" t="s">
        <v>189</v>
      </c>
      <c r="H15" s="85" t="s">
        <v>190</v>
      </c>
      <c r="I15" s="86" t="s">
        <v>191</v>
      </c>
      <c r="J15" s="88" t="n">
        <f aca="false">3.145/J$1</f>
        <v>0.101451612903226</v>
      </c>
      <c r="K15" s="89" t="n">
        <v>0.0132</v>
      </c>
      <c r="L15" s="89" t="n">
        <v>0.0022</v>
      </c>
      <c r="M15" s="89" t="n">
        <v>0</v>
      </c>
      <c r="N15" s="89" t="n">
        <v>0</v>
      </c>
      <c r="O15" s="90" t="n">
        <v>0.02116</v>
      </c>
      <c r="P15" s="89" t="n">
        <f aca="false">SUM(J15:N15)</f>
        <v>0.116851612903226</v>
      </c>
      <c r="Q15" s="91" t="n">
        <v>65027</v>
      </c>
      <c r="R15" s="86" t="n">
        <v>131</v>
      </c>
      <c r="S15" s="85" t="s">
        <v>193</v>
      </c>
      <c r="T15" s="92" t="n">
        <f aca="false">J15*J$1*R15</f>
        <v>411.995</v>
      </c>
      <c r="U15" s="92"/>
      <c r="V15" s="93" t="n">
        <v>156666</v>
      </c>
      <c r="W15" s="85" t="s">
        <v>194</v>
      </c>
      <c r="X15" s="94"/>
      <c r="Y15" s="9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12.75" hidden="false" customHeight="false" outlineLevel="0" collapsed="false">
      <c r="A16" s="84"/>
      <c r="B16" s="85" t="s">
        <v>186</v>
      </c>
      <c r="C16" s="86" t="s">
        <v>187</v>
      </c>
      <c r="D16" s="86" t="s">
        <v>192</v>
      </c>
      <c r="E16" s="87" t="n">
        <v>36495</v>
      </c>
      <c r="F16" s="87" t="n">
        <v>36860</v>
      </c>
      <c r="G16" s="85" t="s">
        <v>189</v>
      </c>
      <c r="H16" s="85" t="s">
        <v>190</v>
      </c>
      <c r="I16" s="86" t="s">
        <v>191</v>
      </c>
      <c r="J16" s="88" t="n">
        <f aca="false">3.145/J$1</f>
        <v>0.101451612903226</v>
      </c>
      <c r="K16" s="89" t="n">
        <v>0.0132</v>
      </c>
      <c r="L16" s="89" t="n">
        <v>0.0022</v>
      </c>
      <c r="M16" s="89" t="n">
        <v>0</v>
      </c>
      <c r="N16" s="89" t="n">
        <v>0</v>
      </c>
      <c r="O16" s="90" t="n">
        <v>0.02116</v>
      </c>
      <c r="P16" s="89" t="n">
        <f aca="false">SUM(J16:N16)</f>
        <v>0.116851612903226</v>
      </c>
      <c r="Q16" s="91" t="n">
        <v>65557</v>
      </c>
      <c r="R16" s="86" t="n">
        <v>3</v>
      </c>
      <c r="S16" s="85" t="s">
        <v>195</v>
      </c>
      <c r="T16" s="92" t="n">
        <f aca="false">J16*J$1*R16</f>
        <v>9.435</v>
      </c>
      <c r="U16" s="92"/>
      <c r="V16" s="93" t="n">
        <v>156669</v>
      </c>
      <c r="W16" s="85"/>
      <c r="X16" s="94"/>
      <c r="Y16" s="9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2.75" hidden="false" customHeight="false" outlineLevel="0" collapsed="false">
      <c r="A17" s="84"/>
      <c r="B17" s="85" t="s">
        <v>186</v>
      </c>
      <c r="C17" s="86" t="s">
        <v>187</v>
      </c>
      <c r="D17" s="86" t="s">
        <v>188</v>
      </c>
      <c r="E17" s="87" t="n">
        <v>36708</v>
      </c>
      <c r="F17" s="87" t="s">
        <v>196</v>
      </c>
      <c r="G17" s="85" t="s">
        <v>189</v>
      </c>
      <c r="H17" s="85" t="s">
        <v>190</v>
      </c>
      <c r="I17" s="86" t="s">
        <v>191</v>
      </c>
      <c r="J17" s="88" t="n">
        <f aca="false">3.145/J$1</f>
        <v>0.101451612903226</v>
      </c>
      <c r="K17" s="89"/>
      <c r="L17" s="89"/>
      <c r="M17" s="89"/>
      <c r="N17" s="89"/>
      <c r="O17" s="90"/>
      <c r="P17" s="89"/>
      <c r="Q17" s="91" t="n">
        <v>68634</v>
      </c>
      <c r="R17" s="86" t="n">
        <v>1</v>
      </c>
      <c r="S17" s="85"/>
      <c r="T17" s="92" t="n">
        <f aca="false">J17*J$1*R17</f>
        <v>3.145</v>
      </c>
      <c r="U17" s="92"/>
      <c r="V17" s="93" t="n">
        <v>312338</v>
      </c>
      <c r="W17" s="85"/>
      <c r="X17" s="94"/>
      <c r="Y17" s="9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12.75" hidden="false" customHeight="false" outlineLevel="0" collapsed="false">
      <c r="A18" s="84"/>
      <c r="B18" s="85" t="s">
        <v>186</v>
      </c>
      <c r="C18" s="86" t="s">
        <v>187</v>
      </c>
      <c r="D18" s="86" t="s">
        <v>192</v>
      </c>
      <c r="E18" s="87" t="n">
        <v>36557</v>
      </c>
      <c r="F18" s="87" t="n">
        <v>36922</v>
      </c>
      <c r="G18" s="85" t="s">
        <v>189</v>
      </c>
      <c r="H18" s="85" t="s">
        <v>190</v>
      </c>
      <c r="I18" s="86" t="s">
        <v>191</v>
      </c>
      <c r="J18" s="88" t="n">
        <f aca="false">3.145/J$1</f>
        <v>0.101451612903226</v>
      </c>
      <c r="K18" s="89"/>
      <c r="L18" s="89"/>
      <c r="M18" s="89"/>
      <c r="N18" s="89"/>
      <c r="O18" s="90"/>
      <c r="P18" s="89"/>
      <c r="Q18" s="91" t="n">
        <v>66283</v>
      </c>
      <c r="R18" s="86" t="n">
        <v>5</v>
      </c>
      <c r="S18" s="85" t="s">
        <v>197</v>
      </c>
      <c r="T18" s="95" t="n">
        <f aca="false">+J18*R18*31</f>
        <v>15.725</v>
      </c>
      <c r="U18" s="92"/>
      <c r="V18" s="93" t="n">
        <v>156674</v>
      </c>
      <c r="W18" s="85"/>
      <c r="X18" s="94"/>
      <c r="Y18" s="9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12.75" hidden="false" customHeight="false" outlineLevel="0" collapsed="false">
      <c r="A19" s="84"/>
      <c r="B19" s="85" t="s">
        <v>186</v>
      </c>
      <c r="C19" s="86" t="s">
        <v>187</v>
      </c>
      <c r="D19" s="86" t="s">
        <v>192</v>
      </c>
      <c r="E19" s="87" t="n">
        <v>36617</v>
      </c>
      <c r="F19" s="87" t="n">
        <v>36981</v>
      </c>
      <c r="G19" s="85" t="s">
        <v>189</v>
      </c>
      <c r="H19" s="85" t="s">
        <v>190</v>
      </c>
      <c r="I19" s="86" t="s">
        <v>191</v>
      </c>
      <c r="J19" s="88" t="n">
        <f aca="false">3.145/J$1</f>
        <v>0.101451612903226</v>
      </c>
      <c r="K19" s="89"/>
      <c r="L19" s="89"/>
      <c r="M19" s="89"/>
      <c r="N19" s="89"/>
      <c r="O19" s="90"/>
      <c r="P19" s="89"/>
      <c r="Q19" s="91" t="n">
        <v>66941</v>
      </c>
      <c r="R19" s="86" t="n">
        <v>53</v>
      </c>
      <c r="S19" s="85" t="s">
        <v>198</v>
      </c>
      <c r="T19" s="95" t="n">
        <f aca="false">+J19*R19*31</f>
        <v>166.685</v>
      </c>
      <c r="U19" s="92"/>
      <c r="V19" s="93" t="n">
        <v>228122</v>
      </c>
      <c r="W19" s="85"/>
      <c r="X19" s="94"/>
      <c r="Y19" s="9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12.75" hidden="false" customHeight="false" outlineLevel="0" collapsed="false">
      <c r="A20" s="84"/>
      <c r="B20" s="85" t="s">
        <v>186</v>
      </c>
      <c r="C20" s="86" t="s">
        <v>187</v>
      </c>
      <c r="D20" s="86" t="s">
        <v>192</v>
      </c>
      <c r="E20" s="87" t="n">
        <v>36656</v>
      </c>
      <c r="F20" s="87" t="n">
        <v>36950</v>
      </c>
      <c r="G20" s="85" t="s">
        <v>189</v>
      </c>
      <c r="H20" s="85" t="s">
        <v>190</v>
      </c>
      <c r="I20" s="86" t="s">
        <v>191</v>
      </c>
      <c r="J20" s="88" t="n">
        <f aca="false">3.145/J$1</f>
        <v>0.101451612903226</v>
      </c>
      <c r="K20" s="89"/>
      <c r="L20" s="89"/>
      <c r="M20" s="89"/>
      <c r="N20" s="89"/>
      <c r="O20" s="90"/>
      <c r="P20" s="89"/>
      <c r="Q20" s="91" t="n">
        <v>68309</v>
      </c>
      <c r="R20" s="86" t="n">
        <v>9</v>
      </c>
      <c r="S20" s="85"/>
      <c r="T20" s="92" t="n">
        <f aca="false">+R20*J20*$J$1</f>
        <v>28.305</v>
      </c>
      <c r="U20" s="92"/>
      <c r="V20" s="93" t="n">
        <v>262090</v>
      </c>
      <c r="W20" s="85" t="s">
        <v>199</v>
      </c>
      <c r="X20" s="94"/>
      <c r="Y20" s="9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12.75" hidden="false" customHeight="false" outlineLevel="0" collapsed="false">
      <c r="A21" s="84"/>
      <c r="B21" s="85" t="s">
        <v>186</v>
      </c>
      <c r="C21" s="86" t="s">
        <v>187</v>
      </c>
      <c r="D21" s="86" t="s">
        <v>192</v>
      </c>
      <c r="E21" s="87" t="n">
        <v>36739</v>
      </c>
      <c r="F21" s="87" t="n">
        <v>37103</v>
      </c>
      <c r="G21" s="85" t="s">
        <v>189</v>
      </c>
      <c r="H21" s="85" t="s">
        <v>190</v>
      </c>
      <c r="I21" s="86" t="s">
        <v>191</v>
      </c>
      <c r="J21" s="88" t="n">
        <f aca="false">3.145/J$1</f>
        <v>0.101451612903226</v>
      </c>
      <c r="K21" s="89"/>
      <c r="L21" s="89"/>
      <c r="M21" s="89"/>
      <c r="N21" s="89"/>
      <c r="O21" s="90"/>
      <c r="P21" s="89"/>
      <c r="Q21" s="91" t="n">
        <v>68929</v>
      </c>
      <c r="R21" s="86" t="n">
        <v>48</v>
      </c>
      <c r="S21" s="85" t="s">
        <v>200</v>
      </c>
      <c r="T21" s="92" t="n">
        <f aca="false">+R21*J21*$J$1</f>
        <v>150.96</v>
      </c>
      <c r="U21" s="92"/>
      <c r="V21" s="93" t="n">
        <v>345091</v>
      </c>
      <c r="W21" s="85"/>
      <c r="X21" s="94"/>
      <c r="Y21" s="9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12.75" hidden="false" customHeight="false" outlineLevel="0" collapsed="false">
      <c r="A22" s="84"/>
      <c r="B22" s="85" t="s">
        <v>186</v>
      </c>
      <c r="C22" s="86" t="s">
        <v>187</v>
      </c>
      <c r="D22" s="86" t="s">
        <v>192</v>
      </c>
      <c r="E22" s="87" t="n">
        <v>36739</v>
      </c>
      <c r="F22" s="87" t="n">
        <v>37103</v>
      </c>
      <c r="G22" s="85" t="s">
        <v>189</v>
      </c>
      <c r="H22" s="85" t="s">
        <v>190</v>
      </c>
      <c r="I22" s="86" t="s">
        <v>191</v>
      </c>
      <c r="J22" s="88" t="n">
        <f aca="false">3.145/J$1</f>
        <v>0.101451612903226</v>
      </c>
      <c r="K22" s="89"/>
      <c r="L22" s="89"/>
      <c r="M22" s="89"/>
      <c r="N22" s="89"/>
      <c r="O22" s="90"/>
      <c r="P22" s="89"/>
      <c r="Q22" s="91" t="n">
        <v>68927</v>
      </c>
      <c r="R22" s="86" t="n">
        <v>4</v>
      </c>
      <c r="S22" s="85" t="s">
        <v>201</v>
      </c>
      <c r="T22" s="92" t="n">
        <f aca="false">+R22*J22*$J$1</f>
        <v>12.58</v>
      </c>
      <c r="U22" s="92"/>
      <c r="V22" s="93" t="n">
        <v>345112</v>
      </c>
      <c r="W22" s="85"/>
      <c r="X22" s="94"/>
      <c r="Y22" s="9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12.75" hidden="false" customHeight="false" outlineLevel="0" collapsed="false">
      <c r="A23" s="84"/>
      <c r="B23" s="85" t="s">
        <v>186</v>
      </c>
      <c r="C23" s="86" t="s">
        <v>187</v>
      </c>
      <c r="D23" s="86" t="s">
        <v>192</v>
      </c>
      <c r="E23" s="87" t="n">
        <v>36770</v>
      </c>
      <c r="F23" s="87" t="n">
        <v>37104</v>
      </c>
      <c r="G23" s="85" t="s">
        <v>189</v>
      </c>
      <c r="H23" s="85" t="s">
        <v>190</v>
      </c>
      <c r="I23" s="86" t="s">
        <v>191</v>
      </c>
      <c r="J23" s="88" t="n">
        <f aca="false">3.145/J$1</f>
        <v>0.101451612903226</v>
      </c>
      <c r="K23" s="89"/>
      <c r="L23" s="89"/>
      <c r="M23" s="89"/>
      <c r="N23" s="89"/>
      <c r="O23" s="90"/>
      <c r="P23" s="89"/>
      <c r="Q23" s="91" t="n">
        <v>69145</v>
      </c>
      <c r="R23" s="86" t="n">
        <v>63</v>
      </c>
      <c r="S23" s="85" t="s">
        <v>202</v>
      </c>
      <c r="T23" s="92" t="n">
        <f aca="false">+R23*J23*J1</f>
        <v>198.135</v>
      </c>
      <c r="U23" s="92"/>
      <c r="V23" s="93" t="n">
        <v>372169</v>
      </c>
      <c r="W23" s="85"/>
      <c r="X23" s="94"/>
      <c r="Y23" s="9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12.75" hidden="false" customHeight="false" outlineLevel="0" collapsed="false">
      <c r="A24" s="84"/>
      <c r="B24" s="85" t="s">
        <v>186</v>
      </c>
      <c r="C24" s="86" t="s">
        <v>187</v>
      </c>
      <c r="D24" s="86" t="s">
        <v>192</v>
      </c>
      <c r="E24" s="87" t="n">
        <v>36800</v>
      </c>
      <c r="F24" s="87" t="n">
        <v>37164</v>
      </c>
      <c r="G24" s="85" t="s">
        <v>189</v>
      </c>
      <c r="H24" s="85" t="s">
        <v>190</v>
      </c>
      <c r="I24" s="86" t="s">
        <v>191</v>
      </c>
      <c r="J24" s="88" t="n">
        <f aca="false">3.145/J$1</f>
        <v>0.101451612903226</v>
      </c>
      <c r="K24" s="89"/>
      <c r="L24" s="89"/>
      <c r="M24" s="89"/>
      <c r="N24" s="89"/>
      <c r="O24" s="90"/>
      <c r="P24" s="89"/>
      <c r="Q24" s="91" t="n">
        <v>69357</v>
      </c>
      <c r="R24" s="86" t="n">
        <v>13</v>
      </c>
      <c r="S24" s="85" t="s">
        <v>203</v>
      </c>
      <c r="T24" s="92" t="n">
        <f aca="false">+R24*J24*J1</f>
        <v>40.885</v>
      </c>
      <c r="U24" s="92"/>
      <c r="V24" s="93" t="n">
        <v>418249</v>
      </c>
      <c r="W24" s="85"/>
      <c r="X24" s="94"/>
      <c r="Y24" s="9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  <row r="25" customFormat="false" ht="12.75" hidden="false" customHeight="false" outlineLevel="0" collapsed="false">
      <c r="A25" s="84"/>
      <c r="B25" s="85" t="s">
        <v>186</v>
      </c>
      <c r="C25" s="86" t="s">
        <v>187</v>
      </c>
      <c r="D25" s="86" t="s">
        <v>188</v>
      </c>
      <c r="E25" s="87" t="n">
        <v>36647</v>
      </c>
      <c r="F25" s="87" t="n">
        <v>37011</v>
      </c>
      <c r="G25" s="85" t="s">
        <v>189</v>
      </c>
      <c r="H25" s="85" t="s">
        <v>190</v>
      </c>
      <c r="I25" s="86" t="s">
        <v>191</v>
      </c>
      <c r="J25" s="88" t="n">
        <f aca="false">3.145/J$1</f>
        <v>0.101451612903226</v>
      </c>
      <c r="K25" s="89"/>
      <c r="L25" s="89"/>
      <c r="M25" s="89"/>
      <c r="N25" s="89"/>
      <c r="O25" s="90"/>
      <c r="P25" s="89"/>
      <c r="Q25" s="91" t="n">
        <v>68281</v>
      </c>
      <c r="R25" s="86" t="n">
        <v>21</v>
      </c>
      <c r="S25" s="85" t="s">
        <v>204</v>
      </c>
      <c r="T25" s="92" t="n">
        <f aca="false">+R25*J25*$J$1</f>
        <v>66.045</v>
      </c>
      <c r="U25" s="92"/>
      <c r="V25" s="93" t="n">
        <v>256413</v>
      </c>
      <c r="W25" s="85"/>
      <c r="X25" s="94"/>
      <c r="Y25" s="9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7" customFormat="false" ht="12.75" hidden="false" customHeight="false" outlineLevel="0" collapsed="false">
      <c r="A27" s="96"/>
      <c r="B27" s="57"/>
      <c r="C27" s="55"/>
      <c r="D27" s="55"/>
      <c r="E27" s="56"/>
      <c r="F27" s="56"/>
      <c r="G27" s="57"/>
      <c r="H27" s="57"/>
      <c r="I27" s="55"/>
      <c r="J27" s="69"/>
      <c r="K27" s="60"/>
      <c r="L27" s="60"/>
      <c r="M27" s="60"/>
      <c r="N27" s="60"/>
      <c r="O27" s="61"/>
      <c r="P27" s="60"/>
      <c r="Q27" s="62"/>
      <c r="R27" s="55"/>
      <c r="S27" s="57"/>
      <c r="T27" s="97"/>
      <c r="U27" s="97"/>
      <c r="V27" s="98"/>
      <c r="W27" s="57"/>
      <c r="X27" s="83"/>
      <c r="Y27" s="83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</row>
    <row r="28" customFormat="false" ht="12.75" hidden="false" customHeight="false" outlineLevel="0" collapsed="false">
      <c r="B28" s="57"/>
      <c r="C28" s="55"/>
      <c r="D28" s="55"/>
      <c r="E28" s="56"/>
      <c r="F28" s="56"/>
      <c r="G28" s="57"/>
      <c r="H28" s="57"/>
      <c r="I28" s="55"/>
      <c r="J28" s="69"/>
      <c r="K28" s="60"/>
      <c r="L28" s="99"/>
      <c r="M28" s="60"/>
      <c r="N28" s="60"/>
      <c r="O28" s="61"/>
      <c r="P28" s="60"/>
      <c r="Q28" s="62"/>
      <c r="R28" s="63" t="n">
        <f aca="false">SUM(R12:R26)</f>
        <v>1785</v>
      </c>
      <c r="S28" s="55"/>
      <c r="T28" s="97" t="n">
        <f aca="false">SUM(T12:T27)</f>
        <v>5613.825</v>
      </c>
      <c r="U28" s="97"/>
      <c r="V28" s="98"/>
      <c r="W28" s="57"/>
      <c r="X28" s="83"/>
      <c r="Y28" s="83"/>
    </row>
    <row r="29" customFormat="false" ht="12.75" hidden="false" customHeight="false" outlineLevel="0" collapsed="false">
      <c r="B29" s="74" t="s">
        <v>166</v>
      </c>
      <c r="C29" s="75" t="s">
        <v>167</v>
      </c>
      <c r="D29" s="75" t="s">
        <v>168</v>
      </c>
      <c r="E29" s="76" t="s">
        <v>169</v>
      </c>
      <c r="F29" s="76"/>
      <c r="G29" s="74" t="s">
        <v>170</v>
      </c>
      <c r="H29" s="74" t="s">
        <v>171</v>
      </c>
      <c r="I29" s="75" t="s">
        <v>172</v>
      </c>
      <c r="J29" s="77" t="s">
        <v>173</v>
      </c>
      <c r="K29" s="75" t="s">
        <v>174</v>
      </c>
      <c r="L29" s="75" t="s">
        <v>175</v>
      </c>
      <c r="M29" s="75" t="s">
        <v>176</v>
      </c>
      <c r="N29" s="75" t="s">
        <v>177</v>
      </c>
      <c r="O29" s="78" t="s">
        <v>178</v>
      </c>
      <c r="P29" s="75" t="s">
        <v>179</v>
      </c>
      <c r="Q29" s="79" t="s">
        <v>180</v>
      </c>
      <c r="R29" s="75" t="s">
        <v>181</v>
      </c>
      <c r="S29" s="74" t="s">
        <v>182</v>
      </c>
      <c r="T29" s="80" t="s">
        <v>183</v>
      </c>
      <c r="U29" s="80" t="s">
        <v>184</v>
      </c>
      <c r="V29" s="81" t="s">
        <v>185</v>
      </c>
      <c r="W29" s="82" t="e">
        <f aca="false">+#REF!</f>
        <v>#REF!</v>
      </c>
      <c r="X29" s="83"/>
      <c r="Y29" s="83"/>
    </row>
    <row r="30" customFormat="false" ht="12" hidden="false" customHeight="true" outlineLevel="0" collapsed="false">
      <c r="A30" s="100"/>
      <c r="B30" s="101" t="s">
        <v>186</v>
      </c>
      <c r="C30" s="102" t="s">
        <v>205</v>
      </c>
      <c r="D30" s="102" t="s">
        <v>206</v>
      </c>
      <c r="E30" s="103" t="n">
        <v>36800</v>
      </c>
      <c r="F30" s="103" t="n">
        <v>36830</v>
      </c>
      <c r="G30" s="101"/>
      <c r="H30" s="101"/>
      <c r="I30" s="102" t="s">
        <v>207</v>
      </c>
      <c r="J30" s="104" t="n">
        <v>0.02834</v>
      </c>
      <c r="K30" s="105" t="n">
        <v>0</v>
      </c>
      <c r="L30" s="105" t="n">
        <v>0.0022</v>
      </c>
      <c r="M30" s="105" t="n">
        <v>0.0072</v>
      </c>
      <c r="N30" s="105" t="n">
        <v>0</v>
      </c>
      <c r="O30" s="106" t="n">
        <v>0</v>
      </c>
      <c r="P30" s="105" t="n">
        <f aca="false">SUM(J30:N30)</f>
        <v>0.03774</v>
      </c>
      <c r="Q30" s="107" t="s">
        <v>208</v>
      </c>
      <c r="R30" s="102" t="n">
        <v>250697</v>
      </c>
      <c r="S30" s="101" t="s">
        <v>209</v>
      </c>
      <c r="T30" s="108" t="n">
        <f aca="false">+J30*R30</f>
        <v>7104.75298</v>
      </c>
      <c r="U30" s="108"/>
      <c r="V30" s="109" t="n">
        <v>418306</v>
      </c>
      <c r="W30" s="110" t="s">
        <v>210</v>
      </c>
      <c r="X30" s="111"/>
      <c r="Y30" s="111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" hidden="false" customHeight="true" outlineLevel="0" collapsed="false">
      <c r="A31" s="100"/>
      <c r="B31" s="101" t="s">
        <v>186</v>
      </c>
      <c r="C31" s="102" t="s">
        <v>205</v>
      </c>
      <c r="D31" s="102" t="s">
        <v>206</v>
      </c>
      <c r="E31" s="103" t="n">
        <v>36800</v>
      </c>
      <c r="F31" s="103" t="n">
        <v>36830</v>
      </c>
      <c r="G31" s="101"/>
      <c r="H31" s="101"/>
      <c r="I31" s="102" t="s">
        <v>207</v>
      </c>
      <c r="J31" s="104" t="n">
        <f aca="false">1.544/J1</f>
        <v>0.0498064516129032</v>
      </c>
      <c r="K31" s="105" t="n">
        <v>0</v>
      </c>
      <c r="L31" s="105" t="n">
        <v>0.0022</v>
      </c>
      <c r="M31" s="105" t="n">
        <v>0.0072</v>
      </c>
      <c r="N31" s="105" t="n">
        <v>0</v>
      </c>
      <c r="O31" s="106" t="n">
        <v>0</v>
      </c>
      <c r="P31" s="105" t="n">
        <f aca="false">SUM(J31:N31)</f>
        <v>0.0592064516129032</v>
      </c>
      <c r="Q31" s="107" t="s">
        <v>208</v>
      </c>
      <c r="R31" s="102" t="n">
        <v>5061</v>
      </c>
      <c r="S31" s="101" t="s">
        <v>211</v>
      </c>
      <c r="T31" s="108" t="n">
        <f aca="false">+J31*R31*30</f>
        <v>7562.1135483871</v>
      </c>
      <c r="U31" s="108"/>
      <c r="V31" s="109" t="n">
        <v>418306</v>
      </c>
      <c r="W31" s="110" t="s">
        <v>210</v>
      </c>
      <c r="X31" s="111"/>
      <c r="Y31" s="111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" hidden="false" customHeight="true" outlineLevel="0" collapsed="false">
      <c r="A32" s="100"/>
      <c r="B32" s="101" t="s">
        <v>186</v>
      </c>
      <c r="C32" s="102" t="s">
        <v>205</v>
      </c>
      <c r="D32" s="102" t="s">
        <v>206</v>
      </c>
      <c r="E32" s="103" t="n">
        <v>36800</v>
      </c>
      <c r="F32" s="103" t="n">
        <v>36830</v>
      </c>
      <c r="G32" s="101"/>
      <c r="H32" s="101"/>
      <c r="I32" s="102" t="s">
        <v>207</v>
      </c>
      <c r="J32" s="104" t="n">
        <v>0.02834</v>
      </c>
      <c r="K32" s="105" t="n">
        <v>0</v>
      </c>
      <c r="L32" s="105" t="n">
        <v>0.0022</v>
      </c>
      <c r="M32" s="105" t="n">
        <v>0.0072</v>
      </c>
      <c r="N32" s="105" t="n">
        <v>0</v>
      </c>
      <c r="O32" s="106" t="n">
        <v>0</v>
      </c>
      <c r="P32" s="105" t="n">
        <f aca="false">SUM(J32:N32)</f>
        <v>0.03774</v>
      </c>
      <c r="Q32" s="107" t="s">
        <v>208</v>
      </c>
      <c r="R32" s="102" t="n">
        <v>3819</v>
      </c>
      <c r="S32" s="101" t="s">
        <v>209</v>
      </c>
      <c r="T32" s="108" t="n">
        <f aca="false">+J32*R32</f>
        <v>108.23046</v>
      </c>
      <c r="U32" s="108"/>
      <c r="V32" s="109" t="n">
        <v>418314</v>
      </c>
      <c r="W32" s="110" t="s">
        <v>212</v>
      </c>
      <c r="X32" s="111"/>
      <c r="Y32" s="111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12" hidden="false" customHeight="true" outlineLevel="0" collapsed="false">
      <c r="A33" s="100"/>
      <c r="B33" s="101" t="s">
        <v>186</v>
      </c>
      <c r="C33" s="102" t="s">
        <v>205</v>
      </c>
      <c r="D33" s="102" t="s">
        <v>206</v>
      </c>
      <c r="E33" s="103" t="n">
        <v>36800</v>
      </c>
      <c r="F33" s="103" t="n">
        <v>36830</v>
      </c>
      <c r="G33" s="101"/>
      <c r="H33" s="101"/>
      <c r="I33" s="102" t="s">
        <v>207</v>
      </c>
      <c r="J33" s="104" t="n">
        <f aca="false">1.544/J1</f>
        <v>0.0498064516129032</v>
      </c>
      <c r="K33" s="105" t="n">
        <v>0</v>
      </c>
      <c r="L33" s="105" t="n">
        <v>0.0022</v>
      </c>
      <c r="M33" s="105" t="n">
        <v>0.0072</v>
      </c>
      <c r="N33" s="105" t="n">
        <v>0</v>
      </c>
      <c r="O33" s="106" t="n">
        <v>0</v>
      </c>
      <c r="P33" s="105" t="n">
        <f aca="false">SUM(J33:N33)</f>
        <v>0.0592064516129032</v>
      </c>
      <c r="Q33" s="107" t="s">
        <v>208</v>
      </c>
      <c r="R33" s="102" t="n">
        <v>78</v>
      </c>
      <c r="S33" s="101" t="s">
        <v>211</v>
      </c>
      <c r="T33" s="108" t="n">
        <f aca="false">+J33*R33*30</f>
        <v>116.547096774194</v>
      </c>
      <c r="U33" s="108"/>
      <c r="V33" s="109" t="n">
        <v>418314</v>
      </c>
      <c r="W33" s="110" t="s">
        <v>212</v>
      </c>
      <c r="X33" s="111"/>
      <c r="Y33" s="111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</row>
    <row r="34" customFormat="false" ht="12" hidden="false" customHeight="true" outlineLevel="0" collapsed="false">
      <c r="A34" s="100"/>
      <c r="B34" s="101" t="s">
        <v>186</v>
      </c>
      <c r="C34" s="102" t="s">
        <v>205</v>
      </c>
      <c r="D34" s="102" t="s">
        <v>206</v>
      </c>
      <c r="E34" s="103" t="n">
        <v>36770</v>
      </c>
      <c r="F34" s="103" t="n">
        <v>37864</v>
      </c>
      <c r="G34" s="101"/>
      <c r="H34" s="101"/>
      <c r="I34" s="102" t="s">
        <v>207</v>
      </c>
      <c r="J34" s="104" t="n">
        <v>0.02834</v>
      </c>
      <c r="K34" s="105" t="n">
        <v>0</v>
      </c>
      <c r="L34" s="105" t="n">
        <v>0.0022</v>
      </c>
      <c r="M34" s="105" t="n">
        <v>0.0072</v>
      </c>
      <c r="N34" s="105" t="n">
        <v>0</v>
      </c>
      <c r="O34" s="106" t="n">
        <v>0</v>
      </c>
      <c r="P34" s="105" t="n">
        <f aca="false">SUM(J34:N34)</f>
        <v>0.03774</v>
      </c>
      <c r="Q34" s="107" t="s">
        <v>208</v>
      </c>
      <c r="R34" s="102" t="n">
        <f aca="false">+(33135+524690)*1.02</f>
        <v>568981.5</v>
      </c>
      <c r="S34" s="101" t="s">
        <v>209</v>
      </c>
      <c r="T34" s="108" t="n">
        <f aca="false">+J34*R34</f>
        <v>16124.93571</v>
      </c>
      <c r="U34" s="108"/>
      <c r="V34" s="109" t="n">
        <v>380799</v>
      </c>
      <c r="W34" s="101"/>
      <c r="X34" s="111"/>
      <c r="Y34" s="111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</row>
    <row r="35" customFormat="false" ht="12" hidden="false" customHeight="true" outlineLevel="0" collapsed="false">
      <c r="A35" s="100"/>
      <c r="B35" s="101" t="s">
        <v>186</v>
      </c>
      <c r="C35" s="102" t="s">
        <v>205</v>
      </c>
      <c r="D35" s="102" t="s">
        <v>206</v>
      </c>
      <c r="E35" s="103" t="n">
        <v>36770</v>
      </c>
      <c r="F35" s="103" t="n">
        <v>37864</v>
      </c>
      <c r="G35" s="101"/>
      <c r="H35" s="101"/>
      <c r="I35" s="102" t="s">
        <v>207</v>
      </c>
      <c r="J35" s="104" t="n">
        <f aca="false">1.544/31</f>
        <v>0.0498064516129032</v>
      </c>
      <c r="K35" s="105" t="n">
        <v>0</v>
      </c>
      <c r="L35" s="105" t="n">
        <v>0.0022</v>
      </c>
      <c r="M35" s="105" t="n">
        <v>0.0072</v>
      </c>
      <c r="N35" s="105" t="n">
        <v>0</v>
      </c>
      <c r="O35" s="106" t="n">
        <v>0</v>
      </c>
      <c r="P35" s="105" t="n">
        <f aca="false">SUM(J35:N35)</f>
        <v>0.0592064516129032</v>
      </c>
      <c r="Q35" s="107" t="s">
        <v>208</v>
      </c>
      <c r="R35" s="102" t="n">
        <f aca="false">(669+10594)*1.02</f>
        <v>11488.26</v>
      </c>
      <c r="S35" s="101" t="s">
        <v>211</v>
      </c>
      <c r="T35" s="108" t="n">
        <f aca="false">+J35*R35*30</f>
        <v>17165.6839741936</v>
      </c>
      <c r="U35" s="108"/>
      <c r="V35" s="109" t="n">
        <v>380799</v>
      </c>
      <c r="W35" s="101"/>
      <c r="X35" s="111"/>
      <c r="Y35" s="111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</row>
    <row r="36" customFormat="false" ht="12" hidden="false" customHeight="true" outlineLevel="0" collapsed="false">
      <c r="A36" s="100"/>
      <c r="B36" s="101" t="s">
        <v>186</v>
      </c>
      <c r="C36" s="102" t="s">
        <v>205</v>
      </c>
      <c r="D36" s="102" t="s">
        <v>206</v>
      </c>
      <c r="E36" s="103" t="n">
        <v>36770</v>
      </c>
      <c r="F36" s="103" t="n">
        <v>37864</v>
      </c>
      <c r="G36" s="101" t="s">
        <v>213</v>
      </c>
      <c r="H36" s="101" t="s">
        <v>214</v>
      </c>
      <c r="I36" s="102" t="s">
        <v>103</v>
      </c>
      <c r="J36" s="104" t="n">
        <f aca="false">10.913/J1</f>
        <v>0.352032258064516</v>
      </c>
      <c r="K36" s="105"/>
      <c r="L36" s="105"/>
      <c r="M36" s="105"/>
      <c r="N36" s="105"/>
      <c r="O36" s="106"/>
      <c r="P36" s="105"/>
      <c r="Q36" s="107" t="s">
        <v>215</v>
      </c>
      <c r="R36" s="102" t="n">
        <f aca="false">4477*1.02</f>
        <v>4566.54</v>
      </c>
      <c r="S36" s="112" t="n">
        <v>2000001592</v>
      </c>
      <c r="T36" s="108" t="n">
        <f aca="false">+J36*R36*30</f>
        <v>48227.0816322581</v>
      </c>
      <c r="U36" s="108"/>
      <c r="V36" s="109" t="n">
        <v>380785</v>
      </c>
      <c r="W36" s="101"/>
      <c r="X36" s="111"/>
      <c r="Y36" s="111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</row>
    <row r="37" customFormat="false" ht="12" hidden="false" customHeight="true" outlineLevel="0" collapsed="false">
      <c r="A37" s="100"/>
      <c r="B37" s="101" t="s">
        <v>186</v>
      </c>
      <c r="C37" s="102" t="s">
        <v>205</v>
      </c>
      <c r="D37" s="102" t="s">
        <v>206</v>
      </c>
      <c r="E37" s="103" t="n">
        <v>36800</v>
      </c>
      <c r="F37" s="103" t="n">
        <v>36830</v>
      </c>
      <c r="G37" s="101" t="s">
        <v>213</v>
      </c>
      <c r="H37" s="101" t="s">
        <v>214</v>
      </c>
      <c r="I37" s="102" t="s">
        <v>103</v>
      </c>
      <c r="J37" s="104" t="n">
        <f aca="false">10.913/J1</f>
        <v>0.352032258064516</v>
      </c>
      <c r="K37" s="105"/>
      <c r="L37" s="105"/>
      <c r="M37" s="105"/>
      <c r="N37" s="105"/>
      <c r="O37" s="106"/>
      <c r="P37" s="105"/>
      <c r="Q37" s="107" t="s">
        <v>215</v>
      </c>
      <c r="R37" s="102" t="n">
        <v>9090</v>
      </c>
      <c r="S37" s="110" t="s">
        <v>216</v>
      </c>
      <c r="T37" s="108" t="n">
        <f aca="false">+R37*J37*30</f>
        <v>95999.1967741936</v>
      </c>
      <c r="U37" s="108"/>
      <c r="V37" s="109" t="n">
        <v>418602</v>
      </c>
      <c r="W37" s="101"/>
      <c r="X37" s="111"/>
      <c r="Y37" s="111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2" hidden="false" customHeight="true" outlineLevel="0" collapsed="false">
      <c r="A38" s="100"/>
      <c r="B38" s="101" t="s">
        <v>186</v>
      </c>
      <c r="C38" s="102" t="s">
        <v>205</v>
      </c>
      <c r="D38" s="102" t="s">
        <v>206</v>
      </c>
      <c r="E38" s="103" t="n">
        <v>36770</v>
      </c>
      <c r="F38" s="103" t="n">
        <v>37864</v>
      </c>
      <c r="G38" s="101" t="s">
        <v>213</v>
      </c>
      <c r="H38" s="101" t="s">
        <v>214</v>
      </c>
      <c r="I38" s="102" t="s">
        <v>103</v>
      </c>
      <c r="J38" s="104" t="n">
        <f aca="false">10.913/J1</f>
        <v>0.352032258064516</v>
      </c>
      <c r="K38" s="105"/>
      <c r="L38" s="105"/>
      <c r="M38" s="105"/>
      <c r="N38" s="105"/>
      <c r="O38" s="106"/>
      <c r="P38" s="105"/>
      <c r="Q38" s="107" t="s">
        <v>215</v>
      </c>
      <c r="R38" s="102" t="n">
        <f aca="false">(16156+4118)*1.021</f>
        <v>20699.754</v>
      </c>
      <c r="S38" s="110" t="s">
        <v>217</v>
      </c>
      <c r="T38" s="108" t="n">
        <f aca="false">+R38*J38*30</f>
        <v>218609.43426</v>
      </c>
      <c r="U38" s="108"/>
      <c r="V38" s="109" t="n">
        <v>380770</v>
      </c>
      <c r="W38" s="101"/>
      <c r="X38" s="111"/>
      <c r="Y38" s="111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</row>
    <row r="39" customFormat="false" ht="12" hidden="false" customHeight="true" outlineLevel="0" collapsed="false">
      <c r="A39" s="100"/>
      <c r="B39" s="101" t="s">
        <v>186</v>
      </c>
      <c r="C39" s="102" t="s">
        <v>205</v>
      </c>
      <c r="D39" s="102" t="s">
        <v>206</v>
      </c>
      <c r="E39" s="103" t="n">
        <v>36770</v>
      </c>
      <c r="F39" s="103" t="n">
        <v>37864</v>
      </c>
      <c r="G39" s="101" t="s">
        <v>213</v>
      </c>
      <c r="H39" s="101" t="s">
        <v>218</v>
      </c>
      <c r="I39" s="102" t="s">
        <v>103</v>
      </c>
      <c r="J39" s="104" t="n">
        <f aca="false">8.223/J1</f>
        <v>0.265258064516129</v>
      </c>
      <c r="K39" s="105"/>
      <c r="L39" s="105"/>
      <c r="M39" s="105"/>
      <c r="N39" s="105"/>
      <c r="O39" s="106"/>
      <c r="P39" s="105"/>
      <c r="Q39" s="107" t="s">
        <v>215</v>
      </c>
      <c r="R39" s="102" t="n">
        <f aca="false">340*1.02</f>
        <v>346.8</v>
      </c>
      <c r="S39" s="113" t="n">
        <v>2000001604</v>
      </c>
      <c r="T39" s="108" t="n">
        <f aca="false">+R39*J39*30</f>
        <v>2759.74490322581</v>
      </c>
      <c r="U39" s="108"/>
      <c r="V39" s="109" t="n">
        <v>380777</v>
      </c>
      <c r="W39" s="101"/>
      <c r="X39" s="111"/>
      <c r="Y39" s="111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2" hidden="false" customHeight="true" outlineLevel="0" collapsed="false">
      <c r="A40" s="100"/>
      <c r="B40" s="101" t="s">
        <v>186</v>
      </c>
      <c r="C40" s="102" t="s">
        <v>205</v>
      </c>
      <c r="D40" s="102" t="s">
        <v>206</v>
      </c>
      <c r="E40" s="103" t="n">
        <v>36770</v>
      </c>
      <c r="F40" s="103" t="n">
        <v>36830</v>
      </c>
      <c r="G40" s="101" t="s">
        <v>213</v>
      </c>
      <c r="H40" s="101" t="s">
        <v>219</v>
      </c>
      <c r="I40" s="102" t="s">
        <v>103</v>
      </c>
      <c r="J40" s="104" t="n">
        <f aca="false">10.913/J1</f>
        <v>0.352032258064516</v>
      </c>
      <c r="K40" s="105"/>
      <c r="L40" s="105"/>
      <c r="M40" s="105"/>
      <c r="N40" s="105"/>
      <c r="O40" s="106"/>
      <c r="P40" s="105"/>
      <c r="Q40" s="107" t="s">
        <v>215</v>
      </c>
      <c r="R40" s="102" t="n">
        <f aca="false">457*1.02</f>
        <v>466.14</v>
      </c>
      <c r="S40" s="113" t="n">
        <v>2000001640</v>
      </c>
      <c r="T40" s="108" t="n">
        <f aca="false">+R40*J40*30</f>
        <v>4922.88950322581</v>
      </c>
      <c r="U40" s="108"/>
      <c r="V40" s="109" t="n">
        <v>380789</v>
      </c>
      <c r="W40" s="101"/>
      <c r="X40" s="111"/>
      <c r="Y40" s="111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" hidden="false" customHeight="true" outlineLevel="0" collapsed="false">
      <c r="A41" s="100"/>
      <c r="B41" s="101" t="s">
        <v>186</v>
      </c>
      <c r="C41" s="102" t="s">
        <v>205</v>
      </c>
      <c r="D41" s="102" t="s">
        <v>206</v>
      </c>
      <c r="E41" s="103" t="n">
        <v>36800</v>
      </c>
      <c r="F41" s="103" t="n">
        <v>36830</v>
      </c>
      <c r="G41" s="101"/>
      <c r="H41" s="101"/>
      <c r="I41" s="102" t="s">
        <v>103</v>
      </c>
      <c r="J41" s="104" t="n">
        <f aca="false">10.913/J1</f>
        <v>0.352032258064516</v>
      </c>
      <c r="K41" s="105"/>
      <c r="L41" s="105"/>
      <c r="M41" s="105"/>
      <c r="N41" s="105"/>
      <c r="O41" s="106"/>
      <c r="P41" s="105"/>
      <c r="Q41" s="107" t="s">
        <v>215</v>
      </c>
      <c r="R41" s="102" t="n">
        <v>201</v>
      </c>
      <c r="S41" s="101" t="s">
        <v>220</v>
      </c>
      <c r="T41" s="108" t="n">
        <f aca="false">J41*J$1*R41</f>
        <v>2193.513</v>
      </c>
      <c r="U41" s="108"/>
      <c r="V41" s="109" t="n">
        <v>418558</v>
      </c>
      <c r="W41" s="101"/>
      <c r="X41" s="111"/>
      <c r="Y41" s="111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2" hidden="false" customHeight="true" outlineLevel="0" collapsed="false">
      <c r="A42" s="100"/>
      <c r="B42" s="101" t="s">
        <v>186</v>
      </c>
      <c r="C42" s="102" t="s">
        <v>205</v>
      </c>
      <c r="D42" s="102" t="s">
        <v>206</v>
      </c>
      <c r="E42" s="103" t="n">
        <v>36800</v>
      </c>
      <c r="F42" s="103" t="n">
        <v>36830</v>
      </c>
      <c r="G42" s="101"/>
      <c r="H42" s="101"/>
      <c r="I42" s="102" t="s">
        <v>103</v>
      </c>
      <c r="J42" s="104" t="n">
        <f aca="false">10.913/31</f>
        <v>0.352032258064516</v>
      </c>
      <c r="K42" s="105"/>
      <c r="L42" s="105"/>
      <c r="M42" s="105"/>
      <c r="N42" s="105"/>
      <c r="O42" s="106"/>
      <c r="P42" s="105"/>
      <c r="Q42" s="107" t="s">
        <v>215</v>
      </c>
      <c r="R42" s="102" t="n">
        <v>1979</v>
      </c>
      <c r="S42" s="101" t="s">
        <v>221</v>
      </c>
      <c r="T42" s="108" t="n">
        <f aca="false">J42*J$1*R42</f>
        <v>21596.827</v>
      </c>
      <c r="U42" s="108"/>
      <c r="V42" s="109" t="n">
        <v>418286</v>
      </c>
      <c r="W42" s="101"/>
      <c r="X42" s="111"/>
      <c r="Y42" s="111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</row>
    <row r="43" customFormat="false" ht="12" hidden="false" customHeight="true" outlineLevel="0" collapsed="false">
      <c r="A43" s="100"/>
      <c r="B43" s="101" t="s">
        <v>186</v>
      </c>
      <c r="C43" s="102" t="s">
        <v>205</v>
      </c>
      <c r="D43" s="102" t="s">
        <v>206</v>
      </c>
      <c r="E43" s="103" t="n">
        <v>36800</v>
      </c>
      <c r="F43" s="103" t="n">
        <v>36830</v>
      </c>
      <c r="G43" s="101"/>
      <c r="H43" s="101"/>
      <c r="I43" s="102" t="s">
        <v>103</v>
      </c>
      <c r="J43" s="104" t="n">
        <f aca="false">8.223/J1</f>
        <v>0.265258064516129</v>
      </c>
      <c r="K43" s="105"/>
      <c r="L43" s="105"/>
      <c r="M43" s="105"/>
      <c r="N43" s="105"/>
      <c r="O43" s="106"/>
      <c r="P43" s="105"/>
      <c r="Q43" s="107" t="s">
        <v>215</v>
      </c>
      <c r="R43" s="102" t="n">
        <v>54</v>
      </c>
      <c r="S43" s="110" t="s">
        <v>222</v>
      </c>
      <c r="T43" s="108" t="n">
        <f aca="false">J43*J$1*R43</f>
        <v>444.042</v>
      </c>
      <c r="U43" s="108"/>
      <c r="V43" s="109" t="n">
        <v>418279</v>
      </c>
      <c r="W43" s="101"/>
      <c r="X43" s="111"/>
      <c r="Y43" s="111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12" hidden="false" customHeight="true" outlineLevel="0" collapsed="false">
      <c r="A44" s="100"/>
      <c r="B44" s="101" t="s">
        <v>186</v>
      </c>
      <c r="C44" s="102" t="s">
        <v>223</v>
      </c>
      <c r="D44" s="102" t="s">
        <v>206</v>
      </c>
      <c r="E44" s="103" t="n">
        <v>36804</v>
      </c>
      <c r="F44" s="103" t="n">
        <v>36830</v>
      </c>
      <c r="G44" s="101" t="s">
        <v>213</v>
      </c>
      <c r="H44" s="101" t="s">
        <v>213</v>
      </c>
      <c r="I44" s="102" t="s">
        <v>103</v>
      </c>
      <c r="J44" s="104" t="n">
        <f aca="false">4.75/J1</f>
        <v>0.153225806451613</v>
      </c>
      <c r="K44" s="105"/>
      <c r="L44" s="105"/>
      <c r="M44" s="105"/>
      <c r="N44" s="105"/>
      <c r="O44" s="106"/>
      <c r="P44" s="105"/>
      <c r="Q44" s="107" t="s">
        <v>224</v>
      </c>
      <c r="R44" s="102" t="n">
        <v>70</v>
      </c>
      <c r="S44" s="110" t="s">
        <v>225</v>
      </c>
      <c r="T44" s="108" t="n">
        <f aca="false">J44*J$1*R44</f>
        <v>332.5</v>
      </c>
      <c r="U44" s="108"/>
      <c r="V44" s="109" t="n">
        <v>425333</v>
      </c>
      <c r="W44" s="101"/>
      <c r="X44" s="111"/>
      <c r="Y44" s="111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12" hidden="false" customHeight="true" outlineLevel="0" collapsed="false">
      <c r="A45" s="100"/>
      <c r="B45" s="101" t="s">
        <v>186</v>
      </c>
      <c r="C45" s="102" t="s">
        <v>223</v>
      </c>
      <c r="D45" s="102" t="s">
        <v>206</v>
      </c>
      <c r="E45" s="103" t="n">
        <v>11597</v>
      </c>
      <c r="F45" s="103" t="n">
        <v>36830</v>
      </c>
      <c r="G45" s="101" t="s">
        <v>213</v>
      </c>
      <c r="H45" s="101" t="s">
        <v>213</v>
      </c>
      <c r="I45" s="102" t="s">
        <v>103</v>
      </c>
      <c r="J45" s="104" t="n">
        <f aca="false">4.75/31</f>
        <v>0.153225806451613</v>
      </c>
      <c r="K45" s="105"/>
      <c r="L45" s="105"/>
      <c r="M45" s="105"/>
      <c r="N45" s="105"/>
      <c r="O45" s="106"/>
      <c r="P45" s="105"/>
      <c r="Q45" s="107" t="s">
        <v>224</v>
      </c>
      <c r="R45" s="102" t="n">
        <v>154</v>
      </c>
      <c r="S45" s="110" t="s">
        <v>226</v>
      </c>
      <c r="T45" s="108" t="n">
        <f aca="false">+J45*R45*31</f>
        <v>731.5</v>
      </c>
      <c r="U45" s="108"/>
      <c r="V45" s="109" t="n">
        <v>418293</v>
      </c>
      <c r="W45" s="101"/>
      <c r="X45" s="111"/>
      <c r="Y45" s="111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</row>
    <row r="46" customFormat="false" ht="12" hidden="false" customHeight="true" outlineLevel="0" collapsed="false">
      <c r="A46" s="114"/>
      <c r="B46" s="115" t="s">
        <v>186</v>
      </c>
      <c r="C46" s="116" t="s">
        <v>223</v>
      </c>
      <c r="D46" s="116" t="s">
        <v>206</v>
      </c>
      <c r="E46" s="117" t="n">
        <v>36739</v>
      </c>
      <c r="F46" s="117" t="n">
        <v>36769</v>
      </c>
      <c r="G46" s="115" t="s">
        <v>213</v>
      </c>
      <c r="H46" s="115" t="s">
        <v>213</v>
      </c>
      <c r="I46" s="116" t="s">
        <v>103</v>
      </c>
      <c r="J46" s="118" t="n">
        <f aca="false">10.913/31</f>
        <v>0.352032258064516</v>
      </c>
      <c r="K46" s="119"/>
      <c r="L46" s="119"/>
      <c r="M46" s="119"/>
      <c r="N46" s="119"/>
      <c r="O46" s="120"/>
      <c r="P46" s="119"/>
      <c r="Q46" s="121" t="s">
        <v>224</v>
      </c>
      <c r="R46" s="116" t="n">
        <f aca="false">431+67</f>
        <v>498</v>
      </c>
      <c r="S46" s="115"/>
      <c r="T46" s="122" t="n">
        <f aca="false">J46*J$1*R46</f>
        <v>5434.674</v>
      </c>
      <c r="U46" s="122"/>
      <c r="V46" s="123" t="n">
        <v>345006</v>
      </c>
      <c r="W46" s="115"/>
      <c r="X46" s="124"/>
      <c r="Y46" s="12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4"/>
      <c r="GE46" s="114"/>
      <c r="GF46" s="114"/>
      <c r="GG46" s="114"/>
      <c r="GH46" s="114"/>
      <c r="GI46" s="114"/>
      <c r="GJ46" s="114"/>
      <c r="GK46" s="114"/>
      <c r="GL46" s="114"/>
      <c r="GM46" s="114"/>
      <c r="GN46" s="114"/>
      <c r="GO46" s="114"/>
      <c r="GP46" s="114"/>
      <c r="GQ46" s="114"/>
      <c r="GR46" s="114"/>
      <c r="GS46" s="114"/>
      <c r="GT46" s="114"/>
      <c r="GU46" s="114"/>
      <c r="GV46" s="114"/>
      <c r="GW46" s="114"/>
      <c r="GX46" s="114"/>
      <c r="GY46" s="114"/>
      <c r="GZ46" s="114"/>
      <c r="HA46" s="114"/>
      <c r="HB46" s="114"/>
      <c r="HC46" s="114"/>
      <c r="HD46" s="114"/>
      <c r="HE46" s="114"/>
      <c r="HF46" s="114"/>
      <c r="HG46" s="114"/>
      <c r="HH46" s="114"/>
      <c r="HI46" s="114"/>
      <c r="HJ46" s="114"/>
      <c r="HK46" s="114"/>
      <c r="HL46" s="114"/>
      <c r="HM46" s="114"/>
      <c r="HN46" s="114"/>
      <c r="HO46" s="114"/>
      <c r="HP46" s="114"/>
      <c r="HQ46" s="114"/>
      <c r="HR46" s="114"/>
      <c r="HS46" s="114"/>
      <c r="HT46" s="114"/>
      <c r="HU46" s="114"/>
      <c r="HV46" s="114"/>
      <c r="HW46" s="114"/>
      <c r="HX46" s="114"/>
      <c r="HY46" s="114"/>
      <c r="HZ46" s="114"/>
      <c r="IA46" s="114"/>
      <c r="IB46" s="114"/>
      <c r="IC46" s="114"/>
      <c r="ID46" s="114"/>
      <c r="IE46" s="114"/>
      <c r="IF46" s="114"/>
      <c r="IG46" s="114"/>
      <c r="IH46" s="114"/>
      <c r="II46" s="114"/>
      <c r="IJ46" s="114"/>
      <c r="IK46" s="114"/>
      <c r="IL46" s="114"/>
      <c r="IM46" s="114"/>
      <c r="IN46" s="114"/>
      <c r="IO46" s="114"/>
      <c r="IP46" s="114"/>
      <c r="IQ46" s="114"/>
      <c r="IR46" s="114"/>
      <c r="IS46" s="114"/>
      <c r="IT46" s="114"/>
      <c r="IU46" s="114"/>
      <c r="IV46" s="114"/>
      <c r="IW46" s="114"/>
    </row>
    <row r="47" customFormat="false" ht="12" hidden="false" customHeight="true" outlineLevel="0" collapsed="false">
      <c r="A47" s="96"/>
      <c r="B47" s="57"/>
      <c r="C47" s="55"/>
      <c r="D47" s="55"/>
      <c r="E47" s="56"/>
      <c r="F47" s="56"/>
      <c r="G47" s="57"/>
      <c r="H47" s="57"/>
      <c r="I47" s="55"/>
      <c r="J47" s="69"/>
      <c r="K47" s="60"/>
      <c r="L47" s="60"/>
      <c r="M47" s="60"/>
      <c r="N47" s="60"/>
      <c r="O47" s="61"/>
      <c r="P47" s="60"/>
      <c r="Q47" s="62"/>
      <c r="R47" s="55"/>
      <c r="S47" s="57"/>
      <c r="T47" s="97"/>
      <c r="U47" s="97"/>
      <c r="V47" s="98"/>
      <c r="W47" s="57"/>
      <c r="X47" s="83"/>
      <c r="Y47" s="83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  <c r="IT47" s="96"/>
      <c r="IU47" s="96"/>
      <c r="IV47" s="96"/>
      <c r="IW47" s="96"/>
    </row>
    <row r="48" customFormat="false" ht="12.75" hidden="false" customHeight="false" outlineLevel="0" collapsed="false">
      <c r="A48" s="96"/>
      <c r="B48" s="57"/>
      <c r="C48" s="55"/>
      <c r="D48" s="55"/>
      <c r="E48" s="56"/>
      <c r="F48" s="56"/>
      <c r="G48" s="57"/>
      <c r="H48" s="57"/>
      <c r="I48" s="55"/>
      <c r="J48" s="69"/>
      <c r="K48" s="60"/>
      <c r="L48" s="60"/>
      <c r="M48" s="60"/>
      <c r="N48" s="60"/>
      <c r="O48" s="61"/>
      <c r="P48" s="60"/>
      <c r="Q48" s="62"/>
      <c r="R48" s="55"/>
      <c r="S48" s="57"/>
      <c r="T48" s="97" t="n">
        <f aca="false">SUM(T30:T47)</f>
        <v>449433.666842258</v>
      </c>
      <c r="U48" s="97"/>
      <c r="V48" s="98"/>
      <c r="W48" s="57"/>
      <c r="X48" s="83"/>
      <c r="Y48" s="83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  <c r="IT48" s="96"/>
      <c r="IU48" s="96"/>
      <c r="IV48" s="96"/>
      <c r="IW48" s="96"/>
    </row>
    <row r="49" customFormat="false" ht="12.75" hidden="false" customHeight="false" outlineLevel="0" collapsed="false">
      <c r="B49" s="74" t="s">
        <v>166</v>
      </c>
      <c r="C49" s="75" t="s">
        <v>167</v>
      </c>
      <c r="D49" s="75" t="s">
        <v>168</v>
      </c>
      <c r="E49" s="76" t="s">
        <v>169</v>
      </c>
      <c r="F49" s="76"/>
      <c r="G49" s="74" t="s">
        <v>170</v>
      </c>
      <c r="H49" s="74" t="s">
        <v>171</v>
      </c>
      <c r="I49" s="75" t="s">
        <v>172</v>
      </c>
      <c r="J49" s="77" t="s">
        <v>173</v>
      </c>
      <c r="K49" s="75" t="s">
        <v>174</v>
      </c>
      <c r="L49" s="75" t="s">
        <v>175</v>
      </c>
      <c r="M49" s="75" t="s">
        <v>176</v>
      </c>
      <c r="N49" s="75" t="s">
        <v>177</v>
      </c>
      <c r="O49" s="78" t="s">
        <v>178</v>
      </c>
      <c r="P49" s="75" t="s">
        <v>179</v>
      </c>
      <c r="Q49" s="79" t="s">
        <v>180</v>
      </c>
      <c r="R49" s="75" t="s">
        <v>181</v>
      </c>
      <c r="S49" s="74" t="s">
        <v>182</v>
      </c>
      <c r="T49" s="80" t="s">
        <v>183</v>
      </c>
      <c r="U49" s="80" t="s">
        <v>184</v>
      </c>
      <c r="V49" s="81" t="s">
        <v>185</v>
      </c>
      <c r="W49" s="82" t="e">
        <f aca="false">+#REF!</f>
        <v>#REF!</v>
      </c>
      <c r="X49" s="83"/>
      <c r="Y49" s="83"/>
    </row>
    <row r="50" customFormat="false" ht="12.75" hidden="false" customHeight="false" outlineLevel="0" collapsed="false">
      <c r="A50" s="84"/>
      <c r="B50" s="85" t="s">
        <v>186</v>
      </c>
      <c r="C50" s="86" t="s">
        <v>227</v>
      </c>
      <c r="D50" s="86" t="s">
        <v>228</v>
      </c>
      <c r="E50" s="87" t="n">
        <v>36800</v>
      </c>
      <c r="F50" s="87" t="s">
        <v>229</v>
      </c>
      <c r="G50" s="85" t="s">
        <v>230</v>
      </c>
      <c r="H50" s="85" t="s">
        <v>231</v>
      </c>
      <c r="I50" s="86" t="s">
        <v>232</v>
      </c>
      <c r="J50" s="88" t="n">
        <f aca="false">5.17/+J1</f>
        <v>0.166774193548387</v>
      </c>
      <c r="K50" s="89" t="n">
        <v>0.0763</v>
      </c>
      <c r="L50" s="89" t="n">
        <v>0.0022</v>
      </c>
      <c r="M50" s="89" t="n">
        <v>0.0072</v>
      </c>
      <c r="N50" s="89" t="n">
        <v>0</v>
      </c>
      <c r="O50" s="90" t="n">
        <v>0.0279</v>
      </c>
      <c r="P50" s="89" t="n">
        <f aca="false">SUM(J50:N50)</f>
        <v>0.252474193548387</v>
      </c>
      <c r="Q50" s="91" t="n">
        <v>34852</v>
      </c>
      <c r="R50" s="86" t="n">
        <v>1052</v>
      </c>
      <c r="S50" s="85" t="s">
        <v>233</v>
      </c>
      <c r="T50" s="92" t="n">
        <f aca="false">J50*J$1*R50</f>
        <v>5438.84</v>
      </c>
      <c r="U50" s="92"/>
      <c r="V50" s="93" t="n">
        <v>418340</v>
      </c>
      <c r="W50" s="85" t="s">
        <v>234</v>
      </c>
      <c r="X50" s="94"/>
      <c r="Y50" s="9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  <c r="IW50" s="84"/>
    </row>
    <row r="51" customFormat="false" ht="12.75" hidden="false" customHeight="false" outlineLevel="0" collapsed="false">
      <c r="A51" s="84"/>
      <c r="B51" s="85" t="s">
        <v>186</v>
      </c>
      <c r="C51" s="86" t="s">
        <v>227</v>
      </c>
      <c r="D51" s="86" t="s">
        <v>228</v>
      </c>
      <c r="E51" s="87" t="n">
        <v>36770</v>
      </c>
      <c r="F51" s="87" t="n">
        <v>36829</v>
      </c>
      <c r="G51" s="85" t="s">
        <v>230</v>
      </c>
      <c r="H51" s="85" t="s">
        <v>231</v>
      </c>
      <c r="I51" s="86" t="s">
        <v>232</v>
      </c>
      <c r="J51" s="88" t="n">
        <f aca="false">4.92/J1</f>
        <v>0.158709677419355</v>
      </c>
      <c r="K51" s="89" t="n">
        <v>0.0763</v>
      </c>
      <c r="L51" s="89" t="n">
        <v>0.0022</v>
      </c>
      <c r="M51" s="89" t="n">
        <v>0.0072</v>
      </c>
      <c r="N51" s="89" t="n">
        <v>0</v>
      </c>
      <c r="O51" s="90" t="n">
        <v>0.0279</v>
      </c>
      <c r="P51" s="89" t="n">
        <f aca="false">SUM(J51:N51)</f>
        <v>0.244409677419355</v>
      </c>
      <c r="Q51" s="91" t="n">
        <v>34608</v>
      </c>
      <c r="R51" s="86" t="n">
        <v>2455</v>
      </c>
      <c r="S51" s="85" t="s">
        <v>233</v>
      </c>
      <c r="T51" s="92" t="n">
        <f aca="false">J51*J$1*R51</f>
        <v>12078.6</v>
      </c>
      <c r="U51" s="92"/>
      <c r="V51" s="93" t="n">
        <v>379572</v>
      </c>
      <c r="W51" s="85"/>
      <c r="X51" s="94"/>
      <c r="Y51" s="9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</row>
    <row r="52" customFormat="false" ht="12.75" hidden="false" customHeight="false" outlineLevel="0" collapsed="false">
      <c r="A52" s="84"/>
      <c r="B52" s="85" t="s">
        <v>186</v>
      </c>
      <c r="C52" s="86" t="s">
        <v>235</v>
      </c>
      <c r="D52" s="86" t="s">
        <v>228</v>
      </c>
      <c r="E52" s="87" t="n">
        <v>36800</v>
      </c>
      <c r="F52" s="87" t="n">
        <v>36830</v>
      </c>
      <c r="G52" s="85" t="s">
        <v>236</v>
      </c>
      <c r="H52" s="85" t="s">
        <v>228</v>
      </c>
      <c r="I52" s="86" t="s">
        <v>232</v>
      </c>
      <c r="J52" s="88" t="n">
        <f aca="false">11.95/J1</f>
        <v>0.385483870967742</v>
      </c>
      <c r="K52" s="89" t="n">
        <v>0</v>
      </c>
      <c r="L52" s="89" t="n">
        <v>0.0022</v>
      </c>
      <c r="M52" s="89" t="n">
        <v>0.0072</v>
      </c>
      <c r="N52" s="89" t="n">
        <v>0</v>
      </c>
      <c r="O52" s="90" t="n">
        <v>0.0222</v>
      </c>
      <c r="P52" s="89" t="n">
        <f aca="false">SUM(J52:N52)</f>
        <v>0.394883870967742</v>
      </c>
      <c r="Q52" s="91" t="n">
        <v>34862</v>
      </c>
      <c r="R52" s="86" t="n">
        <v>1187</v>
      </c>
      <c r="S52" s="85" t="s">
        <v>233</v>
      </c>
      <c r="T52" s="92" t="n">
        <f aca="false">J52*J$1*R52</f>
        <v>14184.65</v>
      </c>
      <c r="U52" s="92"/>
      <c r="V52" s="93" t="n">
        <v>418362</v>
      </c>
      <c r="W52" s="85" t="s">
        <v>234</v>
      </c>
      <c r="X52" s="94"/>
      <c r="Y52" s="9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12.75" hidden="false" customHeight="false" outlineLevel="0" collapsed="false">
      <c r="A53" s="84"/>
      <c r="B53" s="85" t="s">
        <v>186</v>
      </c>
      <c r="C53" s="86" t="s">
        <v>235</v>
      </c>
      <c r="D53" s="86" t="s">
        <v>228</v>
      </c>
      <c r="E53" s="87" t="n">
        <v>36770</v>
      </c>
      <c r="F53" s="87" t="n">
        <v>36829</v>
      </c>
      <c r="G53" s="85" t="s">
        <v>236</v>
      </c>
      <c r="H53" s="85" t="s">
        <v>228</v>
      </c>
      <c r="I53" s="86" t="s">
        <v>232</v>
      </c>
      <c r="J53" s="88" t="n">
        <f aca="false">7.36/J1</f>
        <v>0.23741935483871</v>
      </c>
      <c r="K53" s="89" t="n">
        <v>0</v>
      </c>
      <c r="L53" s="89" t="n">
        <v>0.0022</v>
      </c>
      <c r="M53" s="89" t="n">
        <v>0.0072</v>
      </c>
      <c r="N53" s="89" t="n">
        <v>0</v>
      </c>
      <c r="O53" s="90" t="n">
        <v>0.0222</v>
      </c>
      <c r="P53" s="89" t="n">
        <f aca="false">SUM(J53:N53)</f>
        <v>0.24681935483871</v>
      </c>
      <c r="Q53" s="91" t="n">
        <v>34594</v>
      </c>
      <c r="R53" s="86" t="n">
        <v>2738</v>
      </c>
      <c r="S53" s="85" t="s">
        <v>233</v>
      </c>
      <c r="T53" s="92" t="n">
        <f aca="false">J53*J$1*R53</f>
        <v>20151.68</v>
      </c>
      <c r="U53" s="92"/>
      <c r="V53" s="93" t="n">
        <v>379663</v>
      </c>
      <c r="W53" s="85"/>
      <c r="X53" s="94"/>
      <c r="Y53" s="9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12.75" hidden="false" customHeight="false" outlineLevel="0" collapsed="false">
      <c r="A54" s="84"/>
      <c r="B54" s="85" t="s">
        <v>186</v>
      </c>
      <c r="C54" s="86" t="s">
        <v>227</v>
      </c>
      <c r="D54" s="86" t="s">
        <v>228</v>
      </c>
      <c r="E54" s="87" t="n">
        <v>36770</v>
      </c>
      <c r="F54" s="87" t="n">
        <v>36830</v>
      </c>
      <c r="G54" s="85" t="s">
        <v>237</v>
      </c>
      <c r="H54" s="85"/>
      <c r="I54" s="86" t="s">
        <v>238</v>
      </c>
      <c r="J54" s="88" t="n">
        <v>0.0248</v>
      </c>
      <c r="K54" s="89"/>
      <c r="L54" s="89"/>
      <c r="M54" s="89"/>
      <c r="N54" s="89"/>
      <c r="O54" s="90"/>
      <c r="P54" s="89"/>
      <c r="Q54" s="91" t="n">
        <v>34614</v>
      </c>
      <c r="R54" s="86" t="n">
        <v>146488</v>
      </c>
      <c r="S54" s="85"/>
      <c r="T54" s="92" t="n">
        <f aca="false">J54*R54</f>
        <v>3632.9024</v>
      </c>
      <c r="U54" s="92"/>
      <c r="V54" s="93" t="n">
        <v>379889</v>
      </c>
      <c r="W54" s="85"/>
      <c r="X54" s="94"/>
      <c r="Y54" s="9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13.5" hidden="false" customHeight="true" outlineLevel="0" collapsed="false">
      <c r="A55" s="84"/>
      <c r="B55" s="85" t="s">
        <v>186</v>
      </c>
      <c r="C55" s="86" t="s">
        <v>227</v>
      </c>
      <c r="D55" s="86" t="s">
        <v>228</v>
      </c>
      <c r="E55" s="87" t="n">
        <v>36770</v>
      </c>
      <c r="F55" s="87" t="n">
        <v>36830</v>
      </c>
      <c r="G55" s="85" t="s">
        <v>237</v>
      </c>
      <c r="H55" s="85"/>
      <c r="I55" s="86" t="s">
        <v>238</v>
      </c>
      <c r="J55" s="88" t="n">
        <f aca="false">2.02/J1</f>
        <v>0.0651612903225806</v>
      </c>
      <c r="K55" s="89"/>
      <c r="L55" s="89"/>
      <c r="M55" s="89"/>
      <c r="N55" s="89"/>
      <c r="O55" s="90"/>
      <c r="P55" s="89"/>
      <c r="Q55" s="91" t="n">
        <v>34614</v>
      </c>
      <c r="R55" s="86" t="n">
        <v>979</v>
      </c>
      <c r="S55" s="85"/>
      <c r="T55" s="92" t="n">
        <f aca="false">J55*J$1*R55</f>
        <v>1977.58</v>
      </c>
      <c r="U55" s="92"/>
      <c r="V55" s="93" t="n">
        <v>379889</v>
      </c>
      <c r="W55" s="85"/>
      <c r="X55" s="94"/>
      <c r="Y55" s="9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</row>
    <row r="56" customFormat="false" ht="12.75" hidden="false" customHeight="false" outlineLevel="0" collapsed="false">
      <c r="A56" s="84"/>
      <c r="B56" s="85" t="s">
        <v>186</v>
      </c>
      <c r="C56" s="86" t="s">
        <v>227</v>
      </c>
      <c r="D56" s="86" t="s">
        <v>228</v>
      </c>
      <c r="E56" s="87" t="n">
        <v>36800</v>
      </c>
      <c r="F56" s="87" t="n">
        <v>36830</v>
      </c>
      <c r="G56" s="85" t="s">
        <v>237</v>
      </c>
      <c r="H56" s="85"/>
      <c r="I56" s="86" t="s">
        <v>238</v>
      </c>
      <c r="J56" s="88" t="n">
        <v>0.0248</v>
      </c>
      <c r="K56" s="89"/>
      <c r="L56" s="89"/>
      <c r="M56" s="89"/>
      <c r="N56" s="89"/>
      <c r="O56" s="90"/>
      <c r="P56" s="89"/>
      <c r="Q56" s="91" t="n">
        <v>34889</v>
      </c>
      <c r="R56" s="86" t="n">
        <v>63495</v>
      </c>
      <c r="S56" s="85"/>
      <c r="T56" s="92" t="n">
        <f aca="false">J56*R56</f>
        <v>1574.676</v>
      </c>
      <c r="U56" s="92"/>
      <c r="V56" s="93" t="n">
        <v>441742</v>
      </c>
      <c r="W56" s="85" t="s">
        <v>234</v>
      </c>
      <c r="X56" s="94"/>
      <c r="Y56" s="9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</row>
    <row r="57" customFormat="false" ht="12.75" hidden="false" customHeight="false" outlineLevel="0" collapsed="false">
      <c r="A57" s="84"/>
      <c r="B57" s="85" t="s">
        <v>186</v>
      </c>
      <c r="C57" s="86" t="s">
        <v>227</v>
      </c>
      <c r="D57" s="86" t="s">
        <v>228</v>
      </c>
      <c r="E57" s="87" t="n">
        <v>36800</v>
      </c>
      <c r="F57" s="87" t="n">
        <v>36830</v>
      </c>
      <c r="G57" s="85" t="s">
        <v>237</v>
      </c>
      <c r="H57" s="85"/>
      <c r="I57" s="86" t="s">
        <v>238</v>
      </c>
      <c r="J57" s="88" t="n">
        <f aca="false">2.02/J1</f>
        <v>0.0651612903225806</v>
      </c>
      <c r="K57" s="89"/>
      <c r="L57" s="89"/>
      <c r="M57" s="89"/>
      <c r="N57" s="89"/>
      <c r="O57" s="90"/>
      <c r="P57" s="89"/>
      <c r="Q57" s="91" t="n">
        <v>34889</v>
      </c>
      <c r="R57" s="86" t="n">
        <v>423</v>
      </c>
      <c r="S57" s="85"/>
      <c r="T57" s="92" t="n">
        <f aca="false">J57*J$1*R57</f>
        <v>854.46</v>
      </c>
      <c r="U57" s="92"/>
      <c r="V57" s="93" t="n">
        <v>441742</v>
      </c>
      <c r="W57" s="85" t="s">
        <v>234</v>
      </c>
      <c r="X57" s="94"/>
      <c r="Y57" s="9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</row>
    <row r="58" customFormat="false" ht="12.75" hidden="false" customHeight="false" outlineLevel="0" collapsed="false">
      <c r="A58" s="84"/>
      <c r="B58" s="85" t="s">
        <v>186</v>
      </c>
      <c r="C58" s="86" t="s">
        <v>227</v>
      </c>
      <c r="D58" s="86" t="s">
        <v>228</v>
      </c>
      <c r="E58" s="87" t="n">
        <v>36800</v>
      </c>
      <c r="F58" s="87" t="n">
        <v>36830</v>
      </c>
      <c r="G58" s="85" t="s">
        <v>239</v>
      </c>
      <c r="H58" s="85"/>
      <c r="I58" s="86" t="s">
        <v>240</v>
      </c>
      <c r="J58" s="88" t="n">
        <v>0.0187</v>
      </c>
      <c r="K58" s="89"/>
      <c r="L58" s="89"/>
      <c r="M58" s="89"/>
      <c r="N58" s="89"/>
      <c r="O58" s="90"/>
      <c r="P58" s="89"/>
      <c r="Q58" s="91" t="n">
        <v>34871</v>
      </c>
      <c r="R58" s="86" t="n">
        <v>22787</v>
      </c>
      <c r="S58" s="85"/>
      <c r="T58" s="92" t="n">
        <f aca="false">+R58*J58</f>
        <v>426.1169</v>
      </c>
      <c r="U58" s="92"/>
      <c r="V58" s="93" t="n">
        <v>387950</v>
      </c>
      <c r="W58" s="85" t="s">
        <v>234</v>
      </c>
      <c r="X58" s="94"/>
      <c r="Y58" s="9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2.75" hidden="false" customHeight="false" outlineLevel="0" collapsed="false">
      <c r="A59" s="84"/>
      <c r="B59" s="85" t="s">
        <v>186</v>
      </c>
      <c r="C59" s="86" t="s">
        <v>227</v>
      </c>
      <c r="D59" s="86" t="s">
        <v>228</v>
      </c>
      <c r="E59" s="87" t="n">
        <v>36800</v>
      </c>
      <c r="F59" s="87" t="n">
        <v>36830</v>
      </c>
      <c r="G59" s="85" t="s">
        <v>239</v>
      </c>
      <c r="H59" s="85"/>
      <c r="I59" s="86" t="s">
        <v>240</v>
      </c>
      <c r="J59" s="88" t="n">
        <f aca="false">1.17/J1</f>
        <v>0.037741935483871</v>
      </c>
      <c r="K59" s="89"/>
      <c r="L59" s="89"/>
      <c r="M59" s="89"/>
      <c r="N59" s="89"/>
      <c r="O59" s="90"/>
      <c r="P59" s="89"/>
      <c r="Q59" s="91" t="n">
        <v>34871</v>
      </c>
      <c r="R59" s="86" t="n">
        <v>152</v>
      </c>
      <c r="S59" s="85"/>
      <c r="T59" s="92" t="n">
        <f aca="false">+R59*J59*31</f>
        <v>177.84</v>
      </c>
      <c r="U59" s="92"/>
      <c r="V59" s="93" t="n">
        <v>387950</v>
      </c>
      <c r="W59" s="85" t="s">
        <v>234</v>
      </c>
      <c r="X59" s="94"/>
      <c r="Y59" s="9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2.75" hidden="false" customHeight="false" outlineLevel="0" collapsed="false">
      <c r="A60" s="84"/>
      <c r="B60" s="85" t="s">
        <v>186</v>
      </c>
      <c r="C60" s="86" t="s">
        <v>227</v>
      </c>
      <c r="D60" s="86" t="s">
        <v>228</v>
      </c>
      <c r="E60" s="87" t="n">
        <v>36770</v>
      </c>
      <c r="F60" s="87" t="n">
        <v>36830</v>
      </c>
      <c r="G60" s="85" t="s">
        <v>239</v>
      </c>
      <c r="H60" s="85"/>
      <c r="I60" s="86" t="s">
        <v>240</v>
      </c>
      <c r="J60" s="88" t="n">
        <v>0.0187</v>
      </c>
      <c r="K60" s="89"/>
      <c r="L60" s="89"/>
      <c r="M60" s="89"/>
      <c r="N60" s="89"/>
      <c r="O60" s="90"/>
      <c r="P60" s="89"/>
      <c r="Q60" s="91" t="n">
        <v>34576</v>
      </c>
      <c r="R60" s="86" t="n">
        <v>52573</v>
      </c>
      <c r="S60" s="85"/>
      <c r="T60" s="92" t="n">
        <f aca="false">+R60*J60</f>
        <v>983.1151</v>
      </c>
      <c r="U60" s="92"/>
      <c r="V60" s="93" t="n">
        <v>379856</v>
      </c>
      <c r="W60" s="85"/>
      <c r="X60" s="94"/>
      <c r="Y60" s="9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2.75" hidden="false" customHeight="false" outlineLevel="0" collapsed="false">
      <c r="A61" s="84"/>
      <c r="B61" s="85" t="s">
        <v>186</v>
      </c>
      <c r="C61" s="86" t="s">
        <v>227</v>
      </c>
      <c r="D61" s="86" t="s">
        <v>228</v>
      </c>
      <c r="E61" s="87" t="n">
        <v>36770</v>
      </c>
      <c r="F61" s="87" t="n">
        <v>36830</v>
      </c>
      <c r="G61" s="85" t="s">
        <v>239</v>
      </c>
      <c r="H61" s="85"/>
      <c r="I61" s="86" t="s">
        <v>240</v>
      </c>
      <c r="J61" s="88" t="n">
        <v>1.17</v>
      </c>
      <c r="K61" s="89"/>
      <c r="L61" s="89"/>
      <c r="M61" s="89"/>
      <c r="N61" s="89"/>
      <c r="O61" s="90"/>
      <c r="P61" s="89"/>
      <c r="Q61" s="91" t="n">
        <v>34576</v>
      </c>
      <c r="R61" s="86" t="n">
        <v>389</v>
      </c>
      <c r="S61" s="85"/>
      <c r="T61" s="92" t="n">
        <f aca="false">+R61*J61</f>
        <v>455.13</v>
      </c>
      <c r="U61" s="92"/>
      <c r="V61" s="93" t="n">
        <v>379856</v>
      </c>
      <c r="W61" s="85"/>
      <c r="X61" s="94"/>
      <c r="Y61" s="9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2.75" hidden="false" customHeight="false" outlineLevel="0" collapsed="false">
      <c r="B62" s="57"/>
      <c r="C62" s="55"/>
      <c r="D62" s="55"/>
      <c r="E62" s="56"/>
      <c r="F62" s="56"/>
      <c r="G62" s="57"/>
      <c r="H62" s="57"/>
      <c r="I62" s="55"/>
      <c r="J62" s="69"/>
      <c r="K62" s="60"/>
      <c r="L62" s="99"/>
      <c r="M62" s="60"/>
      <c r="N62" s="60"/>
      <c r="O62" s="61"/>
      <c r="P62" s="60"/>
      <c r="Q62" s="62"/>
      <c r="R62" s="63"/>
      <c r="S62" s="55"/>
      <c r="T62" s="97"/>
      <c r="U62" s="97"/>
      <c r="V62" s="98"/>
      <c r="W62" s="57"/>
      <c r="X62" s="83"/>
      <c r="Y62" s="83"/>
    </row>
    <row r="63" customFormat="false" ht="12.75" hidden="false" customHeight="false" outlineLevel="0" collapsed="false">
      <c r="B63" s="57"/>
      <c r="C63" s="55"/>
      <c r="D63" s="55"/>
      <c r="E63" s="56"/>
      <c r="F63" s="56"/>
      <c r="G63" s="57"/>
      <c r="H63" s="57"/>
      <c r="I63" s="55"/>
      <c r="J63" s="69"/>
      <c r="K63" s="60"/>
      <c r="L63" s="99"/>
      <c r="M63" s="60"/>
      <c r="N63" s="60"/>
      <c r="O63" s="125"/>
      <c r="P63" s="60"/>
      <c r="Q63" s="62"/>
      <c r="R63" s="55"/>
      <c r="S63" s="55"/>
      <c r="T63" s="126" t="n">
        <f aca="false">SUM(T50:T62)</f>
        <v>61935.5904</v>
      </c>
      <c r="W63" s="57"/>
      <c r="X63" s="127"/>
      <c r="Y63" s="127"/>
    </row>
    <row r="64" customFormat="false" ht="11.25" hidden="false" customHeight="true" outlineLevel="0" collapsed="false">
      <c r="B64" s="74" t="s">
        <v>166</v>
      </c>
      <c r="C64" s="75" t="s">
        <v>167</v>
      </c>
      <c r="D64" s="75" t="s">
        <v>168</v>
      </c>
      <c r="E64" s="76" t="s">
        <v>169</v>
      </c>
      <c r="F64" s="76"/>
      <c r="G64" s="74" t="s">
        <v>170</v>
      </c>
      <c r="H64" s="74" t="s">
        <v>171</v>
      </c>
      <c r="I64" s="75" t="s">
        <v>172</v>
      </c>
      <c r="J64" s="77" t="s">
        <v>173</v>
      </c>
      <c r="K64" s="75" t="s">
        <v>174</v>
      </c>
      <c r="L64" s="75" t="s">
        <v>175</v>
      </c>
      <c r="M64" s="75" t="s">
        <v>176</v>
      </c>
      <c r="N64" s="75" t="s">
        <v>177</v>
      </c>
      <c r="O64" s="78" t="s">
        <v>178</v>
      </c>
      <c r="P64" s="75" t="s">
        <v>179</v>
      </c>
      <c r="Q64" s="79" t="s">
        <v>180</v>
      </c>
      <c r="R64" s="75" t="s">
        <v>181</v>
      </c>
      <c r="S64" s="74" t="s">
        <v>182</v>
      </c>
      <c r="T64" s="80" t="s">
        <v>183</v>
      </c>
      <c r="U64" s="80" t="s">
        <v>184</v>
      </c>
      <c r="V64" s="81" t="s">
        <v>185</v>
      </c>
      <c r="W64" s="82" t="e">
        <f aca="false">+#REF!</f>
        <v>#REF!</v>
      </c>
      <c r="X64" s="83"/>
      <c r="Y64" s="83"/>
    </row>
    <row r="65" customFormat="false" ht="12.75" hidden="false" customHeight="false" outlineLevel="0" collapsed="false">
      <c r="A65" s="100"/>
      <c r="B65" s="101" t="s">
        <v>186</v>
      </c>
      <c r="C65" s="102" t="s">
        <v>62</v>
      </c>
      <c r="D65" s="102" t="s">
        <v>228</v>
      </c>
      <c r="E65" s="103" t="n">
        <v>36770</v>
      </c>
      <c r="F65" s="103" t="n">
        <v>37894</v>
      </c>
      <c r="G65" s="101" t="s">
        <v>241</v>
      </c>
      <c r="H65" s="101" t="s">
        <v>242</v>
      </c>
      <c r="I65" s="102" t="s">
        <v>243</v>
      </c>
      <c r="J65" s="104" t="n">
        <f aca="false">7.5654/J$1</f>
        <v>0.244045161290323</v>
      </c>
      <c r="K65" s="105" t="n">
        <v>0</v>
      </c>
      <c r="L65" s="105" t="n">
        <v>0.0022</v>
      </c>
      <c r="M65" s="105" t="n">
        <v>0</v>
      </c>
      <c r="N65" s="105" t="n">
        <v>0</v>
      </c>
      <c r="O65" s="106" t="n">
        <v>0</v>
      </c>
      <c r="P65" s="105" t="n">
        <f aca="false">SUM(J65:N65)</f>
        <v>0.246245161290323</v>
      </c>
      <c r="Q65" s="128" t="n">
        <v>3.6673</v>
      </c>
      <c r="R65" s="102" t="n">
        <v>764</v>
      </c>
      <c r="S65" s="101" t="s">
        <v>244</v>
      </c>
      <c r="T65" s="108" t="n">
        <f aca="false">J65*J$1*R65</f>
        <v>5779.9656</v>
      </c>
      <c r="U65" s="108"/>
      <c r="V65" s="109" t="n">
        <v>375520</v>
      </c>
      <c r="W65" s="101"/>
      <c r="X65" s="111"/>
      <c r="Y65" s="111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</row>
    <row r="66" customFormat="false" ht="12.75" hidden="false" customHeight="false" outlineLevel="0" collapsed="false">
      <c r="A66" s="100"/>
      <c r="B66" s="101" t="s">
        <v>186</v>
      </c>
      <c r="C66" s="102" t="s">
        <v>62</v>
      </c>
      <c r="D66" s="102" t="s">
        <v>228</v>
      </c>
      <c r="E66" s="103" t="n">
        <v>36770</v>
      </c>
      <c r="F66" s="103" t="n">
        <v>37894</v>
      </c>
      <c r="G66" s="101" t="s">
        <v>245</v>
      </c>
      <c r="H66" s="101" t="s">
        <v>242</v>
      </c>
      <c r="I66" s="102" t="s">
        <v>243</v>
      </c>
      <c r="J66" s="104" t="n">
        <f aca="false">+J65</f>
        <v>0.244045161290323</v>
      </c>
      <c r="K66" s="105" t="n">
        <v>0</v>
      </c>
      <c r="L66" s="105" t="n">
        <v>0.0022</v>
      </c>
      <c r="M66" s="105" t="n">
        <v>0</v>
      </c>
      <c r="N66" s="105" t="n">
        <v>0</v>
      </c>
      <c r="O66" s="106" t="n">
        <v>0</v>
      </c>
      <c r="P66" s="105" t="n">
        <f aca="false">SUM(J66:N66)</f>
        <v>0.246245161290323</v>
      </c>
      <c r="Q66" s="128" t="n">
        <f aca="false">+Q65</f>
        <v>3.6673</v>
      </c>
      <c r="R66" s="102" t="n">
        <v>1123</v>
      </c>
      <c r="S66" s="101" t="str">
        <f aca="false">+S65</f>
        <v>#021351</v>
      </c>
      <c r="T66" s="108" t="n">
        <f aca="false">J66*J$1*R66</f>
        <v>8495.9442</v>
      </c>
      <c r="U66" s="108"/>
      <c r="V66" s="109" t="n">
        <f aca="false">+V65</f>
        <v>375520</v>
      </c>
      <c r="W66" s="101"/>
      <c r="X66" s="111"/>
      <c r="Y66" s="111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</row>
    <row r="67" customFormat="false" ht="12.75" hidden="false" customHeight="false" outlineLevel="0" collapsed="false">
      <c r="A67" s="100"/>
      <c r="B67" s="101" t="s">
        <v>186</v>
      </c>
      <c r="C67" s="102" t="s">
        <v>62</v>
      </c>
      <c r="D67" s="102" t="s">
        <v>228</v>
      </c>
      <c r="E67" s="103" t="n">
        <v>36770</v>
      </c>
      <c r="F67" s="103" t="n">
        <v>37894</v>
      </c>
      <c r="G67" s="101" t="s">
        <v>214</v>
      </c>
      <c r="H67" s="101" t="s">
        <v>242</v>
      </c>
      <c r="I67" s="102" t="s">
        <v>243</v>
      </c>
      <c r="J67" s="104" t="n">
        <f aca="false">+J66</f>
        <v>0.244045161290323</v>
      </c>
      <c r="K67" s="105" t="n">
        <v>0</v>
      </c>
      <c r="L67" s="105" t="n">
        <v>0.0022</v>
      </c>
      <c r="M67" s="105" t="n">
        <v>0</v>
      </c>
      <c r="N67" s="105" t="n">
        <v>0</v>
      </c>
      <c r="O67" s="106" t="n">
        <v>0</v>
      </c>
      <c r="P67" s="105" t="n">
        <f aca="false">SUM(J67:N67)</f>
        <v>0.246245161290323</v>
      </c>
      <c r="Q67" s="128" t="n">
        <f aca="false">+Q66</f>
        <v>3.6673</v>
      </c>
      <c r="R67" s="102" t="n">
        <f aca="false">853+1752</f>
        <v>2605</v>
      </c>
      <c r="S67" s="101" t="str">
        <f aca="false">+S66</f>
        <v>#021351</v>
      </c>
      <c r="T67" s="108" t="n">
        <f aca="false">J67*J$1*R67</f>
        <v>19707.867</v>
      </c>
      <c r="U67" s="108"/>
      <c r="V67" s="109" t="n">
        <f aca="false">+V66</f>
        <v>375520</v>
      </c>
      <c r="W67" s="101"/>
      <c r="X67" s="111"/>
      <c r="Y67" s="111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customFormat="false" ht="12.75" hidden="false" customHeight="false" outlineLevel="0" collapsed="false">
      <c r="A68" s="100"/>
      <c r="B68" s="101" t="s">
        <v>186</v>
      </c>
      <c r="C68" s="102" t="s">
        <v>62</v>
      </c>
      <c r="D68" s="102" t="s">
        <v>228</v>
      </c>
      <c r="E68" s="103" t="n">
        <v>36800</v>
      </c>
      <c r="F68" s="103" t="n">
        <v>36830</v>
      </c>
      <c r="G68" s="101" t="s">
        <v>241</v>
      </c>
      <c r="H68" s="101" t="s">
        <v>242</v>
      </c>
      <c r="I68" s="102" t="s">
        <v>243</v>
      </c>
      <c r="J68" s="104" t="n">
        <f aca="false">7.5654/J$1</f>
        <v>0.244045161290323</v>
      </c>
      <c r="K68" s="105" t="n">
        <v>0</v>
      </c>
      <c r="L68" s="105" t="n">
        <v>0.0022</v>
      </c>
      <c r="M68" s="105" t="n">
        <v>0</v>
      </c>
      <c r="N68" s="105" t="n">
        <v>0</v>
      </c>
      <c r="O68" s="106" t="n">
        <v>0</v>
      </c>
      <c r="P68" s="105" t="n">
        <f aca="false">SUM(J68:N68)</f>
        <v>0.246245161290323</v>
      </c>
      <c r="Q68" s="128" t="n">
        <v>3.6946</v>
      </c>
      <c r="R68" s="129" t="n">
        <v>20</v>
      </c>
      <c r="S68" s="101" t="s">
        <v>246</v>
      </c>
      <c r="T68" s="108" t="n">
        <f aca="false">J68*J$1*R68</f>
        <v>151.308</v>
      </c>
      <c r="U68" s="108"/>
      <c r="V68" s="109" t="n">
        <v>418202</v>
      </c>
      <c r="W68" s="101"/>
      <c r="X68" s="111"/>
      <c r="Y68" s="111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</row>
    <row r="69" customFormat="false" ht="12.75" hidden="false" customHeight="false" outlineLevel="0" collapsed="false">
      <c r="A69" s="100"/>
      <c r="B69" s="101" t="s">
        <v>186</v>
      </c>
      <c r="C69" s="102" t="s">
        <v>62</v>
      </c>
      <c r="D69" s="102" t="s">
        <v>228</v>
      </c>
      <c r="E69" s="103" t="n">
        <v>36800</v>
      </c>
      <c r="F69" s="103" t="n">
        <v>36830</v>
      </c>
      <c r="G69" s="101" t="s">
        <v>245</v>
      </c>
      <c r="H69" s="101" t="s">
        <v>242</v>
      </c>
      <c r="I69" s="102" t="s">
        <v>243</v>
      </c>
      <c r="J69" s="104" t="n">
        <f aca="false">7.5654/J$1</f>
        <v>0.244045161290323</v>
      </c>
      <c r="K69" s="105" t="n">
        <v>0</v>
      </c>
      <c r="L69" s="105" t="n">
        <v>0.0022</v>
      </c>
      <c r="M69" s="105" t="n">
        <v>0</v>
      </c>
      <c r="N69" s="105" t="n">
        <v>0</v>
      </c>
      <c r="O69" s="106" t="n">
        <v>0</v>
      </c>
      <c r="P69" s="105" t="n">
        <f aca="false">SUM(J69:N69)</f>
        <v>0.246245161290323</v>
      </c>
      <c r="Q69" s="128" t="n">
        <v>3.6946</v>
      </c>
      <c r="R69" s="102" t="n">
        <v>29</v>
      </c>
      <c r="S69" s="101" t="str">
        <f aca="false">+S68</f>
        <v>#021608</v>
      </c>
      <c r="T69" s="108" t="n">
        <f aca="false">J69*J$1*R69</f>
        <v>219.3966</v>
      </c>
      <c r="U69" s="108"/>
      <c r="V69" s="109" t="n">
        <v>418202</v>
      </c>
      <c r="W69" s="101"/>
      <c r="X69" s="111"/>
      <c r="Y69" s="111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</row>
    <row r="70" customFormat="false" ht="12.75" hidden="false" customHeight="false" outlineLevel="0" collapsed="false">
      <c r="A70" s="100"/>
      <c r="B70" s="101" t="s">
        <v>186</v>
      </c>
      <c r="C70" s="102" t="s">
        <v>62</v>
      </c>
      <c r="D70" s="102" t="s">
        <v>228</v>
      </c>
      <c r="E70" s="103" t="n">
        <v>36800</v>
      </c>
      <c r="F70" s="103" t="s">
        <v>247</v>
      </c>
      <c r="G70" s="101" t="s">
        <v>214</v>
      </c>
      <c r="H70" s="101" t="s">
        <v>242</v>
      </c>
      <c r="I70" s="102" t="s">
        <v>243</v>
      </c>
      <c r="J70" s="104" t="n">
        <f aca="false">7.5654/J$1</f>
        <v>0.244045161290323</v>
      </c>
      <c r="K70" s="105" t="n">
        <v>0</v>
      </c>
      <c r="L70" s="105" t="n">
        <v>0.0022</v>
      </c>
      <c r="M70" s="105" t="n">
        <v>0</v>
      </c>
      <c r="N70" s="105" t="n">
        <v>0</v>
      </c>
      <c r="O70" s="106" t="n">
        <v>0</v>
      </c>
      <c r="P70" s="105" t="n">
        <f aca="false">SUM(J70:N70)</f>
        <v>0.246245161290323</v>
      </c>
      <c r="Q70" s="128" t="n">
        <v>3.6946</v>
      </c>
      <c r="R70" s="102" t="n">
        <f aca="false">22+46</f>
        <v>68</v>
      </c>
      <c r="S70" s="101" t="str">
        <f aca="false">+S69</f>
        <v>#021608</v>
      </c>
      <c r="T70" s="108" t="n">
        <f aca="false">J70*J$1*R70</f>
        <v>514.4472</v>
      </c>
      <c r="U70" s="108"/>
      <c r="V70" s="109" t="n">
        <v>418202</v>
      </c>
      <c r="W70" s="101"/>
      <c r="X70" s="111"/>
      <c r="Y70" s="111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0"/>
      <c r="FF70" s="100"/>
      <c r="FG70" s="100"/>
      <c r="FH70" s="100"/>
      <c r="FI70" s="100"/>
      <c r="FJ70" s="100"/>
      <c r="FK70" s="100"/>
      <c r="FL70" s="100"/>
      <c r="FM70" s="100"/>
      <c r="FN70" s="100"/>
      <c r="FO70" s="100"/>
      <c r="FP70" s="100"/>
      <c r="FQ70" s="100"/>
      <c r="FR70" s="100"/>
      <c r="FS70" s="100"/>
      <c r="FT70" s="100"/>
      <c r="FU70" s="100"/>
      <c r="FV70" s="100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</row>
    <row r="71" customFormat="false" ht="12.75" hidden="false" customHeight="false" outlineLevel="0" collapsed="false">
      <c r="A71" s="100"/>
      <c r="B71" s="101" t="s">
        <v>186</v>
      </c>
      <c r="C71" s="102" t="s">
        <v>62</v>
      </c>
      <c r="D71" s="102" t="s">
        <v>228</v>
      </c>
      <c r="E71" s="103" t="n">
        <v>36770</v>
      </c>
      <c r="F71" s="103" t="n">
        <v>37864</v>
      </c>
      <c r="G71" s="101" t="s">
        <v>241</v>
      </c>
      <c r="H71" s="101" t="s">
        <v>242</v>
      </c>
      <c r="I71" s="102" t="s">
        <v>243</v>
      </c>
      <c r="J71" s="104" t="n">
        <f aca="false">7.5654/J$1</f>
        <v>0.244045161290323</v>
      </c>
      <c r="K71" s="105" t="n">
        <v>0</v>
      </c>
      <c r="L71" s="105" t="n">
        <v>0.0022</v>
      </c>
      <c r="M71" s="105" t="n">
        <v>0</v>
      </c>
      <c r="N71" s="105" t="n">
        <v>0</v>
      </c>
      <c r="O71" s="106" t="n">
        <v>0</v>
      </c>
      <c r="P71" s="105" t="n">
        <f aca="false">SUM(J71:N71)</f>
        <v>0.246245161290323</v>
      </c>
      <c r="Q71" s="128" t="n">
        <v>3.6675</v>
      </c>
      <c r="R71" s="129" t="n">
        <v>46</v>
      </c>
      <c r="S71" s="101" t="s">
        <v>248</v>
      </c>
      <c r="T71" s="108" t="n">
        <f aca="false">J71*J$1*R71</f>
        <v>348.0084</v>
      </c>
      <c r="U71" s="108"/>
      <c r="V71" s="109" t="n">
        <v>375532</v>
      </c>
      <c r="W71" s="101"/>
      <c r="X71" s="111"/>
      <c r="Y71" s="111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</row>
    <row r="72" customFormat="false" ht="12.75" hidden="false" customHeight="false" outlineLevel="0" collapsed="false">
      <c r="A72" s="100"/>
      <c r="B72" s="101" t="s">
        <v>186</v>
      </c>
      <c r="C72" s="102" t="s">
        <v>62</v>
      </c>
      <c r="D72" s="102" t="s">
        <v>228</v>
      </c>
      <c r="E72" s="103" t="n">
        <v>36770</v>
      </c>
      <c r="F72" s="103" t="n">
        <v>37864</v>
      </c>
      <c r="G72" s="101" t="s">
        <v>245</v>
      </c>
      <c r="H72" s="101" t="s">
        <v>242</v>
      </c>
      <c r="I72" s="102" t="s">
        <v>243</v>
      </c>
      <c r="J72" s="104" t="n">
        <f aca="false">7.5654/J$1</f>
        <v>0.244045161290323</v>
      </c>
      <c r="K72" s="105" t="n">
        <v>0</v>
      </c>
      <c r="L72" s="105" t="n">
        <v>0.0022</v>
      </c>
      <c r="M72" s="105" t="n">
        <v>0</v>
      </c>
      <c r="N72" s="105" t="n">
        <v>0</v>
      </c>
      <c r="O72" s="106" t="n">
        <v>0</v>
      </c>
      <c r="P72" s="105" t="n">
        <f aca="false">SUM(J72:N72)</f>
        <v>0.246245161290323</v>
      </c>
      <c r="Q72" s="128" t="n">
        <f aca="false">+Q71</f>
        <v>3.6675</v>
      </c>
      <c r="R72" s="102" t="n">
        <v>68</v>
      </c>
      <c r="S72" s="101" t="str">
        <f aca="false">+S71</f>
        <v>#021349</v>
      </c>
      <c r="T72" s="108" t="n">
        <f aca="false">J72*J$1*R72</f>
        <v>514.4472</v>
      </c>
      <c r="U72" s="108"/>
      <c r="V72" s="109" t="n">
        <v>375532</v>
      </c>
      <c r="W72" s="101"/>
      <c r="X72" s="111"/>
      <c r="Y72" s="111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</row>
    <row r="73" customFormat="false" ht="12.75" hidden="false" customHeight="false" outlineLevel="0" collapsed="false">
      <c r="A73" s="100"/>
      <c r="B73" s="101" t="s">
        <v>186</v>
      </c>
      <c r="C73" s="102" t="s">
        <v>62</v>
      </c>
      <c r="D73" s="102" t="s">
        <v>228</v>
      </c>
      <c r="E73" s="103" t="n">
        <v>36770</v>
      </c>
      <c r="F73" s="103" t="n">
        <v>37864</v>
      </c>
      <c r="G73" s="101" t="s">
        <v>214</v>
      </c>
      <c r="H73" s="101" t="s">
        <v>242</v>
      </c>
      <c r="I73" s="102" t="s">
        <v>243</v>
      </c>
      <c r="J73" s="104" t="n">
        <f aca="false">7.5654/J$1</f>
        <v>0.244045161290323</v>
      </c>
      <c r="K73" s="105" t="n">
        <v>0</v>
      </c>
      <c r="L73" s="105" t="n">
        <v>0.0022</v>
      </c>
      <c r="M73" s="105" t="n">
        <v>0</v>
      </c>
      <c r="N73" s="105" t="n">
        <v>0</v>
      </c>
      <c r="O73" s="106" t="n">
        <v>0</v>
      </c>
      <c r="P73" s="105" t="n">
        <f aca="false">SUM(J73:N73)</f>
        <v>0.246245161290323</v>
      </c>
      <c r="Q73" s="128" t="n">
        <f aca="false">+Q72</f>
        <v>3.6675</v>
      </c>
      <c r="R73" s="102" t="n">
        <f aca="false">51+105</f>
        <v>156</v>
      </c>
      <c r="S73" s="101" t="str">
        <f aca="false">+S72</f>
        <v>#021349</v>
      </c>
      <c r="T73" s="108" t="n">
        <f aca="false">J73*J$1*R73</f>
        <v>1180.2024</v>
      </c>
      <c r="U73" s="108"/>
      <c r="V73" s="109" t="n">
        <v>375532</v>
      </c>
      <c r="W73" s="101"/>
      <c r="X73" s="111"/>
      <c r="Y73" s="111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</row>
    <row r="74" customFormat="false" ht="12.75" hidden="false" customHeight="false" outlineLevel="0" collapsed="false">
      <c r="A74" s="100"/>
      <c r="B74" s="101" t="s">
        <v>186</v>
      </c>
      <c r="C74" s="102" t="s">
        <v>62</v>
      </c>
      <c r="D74" s="102" t="s">
        <v>228</v>
      </c>
      <c r="E74" s="103" t="n">
        <v>36770</v>
      </c>
      <c r="F74" s="103" t="n">
        <v>37864</v>
      </c>
      <c r="G74" s="101" t="s">
        <v>249</v>
      </c>
      <c r="H74" s="101" t="s">
        <v>242</v>
      </c>
      <c r="I74" s="102" t="s">
        <v>250</v>
      </c>
      <c r="J74" s="104" t="n">
        <f aca="false">14.1875/30</f>
        <v>0.472916666666667</v>
      </c>
      <c r="K74" s="105" t="n">
        <v>0</v>
      </c>
      <c r="L74" s="105" t="n">
        <v>0.0022</v>
      </c>
      <c r="M74" s="105" t="n">
        <v>0</v>
      </c>
      <c r="N74" s="105" t="n">
        <v>0</v>
      </c>
      <c r="O74" s="106" t="n">
        <v>0</v>
      </c>
      <c r="P74" s="105" t="n">
        <f aca="false">SUM(J74:N74)</f>
        <v>0.475116666666667</v>
      </c>
      <c r="Q74" s="130" t="n">
        <v>3.6674</v>
      </c>
      <c r="R74" s="102" t="n">
        <v>3575</v>
      </c>
      <c r="S74" s="101" t="s">
        <v>251</v>
      </c>
      <c r="T74" s="108" t="n">
        <f aca="false">J74*J$1*R74</f>
        <v>52410.9895833333</v>
      </c>
      <c r="U74" s="108"/>
      <c r="V74" s="109" t="n">
        <v>375527</v>
      </c>
      <c r="W74" s="101"/>
      <c r="X74" s="111"/>
      <c r="Y74" s="111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</row>
    <row r="75" customFormat="false" ht="12.75" hidden="false" customHeight="false" outlineLevel="0" collapsed="false">
      <c r="A75" s="100"/>
      <c r="B75" s="101" t="s">
        <v>186</v>
      </c>
      <c r="C75" s="102" t="s">
        <v>62</v>
      </c>
      <c r="D75" s="102" t="s">
        <v>228</v>
      </c>
      <c r="E75" s="103" t="n">
        <v>36800</v>
      </c>
      <c r="F75" s="103" t="n">
        <v>36830</v>
      </c>
      <c r="G75" s="101" t="s">
        <v>249</v>
      </c>
      <c r="H75" s="101" t="s">
        <v>242</v>
      </c>
      <c r="I75" s="102" t="s">
        <v>250</v>
      </c>
      <c r="J75" s="104" t="n">
        <f aca="false">14.1875/30</f>
        <v>0.472916666666667</v>
      </c>
      <c r="K75" s="105" t="n">
        <v>0</v>
      </c>
      <c r="L75" s="105" t="n">
        <v>0.0022</v>
      </c>
      <c r="M75" s="105" t="n">
        <v>0</v>
      </c>
      <c r="N75" s="105" t="n">
        <v>0</v>
      </c>
      <c r="O75" s="106" t="n">
        <v>0</v>
      </c>
      <c r="P75" s="105" t="n">
        <f aca="false">SUM(J75:N75)</f>
        <v>0.475116666666667</v>
      </c>
      <c r="Q75" s="130" t="n">
        <v>3.6945</v>
      </c>
      <c r="R75" s="102" t="n">
        <v>1535</v>
      </c>
      <c r="S75" s="101" t="s">
        <v>252</v>
      </c>
      <c r="T75" s="108" t="n">
        <f aca="false">J75*J$1*R75</f>
        <v>22503.7395833333</v>
      </c>
      <c r="U75" s="108"/>
      <c r="V75" s="109" t="n">
        <v>413290</v>
      </c>
      <c r="W75" s="101"/>
      <c r="X75" s="111"/>
      <c r="Y75" s="111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</row>
    <row r="76" customFormat="false" ht="12.75" hidden="false" customHeight="false" outlineLevel="0" collapsed="false">
      <c r="A76" s="100"/>
      <c r="B76" s="101" t="s">
        <v>186</v>
      </c>
      <c r="C76" s="102" t="s">
        <v>62</v>
      </c>
      <c r="D76" s="102" t="s">
        <v>228</v>
      </c>
      <c r="E76" s="103" t="n">
        <v>36800</v>
      </c>
      <c r="F76" s="103" t="n">
        <v>36830</v>
      </c>
      <c r="G76" s="101" t="s">
        <v>241</v>
      </c>
      <c r="H76" s="101" t="s">
        <v>242</v>
      </c>
      <c r="I76" s="102" t="s">
        <v>243</v>
      </c>
      <c r="J76" s="104" t="n">
        <f aca="false">7.5654/J$1</f>
        <v>0.244045161290323</v>
      </c>
      <c r="K76" s="105" t="n">
        <v>0</v>
      </c>
      <c r="L76" s="105" t="n">
        <v>0.0022</v>
      </c>
      <c r="M76" s="105" t="n">
        <v>0</v>
      </c>
      <c r="N76" s="105" t="n">
        <v>0</v>
      </c>
      <c r="O76" s="106" t="n">
        <v>0</v>
      </c>
      <c r="P76" s="105" t="n">
        <f aca="false">SUM(J76:N76)</f>
        <v>0.246245161290323</v>
      </c>
      <c r="Q76" s="128" t="n">
        <v>3.6944</v>
      </c>
      <c r="R76" s="129" t="n">
        <v>326</v>
      </c>
      <c r="S76" s="101" t="s">
        <v>253</v>
      </c>
      <c r="T76" s="108" t="n">
        <f aca="false">J76*J$1*R76</f>
        <v>2466.3204</v>
      </c>
      <c r="U76" s="108"/>
      <c r="V76" s="109" t="n">
        <v>413530</v>
      </c>
      <c r="W76" s="101"/>
      <c r="X76" s="111"/>
      <c r="Y76" s="111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</row>
    <row r="77" customFormat="false" ht="12.75" hidden="false" customHeight="false" outlineLevel="0" collapsed="false">
      <c r="A77" s="100"/>
      <c r="B77" s="101" t="s">
        <v>186</v>
      </c>
      <c r="C77" s="102" t="s">
        <v>62</v>
      </c>
      <c r="D77" s="102" t="s">
        <v>228</v>
      </c>
      <c r="E77" s="103" t="n">
        <v>36800</v>
      </c>
      <c r="F77" s="103" t="n">
        <v>36830</v>
      </c>
      <c r="G77" s="101" t="s">
        <v>245</v>
      </c>
      <c r="H77" s="101" t="s">
        <v>242</v>
      </c>
      <c r="I77" s="102" t="s">
        <v>243</v>
      </c>
      <c r="J77" s="104" t="n">
        <f aca="false">7.5654/J$1</f>
        <v>0.244045161290323</v>
      </c>
      <c r="K77" s="105" t="n">
        <v>0</v>
      </c>
      <c r="L77" s="105" t="n">
        <v>0.0022</v>
      </c>
      <c r="M77" s="105" t="n">
        <v>0</v>
      </c>
      <c r="N77" s="105" t="n">
        <v>0</v>
      </c>
      <c r="O77" s="106" t="n">
        <v>0</v>
      </c>
      <c r="P77" s="105" t="n">
        <f aca="false">SUM(J77:N77)</f>
        <v>0.246245161290323</v>
      </c>
      <c r="Q77" s="128" t="n">
        <f aca="false">+Q76</f>
        <v>3.6944</v>
      </c>
      <c r="R77" s="102" t="n">
        <v>480</v>
      </c>
      <c r="S77" s="101" t="str">
        <f aca="false">+S76</f>
        <v>#021610</v>
      </c>
      <c r="T77" s="108" t="n">
        <f aca="false">J77*J$1*R77</f>
        <v>3631.392</v>
      </c>
      <c r="U77" s="108"/>
      <c r="V77" s="109" t="n">
        <f aca="false">+V76</f>
        <v>413530</v>
      </c>
      <c r="W77" s="101"/>
      <c r="X77" s="111"/>
      <c r="Y77" s="111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</row>
    <row r="78" customFormat="false" ht="12.75" hidden="false" customHeight="false" outlineLevel="0" collapsed="false">
      <c r="A78" s="100"/>
      <c r="B78" s="101" t="s">
        <v>186</v>
      </c>
      <c r="C78" s="102" t="s">
        <v>62</v>
      </c>
      <c r="D78" s="102" t="s">
        <v>228</v>
      </c>
      <c r="E78" s="103" t="n">
        <v>36800</v>
      </c>
      <c r="F78" s="103" t="n">
        <v>36830</v>
      </c>
      <c r="G78" s="101" t="s">
        <v>214</v>
      </c>
      <c r="H78" s="101" t="s">
        <v>242</v>
      </c>
      <c r="I78" s="102" t="s">
        <v>243</v>
      </c>
      <c r="J78" s="104" t="n">
        <f aca="false">7.5654/J$1</f>
        <v>0.244045161290323</v>
      </c>
      <c r="K78" s="105" t="n">
        <v>0</v>
      </c>
      <c r="L78" s="105" t="n">
        <v>0.0022</v>
      </c>
      <c r="M78" s="105" t="n">
        <v>0</v>
      </c>
      <c r="N78" s="105" t="n">
        <v>0</v>
      </c>
      <c r="O78" s="106" t="n">
        <v>0</v>
      </c>
      <c r="P78" s="105" t="n">
        <f aca="false">SUM(J78:N78)</f>
        <v>0.246245161290323</v>
      </c>
      <c r="Q78" s="128" t="n">
        <f aca="false">+Q77</f>
        <v>3.6944</v>
      </c>
      <c r="R78" s="102" t="n">
        <f aca="false">364+748</f>
        <v>1112</v>
      </c>
      <c r="S78" s="101" t="str">
        <f aca="false">+S77</f>
        <v>#021610</v>
      </c>
      <c r="T78" s="108" t="n">
        <f aca="false">J78*J$1*R78</f>
        <v>8412.7248</v>
      </c>
      <c r="U78" s="108"/>
      <c r="V78" s="109" t="n">
        <f aca="false">+V77</f>
        <v>413530</v>
      </c>
      <c r="W78" s="101"/>
      <c r="X78" s="111"/>
      <c r="Y78" s="111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  <c r="IW78" s="100"/>
    </row>
    <row r="79" customFormat="false" ht="12.75" hidden="false" customHeight="false" outlineLevel="0" collapsed="false">
      <c r="A79" s="100"/>
      <c r="B79" s="101" t="s">
        <v>186</v>
      </c>
      <c r="C79" s="102" t="s">
        <v>62</v>
      </c>
      <c r="D79" s="102" t="s">
        <v>228</v>
      </c>
      <c r="E79" s="103" t="n">
        <v>36800</v>
      </c>
      <c r="F79" s="103" t="n">
        <v>36830</v>
      </c>
      <c r="G79" s="101" t="s">
        <v>254</v>
      </c>
      <c r="H79" s="101"/>
      <c r="I79" s="102" t="s">
        <v>255</v>
      </c>
      <c r="J79" s="104" t="n">
        <v>0.0079</v>
      </c>
      <c r="K79" s="105" t="n">
        <v>0</v>
      </c>
      <c r="L79" s="105" t="n">
        <v>0.0022</v>
      </c>
      <c r="M79" s="105" t="n">
        <v>0</v>
      </c>
      <c r="N79" s="105" t="n">
        <v>0</v>
      </c>
      <c r="O79" s="106" t="n">
        <v>0</v>
      </c>
      <c r="P79" s="105" t="n">
        <f aca="false">SUM(J79:N79)</f>
        <v>0.0101</v>
      </c>
      <c r="Q79" s="130" t="n">
        <v>3.6955</v>
      </c>
      <c r="R79" s="102" t="n">
        <v>112190</v>
      </c>
      <c r="S79" s="101" t="s">
        <v>256</v>
      </c>
      <c r="T79" s="131" t="n">
        <f aca="false">+R79*J79</f>
        <v>886.301</v>
      </c>
      <c r="U79" s="108"/>
      <c r="V79" s="109" t="n">
        <v>418272</v>
      </c>
      <c r="W79" s="101"/>
      <c r="X79" s="111"/>
      <c r="Y79" s="111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  <c r="IU79" s="100"/>
      <c r="IV79" s="100"/>
      <c r="IW79" s="100"/>
    </row>
    <row r="80" customFormat="false" ht="12.75" hidden="false" customHeight="false" outlineLevel="0" collapsed="false">
      <c r="A80" s="100"/>
      <c r="B80" s="101" t="s">
        <v>186</v>
      </c>
      <c r="C80" s="102" t="s">
        <v>62</v>
      </c>
      <c r="D80" s="102" t="s">
        <v>228</v>
      </c>
      <c r="E80" s="103" t="n">
        <v>36800</v>
      </c>
      <c r="F80" s="103" t="n">
        <v>36830</v>
      </c>
      <c r="G80" s="101" t="s">
        <v>257</v>
      </c>
      <c r="H80" s="101"/>
      <c r="I80" s="102" t="s">
        <v>255</v>
      </c>
      <c r="J80" s="104" t="n">
        <v>0.6673</v>
      </c>
      <c r="K80" s="105" t="n">
        <v>0</v>
      </c>
      <c r="L80" s="105" t="n">
        <v>0.0022</v>
      </c>
      <c r="M80" s="105" t="n">
        <v>0</v>
      </c>
      <c r="N80" s="105" t="n">
        <v>0</v>
      </c>
      <c r="O80" s="106" t="n">
        <v>0</v>
      </c>
      <c r="P80" s="105" t="n">
        <f aca="false">SUM(J80:N80)</f>
        <v>0.6695</v>
      </c>
      <c r="Q80" s="130" t="n">
        <v>3.6955</v>
      </c>
      <c r="R80" s="102" t="n">
        <v>1320</v>
      </c>
      <c r="S80" s="101" t="s">
        <v>256</v>
      </c>
      <c r="T80" s="131" t="n">
        <f aca="false">+R80*J80</f>
        <v>880.836</v>
      </c>
      <c r="U80" s="108"/>
      <c r="V80" s="109" t="n">
        <v>418272</v>
      </c>
      <c r="W80" s="101"/>
      <c r="X80" s="111"/>
      <c r="Y80" s="111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0"/>
      <c r="EG80" s="100"/>
      <c r="EH80" s="100"/>
      <c r="EI80" s="100"/>
      <c r="EJ80" s="100"/>
      <c r="EK80" s="100"/>
      <c r="EL80" s="100"/>
      <c r="EM80" s="100"/>
      <c r="EN80" s="100"/>
      <c r="EO80" s="100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0"/>
      <c r="FD80" s="100"/>
      <c r="FE80" s="100"/>
      <c r="FF80" s="100"/>
      <c r="FG80" s="100"/>
      <c r="FH80" s="100"/>
      <c r="FI80" s="100"/>
      <c r="FJ80" s="100"/>
      <c r="FK80" s="100"/>
      <c r="FL80" s="100"/>
      <c r="FM80" s="100"/>
      <c r="FN80" s="100"/>
      <c r="FO80" s="100"/>
      <c r="FP80" s="100"/>
      <c r="FQ80" s="100"/>
      <c r="FR80" s="100"/>
      <c r="FS80" s="100"/>
      <c r="FT80" s="100"/>
      <c r="FU80" s="100"/>
      <c r="FV80" s="100"/>
      <c r="FW80" s="100"/>
      <c r="FX80" s="100"/>
      <c r="FY80" s="100"/>
      <c r="FZ80" s="100"/>
      <c r="GA80" s="100"/>
      <c r="GB80" s="100"/>
      <c r="GC80" s="100"/>
      <c r="GD80" s="100"/>
      <c r="GE80" s="100"/>
      <c r="GF80" s="100"/>
      <c r="GG80" s="100"/>
      <c r="GH80" s="100"/>
      <c r="GI80" s="100"/>
      <c r="GJ80" s="100"/>
      <c r="GK80" s="100"/>
      <c r="GL80" s="100"/>
      <c r="GM80" s="100"/>
      <c r="GN80" s="100"/>
      <c r="GO80" s="100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0"/>
      <c r="HD80" s="100"/>
      <c r="HE80" s="100"/>
      <c r="HF80" s="100"/>
      <c r="HG80" s="100"/>
      <c r="HH80" s="100"/>
      <c r="HI80" s="100"/>
      <c r="HJ80" s="100"/>
      <c r="HK80" s="100"/>
      <c r="HL80" s="100"/>
      <c r="HM80" s="100"/>
      <c r="HN80" s="100"/>
      <c r="HO80" s="100"/>
      <c r="HP80" s="100"/>
      <c r="HQ80" s="100"/>
      <c r="HR80" s="100"/>
      <c r="HS80" s="100"/>
      <c r="HT80" s="100"/>
      <c r="HU80" s="100"/>
      <c r="HV80" s="100"/>
      <c r="HW80" s="100"/>
      <c r="HX80" s="100"/>
      <c r="HY80" s="100"/>
      <c r="HZ80" s="100"/>
      <c r="IA80" s="100"/>
      <c r="IB80" s="100"/>
      <c r="IC80" s="100"/>
      <c r="ID80" s="100"/>
      <c r="IE80" s="100"/>
      <c r="IF80" s="100"/>
      <c r="IG80" s="100"/>
      <c r="IH80" s="100"/>
      <c r="II80" s="100"/>
      <c r="IJ80" s="100"/>
      <c r="IK80" s="100"/>
      <c r="IL80" s="100"/>
      <c r="IM80" s="100"/>
      <c r="IN80" s="100"/>
      <c r="IO80" s="100"/>
      <c r="IP80" s="100"/>
      <c r="IQ80" s="100"/>
      <c r="IR80" s="100"/>
      <c r="IS80" s="100"/>
      <c r="IT80" s="100"/>
      <c r="IU80" s="100"/>
      <c r="IV80" s="100"/>
      <c r="IW80" s="100"/>
    </row>
    <row r="81" customFormat="false" ht="12.75" hidden="false" customHeight="false" outlineLevel="0" collapsed="false">
      <c r="A81" s="100"/>
      <c r="B81" s="101" t="s">
        <v>186</v>
      </c>
      <c r="C81" s="102" t="s">
        <v>62</v>
      </c>
      <c r="D81" s="102" t="s">
        <v>228</v>
      </c>
      <c r="E81" s="103" t="n">
        <v>36770</v>
      </c>
      <c r="F81" s="103" t="n">
        <v>37864</v>
      </c>
      <c r="G81" s="101" t="s">
        <v>254</v>
      </c>
      <c r="H81" s="101"/>
      <c r="I81" s="102" t="s">
        <v>255</v>
      </c>
      <c r="J81" s="104" t="n">
        <v>0.0079</v>
      </c>
      <c r="K81" s="105" t="n">
        <v>0</v>
      </c>
      <c r="L81" s="105" t="n">
        <v>0.0022</v>
      </c>
      <c r="M81" s="105" t="n">
        <v>0</v>
      </c>
      <c r="N81" s="105" t="n">
        <v>0</v>
      </c>
      <c r="O81" s="106" t="n">
        <v>0</v>
      </c>
      <c r="P81" s="105" t="n">
        <f aca="false">SUM(J81:N81)</f>
        <v>0.0101</v>
      </c>
      <c r="Q81" s="128" t="n">
        <v>3.6686</v>
      </c>
      <c r="R81" s="102" t="n">
        <v>261182</v>
      </c>
      <c r="S81" s="101" t="s">
        <v>258</v>
      </c>
      <c r="T81" s="131" t="n">
        <f aca="false">+R81*J81</f>
        <v>2063.3378</v>
      </c>
      <c r="U81" s="108"/>
      <c r="V81" s="109" t="n">
        <v>377146</v>
      </c>
      <c r="W81" s="101"/>
      <c r="X81" s="111"/>
      <c r="Y81" s="111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0"/>
      <c r="EG81" s="100"/>
      <c r="EH81" s="100"/>
      <c r="EI81" s="100"/>
      <c r="EJ81" s="100"/>
      <c r="EK81" s="100"/>
      <c r="EL81" s="100"/>
      <c r="EM81" s="100"/>
      <c r="EN81" s="100"/>
      <c r="EO81" s="100"/>
      <c r="EP81" s="100"/>
      <c r="EQ81" s="100"/>
      <c r="ER81" s="100"/>
      <c r="ES81" s="100"/>
      <c r="ET81" s="100"/>
      <c r="EU81" s="100"/>
      <c r="EV81" s="100"/>
      <c r="EW81" s="100"/>
      <c r="EX81" s="100"/>
      <c r="EY81" s="100"/>
      <c r="EZ81" s="100"/>
      <c r="FA81" s="100"/>
      <c r="FB81" s="100"/>
      <c r="FC81" s="100"/>
      <c r="FD81" s="100"/>
      <c r="FE81" s="100"/>
      <c r="FF81" s="100"/>
      <c r="FG81" s="100"/>
      <c r="FH81" s="100"/>
      <c r="FI81" s="100"/>
      <c r="FJ81" s="100"/>
      <c r="FK81" s="100"/>
      <c r="FL81" s="100"/>
      <c r="FM81" s="100"/>
      <c r="FN81" s="100"/>
      <c r="FO81" s="100"/>
      <c r="FP81" s="100"/>
      <c r="FQ81" s="100"/>
      <c r="FR81" s="100"/>
      <c r="FS81" s="100"/>
      <c r="FT81" s="100"/>
      <c r="FU81" s="100"/>
      <c r="FV81" s="100"/>
      <c r="FW81" s="100"/>
      <c r="FX81" s="100"/>
      <c r="FY81" s="100"/>
      <c r="FZ81" s="100"/>
      <c r="GA81" s="100"/>
      <c r="GB81" s="100"/>
      <c r="GC81" s="100"/>
      <c r="GD81" s="100"/>
      <c r="GE81" s="100"/>
      <c r="GF81" s="100"/>
      <c r="GG81" s="100"/>
      <c r="GH81" s="100"/>
      <c r="GI81" s="100"/>
      <c r="GJ81" s="100"/>
      <c r="GK81" s="100"/>
      <c r="GL81" s="100"/>
      <c r="GM81" s="100"/>
      <c r="GN81" s="100"/>
      <c r="GO81" s="100"/>
      <c r="GP81" s="100"/>
      <c r="GQ81" s="100"/>
      <c r="GR81" s="100"/>
      <c r="GS81" s="100"/>
      <c r="GT81" s="100"/>
      <c r="GU81" s="100"/>
      <c r="GV81" s="100"/>
      <c r="GW81" s="100"/>
      <c r="GX81" s="100"/>
      <c r="GY81" s="100"/>
      <c r="GZ81" s="100"/>
      <c r="HA81" s="100"/>
      <c r="HB81" s="100"/>
      <c r="HC81" s="100"/>
      <c r="HD81" s="100"/>
      <c r="HE81" s="100"/>
      <c r="HF81" s="100"/>
      <c r="HG81" s="100"/>
      <c r="HH81" s="100"/>
      <c r="HI81" s="100"/>
      <c r="HJ81" s="100"/>
      <c r="HK81" s="100"/>
      <c r="HL81" s="100"/>
      <c r="HM81" s="100"/>
      <c r="HN81" s="100"/>
      <c r="HO81" s="100"/>
      <c r="HP81" s="100"/>
      <c r="HQ81" s="100"/>
      <c r="HR81" s="100"/>
      <c r="HS81" s="100"/>
      <c r="HT81" s="100"/>
      <c r="HU81" s="100"/>
      <c r="HV81" s="100"/>
      <c r="HW81" s="100"/>
      <c r="HX81" s="100"/>
      <c r="HY81" s="100"/>
      <c r="HZ81" s="100"/>
      <c r="IA81" s="100"/>
      <c r="IB81" s="100"/>
      <c r="IC81" s="100"/>
      <c r="ID81" s="100"/>
      <c r="IE81" s="100"/>
      <c r="IF81" s="100"/>
      <c r="IG81" s="100"/>
      <c r="IH81" s="100"/>
      <c r="II81" s="100"/>
      <c r="IJ81" s="100"/>
      <c r="IK81" s="100"/>
      <c r="IL81" s="100"/>
      <c r="IM81" s="100"/>
      <c r="IN81" s="100"/>
      <c r="IO81" s="100"/>
      <c r="IP81" s="100"/>
      <c r="IQ81" s="100"/>
      <c r="IR81" s="100"/>
      <c r="IS81" s="100"/>
      <c r="IT81" s="100"/>
      <c r="IU81" s="100"/>
      <c r="IV81" s="100"/>
      <c r="IW81" s="100"/>
    </row>
    <row r="82" customFormat="false" ht="12.75" hidden="false" customHeight="false" outlineLevel="0" collapsed="false">
      <c r="A82" s="100"/>
      <c r="B82" s="101" t="s">
        <v>186</v>
      </c>
      <c r="C82" s="102" t="s">
        <v>62</v>
      </c>
      <c r="D82" s="102" t="s">
        <v>228</v>
      </c>
      <c r="E82" s="103" t="n">
        <v>36770</v>
      </c>
      <c r="F82" s="103" t="n">
        <v>37864</v>
      </c>
      <c r="G82" s="101" t="s">
        <v>257</v>
      </c>
      <c r="H82" s="101"/>
      <c r="I82" s="102" t="s">
        <v>255</v>
      </c>
      <c r="J82" s="104" t="n">
        <v>0.6673</v>
      </c>
      <c r="K82" s="105" t="n">
        <v>0</v>
      </c>
      <c r="L82" s="105" t="n">
        <v>0.0022</v>
      </c>
      <c r="M82" s="105" t="n">
        <v>0</v>
      </c>
      <c r="N82" s="105" t="n">
        <v>0</v>
      </c>
      <c r="O82" s="106" t="n">
        <v>0</v>
      </c>
      <c r="P82" s="105" t="n">
        <f aca="false">SUM(J82:N82)</f>
        <v>0.6695</v>
      </c>
      <c r="Q82" s="128" t="n">
        <v>3.6686</v>
      </c>
      <c r="R82" s="102" t="n">
        <v>3073</v>
      </c>
      <c r="S82" s="101" t="s">
        <v>258</v>
      </c>
      <c r="T82" s="131" t="n">
        <f aca="false">+R82*J82</f>
        <v>2050.6129</v>
      </c>
      <c r="U82" s="108"/>
      <c r="V82" s="109" t="n">
        <v>377146</v>
      </c>
      <c r="W82" s="101"/>
      <c r="X82" s="111"/>
      <c r="Y82" s="111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false" outlineLevel="0" collapsed="false">
      <c r="A83" s="100"/>
      <c r="B83" s="101" t="s">
        <v>186</v>
      </c>
      <c r="C83" s="102" t="s">
        <v>62</v>
      </c>
      <c r="D83" s="102" t="s">
        <v>228</v>
      </c>
      <c r="E83" s="103" t="n">
        <v>36770</v>
      </c>
      <c r="F83" s="103" t="s">
        <v>259</v>
      </c>
      <c r="G83" s="101" t="s">
        <v>260</v>
      </c>
      <c r="H83" s="101"/>
      <c r="I83" s="102" t="s">
        <v>261</v>
      </c>
      <c r="J83" s="104" t="n">
        <v>0.0481</v>
      </c>
      <c r="K83" s="105" t="n">
        <v>0</v>
      </c>
      <c r="L83" s="105" t="n">
        <v>0.0022</v>
      </c>
      <c r="M83" s="105" t="n">
        <v>0</v>
      </c>
      <c r="N83" s="105" t="n">
        <v>0</v>
      </c>
      <c r="O83" s="106" t="n">
        <v>0</v>
      </c>
      <c r="P83" s="105" t="n">
        <f aca="false">SUM(J83:N83)</f>
        <v>0.0503</v>
      </c>
      <c r="Q83" s="130" t="n">
        <v>3.6685</v>
      </c>
      <c r="R83" s="102" t="n">
        <v>13269</v>
      </c>
      <c r="S83" s="101" t="s">
        <v>262</v>
      </c>
      <c r="T83" s="131" t="n">
        <f aca="false">+J83*R83</f>
        <v>638.2389</v>
      </c>
      <c r="U83" s="108"/>
      <c r="V83" s="109" t="n">
        <v>377157</v>
      </c>
      <c r="W83" s="101"/>
      <c r="X83" s="111"/>
      <c r="Y83" s="111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false" outlineLevel="0" collapsed="false">
      <c r="A84" s="100"/>
      <c r="B84" s="101" t="s">
        <v>186</v>
      </c>
      <c r="C84" s="102" t="s">
        <v>62</v>
      </c>
      <c r="D84" s="102" t="s">
        <v>228</v>
      </c>
      <c r="E84" s="103" t="n">
        <v>36770</v>
      </c>
      <c r="F84" s="103" t="s">
        <v>259</v>
      </c>
      <c r="G84" s="101" t="s">
        <v>263</v>
      </c>
      <c r="H84" s="101"/>
      <c r="I84" s="102" t="s">
        <v>261</v>
      </c>
      <c r="J84" s="104" t="n">
        <v>0.484</v>
      </c>
      <c r="K84" s="105" t="n">
        <v>0</v>
      </c>
      <c r="L84" s="105" t="n">
        <v>0.0022</v>
      </c>
      <c r="M84" s="105" t="n">
        <v>0</v>
      </c>
      <c r="N84" s="105" t="n">
        <v>0</v>
      </c>
      <c r="O84" s="106" t="n">
        <v>0</v>
      </c>
      <c r="P84" s="105" t="n">
        <f aca="false">SUM(J84:N84)</f>
        <v>0.4862</v>
      </c>
      <c r="Q84" s="130" t="n">
        <v>3.6685</v>
      </c>
      <c r="R84" s="102" t="n">
        <v>1319</v>
      </c>
      <c r="S84" s="101" t="s">
        <v>262</v>
      </c>
      <c r="T84" s="131" t="n">
        <f aca="false">+J84*R84</f>
        <v>638.396</v>
      </c>
      <c r="U84" s="108"/>
      <c r="V84" s="109" t="n">
        <v>377157</v>
      </c>
      <c r="W84" s="101"/>
      <c r="X84" s="111"/>
      <c r="Y84" s="111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false" outlineLevel="0" collapsed="false">
      <c r="A85" s="100"/>
      <c r="B85" s="101" t="s">
        <v>186</v>
      </c>
      <c r="C85" s="102" t="s">
        <v>62</v>
      </c>
      <c r="D85" s="102" t="s">
        <v>228</v>
      </c>
      <c r="E85" s="103" t="n">
        <v>36800</v>
      </c>
      <c r="F85" s="103" t="n">
        <v>36830</v>
      </c>
      <c r="G85" s="101" t="s">
        <v>260</v>
      </c>
      <c r="H85" s="101"/>
      <c r="I85" s="102" t="s">
        <v>261</v>
      </c>
      <c r="J85" s="104" t="n">
        <v>0.0481</v>
      </c>
      <c r="K85" s="105" t="n">
        <v>0</v>
      </c>
      <c r="L85" s="105" t="n">
        <v>0.0022</v>
      </c>
      <c r="M85" s="105" t="n">
        <v>0</v>
      </c>
      <c r="N85" s="105" t="n">
        <v>0</v>
      </c>
      <c r="O85" s="106" t="n">
        <v>0</v>
      </c>
      <c r="P85" s="105" t="n">
        <f aca="false">SUM(J85:N85)</f>
        <v>0.0503</v>
      </c>
      <c r="Q85" s="130"/>
      <c r="R85" s="102" t="n">
        <v>5700</v>
      </c>
      <c r="S85" s="101" t="s">
        <v>264</v>
      </c>
      <c r="T85" s="131" t="n">
        <f aca="false">+J85*R85</f>
        <v>274.17</v>
      </c>
      <c r="U85" s="108"/>
      <c r="V85" s="109" t="n">
        <v>418258</v>
      </c>
      <c r="W85" s="101"/>
      <c r="X85" s="111"/>
      <c r="Y85" s="111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.75" hidden="false" customHeight="false" outlineLevel="0" collapsed="false">
      <c r="A86" s="100"/>
      <c r="B86" s="101" t="s">
        <v>186</v>
      </c>
      <c r="C86" s="102" t="s">
        <v>62</v>
      </c>
      <c r="D86" s="102" t="s">
        <v>228</v>
      </c>
      <c r="E86" s="103" t="n">
        <v>36800</v>
      </c>
      <c r="F86" s="103" t="n">
        <v>36830</v>
      </c>
      <c r="G86" s="101" t="s">
        <v>263</v>
      </c>
      <c r="H86" s="101"/>
      <c r="I86" s="102" t="s">
        <v>261</v>
      </c>
      <c r="J86" s="104" t="n">
        <v>0.484</v>
      </c>
      <c r="K86" s="105" t="n">
        <v>0</v>
      </c>
      <c r="L86" s="105" t="n">
        <v>0.0022</v>
      </c>
      <c r="M86" s="105" t="n">
        <v>0</v>
      </c>
      <c r="N86" s="105" t="n">
        <v>0</v>
      </c>
      <c r="O86" s="106" t="n">
        <v>0</v>
      </c>
      <c r="P86" s="105" t="n">
        <f aca="false">SUM(J86:N86)</f>
        <v>0.4862</v>
      </c>
      <c r="Q86" s="130"/>
      <c r="R86" s="102" t="n">
        <v>567</v>
      </c>
      <c r="S86" s="101" t="s">
        <v>265</v>
      </c>
      <c r="T86" s="131" t="n">
        <f aca="false">+J86*R86</f>
        <v>274.428</v>
      </c>
      <c r="U86" s="108"/>
      <c r="V86" s="109" t="n">
        <v>418258</v>
      </c>
      <c r="W86" s="101"/>
      <c r="X86" s="111"/>
      <c r="Y86" s="111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.75" hidden="false" customHeight="false" outlineLevel="0" collapsed="false">
      <c r="B87" s="51"/>
      <c r="C87" s="55"/>
      <c r="D87" s="55"/>
      <c r="E87" s="56"/>
      <c r="F87" s="56"/>
      <c r="G87" s="57"/>
      <c r="H87" s="57"/>
      <c r="I87" s="55"/>
      <c r="J87" s="69"/>
      <c r="K87" s="60"/>
      <c r="L87" s="60"/>
      <c r="M87" s="60"/>
      <c r="N87" s="60"/>
      <c r="O87" s="61"/>
      <c r="P87" s="60"/>
      <c r="Q87" s="132"/>
      <c r="R87" s="133"/>
      <c r="S87" s="64"/>
      <c r="T87" s="64" t="n">
        <f aca="false">SUM(T65:T86)</f>
        <v>134043.073566667</v>
      </c>
      <c r="U87" s="64"/>
      <c r="V87" s="65"/>
      <c r="W87" s="66"/>
      <c r="X87" s="67"/>
      <c r="Y87" s="67"/>
    </row>
    <row r="88" customFormat="false" ht="12.75" hidden="false" customHeight="false" outlineLevel="0" collapsed="false">
      <c r="B88" s="51"/>
      <c r="C88" s="55"/>
      <c r="D88" s="55"/>
      <c r="E88" s="56"/>
      <c r="F88" s="56"/>
      <c r="G88" s="57"/>
      <c r="H88" s="57"/>
      <c r="I88" s="55"/>
      <c r="J88" s="60"/>
      <c r="K88" s="60"/>
      <c r="L88" s="60"/>
      <c r="M88" s="60"/>
      <c r="N88" s="60"/>
      <c r="O88" s="61"/>
      <c r="P88" s="60"/>
      <c r="Q88" s="132"/>
      <c r="R88" s="133"/>
      <c r="S88" s="64"/>
      <c r="T88" s="64"/>
      <c r="U88" s="64"/>
      <c r="V88" s="65"/>
      <c r="W88" s="66"/>
      <c r="X88" s="67"/>
      <c r="Y88" s="67"/>
    </row>
    <row r="89" customFormat="false" ht="12.75" hidden="false" customHeight="false" outlineLevel="0" collapsed="false">
      <c r="B89" s="51"/>
      <c r="C89" s="55"/>
      <c r="D89" s="55"/>
      <c r="E89" s="56"/>
      <c r="F89" s="56"/>
      <c r="G89" s="57"/>
      <c r="H89" s="57"/>
      <c r="I89" s="55"/>
      <c r="J89" s="69"/>
      <c r="K89" s="60"/>
      <c r="L89" s="60"/>
      <c r="M89" s="60"/>
      <c r="N89" s="60"/>
      <c r="O89" s="61"/>
      <c r="P89" s="60"/>
      <c r="Q89" s="132"/>
      <c r="R89" s="133"/>
      <c r="S89" s="64"/>
      <c r="T89" s="64"/>
      <c r="U89" s="64"/>
      <c r="V89" s="65"/>
      <c r="W89" s="66"/>
      <c r="X89" s="67"/>
      <c r="Y89" s="67"/>
    </row>
    <row r="90" customFormat="false" ht="13.5" hidden="false" customHeight="false" outlineLevel="0" collapsed="false">
      <c r="B90" s="51"/>
      <c r="C90" s="55"/>
      <c r="D90" s="55"/>
      <c r="E90" s="56"/>
      <c r="F90" s="56"/>
      <c r="G90" s="57"/>
      <c r="H90" s="57"/>
      <c r="I90" s="55"/>
      <c r="J90" s="60"/>
      <c r="K90" s="60"/>
      <c r="L90" s="60"/>
      <c r="M90" s="60"/>
      <c r="N90" s="60"/>
      <c r="O90" s="61"/>
      <c r="P90" s="60"/>
      <c r="Q90" s="132"/>
      <c r="R90" s="133"/>
      <c r="S90" s="64"/>
      <c r="T90" s="134" t="n">
        <f aca="false">SUM(T87,T63,T48,T28)</f>
        <v>651026.155808925</v>
      </c>
      <c r="U90" s="64" t="s">
        <v>266</v>
      </c>
      <c r="V90" s="65"/>
      <c r="W90" s="66"/>
      <c r="X90" s="67"/>
      <c r="Y90" s="67"/>
    </row>
    <row r="91" customFormat="false" ht="13.5" hidden="false" customHeight="false" outlineLevel="0" collapsed="false">
      <c r="B91" s="51"/>
      <c r="C91" s="55"/>
      <c r="D91" s="55"/>
      <c r="E91" s="56"/>
      <c r="F91" s="56"/>
      <c r="G91" s="57"/>
      <c r="H91" s="57"/>
      <c r="I91" s="55"/>
      <c r="J91" s="60"/>
      <c r="K91" s="60"/>
      <c r="L91" s="60"/>
      <c r="M91" s="60"/>
      <c r="N91" s="60"/>
      <c r="O91" s="61"/>
      <c r="P91" s="60"/>
      <c r="Q91" s="132"/>
      <c r="R91" s="133"/>
      <c r="S91" s="64"/>
      <c r="T91" s="64"/>
      <c r="U91" s="66" t="s">
        <v>267</v>
      </c>
      <c r="V91" s="65"/>
      <c r="W91" s="66"/>
      <c r="X91" s="135"/>
      <c r="Y91" s="67"/>
    </row>
    <row r="92" customFormat="false" ht="12.75" hidden="false" customHeight="false" outlineLevel="0" collapsed="false">
      <c r="B92" s="51"/>
      <c r="C92" s="55"/>
      <c r="D92" s="55"/>
      <c r="E92" s="56"/>
      <c r="F92" s="56"/>
      <c r="G92" s="57"/>
      <c r="H92" s="57"/>
      <c r="I92" s="55"/>
      <c r="J92" s="60"/>
      <c r="K92" s="60"/>
      <c r="L92" s="60"/>
      <c r="M92" s="60"/>
      <c r="N92" s="60"/>
      <c r="O92" s="61"/>
      <c r="P92" s="60"/>
      <c r="Q92" s="132"/>
      <c r="R92" s="133"/>
      <c r="S92" s="64"/>
      <c r="T92" s="64"/>
      <c r="U92" s="64"/>
      <c r="V92" s="65"/>
      <c r="W92" s="66"/>
      <c r="X92" s="67"/>
      <c r="Y92" s="67"/>
    </row>
    <row r="93" customFormat="false" ht="12.75" hidden="false" customHeight="false" outlineLevel="0" collapsed="false">
      <c r="B93" s="51"/>
      <c r="C93" s="55"/>
      <c r="D93" s="55"/>
      <c r="E93" s="56"/>
      <c r="F93" s="56"/>
      <c r="G93" s="57"/>
      <c r="H93" s="57"/>
      <c r="I93" s="55"/>
      <c r="J93" s="60"/>
      <c r="K93" s="60"/>
      <c r="L93" s="60"/>
      <c r="M93" s="60"/>
      <c r="N93" s="60"/>
      <c r="O93" s="61"/>
      <c r="P93" s="60"/>
      <c r="Q93" s="132"/>
      <c r="R93" s="133"/>
      <c r="S93" s="64"/>
      <c r="T93" s="64"/>
      <c r="U93" s="64"/>
      <c r="V93" s="65"/>
      <c r="W93" s="66"/>
      <c r="X93" s="67"/>
      <c r="Y93" s="67"/>
    </row>
    <row r="94" customFormat="false" ht="12.75" hidden="false" customHeight="false" outlineLevel="0" collapsed="false">
      <c r="B94" s="51"/>
      <c r="C94" s="55"/>
      <c r="D94" s="55"/>
      <c r="E94" s="83"/>
      <c r="F94" s="56"/>
      <c r="G94" s="57"/>
      <c r="H94" s="57"/>
      <c r="I94" s="55"/>
      <c r="J94" s="69"/>
      <c r="K94" s="60"/>
      <c r="L94" s="60"/>
      <c r="M94" s="60"/>
      <c r="N94" s="60"/>
      <c r="O94" s="61"/>
      <c r="P94" s="60"/>
      <c r="Q94" s="132"/>
      <c r="R94" s="133"/>
      <c r="S94" s="135"/>
      <c r="T94" s="64"/>
      <c r="U94" s="64"/>
      <c r="V94" s="65"/>
      <c r="W94" s="66"/>
      <c r="X94" s="67"/>
      <c r="Y94" s="67"/>
    </row>
    <row r="95" customFormat="false" ht="12.75" hidden="false" customHeight="false" outlineLevel="0" collapsed="false">
      <c r="B95" s="51"/>
      <c r="C95" s="55"/>
      <c r="D95" s="55"/>
      <c r="E95" s="83"/>
      <c r="F95" s="56"/>
      <c r="G95" s="57"/>
      <c r="H95" s="57"/>
      <c r="I95" s="55"/>
      <c r="J95" s="69"/>
      <c r="K95" s="60"/>
      <c r="L95" s="60"/>
      <c r="M95" s="60"/>
      <c r="N95" s="60"/>
      <c r="O95" s="61"/>
      <c r="P95" s="60"/>
      <c r="Q95" s="132"/>
      <c r="R95" s="133"/>
      <c r="S95" s="135"/>
      <c r="T95" s="64"/>
      <c r="U95" s="64"/>
      <c r="V95" s="65"/>
      <c r="W95" s="66"/>
      <c r="X95" s="67"/>
      <c r="Y95" s="67"/>
    </row>
    <row r="96" customFormat="false" ht="12.75" hidden="false" customHeight="false" outlineLevel="0" collapsed="false">
      <c r="E96" s="53"/>
      <c r="Q96" s="47"/>
      <c r="R96" s="47"/>
      <c r="S96" s="47"/>
      <c r="T96" s="47"/>
      <c r="U96" s="47"/>
      <c r="V96" s="136"/>
      <c r="W96" s="137"/>
      <c r="X96" s="136"/>
    </row>
    <row r="97" customFormat="false" ht="12.75" hidden="false" customHeight="false" outlineLevel="0" collapsed="false">
      <c r="E97" s="53"/>
      <c r="Q97" s="47"/>
      <c r="R97" s="47"/>
      <c r="S97" s="47"/>
      <c r="T97" s="47"/>
      <c r="U97" s="47"/>
      <c r="V97" s="136"/>
      <c r="W97" s="137"/>
      <c r="X97" s="136"/>
    </row>
    <row r="98" customFormat="false" ht="12.75" hidden="false" customHeight="false" outlineLevel="0" collapsed="false">
      <c r="E98" s="53"/>
    </row>
    <row r="99" customFormat="false" ht="12.75" hidden="false" customHeight="false" outlineLevel="0" collapsed="false">
      <c r="E99" s="53"/>
    </row>
    <row r="100" customFormat="false" ht="12.75" hidden="false" customHeight="false" outlineLevel="0" collapsed="false">
      <c r="E100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G48" colorId="64" zoomScale="100" zoomScaleNormal="100" zoomScalePageLayoutView="100" workbookViewId="0">
      <selection pane="topLeft" activeCell="T70" activeCellId="0" sqref="T7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4" width="9.14"/>
    <col collapsed="false" customWidth="true" hidden="false" outlineLevel="0" max="2" min="2" style="44" width="9.99"/>
    <col collapsed="false" customWidth="false" hidden="false" outlineLevel="0" max="3" min="3" style="44" width="9.14"/>
    <col collapsed="false" customWidth="true" hidden="false" outlineLevel="0" max="4" min="4" style="44" width="10.56"/>
    <col collapsed="false" customWidth="true" hidden="false" outlineLevel="0" max="5" min="5" style="44" width="9.28"/>
    <col collapsed="false" customWidth="true" hidden="false" outlineLevel="0" max="6" min="6" style="44" width="9.56"/>
    <col collapsed="false" customWidth="true" hidden="false" outlineLevel="0" max="7" min="7" style="51" width="12.42"/>
    <col collapsed="false" customWidth="true" hidden="false" outlineLevel="0" max="8" min="8" style="51" width="16.42"/>
    <col collapsed="false" customWidth="true" hidden="false" outlineLevel="0" max="9" min="9" style="44" width="16.56"/>
    <col collapsed="false" customWidth="true" hidden="false" outlineLevel="0" max="10" min="10" style="44" width="7.7"/>
    <col collapsed="false" customWidth="true" hidden="true" outlineLevel="0" max="14" min="11" style="44" width="9.06"/>
    <col collapsed="false" customWidth="true" hidden="true" outlineLevel="0" max="15" min="15" style="52" width="9.06"/>
    <col collapsed="false" customWidth="true" hidden="true" outlineLevel="0" max="16" min="16" style="44" width="9.06"/>
    <col collapsed="false" customWidth="true" hidden="false" outlineLevel="0" max="17" min="17" style="44" width="14.28"/>
    <col collapsed="false" customWidth="true" hidden="false" outlineLevel="0" max="18" min="18" style="44" width="10.85"/>
    <col collapsed="false" customWidth="true" hidden="false" outlineLevel="0" max="19" min="19" style="44" width="12.28"/>
    <col collapsed="false" customWidth="true" hidden="false" outlineLevel="0" max="20" min="20" style="44" width="10.71"/>
    <col collapsed="false" customWidth="true" hidden="false" outlineLevel="0" max="21" min="21" style="44" width="11.85"/>
    <col collapsed="false" customWidth="true" hidden="false" outlineLevel="0" max="22" min="22" style="53" width="14.85"/>
    <col collapsed="false" customWidth="true" hidden="false" outlineLevel="0" max="23" min="23" style="51" width="42.28"/>
    <col collapsed="false" customWidth="false" hidden="false" outlineLevel="0" max="25" min="24" style="53" width="9.14"/>
    <col collapsed="false" customWidth="true" hidden="false" outlineLevel="0" max="26" min="26" style="44" width="12.42"/>
    <col collapsed="false" customWidth="false" hidden="false" outlineLevel="0" max="257" min="27" style="44" width="9.14"/>
  </cols>
  <sheetData>
    <row r="1" customFormat="false" ht="12.75" hidden="false" customHeight="false" outlineLevel="0" collapsed="false">
      <c r="B1" s="54" t="s">
        <v>158</v>
      </c>
      <c r="C1" s="55"/>
      <c r="D1" s="55"/>
      <c r="E1" s="56"/>
      <c r="F1" s="56"/>
      <c r="G1" s="57"/>
      <c r="H1" s="57"/>
      <c r="I1" s="55" t="s">
        <v>159</v>
      </c>
      <c r="J1" s="58" t="n">
        <v>31</v>
      </c>
      <c r="K1" s="59" t="s">
        <v>160</v>
      </c>
      <c r="L1" s="60"/>
      <c r="M1" s="60"/>
      <c r="N1" s="60"/>
      <c r="O1" s="61"/>
      <c r="P1" s="60"/>
      <c r="Q1" s="62"/>
      <c r="R1" s="63"/>
      <c r="S1" s="64"/>
      <c r="T1" s="64"/>
      <c r="U1" s="64"/>
      <c r="V1" s="65"/>
      <c r="W1" s="66"/>
      <c r="X1" s="67"/>
      <c r="Y1" s="67"/>
    </row>
    <row r="2" customFormat="false" ht="12.75" hidden="false" customHeight="false" outlineLevel="0" collapsed="false">
      <c r="B2" s="57" t="s">
        <v>161</v>
      </c>
      <c r="C2" s="57"/>
      <c r="D2" s="57"/>
      <c r="E2" s="56"/>
      <c r="F2" s="56"/>
      <c r="G2" s="57"/>
      <c r="H2" s="57"/>
      <c r="I2" s="55"/>
      <c r="J2" s="58"/>
      <c r="K2" s="59" t="s">
        <v>162</v>
      </c>
      <c r="L2" s="60"/>
      <c r="M2" s="60"/>
      <c r="N2" s="60"/>
      <c r="O2" s="61"/>
      <c r="P2" s="60"/>
      <c r="Q2" s="62"/>
      <c r="R2" s="63"/>
      <c r="S2" s="64"/>
      <c r="T2" s="64"/>
      <c r="U2" s="64"/>
      <c r="V2" s="65"/>
      <c r="W2" s="66"/>
      <c r="X2" s="67"/>
      <c r="Y2" s="67"/>
    </row>
    <row r="3" customFormat="false" ht="12.75" hidden="false" customHeight="false" outlineLevel="0" collapsed="false">
      <c r="B3" s="57" t="s">
        <v>163</v>
      </c>
      <c r="C3" s="57"/>
      <c r="D3" s="57"/>
      <c r="E3" s="56"/>
      <c r="F3" s="56"/>
      <c r="G3" s="68" t="s">
        <v>155</v>
      </c>
      <c r="H3" s="57" t="s">
        <v>155</v>
      </c>
      <c r="I3" s="63" t="s">
        <v>155</v>
      </c>
      <c r="J3" s="69"/>
      <c r="K3" s="70" t="s">
        <v>155</v>
      </c>
      <c r="L3" s="60"/>
      <c r="M3" s="70" t="s">
        <v>155</v>
      </c>
      <c r="N3" s="60"/>
      <c r="O3" s="61"/>
      <c r="P3" s="70" t="s">
        <v>155</v>
      </c>
      <c r="Q3" s="62"/>
      <c r="R3" s="63"/>
      <c r="S3" s="64"/>
      <c r="T3" s="64"/>
      <c r="U3" s="64"/>
      <c r="V3" s="65"/>
      <c r="W3" s="66"/>
      <c r="X3" s="67"/>
      <c r="Y3" s="67"/>
    </row>
    <row r="4" customFormat="false" ht="12.75" hidden="false" customHeight="false" outlineLevel="0" collapsed="false">
      <c r="B4" s="57"/>
      <c r="C4" s="55"/>
      <c r="D4" s="55"/>
      <c r="E4" s="56"/>
      <c r="F4" s="56"/>
      <c r="G4" s="71"/>
      <c r="H4" s="57"/>
      <c r="I4" s="71"/>
      <c r="J4" s="69"/>
      <c r="K4" s="71"/>
      <c r="L4" s="60"/>
      <c r="M4" s="71"/>
      <c r="N4" s="63"/>
      <c r="O4" s="61"/>
      <c r="P4" s="63"/>
      <c r="Q4" s="62"/>
      <c r="R4" s="63"/>
      <c r="S4" s="64"/>
      <c r="T4" s="72"/>
      <c r="U4" s="72"/>
      <c r="V4" s="73"/>
      <c r="W4" s="66"/>
      <c r="X4" s="67"/>
      <c r="Y4" s="67"/>
    </row>
    <row r="5" customFormat="false" ht="12.75" hidden="false" customHeight="false" outlineLevel="0" collapsed="false">
      <c r="B5" s="57" t="s">
        <v>164</v>
      </c>
      <c r="C5" s="55"/>
      <c r="D5" s="57"/>
      <c r="E5" s="56"/>
      <c r="F5" s="56"/>
      <c r="G5" s="71"/>
      <c r="H5" s="57"/>
      <c r="I5" s="71"/>
      <c r="J5" s="69"/>
      <c r="K5" s="71"/>
      <c r="L5" s="60"/>
      <c r="M5" s="71"/>
      <c r="N5" s="63"/>
      <c r="O5" s="61"/>
      <c r="P5" s="63"/>
      <c r="Q5" s="62"/>
      <c r="R5" s="63"/>
      <c r="S5" s="64"/>
      <c r="T5" s="72"/>
      <c r="U5" s="72"/>
      <c r="V5" s="73"/>
      <c r="W5" s="66"/>
      <c r="X5" s="67"/>
      <c r="Y5" s="67"/>
    </row>
    <row r="6" customFormat="false" ht="12.75" hidden="false" customHeight="false" outlineLevel="0" collapsed="false">
      <c r="B6" s="57"/>
      <c r="C6" s="55" t="s">
        <v>165</v>
      </c>
      <c r="D6" s="55"/>
      <c r="E6" s="56"/>
      <c r="F6" s="56"/>
      <c r="G6" s="71"/>
      <c r="H6" s="57"/>
      <c r="I6" s="71"/>
      <c r="J6" s="69"/>
      <c r="K6" s="71"/>
      <c r="L6" s="60"/>
      <c r="M6" s="71"/>
      <c r="N6" s="63"/>
      <c r="O6" s="61"/>
      <c r="P6" s="63"/>
      <c r="Q6" s="62"/>
      <c r="R6" s="63"/>
      <c r="S6" s="64"/>
      <c r="T6" s="72"/>
      <c r="U6" s="72"/>
      <c r="V6" s="73"/>
      <c r="W6" s="66"/>
      <c r="X6" s="67"/>
      <c r="Y6" s="67"/>
    </row>
    <row r="7" customFormat="false" ht="12.75" hidden="false" customHeight="false" outlineLevel="0" collapsed="false">
      <c r="B7" s="57"/>
      <c r="C7" s="55"/>
      <c r="D7" s="55"/>
      <c r="E7" s="56"/>
      <c r="F7" s="56"/>
      <c r="G7" s="71"/>
      <c r="H7" s="57"/>
      <c r="I7" s="71"/>
      <c r="J7" s="69"/>
      <c r="K7" s="71"/>
      <c r="L7" s="60"/>
      <c r="M7" s="71"/>
      <c r="N7" s="63"/>
      <c r="O7" s="61"/>
      <c r="P7" s="63"/>
      <c r="Q7" s="62"/>
      <c r="R7" s="63"/>
      <c r="S7" s="64"/>
      <c r="T7" s="72"/>
      <c r="U7" s="72"/>
      <c r="V7" s="73"/>
      <c r="W7" s="66"/>
      <c r="X7" s="67"/>
      <c r="Y7" s="67"/>
    </row>
    <row r="8" customFormat="false" ht="12.75" hidden="false" customHeight="false" outlineLevel="0" collapsed="false">
      <c r="B8" s="57"/>
      <c r="C8" s="55"/>
      <c r="D8" s="55"/>
      <c r="E8" s="56"/>
      <c r="F8" s="56"/>
      <c r="G8" s="71"/>
      <c r="H8" s="57"/>
      <c r="I8" s="71"/>
      <c r="J8" s="69"/>
      <c r="K8" s="71"/>
      <c r="L8" s="60"/>
      <c r="M8" s="71"/>
      <c r="N8" s="63"/>
      <c r="O8" s="61"/>
      <c r="P8" s="63"/>
      <c r="Q8" s="62"/>
      <c r="R8" s="63"/>
      <c r="S8" s="64"/>
      <c r="T8" s="72"/>
      <c r="U8" s="72"/>
      <c r="V8" s="73"/>
      <c r="W8" s="66"/>
      <c r="X8" s="67"/>
      <c r="Y8" s="67"/>
    </row>
    <row r="9" customFormat="false" ht="12.75" hidden="false" customHeight="false" outlineLevel="0" collapsed="false">
      <c r="B9" s="57"/>
      <c r="C9" s="55"/>
      <c r="D9" s="55"/>
      <c r="E9" s="56"/>
      <c r="F9" s="56"/>
      <c r="G9" s="71"/>
      <c r="H9" s="57"/>
      <c r="I9" s="71"/>
      <c r="J9" s="69"/>
      <c r="K9" s="71"/>
      <c r="L9" s="60"/>
      <c r="M9" s="71"/>
      <c r="N9" s="63"/>
      <c r="O9" s="61"/>
      <c r="P9" s="63"/>
      <c r="Q9" s="62"/>
      <c r="R9" s="63"/>
      <c r="S9" s="64"/>
      <c r="T9" s="72"/>
      <c r="U9" s="72"/>
      <c r="V9" s="73"/>
      <c r="W9" s="66"/>
      <c r="X9" s="67"/>
      <c r="Y9" s="67"/>
    </row>
    <row r="10" customFormat="false" ht="12.75" hidden="false" customHeight="false" outlineLevel="0" collapsed="false">
      <c r="B10" s="57"/>
      <c r="C10" s="55"/>
      <c r="D10" s="55"/>
      <c r="E10" s="56"/>
      <c r="F10" s="56"/>
      <c r="G10" s="71"/>
      <c r="H10" s="57"/>
      <c r="I10" s="71"/>
      <c r="J10" s="69"/>
      <c r="K10" s="71"/>
      <c r="L10" s="60"/>
      <c r="M10" s="71"/>
      <c r="N10" s="63"/>
      <c r="O10" s="61"/>
      <c r="P10" s="63"/>
      <c r="Q10" s="62"/>
      <c r="R10" s="63"/>
      <c r="S10" s="64"/>
      <c r="T10" s="72"/>
      <c r="U10" s="72"/>
      <c r="V10" s="73"/>
      <c r="W10" s="66"/>
      <c r="X10" s="67"/>
      <c r="Y10" s="67"/>
    </row>
    <row r="11" customFormat="false" ht="12.75" hidden="false" customHeight="false" outlineLevel="0" collapsed="false">
      <c r="B11" s="74" t="s">
        <v>166</v>
      </c>
      <c r="C11" s="75" t="s">
        <v>167</v>
      </c>
      <c r="D11" s="75" t="s">
        <v>268</v>
      </c>
      <c r="E11" s="76" t="s">
        <v>169</v>
      </c>
      <c r="F11" s="76"/>
      <c r="G11" s="74" t="s">
        <v>170</v>
      </c>
      <c r="H11" s="74" t="s">
        <v>171</v>
      </c>
      <c r="I11" s="75" t="s">
        <v>172</v>
      </c>
      <c r="J11" s="77" t="s">
        <v>173</v>
      </c>
      <c r="K11" s="75" t="s">
        <v>174</v>
      </c>
      <c r="L11" s="75" t="s">
        <v>175</v>
      </c>
      <c r="M11" s="75" t="s">
        <v>176</v>
      </c>
      <c r="N11" s="75" t="s">
        <v>177</v>
      </c>
      <c r="O11" s="78" t="s">
        <v>178</v>
      </c>
      <c r="P11" s="75" t="s">
        <v>179</v>
      </c>
      <c r="Q11" s="79" t="s">
        <v>180</v>
      </c>
      <c r="R11" s="75" t="s">
        <v>181</v>
      </c>
      <c r="S11" s="74" t="s">
        <v>182</v>
      </c>
      <c r="T11" s="80" t="s">
        <v>183</v>
      </c>
      <c r="U11" s="80" t="s">
        <v>184</v>
      </c>
      <c r="V11" s="81" t="s">
        <v>185</v>
      </c>
      <c r="W11" s="82" t="s">
        <v>269</v>
      </c>
      <c r="X11" s="83"/>
      <c r="Y11" s="83"/>
    </row>
    <row r="12" customFormat="false" ht="12.75" hidden="false" customHeight="false" outlineLevel="0" collapsed="false">
      <c r="B12" s="74" t="s">
        <v>166</v>
      </c>
      <c r="C12" s="75" t="s">
        <v>167</v>
      </c>
      <c r="D12" s="75" t="s">
        <v>268</v>
      </c>
      <c r="E12" s="76" t="s">
        <v>169</v>
      </c>
      <c r="F12" s="76"/>
      <c r="G12" s="74" t="s">
        <v>170</v>
      </c>
      <c r="H12" s="74" t="s">
        <v>171</v>
      </c>
      <c r="I12" s="75" t="s">
        <v>172</v>
      </c>
      <c r="J12" s="77" t="s">
        <v>173</v>
      </c>
      <c r="K12" s="75" t="s">
        <v>174</v>
      </c>
      <c r="L12" s="75" t="s">
        <v>175</v>
      </c>
      <c r="M12" s="75" t="s">
        <v>176</v>
      </c>
      <c r="N12" s="75" t="s">
        <v>177</v>
      </c>
      <c r="O12" s="78" t="s">
        <v>178</v>
      </c>
      <c r="P12" s="75" t="s">
        <v>179</v>
      </c>
      <c r="Q12" s="79" t="s">
        <v>180</v>
      </c>
      <c r="R12" s="75" t="s">
        <v>181</v>
      </c>
      <c r="S12" s="74" t="s">
        <v>182</v>
      </c>
      <c r="T12" s="80" t="s">
        <v>183</v>
      </c>
      <c r="U12" s="80" t="s">
        <v>184</v>
      </c>
      <c r="V12" s="81" t="s">
        <v>185</v>
      </c>
      <c r="W12" s="82" t="s">
        <v>269</v>
      </c>
      <c r="X12" s="83"/>
      <c r="Y12" s="83"/>
    </row>
    <row r="13" customFormat="false" ht="12.75" hidden="false" customHeight="false" outlineLevel="0" collapsed="false">
      <c r="A13" s="84"/>
      <c r="B13" s="85" t="s">
        <v>186</v>
      </c>
      <c r="C13" s="86" t="s">
        <v>102</v>
      </c>
      <c r="D13" s="86" t="s">
        <v>228</v>
      </c>
      <c r="E13" s="87" t="n">
        <v>36770</v>
      </c>
      <c r="F13" s="87" t="n">
        <v>36981</v>
      </c>
      <c r="G13" s="138" t="n">
        <v>10001</v>
      </c>
      <c r="H13" s="138" t="n">
        <v>10001</v>
      </c>
      <c r="I13" s="86" t="s">
        <v>270</v>
      </c>
      <c r="J13" s="88" t="n">
        <v>0.0137</v>
      </c>
      <c r="K13" s="89"/>
      <c r="L13" s="89"/>
      <c r="M13" s="89"/>
      <c r="N13" s="89"/>
      <c r="O13" s="90"/>
      <c r="P13" s="89"/>
      <c r="Q13" s="91" t="n">
        <v>530750</v>
      </c>
      <c r="R13" s="86" t="n">
        <v>9374</v>
      </c>
      <c r="S13" s="85" t="s">
        <v>271</v>
      </c>
      <c r="T13" s="92" t="n">
        <f aca="false">J13*1*R13</f>
        <v>128.4238</v>
      </c>
      <c r="U13" s="92"/>
      <c r="V13" s="93" t="n">
        <v>384260</v>
      </c>
      <c r="W13" s="85"/>
      <c r="X13" s="94"/>
      <c r="Y13" s="9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12.75" hidden="false" customHeight="false" outlineLevel="0" collapsed="false">
      <c r="A14" s="84"/>
      <c r="B14" s="85" t="s">
        <v>186</v>
      </c>
      <c r="C14" s="86" t="s">
        <v>102</v>
      </c>
      <c r="D14" s="86" t="s">
        <v>228</v>
      </c>
      <c r="E14" s="87" t="n">
        <v>36770</v>
      </c>
      <c r="F14" s="87" t="n">
        <v>36981</v>
      </c>
      <c r="G14" s="138" t="n">
        <v>10002</v>
      </c>
      <c r="H14" s="138" t="n">
        <v>10002</v>
      </c>
      <c r="I14" s="86" t="s">
        <v>270</v>
      </c>
      <c r="J14" s="88" t="n">
        <v>1.0137</v>
      </c>
      <c r="K14" s="89"/>
      <c r="L14" s="89"/>
      <c r="M14" s="89"/>
      <c r="N14" s="89"/>
      <c r="O14" s="90"/>
      <c r="P14" s="89"/>
      <c r="Q14" s="91" t="n">
        <v>530750</v>
      </c>
      <c r="R14" s="86" t="n">
        <v>153</v>
      </c>
      <c r="S14" s="85" t="s">
        <v>271</v>
      </c>
      <c r="T14" s="92" t="n">
        <f aca="false">J14*1*R14</f>
        <v>155.0961</v>
      </c>
      <c r="U14" s="92"/>
      <c r="V14" s="93" t="n">
        <v>384260</v>
      </c>
      <c r="W14" s="85"/>
      <c r="X14" s="94"/>
      <c r="Y14" s="9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12.75" hidden="false" customHeight="false" outlineLevel="0" collapsed="false">
      <c r="A15" s="84"/>
      <c r="B15" s="85" t="s">
        <v>186</v>
      </c>
      <c r="C15" s="86" t="s">
        <v>102</v>
      </c>
      <c r="D15" s="86" t="s">
        <v>228</v>
      </c>
      <c r="E15" s="87" t="n">
        <v>36800</v>
      </c>
      <c r="F15" s="87" t="n">
        <v>36830</v>
      </c>
      <c r="G15" s="138" t="n">
        <v>10001</v>
      </c>
      <c r="H15" s="138" t="n">
        <v>10001</v>
      </c>
      <c r="I15" s="86" t="s">
        <v>270</v>
      </c>
      <c r="J15" s="88" t="n">
        <v>1.8373</v>
      </c>
      <c r="K15" s="89"/>
      <c r="L15" s="89"/>
      <c r="M15" s="89"/>
      <c r="N15" s="89"/>
      <c r="O15" s="90"/>
      <c r="P15" s="89"/>
      <c r="Q15" s="91" t="n">
        <v>530811</v>
      </c>
      <c r="R15" s="86" t="n">
        <v>67</v>
      </c>
      <c r="S15" s="85" t="s">
        <v>272</v>
      </c>
      <c r="T15" s="92" t="n">
        <f aca="false">J15*1*R15</f>
        <v>123.0991</v>
      </c>
      <c r="U15" s="92"/>
      <c r="V15" s="93" t="n">
        <v>418886</v>
      </c>
      <c r="W15" s="85"/>
      <c r="X15" s="94"/>
      <c r="Y15" s="9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12.75" hidden="false" customHeight="false" outlineLevel="0" collapsed="false">
      <c r="A16" s="84"/>
      <c r="B16" s="85" t="s">
        <v>186</v>
      </c>
      <c r="C16" s="86" t="s">
        <v>102</v>
      </c>
      <c r="D16" s="86" t="s">
        <v>228</v>
      </c>
      <c r="E16" s="87" t="n">
        <v>36800</v>
      </c>
      <c r="F16" s="87" t="n">
        <v>36830</v>
      </c>
      <c r="G16" s="138" t="n">
        <v>10001</v>
      </c>
      <c r="H16" s="138" t="n">
        <v>10001</v>
      </c>
      <c r="I16" s="86" t="s">
        <v>270</v>
      </c>
      <c r="J16" s="88" t="n">
        <v>0.0137</v>
      </c>
      <c r="K16" s="89"/>
      <c r="L16" s="89"/>
      <c r="M16" s="89"/>
      <c r="N16" s="89"/>
      <c r="O16" s="90"/>
      <c r="P16" s="89"/>
      <c r="Q16" s="91" t="n">
        <v>530811</v>
      </c>
      <c r="R16" s="86" t="n">
        <v>4064</v>
      </c>
      <c r="S16" s="85" t="s">
        <v>272</v>
      </c>
      <c r="T16" s="92" t="n">
        <f aca="false">J16*1*R16</f>
        <v>55.6768</v>
      </c>
      <c r="U16" s="92"/>
      <c r="V16" s="93" t="n">
        <v>418886</v>
      </c>
      <c r="W16" s="85"/>
      <c r="X16" s="94"/>
      <c r="Y16" s="9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2.75" hidden="false" customHeight="false" outlineLevel="0" collapsed="false">
      <c r="B17" s="139" t="s">
        <v>155</v>
      </c>
      <c r="C17" s="140" t="s">
        <v>155</v>
      </c>
      <c r="D17" s="141" t="s">
        <v>155</v>
      </c>
      <c r="E17" s="142" t="s">
        <v>155</v>
      </c>
      <c r="F17" s="142"/>
      <c r="G17" s="139" t="s">
        <v>155</v>
      </c>
      <c r="H17" s="143" t="s">
        <v>155</v>
      </c>
      <c r="I17" s="140" t="s">
        <v>155</v>
      </c>
      <c r="J17" s="144"/>
      <c r="K17" s="145"/>
      <c r="L17" s="145"/>
      <c r="M17" s="145"/>
      <c r="N17" s="145"/>
      <c r="O17" s="146"/>
      <c r="P17" s="145"/>
      <c r="Q17" s="147" t="s">
        <v>155</v>
      </c>
      <c r="R17" s="140" t="n">
        <f aca="false">SUM(R13:R16)</f>
        <v>13658</v>
      </c>
      <c r="S17" s="139" t="s">
        <v>155</v>
      </c>
      <c r="T17" s="148" t="n">
        <f aca="false">SUM(T13:T16)</f>
        <v>462.2958</v>
      </c>
      <c r="U17" s="148"/>
      <c r="V17" s="149"/>
      <c r="W17" s="139"/>
      <c r="X17" s="83"/>
      <c r="Y17" s="83"/>
    </row>
    <row r="18" customFormat="false" ht="12.75" hidden="false" customHeight="false" outlineLevel="0" collapsed="false">
      <c r="B18" s="74" t="s">
        <v>166</v>
      </c>
      <c r="C18" s="75" t="s">
        <v>167</v>
      </c>
      <c r="D18" s="75" t="s">
        <v>168</v>
      </c>
      <c r="E18" s="76" t="s">
        <v>169</v>
      </c>
      <c r="F18" s="76"/>
      <c r="G18" s="74" t="s">
        <v>170</v>
      </c>
      <c r="H18" s="74" t="s">
        <v>171</v>
      </c>
      <c r="I18" s="75" t="s">
        <v>172</v>
      </c>
      <c r="J18" s="77" t="s">
        <v>173</v>
      </c>
      <c r="K18" s="75" t="s">
        <v>174</v>
      </c>
      <c r="L18" s="75" t="s">
        <v>175</v>
      </c>
      <c r="M18" s="75" t="s">
        <v>176</v>
      </c>
      <c r="N18" s="75" t="s">
        <v>177</v>
      </c>
      <c r="O18" s="78" t="s">
        <v>178</v>
      </c>
      <c r="P18" s="75" t="s">
        <v>179</v>
      </c>
      <c r="Q18" s="79" t="s">
        <v>180</v>
      </c>
      <c r="R18" s="75" t="s">
        <v>181</v>
      </c>
      <c r="S18" s="74" t="s">
        <v>182</v>
      </c>
      <c r="T18" s="80" t="s">
        <v>183</v>
      </c>
      <c r="U18" s="80" t="s">
        <v>184</v>
      </c>
      <c r="V18" s="81" t="s">
        <v>185</v>
      </c>
      <c r="W18" s="82" t="str">
        <f aca="false">+W12</f>
        <v>Questions</v>
      </c>
      <c r="X18" s="83"/>
      <c r="Y18" s="83"/>
    </row>
    <row r="19" customFormat="false" ht="12.75" hidden="false" customHeight="false" outlineLevel="0" collapsed="false">
      <c r="A19" s="100"/>
      <c r="B19" s="101" t="s">
        <v>186</v>
      </c>
      <c r="C19" s="102" t="s">
        <v>273</v>
      </c>
      <c r="D19" s="102" t="s">
        <v>274</v>
      </c>
      <c r="E19" s="103" t="n">
        <v>36617</v>
      </c>
      <c r="F19" s="56" t="n">
        <v>36830</v>
      </c>
      <c r="G19" s="101" t="s">
        <v>275</v>
      </c>
      <c r="H19" s="101" t="s">
        <v>209</v>
      </c>
      <c r="I19" s="102" t="s">
        <v>276</v>
      </c>
      <c r="J19" s="104" t="n">
        <f aca="false">6.238/J1</f>
        <v>0.201225806451613</v>
      </c>
      <c r="K19" s="105" t="n">
        <v>0</v>
      </c>
      <c r="L19" s="105" t="n">
        <v>0</v>
      </c>
      <c r="M19" s="105" t="n">
        <v>0</v>
      </c>
      <c r="N19" s="105" t="n">
        <v>0</v>
      </c>
      <c r="O19" s="106" t="n">
        <v>0</v>
      </c>
      <c r="P19" s="105" t="n">
        <f aca="false">SUM(J19:N19)</f>
        <v>0.201225806451613</v>
      </c>
      <c r="Q19" s="62" t="n">
        <v>51407</v>
      </c>
      <c r="R19" s="55" t="n">
        <v>73754</v>
      </c>
      <c r="S19" s="101" t="s">
        <v>277</v>
      </c>
      <c r="T19" s="108"/>
      <c r="U19" s="108"/>
      <c r="V19" s="109" t="n">
        <v>156569</v>
      </c>
      <c r="W19" s="101"/>
      <c r="X19" s="111"/>
      <c r="Y19" s="111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12.75" hidden="false" customHeight="false" outlineLevel="0" collapsed="false">
      <c r="A20" s="100"/>
      <c r="B20" s="101" t="s">
        <v>186</v>
      </c>
      <c r="C20" s="102" t="s">
        <v>273</v>
      </c>
      <c r="D20" s="102" t="s">
        <v>274</v>
      </c>
      <c r="E20" s="103" t="n">
        <v>36617</v>
      </c>
      <c r="F20" s="56" t="n">
        <v>36830</v>
      </c>
      <c r="G20" s="101" t="s">
        <v>275</v>
      </c>
      <c r="H20" s="101" t="s">
        <v>211</v>
      </c>
      <c r="I20" s="102" t="s">
        <v>276</v>
      </c>
      <c r="J20" s="104" t="n">
        <f aca="false">1.512/J1</f>
        <v>0.0487741935483871</v>
      </c>
      <c r="K20" s="105" t="n">
        <v>0</v>
      </c>
      <c r="L20" s="105" t="n">
        <v>0</v>
      </c>
      <c r="M20" s="105" t="n">
        <v>0</v>
      </c>
      <c r="N20" s="105" t="n">
        <v>0</v>
      </c>
      <c r="O20" s="106" t="n">
        <v>0</v>
      </c>
      <c r="P20" s="105" t="n">
        <f aca="false">SUM(J20:N20)</f>
        <v>0.0487741935483871</v>
      </c>
      <c r="Q20" s="62" t="n">
        <v>51407</v>
      </c>
      <c r="R20" s="55" t="n">
        <v>73754</v>
      </c>
      <c r="S20" s="101" t="s">
        <v>277</v>
      </c>
      <c r="T20" s="108"/>
      <c r="U20" s="108"/>
      <c r="V20" s="109" t="n">
        <v>156569</v>
      </c>
      <c r="W20" s="101"/>
      <c r="X20" s="111"/>
      <c r="Y20" s="111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</row>
    <row r="21" customFormat="false" ht="12.75" hidden="false" customHeight="false" outlineLevel="0" collapsed="false">
      <c r="A21" s="100"/>
      <c r="B21" s="101" t="s">
        <v>186</v>
      </c>
      <c r="C21" s="102" t="s">
        <v>273</v>
      </c>
      <c r="D21" s="102"/>
      <c r="E21" s="103" t="n">
        <v>36100</v>
      </c>
      <c r="F21" s="87" t="n">
        <v>36830</v>
      </c>
      <c r="G21" s="101" t="s">
        <v>278</v>
      </c>
      <c r="H21" s="101" t="s">
        <v>279</v>
      </c>
      <c r="I21" s="102" t="s">
        <v>111</v>
      </c>
      <c r="J21" s="104" t="n">
        <f aca="false">4.56/J$1</f>
        <v>0.147096774193548</v>
      </c>
      <c r="K21" s="105" t="n">
        <v>0.0132</v>
      </c>
      <c r="L21" s="105" t="n">
        <v>0.0022</v>
      </c>
      <c r="M21" s="105" t="n">
        <v>0.0072</v>
      </c>
      <c r="N21" s="105" t="n">
        <v>0</v>
      </c>
      <c r="O21" s="106" t="n">
        <v>0.02116</v>
      </c>
      <c r="P21" s="105" t="n">
        <f aca="false">SUM(J21:N21)</f>
        <v>0.169696774193548</v>
      </c>
      <c r="Q21" s="91" t="n">
        <v>61822</v>
      </c>
      <c r="R21" s="86" t="n">
        <v>4000</v>
      </c>
      <c r="S21" s="101" t="s">
        <v>280</v>
      </c>
      <c r="T21" s="108" t="n">
        <f aca="false">J21*J$1*R21</f>
        <v>18240</v>
      </c>
      <c r="U21" s="108"/>
      <c r="V21" s="109" t="n">
        <v>162284</v>
      </c>
      <c r="W21" s="101"/>
      <c r="X21" s="111"/>
      <c r="Y21" s="111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  <c r="IW21" s="100"/>
    </row>
    <row r="22" customFormat="false" ht="12.75" hidden="false" customHeight="false" outlineLevel="0" collapsed="false">
      <c r="A22" s="100"/>
      <c r="B22" s="101" t="s">
        <v>186</v>
      </c>
      <c r="C22" s="102" t="s">
        <v>273</v>
      </c>
      <c r="D22" s="102" t="s">
        <v>281</v>
      </c>
      <c r="E22" s="103" t="n">
        <v>36526</v>
      </c>
      <c r="F22" s="87" t="n">
        <v>36830</v>
      </c>
      <c r="G22" s="101" t="s">
        <v>282</v>
      </c>
      <c r="H22" s="101" t="s">
        <v>283</v>
      </c>
      <c r="I22" s="102" t="s">
        <v>111</v>
      </c>
      <c r="J22" s="104" t="n">
        <f aca="false">4.56/J$1</f>
        <v>0.147096774193548</v>
      </c>
      <c r="K22" s="105" t="n">
        <v>0.0132</v>
      </c>
      <c r="L22" s="105" t="n">
        <v>0.0022</v>
      </c>
      <c r="M22" s="105" t="n">
        <v>0.0075</v>
      </c>
      <c r="N22" s="105" t="n">
        <v>0</v>
      </c>
      <c r="O22" s="106" t="n">
        <v>0.02116</v>
      </c>
      <c r="P22" s="105" t="n">
        <f aca="false">SUM(J22:N22)</f>
        <v>0.169996774193548</v>
      </c>
      <c r="Q22" s="91" t="n">
        <v>61825</v>
      </c>
      <c r="R22" s="86" t="n">
        <v>2000</v>
      </c>
      <c r="S22" s="101" t="s">
        <v>284</v>
      </c>
      <c r="T22" s="108" t="n">
        <f aca="false">J22*J$1*R22</f>
        <v>9120</v>
      </c>
      <c r="U22" s="108"/>
      <c r="V22" s="109" t="n">
        <v>156570</v>
      </c>
      <c r="W22" s="108"/>
      <c r="X22" s="111"/>
      <c r="Y22" s="111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  <c r="IW22" s="100"/>
    </row>
    <row r="23" customFormat="false" ht="12.75" hidden="false" customHeight="false" outlineLevel="0" collapsed="false">
      <c r="A23" s="100"/>
      <c r="B23" s="101" t="s">
        <v>186</v>
      </c>
      <c r="C23" s="102" t="s">
        <v>273</v>
      </c>
      <c r="D23" s="102" t="s">
        <v>281</v>
      </c>
      <c r="E23" s="103" t="n">
        <v>36526</v>
      </c>
      <c r="F23" s="87" t="n">
        <v>36830</v>
      </c>
      <c r="G23" s="101" t="s">
        <v>285</v>
      </c>
      <c r="H23" s="101" t="s">
        <v>283</v>
      </c>
      <c r="I23" s="102" t="s">
        <v>111</v>
      </c>
      <c r="J23" s="104" t="n">
        <f aca="false">4.56/J$1</f>
        <v>0.147096774193548</v>
      </c>
      <c r="K23" s="105" t="n">
        <v>0.0132</v>
      </c>
      <c r="L23" s="105" t="n">
        <v>0.0022</v>
      </c>
      <c r="M23" s="105" t="n">
        <v>0.0075</v>
      </c>
      <c r="N23" s="105" t="n">
        <v>0</v>
      </c>
      <c r="O23" s="106" t="n">
        <v>0.02116</v>
      </c>
      <c r="P23" s="105" t="n">
        <f aca="false">SUM(J23:N23)</f>
        <v>0.169996774193548</v>
      </c>
      <c r="Q23" s="91" t="n">
        <v>61825</v>
      </c>
      <c r="R23" s="86" t="n">
        <v>5000</v>
      </c>
      <c r="S23" s="101" t="s">
        <v>284</v>
      </c>
      <c r="T23" s="108" t="n">
        <f aca="false">J23*J$1*R23</f>
        <v>22800</v>
      </c>
      <c r="U23" s="108"/>
      <c r="V23" s="109" t="n">
        <v>156570</v>
      </c>
      <c r="W23" s="108"/>
      <c r="X23" s="111"/>
      <c r="Y23" s="111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</row>
    <row r="24" customFormat="false" ht="12.75" hidden="false" customHeight="false" outlineLevel="0" collapsed="false">
      <c r="A24" s="100"/>
      <c r="B24" s="101" t="s">
        <v>186</v>
      </c>
      <c r="C24" s="102" t="s">
        <v>273</v>
      </c>
      <c r="D24" s="102" t="s">
        <v>281</v>
      </c>
      <c r="E24" s="103" t="n">
        <v>36526</v>
      </c>
      <c r="F24" s="87" t="n">
        <v>36830</v>
      </c>
      <c r="G24" s="101" t="s">
        <v>286</v>
      </c>
      <c r="H24" s="101" t="s">
        <v>283</v>
      </c>
      <c r="I24" s="102" t="s">
        <v>111</v>
      </c>
      <c r="J24" s="104" t="n">
        <f aca="false">4.56/J$1</f>
        <v>0.147096774193548</v>
      </c>
      <c r="K24" s="105" t="n">
        <v>0.0132</v>
      </c>
      <c r="L24" s="105" t="n">
        <v>0.0022</v>
      </c>
      <c r="M24" s="105" t="n">
        <v>0.0075</v>
      </c>
      <c r="N24" s="105" t="n">
        <v>0</v>
      </c>
      <c r="O24" s="106" t="n">
        <v>0.02116</v>
      </c>
      <c r="P24" s="105" t="n">
        <f aca="false">SUM(J24:N24)</f>
        <v>0.169996774193548</v>
      </c>
      <c r="Q24" s="91" t="n">
        <v>61825</v>
      </c>
      <c r="R24" s="86" t="n">
        <v>1000</v>
      </c>
      <c r="S24" s="101" t="s">
        <v>284</v>
      </c>
      <c r="T24" s="108" t="n">
        <f aca="false">J24*J$1*R24</f>
        <v>4560</v>
      </c>
      <c r="U24" s="108"/>
      <c r="V24" s="109" t="n">
        <v>156570</v>
      </c>
      <c r="W24" s="108"/>
      <c r="X24" s="111"/>
      <c r="Y24" s="111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12.75" hidden="false" customHeight="false" outlineLevel="0" collapsed="false">
      <c r="A25" s="100"/>
      <c r="B25" s="101" t="s">
        <v>186</v>
      </c>
      <c r="C25" s="102" t="s">
        <v>273</v>
      </c>
      <c r="D25" s="102"/>
      <c r="E25" s="103" t="n">
        <v>36100</v>
      </c>
      <c r="F25" s="87" t="n">
        <v>36830</v>
      </c>
      <c r="G25" s="101" t="s">
        <v>282</v>
      </c>
      <c r="H25" s="101" t="s">
        <v>287</v>
      </c>
      <c r="I25" s="102" t="s">
        <v>111</v>
      </c>
      <c r="J25" s="104" t="n">
        <f aca="false">4.56/J$1</f>
        <v>0.147096774193548</v>
      </c>
      <c r="K25" s="105" t="n">
        <v>0.0132</v>
      </c>
      <c r="L25" s="105" t="n">
        <v>0.0022</v>
      </c>
      <c r="M25" s="105" t="n">
        <v>0.0072</v>
      </c>
      <c r="N25" s="105" t="n">
        <v>0</v>
      </c>
      <c r="O25" s="106" t="n">
        <v>0.02116</v>
      </c>
      <c r="P25" s="105" t="n">
        <f aca="false">SUM(J25:N25)</f>
        <v>0.169696774193548</v>
      </c>
      <c r="Q25" s="91" t="n">
        <v>61838</v>
      </c>
      <c r="R25" s="86" t="n">
        <v>1000</v>
      </c>
      <c r="S25" s="101" t="s">
        <v>288</v>
      </c>
      <c r="T25" s="108" t="n">
        <f aca="false">J25*J$1*R25</f>
        <v>4560</v>
      </c>
      <c r="U25" s="108"/>
      <c r="V25" s="109" t="n">
        <v>156571</v>
      </c>
      <c r="W25" s="101"/>
      <c r="X25" s="111"/>
      <c r="Y25" s="111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2.75" hidden="false" customHeight="false" outlineLevel="0" collapsed="false">
      <c r="A26" s="100"/>
      <c r="B26" s="101" t="s">
        <v>186</v>
      </c>
      <c r="C26" s="102" t="s">
        <v>273</v>
      </c>
      <c r="D26" s="102" t="s">
        <v>281</v>
      </c>
      <c r="E26" s="103" t="n">
        <v>36526</v>
      </c>
      <c r="F26" s="87" t="n">
        <v>36830</v>
      </c>
      <c r="G26" s="101" t="s">
        <v>282</v>
      </c>
      <c r="H26" s="101" t="s">
        <v>289</v>
      </c>
      <c r="I26" s="102" t="s">
        <v>111</v>
      </c>
      <c r="J26" s="104" t="n">
        <f aca="false">4.56/J$1</f>
        <v>0.147096774193548</v>
      </c>
      <c r="K26" s="105" t="n">
        <v>0.0132</v>
      </c>
      <c r="L26" s="105" t="n">
        <v>0.0022</v>
      </c>
      <c r="M26" s="105" t="n">
        <v>0.0075</v>
      </c>
      <c r="N26" s="105" t="n">
        <v>0</v>
      </c>
      <c r="O26" s="106" t="n">
        <v>0.02116</v>
      </c>
      <c r="P26" s="105" t="n">
        <f aca="false">SUM(J26:N26)</f>
        <v>0.169996774193548</v>
      </c>
      <c r="Q26" s="91" t="n">
        <v>61990</v>
      </c>
      <c r="R26" s="86" t="n">
        <v>2000</v>
      </c>
      <c r="S26" s="101" t="s">
        <v>290</v>
      </c>
      <c r="T26" s="108" t="n">
        <f aca="false">J26*J$1*R26</f>
        <v>9120</v>
      </c>
      <c r="U26" s="108"/>
      <c r="V26" s="109" t="n">
        <v>156573</v>
      </c>
      <c r="W26" s="108"/>
      <c r="X26" s="111"/>
      <c r="Y26" s="111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12.75" hidden="false" customHeight="false" outlineLevel="0" collapsed="false">
      <c r="A27" s="100"/>
      <c r="B27" s="101" t="s">
        <v>186</v>
      </c>
      <c r="C27" s="102" t="s">
        <v>273</v>
      </c>
      <c r="D27" s="102" t="s">
        <v>281</v>
      </c>
      <c r="E27" s="103" t="n">
        <v>36465</v>
      </c>
      <c r="F27" s="87" t="n">
        <v>36891</v>
      </c>
      <c r="G27" s="101"/>
      <c r="H27" s="101" t="s">
        <v>291</v>
      </c>
      <c r="I27" s="102" t="s">
        <v>111</v>
      </c>
      <c r="J27" s="104" t="n">
        <f aca="false">3.0417/30.417</f>
        <v>0.1</v>
      </c>
      <c r="K27" s="105" t="n">
        <v>0.0132</v>
      </c>
      <c r="L27" s="105" t="n">
        <v>0.0022</v>
      </c>
      <c r="M27" s="105" t="n">
        <v>0.0075</v>
      </c>
      <c r="N27" s="105" t="n">
        <v>0</v>
      </c>
      <c r="O27" s="106" t="n">
        <v>0.02116</v>
      </c>
      <c r="P27" s="105" t="n">
        <f aca="false">SUM(J27:N27)</f>
        <v>0.1229</v>
      </c>
      <c r="Q27" s="91" t="n">
        <v>62164</v>
      </c>
      <c r="R27" s="86" t="n">
        <v>2000</v>
      </c>
      <c r="S27" s="101" t="s">
        <v>292</v>
      </c>
      <c r="T27" s="108" t="n">
        <f aca="false">J27*J$1*R27</f>
        <v>6200</v>
      </c>
      <c r="U27" s="109"/>
      <c r="V27" s="111" t="s">
        <v>293</v>
      </c>
      <c r="W27" s="111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</row>
    <row r="28" customFormat="false" ht="12.75" hidden="false" customHeight="false" outlineLevel="0" collapsed="false">
      <c r="A28" s="100"/>
      <c r="B28" s="101" t="s">
        <v>186</v>
      </c>
      <c r="C28" s="102" t="s">
        <v>273</v>
      </c>
      <c r="D28" s="102" t="s">
        <v>274</v>
      </c>
      <c r="E28" s="103" t="n">
        <v>36800</v>
      </c>
      <c r="F28" s="87" t="n">
        <v>36981</v>
      </c>
      <c r="G28" s="101" t="s">
        <v>275</v>
      </c>
      <c r="H28" s="101" t="s">
        <v>294</v>
      </c>
      <c r="I28" s="102" t="s">
        <v>295</v>
      </c>
      <c r="J28" s="104" t="n">
        <f aca="false">6.029/J$1</f>
        <v>0.194483870967742</v>
      </c>
      <c r="K28" s="105" t="n">
        <v>0.013</v>
      </c>
      <c r="L28" s="105" t="n">
        <v>0.0022</v>
      </c>
      <c r="M28" s="105" t="n">
        <v>0.0072</v>
      </c>
      <c r="N28" s="105" t="n">
        <v>0</v>
      </c>
      <c r="O28" s="106" t="n">
        <v>0.02116</v>
      </c>
      <c r="P28" s="105" t="n">
        <f aca="false">SUM(J28:N28)</f>
        <v>0.216883870967742</v>
      </c>
      <c r="Q28" s="91" t="n">
        <v>67694</v>
      </c>
      <c r="R28" s="86" t="n">
        <v>108648</v>
      </c>
      <c r="S28" s="101" t="s">
        <v>155</v>
      </c>
      <c r="T28" s="108" t="n">
        <f aca="false">J28*J$1*R28</f>
        <v>655038.792</v>
      </c>
      <c r="U28" s="108"/>
      <c r="V28" s="109" t="n">
        <v>231723</v>
      </c>
      <c r="W28" s="101"/>
      <c r="X28" s="111"/>
      <c r="Y28" s="111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2.75" hidden="false" customHeight="false" outlineLevel="0" collapsed="false">
      <c r="A29" s="100"/>
      <c r="B29" s="101" t="s">
        <v>186</v>
      </c>
      <c r="C29" s="102" t="s">
        <v>273</v>
      </c>
      <c r="D29" s="102" t="s">
        <v>274</v>
      </c>
      <c r="E29" s="103" t="n">
        <v>36617</v>
      </c>
      <c r="F29" s="87" t="n">
        <v>36981</v>
      </c>
      <c r="G29" s="101" t="s">
        <v>275</v>
      </c>
      <c r="H29" s="101" t="s">
        <v>209</v>
      </c>
      <c r="I29" s="102" t="s">
        <v>276</v>
      </c>
      <c r="J29" s="104" t="n">
        <v>0.0293</v>
      </c>
      <c r="K29" s="105" t="n">
        <v>0</v>
      </c>
      <c r="L29" s="105" t="n">
        <v>0</v>
      </c>
      <c r="M29" s="105" t="n">
        <v>0</v>
      </c>
      <c r="N29" s="105" t="n">
        <v>0</v>
      </c>
      <c r="O29" s="106" t="n">
        <v>0</v>
      </c>
      <c r="P29" s="105" t="n">
        <f aca="false">SUM(J29:N29)</f>
        <v>0.0293</v>
      </c>
      <c r="Q29" s="91" t="n">
        <v>67712</v>
      </c>
      <c r="R29" s="86" t="n">
        <v>6050607</v>
      </c>
      <c r="S29" s="101" t="s">
        <v>296</v>
      </c>
      <c r="T29" s="108" t="n">
        <f aca="false">J29*R29</f>
        <v>177282.7851</v>
      </c>
      <c r="U29" s="108"/>
      <c r="V29" s="109" t="n">
        <v>235876</v>
      </c>
      <c r="W29" s="101" t="n">
        <v>231698</v>
      </c>
      <c r="X29" s="111"/>
      <c r="Y29" s="111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12.75" hidden="false" customHeight="false" outlineLevel="0" collapsed="false">
      <c r="A30" s="100"/>
      <c r="B30" s="101" t="s">
        <v>186</v>
      </c>
      <c r="C30" s="102" t="s">
        <v>273</v>
      </c>
      <c r="D30" s="102" t="s">
        <v>274</v>
      </c>
      <c r="E30" s="103" t="n">
        <v>36617</v>
      </c>
      <c r="F30" s="87" t="n">
        <v>36981</v>
      </c>
      <c r="G30" s="101" t="s">
        <v>275</v>
      </c>
      <c r="H30" s="101" t="s">
        <v>211</v>
      </c>
      <c r="I30" s="102" t="s">
        <v>276</v>
      </c>
      <c r="J30" s="104" t="n">
        <v>1.524</v>
      </c>
      <c r="K30" s="105" t="n">
        <v>0</v>
      </c>
      <c r="L30" s="105" t="n">
        <v>0</v>
      </c>
      <c r="M30" s="105" t="n">
        <v>0</v>
      </c>
      <c r="N30" s="105" t="n">
        <v>0</v>
      </c>
      <c r="O30" s="106" t="n">
        <v>0</v>
      </c>
      <c r="P30" s="105" t="n">
        <f aca="false">SUM(J30:N30)</f>
        <v>1.524</v>
      </c>
      <c r="Q30" s="91" t="n">
        <v>67712</v>
      </c>
      <c r="R30" s="86" t="n">
        <v>108648</v>
      </c>
      <c r="S30" s="101" t="s">
        <v>296</v>
      </c>
      <c r="T30" s="108" t="n">
        <f aca="false">J30*R30</f>
        <v>165579.552</v>
      </c>
      <c r="U30" s="108"/>
      <c r="V30" s="109" t="n">
        <v>235876</v>
      </c>
      <c r="W30" s="101" t="n">
        <v>231698</v>
      </c>
      <c r="X30" s="111"/>
      <c r="Y30" s="111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.75" hidden="false" customHeight="false" outlineLevel="0" collapsed="false">
      <c r="A31" s="100"/>
      <c r="B31" s="101" t="s">
        <v>186</v>
      </c>
      <c r="C31" s="102" t="s">
        <v>273</v>
      </c>
      <c r="D31" s="102" t="s">
        <v>274</v>
      </c>
      <c r="E31" s="103" t="n">
        <v>36617</v>
      </c>
      <c r="F31" s="87" t="n">
        <v>36981</v>
      </c>
      <c r="G31" s="101" t="s">
        <v>275</v>
      </c>
      <c r="H31" s="101" t="s">
        <v>209</v>
      </c>
      <c r="I31" s="102" t="s">
        <v>276</v>
      </c>
      <c r="J31" s="104" t="n">
        <v>0</v>
      </c>
      <c r="K31" s="105" t="n">
        <v>0</v>
      </c>
      <c r="L31" s="105" t="n">
        <v>0</v>
      </c>
      <c r="M31" s="105" t="n">
        <v>0</v>
      </c>
      <c r="N31" s="105" t="n">
        <v>0</v>
      </c>
      <c r="O31" s="106" t="n">
        <v>0</v>
      </c>
      <c r="P31" s="105" t="n">
        <f aca="false">SUM(J31:N31)</f>
        <v>0</v>
      </c>
      <c r="Q31" s="91" t="n">
        <v>67713</v>
      </c>
      <c r="R31" s="86" t="n">
        <v>0</v>
      </c>
      <c r="S31" s="101" t="s">
        <v>297</v>
      </c>
      <c r="T31" s="108" t="n">
        <f aca="false">J31*R31</f>
        <v>0</v>
      </c>
      <c r="U31" s="108"/>
      <c r="V31" s="109" t="n">
        <v>235876</v>
      </c>
      <c r="W31" s="101"/>
      <c r="X31" s="111"/>
      <c r="Y31" s="111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.75" hidden="false" customHeight="false" outlineLevel="0" collapsed="false">
      <c r="A32" s="100"/>
      <c r="B32" s="101" t="s">
        <v>186</v>
      </c>
      <c r="C32" s="102" t="s">
        <v>273</v>
      </c>
      <c r="D32" s="102" t="s">
        <v>274</v>
      </c>
      <c r="E32" s="103" t="n">
        <v>36617</v>
      </c>
      <c r="F32" s="87" t="n">
        <v>36981</v>
      </c>
      <c r="G32" s="101" t="s">
        <v>275</v>
      </c>
      <c r="H32" s="101" t="s">
        <v>211</v>
      </c>
      <c r="I32" s="102" t="s">
        <v>276</v>
      </c>
      <c r="J32" s="104" t="n">
        <v>0</v>
      </c>
      <c r="K32" s="105" t="n">
        <v>0</v>
      </c>
      <c r="L32" s="105" t="n">
        <v>0</v>
      </c>
      <c r="M32" s="105" t="n">
        <v>0</v>
      </c>
      <c r="N32" s="105" t="n">
        <v>0</v>
      </c>
      <c r="O32" s="106" t="n">
        <v>0</v>
      </c>
      <c r="P32" s="105" t="n">
        <f aca="false">SUM(J32:N32)</f>
        <v>0</v>
      </c>
      <c r="Q32" s="91" t="n">
        <v>67713</v>
      </c>
      <c r="R32" s="86" t="n">
        <v>0</v>
      </c>
      <c r="S32" s="101" t="s">
        <v>297</v>
      </c>
      <c r="T32" s="108" t="n">
        <f aca="false">J32*R32</f>
        <v>0</v>
      </c>
      <c r="U32" s="108"/>
      <c r="V32" s="109" t="n">
        <v>235876</v>
      </c>
      <c r="W32" s="101"/>
      <c r="X32" s="111"/>
      <c r="Y32" s="111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12.75" hidden="false" customHeight="false" outlineLevel="0" collapsed="false">
      <c r="A33" s="100"/>
      <c r="B33" s="101" t="s">
        <v>186</v>
      </c>
      <c r="C33" s="102" t="s">
        <v>273</v>
      </c>
      <c r="D33" s="102" t="s">
        <v>298</v>
      </c>
      <c r="E33" s="103" t="n">
        <v>36678</v>
      </c>
      <c r="F33" s="87" t="n">
        <v>37042</v>
      </c>
      <c r="G33" s="101" t="s">
        <v>299</v>
      </c>
      <c r="H33" s="101" t="s">
        <v>300</v>
      </c>
      <c r="I33" s="102" t="s">
        <v>111</v>
      </c>
      <c r="J33" s="104" t="n">
        <f aca="false">6.401/J$1</f>
        <v>0.206483870967742</v>
      </c>
      <c r="K33" s="105" t="n">
        <v>0.0132</v>
      </c>
      <c r="L33" s="105" t="n">
        <v>0.0022</v>
      </c>
      <c r="M33" s="105" t="n">
        <v>0.0072</v>
      </c>
      <c r="N33" s="105" t="n">
        <v>0</v>
      </c>
      <c r="O33" s="106" t="n">
        <v>0.02116</v>
      </c>
      <c r="P33" s="105" t="n">
        <f aca="false">SUM(J33:N33)</f>
        <v>0.229083870967742</v>
      </c>
      <c r="Q33" s="91" t="n">
        <v>68359</v>
      </c>
      <c r="R33" s="86" t="n">
        <v>285</v>
      </c>
      <c r="S33" s="101" t="s">
        <v>301</v>
      </c>
      <c r="T33" s="108" t="n">
        <f aca="false">J33*J$1*R33</f>
        <v>1824.285</v>
      </c>
      <c r="U33" s="108"/>
      <c r="V33" s="109" t="n">
        <v>271307</v>
      </c>
      <c r="W33" s="101"/>
      <c r="X33" s="111"/>
      <c r="Y33" s="111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</row>
    <row r="34" customFormat="false" ht="12.75" hidden="false" customHeight="false" outlineLevel="0" collapsed="false">
      <c r="A34" s="100"/>
      <c r="B34" s="101" t="s">
        <v>186</v>
      </c>
      <c r="C34" s="102" t="s">
        <v>273</v>
      </c>
      <c r="D34" s="102" t="s">
        <v>302</v>
      </c>
      <c r="E34" s="103" t="n">
        <v>36678</v>
      </c>
      <c r="F34" s="87" t="n">
        <v>37042</v>
      </c>
      <c r="G34" s="101" t="s">
        <v>299</v>
      </c>
      <c r="H34" s="101" t="s">
        <v>303</v>
      </c>
      <c r="I34" s="102" t="s">
        <v>111</v>
      </c>
      <c r="J34" s="104" t="n">
        <f aca="false">6.401/J$1</f>
        <v>0.206483870967742</v>
      </c>
      <c r="K34" s="105" t="n">
        <v>0.0132</v>
      </c>
      <c r="L34" s="105" t="n">
        <v>0.0022</v>
      </c>
      <c r="M34" s="105" t="n">
        <v>0.0072</v>
      </c>
      <c r="N34" s="105" t="n">
        <v>0</v>
      </c>
      <c r="O34" s="106" t="n">
        <v>0.02116</v>
      </c>
      <c r="P34" s="105" t="n">
        <f aca="false">SUM(J34:N34)</f>
        <v>0.229083870967742</v>
      </c>
      <c r="Q34" s="91" t="n">
        <v>68384</v>
      </c>
      <c r="R34" s="86" t="n">
        <v>218</v>
      </c>
      <c r="S34" s="101" t="s">
        <v>304</v>
      </c>
      <c r="T34" s="108" t="n">
        <f aca="false">J34*J$1*R34</f>
        <v>1395.418</v>
      </c>
      <c r="U34" s="108"/>
      <c r="V34" s="109" t="n">
        <v>280570</v>
      </c>
      <c r="W34" s="101"/>
      <c r="X34" s="111"/>
      <c r="Y34" s="111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</row>
    <row r="35" customFormat="false" ht="12.75" hidden="false" customHeight="false" outlineLevel="0" collapsed="false">
      <c r="A35" s="100"/>
      <c r="B35" s="101" t="s">
        <v>186</v>
      </c>
      <c r="C35" s="102" t="s">
        <v>273</v>
      </c>
      <c r="D35" s="102" t="s">
        <v>298</v>
      </c>
      <c r="E35" s="103" t="n">
        <v>36708</v>
      </c>
      <c r="F35" s="87" t="n">
        <v>37072</v>
      </c>
      <c r="G35" s="101" t="s">
        <v>299</v>
      </c>
      <c r="H35" s="101" t="s">
        <v>300</v>
      </c>
      <c r="I35" s="102" t="s">
        <v>111</v>
      </c>
      <c r="J35" s="104" t="n">
        <f aca="false">6.401/J$1</f>
        <v>0.206483870967742</v>
      </c>
      <c r="K35" s="105" t="n">
        <v>0.0132</v>
      </c>
      <c r="L35" s="105" t="n">
        <v>0.0022</v>
      </c>
      <c r="M35" s="105" t="n">
        <v>0.0072</v>
      </c>
      <c r="N35" s="105" t="n">
        <v>0</v>
      </c>
      <c r="O35" s="106" t="n">
        <v>0.02116</v>
      </c>
      <c r="P35" s="105" t="n">
        <f aca="false">SUM(J35:N35)</f>
        <v>0.229083870967742</v>
      </c>
      <c r="Q35" s="91" t="n">
        <v>68616</v>
      </c>
      <c r="R35" s="86" t="n">
        <v>900</v>
      </c>
      <c r="S35" s="101" t="s">
        <v>305</v>
      </c>
      <c r="T35" s="108" t="n">
        <f aca="false">J35*J$1*R35</f>
        <v>5760.9</v>
      </c>
      <c r="U35" s="108"/>
      <c r="V35" s="109" t="n">
        <v>309723</v>
      </c>
      <c r="W35" s="101" t="s">
        <v>306</v>
      </c>
      <c r="X35" s="111"/>
      <c r="Y35" s="111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</row>
    <row r="36" customFormat="false" ht="12.75" hidden="false" customHeight="false" outlineLevel="0" collapsed="false">
      <c r="A36" s="100"/>
      <c r="B36" s="101" t="s">
        <v>186</v>
      </c>
      <c r="C36" s="102" t="s">
        <v>273</v>
      </c>
      <c r="D36" s="102" t="s">
        <v>302</v>
      </c>
      <c r="E36" s="103" t="n">
        <v>36708</v>
      </c>
      <c r="F36" s="87" t="n">
        <v>37072</v>
      </c>
      <c r="G36" s="101" t="s">
        <v>299</v>
      </c>
      <c r="H36" s="101" t="s">
        <v>307</v>
      </c>
      <c r="I36" s="102" t="s">
        <v>111</v>
      </c>
      <c r="J36" s="104" t="n">
        <f aca="false">6.401/J$1</f>
        <v>0.206483870967742</v>
      </c>
      <c r="K36" s="105" t="n">
        <v>0.0132</v>
      </c>
      <c r="L36" s="105" t="n">
        <v>0.0022</v>
      </c>
      <c r="M36" s="105" t="n">
        <v>0.0072</v>
      </c>
      <c r="N36" s="105" t="n">
        <v>0</v>
      </c>
      <c r="O36" s="106" t="n">
        <v>0.02116</v>
      </c>
      <c r="P36" s="105" t="n">
        <f aca="false">SUM(J36:N36)</f>
        <v>0.229083870967742</v>
      </c>
      <c r="Q36" s="91" t="n">
        <v>68635</v>
      </c>
      <c r="R36" s="86" t="n">
        <v>1</v>
      </c>
      <c r="S36" s="101" t="s">
        <v>308</v>
      </c>
      <c r="T36" s="108" t="n">
        <f aca="false">J36*J$1*R36</f>
        <v>6.401</v>
      </c>
      <c r="U36" s="108"/>
      <c r="V36" s="109" t="n">
        <v>312333</v>
      </c>
      <c r="W36" s="101"/>
      <c r="X36" s="111"/>
      <c r="Y36" s="111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</row>
    <row r="37" customFormat="false" ht="12.75" hidden="false" customHeight="false" outlineLevel="0" collapsed="false">
      <c r="A37" s="100"/>
      <c r="B37" s="101" t="s">
        <v>186</v>
      </c>
      <c r="C37" s="102" t="s">
        <v>273</v>
      </c>
      <c r="D37" s="102" t="s">
        <v>302</v>
      </c>
      <c r="E37" s="103" t="n">
        <v>36739</v>
      </c>
      <c r="F37" s="87" t="n">
        <v>37103</v>
      </c>
      <c r="G37" s="101" t="s">
        <v>299</v>
      </c>
      <c r="H37" s="101" t="s">
        <v>303</v>
      </c>
      <c r="I37" s="102" t="s">
        <v>111</v>
      </c>
      <c r="J37" s="104" t="n">
        <f aca="false">6.401/J$1</f>
        <v>0.206483870967742</v>
      </c>
      <c r="K37" s="105" t="n">
        <v>0.0132</v>
      </c>
      <c r="L37" s="105" t="n">
        <v>0.0022</v>
      </c>
      <c r="M37" s="105" t="n">
        <v>0.0072</v>
      </c>
      <c r="N37" s="105" t="n">
        <v>0</v>
      </c>
      <c r="O37" s="106" t="n">
        <v>0.02116</v>
      </c>
      <c r="P37" s="105" t="n">
        <f aca="false">SUM(J37:N37)</f>
        <v>0.229083870967742</v>
      </c>
      <c r="Q37" s="91" t="n">
        <v>68926</v>
      </c>
      <c r="R37" s="86" t="n">
        <v>4</v>
      </c>
      <c r="S37" s="101" t="s">
        <v>309</v>
      </c>
      <c r="T37" s="108" t="n">
        <f aca="false">J37*J$1*R37</f>
        <v>25.604</v>
      </c>
      <c r="U37" s="108"/>
      <c r="V37" s="109" t="n">
        <v>345125</v>
      </c>
      <c r="W37" s="101"/>
      <c r="X37" s="111"/>
      <c r="Y37" s="111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2.75" hidden="false" customHeight="false" outlineLevel="0" collapsed="false">
      <c r="A38" s="96"/>
      <c r="B38" s="57" t="s">
        <v>186</v>
      </c>
      <c r="C38" s="55" t="s">
        <v>273</v>
      </c>
      <c r="D38" s="55" t="s">
        <v>302</v>
      </c>
      <c r="E38" s="56" t="n">
        <v>36465</v>
      </c>
      <c r="F38" s="87" t="n">
        <v>36830</v>
      </c>
      <c r="G38" s="57" t="s">
        <v>299</v>
      </c>
      <c r="H38" s="57" t="s">
        <v>303</v>
      </c>
      <c r="I38" s="55" t="s">
        <v>111</v>
      </c>
      <c r="J38" s="69" t="n">
        <f aca="false">6.401/J$1</f>
        <v>0.206483870967742</v>
      </c>
      <c r="K38" s="60" t="n">
        <v>0.0132</v>
      </c>
      <c r="L38" s="60" t="n">
        <v>0.0022</v>
      </c>
      <c r="M38" s="60" t="n">
        <v>0.0072</v>
      </c>
      <c r="N38" s="60" t="n">
        <v>0</v>
      </c>
      <c r="O38" s="61" t="n">
        <v>0.02116</v>
      </c>
      <c r="P38" s="60" t="n">
        <f aca="false">SUM(J38:N38)</f>
        <v>0.229083870967742</v>
      </c>
      <c r="Q38" s="91" t="n">
        <v>65026</v>
      </c>
      <c r="R38" s="86" t="n">
        <v>128</v>
      </c>
      <c r="S38" s="57" t="s">
        <v>310</v>
      </c>
      <c r="T38" s="97" t="n">
        <f aca="false">J38*J$1*R38</f>
        <v>819.328</v>
      </c>
      <c r="U38" s="97"/>
      <c r="V38" s="98" t="n">
        <v>162286</v>
      </c>
      <c r="W38" s="57"/>
      <c r="X38" s="83"/>
      <c r="Y38" s="83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12.75" hidden="false" customHeight="false" outlineLevel="0" collapsed="false">
      <c r="A39" s="96"/>
      <c r="B39" s="57" t="s">
        <v>186</v>
      </c>
      <c r="C39" s="55" t="s">
        <v>273</v>
      </c>
      <c r="D39" s="55" t="s">
        <v>311</v>
      </c>
      <c r="E39" s="56" t="n">
        <v>36465</v>
      </c>
      <c r="F39" s="87" t="n">
        <v>36830</v>
      </c>
      <c r="G39" s="57" t="s">
        <v>299</v>
      </c>
      <c r="H39" s="57" t="s">
        <v>312</v>
      </c>
      <c r="I39" s="55" t="s">
        <v>111</v>
      </c>
      <c r="J39" s="69" t="n">
        <f aca="false">6.401/J$1</f>
        <v>0.206483870967742</v>
      </c>
      <c r="K39" s="60" t="n">
        <v>0.0132</v>
      </c>
      <c r="L39" s="60" t="n">
        <v>0.0022</v>
      </c>
      <c r="M39" s="60" t="n">
        <v>0.0072</v>
      </c>
      <c r="N39" s="60" t="n">
        <v>0</v>
      </c>
      <c r="O39" s="61" t="n">
        <v>0.02116</v>
      </c>
      <c r="P39" s="60" t="n">
        <f aca="false">SUM(J39:N39)</f>
        <v>0.229083870967742</v>
      </c>
      <c r="Q39" s="91" t="n">
        <v>65041</v>
      </c>
      <c r="R39" s="86" t="n">
        <v>9619</v>
      </c>
      <c r="S39" s="57" t="s">
        <v>313</v>
      </c>
      <c r="T39" s="97" t="n">
        <f aca="false">J39*J$1*R39</f>
        <v>61571.219</v>
      </c>
      <c r="U39" s="97"/>
      <c r="V39" s="98" t="n">
        <v>162285</v>
      </c>
      <c r="W39" s="57"/>
      <c r="X39" s="83"/>
      <c r="Y39" s="83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12.75" hidden="false" customHeight="false" outlineLevel="0" collapsed="false">
      <c r="A40" s="96"/>
      <c r="B40" s="57" t="s">
        <v>186</v>
      </c>
      <c r="C40" s="55" t="s">
        <v>273</v>
      </c>
      <c r="D40" s="55" t="s">
        <v>311</v>
      </c>
      <c r="E40" s="56" t="n">
        <v>36465</v>
      </c>
      <c r="F40" s="87" t="n">
        <v>36830</v>
      </c>
      <c r="G40" s="57" t="s">
        <v>299</v>
      </c>
      <c r="H40" s="57" t="s">
        <v>314</v>
      </c>
      <c r="I40" s="55" t="s">
        <v>111</v>
      </c>
      <c r="J40" s="69" t="n">
        <f aca="false">6.401/J$1</f>
        <v>0.206483870967742</v>
      </c>
      <c r="K40" s="60" t="n">
        <v>0.0132</v>
      </c>
      <c r="L40" s="60" t="n">
        <v>0.0022</v>
      </c>
      <c r="M40" s="60" t="n">
        <v>0.0072</v>
      </c>
      <c r="N40" s="60" t="n">
        <v>0</v>
      </c>
      <c r="O40" s="61" t="n">
        <v>0.02116</v>
      </c>
      <c r="P40" s="60" t="n">
        <f aca="false">SUM(J40:N40)</f>
        <v>0.229083870967742</v>
      </c>
      <c r="Q40" s="91" t="n">
        <v>65042</v>
      </c>
      <c r="R40" s="86" t="n">
        <v>4427</v>
      </c>
      <c r="S40" s="57" t="s">
        <v>315</v>
      </c>
      <c r="T40" s="97" t="n">
        <f aca="false">J40*J$1*R40</f>
        <v>28337.227</v>
      </c>
      <c r="U40" s="97"/>
      <c r="V40" s="98" t="n">
        <v>162287</v>
      </c>
      <c r="W40" s="57"/>
      <c r="X40" s="83"/>
      <c r="Y40" s="83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12.75" hidden="false" customHeight="false" outlineLevel="0" collapsed="false">
      <c r="A41" s="96"/>
      <c r="B41" s="57" t="s">
        <v>186</v>
      </c>
      <c r="C41" s="55" t="s">
        <v>273</v>
      </c>
      <c r="D41" s="55" t="s">
        <v>316</v>
      </c>
      <c r="E41" s="56" t="n">
        <v>36465</v>
      </c>
      <c r="F41" s="87" t="n">
        <v>37011</v>
      </c>
      <c r="G41" s="57" t="s">
        <v>299</v>
      </c>
      <c r="H41" s="57" t="s">
        <v>317</v>
      </c>
      <c r="I41" s="55" t="s">
        <v>111</v>
      </c>
      <c r="J41" s="69" t="n">
        <f aca="false">6.401/J$1</f>
        <v>0.206483870967742</v>
      </c>
      <c r="K41" s="60" t="n">
        <v>0.0132</v>
      </c>
      <c r="L41" s="60" t="n">
        <v>0.0022</v>
      </c>
      <c r="M41" s="60" t="n">
        <v>0.0072</v>
      </c>
      <c r="N41" s="60" t="n">
        <v>0</v>
      </c>
      <c r="O41" s="61" t="n">
        <v>0.02116</v>
      </c>
      <c r="P41" s="60" t="n">
        <f aca="false">SUM(J41:N41)</f>
        <v>0.229083870967742</v>
      </c>
      <c r="Q41" s="91" t="n">
        <v>65108</v>
      </c>
      <c r="R41" s="86" t="n">
        <v>5000</v>
      </c>
      <c r="S41" s="57" t="s">
        <v>318</v>
      </c>
      <c r="T41" s="97" t="n">
        <f aca="false">J41*J$1*R41</f>
        <v>32005</v>
      </c>
      <c r="U41" s="97"/>
      <c r="V41" s="98" t="n">
        <v>163001</v>
      </c>
      <c r="W41" s="57"/>
      <c r="X41" s="83"/>
      <c r="Y41" s="83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12.75" hidden="false" customHeight="false" outlineLevel="0" collapsed="false">
      <c r="A42" s="96"/>
      <c r="B42" s="57" t="s">
        <v>186</v>
      </c>
      <c r="C42" s="55" t="s">
        <v>273</v>
      </c>
      <c r="D42" s="55"/>
      <c r="E42" s="56" t="n">
        <v>36557</v>
      </c>
      <c r="F42" s="87" t="n">
        <v>36830</v>
      </c>
      <c r="G42" s="57" t="s">
        <v>285</v>
      </c>
      <c r="H42" s="57" t="s">
        <v>279</v>
      </c>
      <c r="I42" s="55" t="s">
        <v>111</v>
      </c>
      <c r="J42" s="69" t="n">
        <f aca="false">4.563/J$1</f>
        <v>0.147193548387097</v>
      </c>
      <c r="K42" s="60" t="n">
        <v>0.0132</v>
      </c>
      <c r="L42" s="60" t="n">
        <v>0.0022</v>
      </c>
      <c r="M42" s="60" t="n">
        <v>0.0072</v>
      </c>
      <c r="N42" s="60" t="n">
        <v>0</v>
      </c>
      <c r="O42" s="61" t="n">
        <v>0.02116</v>
      </c>
      <c r="P42" s="60" t="n">
        <f aca="false">SUM(J42:N42)</f>
        <v>0.169793548387097</v>
      </c>
      <c r="Q42" s="91" t="n">
        <v>65418</v>
      </c>
      <c r="R42" s="86" t="n">
        <v>500</v>
      </c>
      <c r="S42" s="57" t="s">
        <v>319</v>
      </c>
      <c r="T42" s="97" t="n">
        <f aca="false">J42*J$1*R42</f>
        <v>2281.5</v>
      </c>
      <c r="U42" s="97"/>
      <c r="V42" s="98" t="n">
        <v>156599</v>
      </c>
      <c r="W42" s="57"/>
      <c r="X42" s="83"/>
      <c r="Y42" s="83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</row>
    <row r="43" customFormat="false" ht="12.75" hidden="false" customHeight="false" outlineLevel="0" collapsed="false">
      <c r="A43" s="96"/>
      <c r="B43" s="57" t="s">
        <v>186</v>
      </c>
      <c r="C43" s="55" t="s">
        <v>273</v>
      </c>
      <c r="D43" s="55" t="s">
        <v>302</v>
      </c>
      <c r="E43" s="56" t="n">
        <v>36557</v>
      </c>
      <c r="F43" s="87" t="n">
        <v>36860</v>
      </c>
      <c r="G43" s="57" t="s">
        <v>299</v>
      </c>
      <c r="H43" s="57" t="s">
        <v>303</v>
      </c>
      <c r="I43" s="55" t="s">
        <v>111</v>
      </c>
      <c r="J43" s="69" t="n">
        <f aca="false">6.401/J$1</f>
        <v>0.206483870967742</v>
      </c>
      <c r="K43" s="60" t="n">
        <v>0.0132</v>
      </c>
      <c r="L43" s="60" t="n">
        <v>0.0022</v>
      </c>
      <c r="M43" s="60" t="n">
        <v>0.0072</v>
      </c>
      <c r="N43" s="60" t="n">
        <v>0</v>
      </c>
      <c r="O43" s="61" t="n">
        <v>0.02116</v>
      </c>
      <c r="P43" s="60" t="n">
        <f aca="false">SUM(J43:N43)</f>
        <v>0.229083870967742</v>
      </c>
      <c r="Q43" s="91" t="n">
        <v>65556</v>
      </c>
      <c r="R43" s="86" t="n">
        <v>3</v>
      </c>
      <c r="S43" s="57" t="s">
        <v>320</v>
      </c>
      <c r="T43" s="97" t="n">
        <f aca="false">J43*J$1*R43</f>
        <v>19.203</v>
      </c>
      <c r="U43" s="97"/>
      <c r="V43" s="98" t="n">
        <v>156602</v>
      </c>
      <c r="W43" s="57"/>
      <c r="X43" s="83"/>
      <c r="Y43" s="83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  <c r="IV43" s="96"/>
      <c r="IW43" s="96"/>
    </row>
    <row r="44" customFormat="false" ht="12.75" hidden="false" customHeight="false" outlineLevel="0" collapsed="false">
      <c r="A44" s="96"/>
      <c r="B44" s="57" t="s">
        <v>186</v>
      </c>
      <c r="C44" s="55" t="s">
        <v>273</v>
      </c>
      <c r="D44" s="55" t="s">
        <v>192</v>
      </c>
      <c r="E44" s="56" t="n">
        <v>36557</v>
      </c>
      <c r="F44" s="87" t="n">
        <v>36922</v>
      </c>
      <c r="G44" s="57" t="s">
        <v>321</v>
      </c>
      <c r="H44" s="57" t="s">
        <v>322</v>
      </c>
      <c r="I44" s="55" t="s">
        <v>111</v>
      </c>
      <c r="J44" s="69" t="n">
        <f aca="false">6.401/J$1</f>
        <v>0.206483870967742</v>
      </c>
      <c r="K44" s="60"/>
      <c r="L44" s="60"/>
      <c r="M44" s="60"/>
      <c r="N44" s="60"/>
      <c r="O44" s="61"/>
      <c r="P44" s="60"/>
      <c r="Q44" s="91" t="n">
        <v>66280</v>
      </c>
      <c r="R44" s="86" t="n">
        <v>1</v>
      </c>
      <c r="S44" s="57" t="s">
        <v>323</v>
      </c>
      <c r="T44" s="97" t="n">
        <f aca="false">J44*J$1*R44</f>
        <v>6.401</v>
      </c>
      <c r="U44" s="97"/>
      <c r="V44" s="98" t="n">
        <v>156606</v>
      </c>
      <c r="W44" s="57"/>
      <c r="X44" s="83"/>
      <c r="Y44" s="83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</row>
    <row r="45" customFormat="false" ht="12.75" hidden="false" customHeight="false" outlineLevel="0" collapsed="false">
      <c r="A45" s="96"/>
      <c r="B45" s="57" t="s">
        <v>186</v>
      </c>
      <c r="C45" s="55" t="s">
        <v>273</v>
      </c>
      <c r="D45" s="55" t="s">
        <v>192</v>
      </c>
      <c r="E45" s="56" t="n">
        <v>36557</v>
      </c>
      <c r="F45" s="87" t="n">
        <v>36922</v>
      </c>
      <c r="G45" s="57" t="s">
        <v>321</v>
      </c>
      <c r="H45" s="57" t="s">
        <v>324</v>
      </c>
      <c r="I45" s="55" t="s">
        <v>111</v>
      </c>
      <c r="J45" s="69" t="n">
        <f aca="false">6.401/J$1</f>
        <v>0.206483870967742</v>
      </c>
      <c r="K45" s="60"/>
      <c r="L45" s="60"/>
      <c r="M45" s="60"/>
      <c r="N45" s="60"/>
      <c r="O45" s="61"/>
      <c r="P45" s="60"/>
      <c r="Q45" s="91" t="n">
        <v>66280</v>
      </c>
      <c r="R45" s="86" t="n">
        <v>4</v>
      </c>
      <c r="S45" s="57" t="s">
        <v>323</v>
      </c>
      <c r="T45" s="97" t="n">
        <f aca="false">J45*J$1*R45</f>
        <v>25.604</v>
      </c>
      <c r="U45" s="97"/>
      <c r="V45" s="98" t="n">
        <v>156606</v>
      </c>
      <c r="W45" s="57"/>
      <c r="X45" s="83"/>
      <c r="Y45" s="83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  <c r="IV45" s="96"/>
      <c r="IW45" s="96"/>
    </row>
    <row r="46" customFormat="false" ht="12.75" hidden="false" customHeight="false" outlineLevel="0" collapsed="false">
      <c r="A46" s="96"/>
      <c r="B46" s="57" t="s">
        <v>186</v>
      </c>
      <c r="C46" s="55" t="s">
        <v>273</v>
      </c>
      <c r="D46" s="55" t="s">
        <v>192</v>
      </c>
      <c r="E46" s="56" t="n">
        <v>36656</v>
      </c>
      <c r="F46" s="87" t="n">
        <v>36950</v>
      </c>
      <c r="G46" s="57" t="s">
        <v>321</v>
      </c>
      <c r="H46" s="57" t="s">
        <v>322</v>
      </c>
      <c r="I46" s="55" t="s">
        <v>111</v>
      </c>
      <c r="J46" s="69" t="n">
        <v>6.449</v>
      </c>
      <c r="K46" s="60"/>
      <c r="L46" s="60"/>
      <c r="M46" s="60"/>
      <c r="N46" s="60"/>
      <c r="O46" s="61"/>
      <c r="P46" s="60"/>
      <c r="Q46" s="91" t="n">
        <v>68308</v>
      </c>
      <c r="R46" s="86" t="n">
        <v>5</v>
      </c>
      <c r="S46" s="57" t="s">
        <v>325</v>
      </c>
      <c r="T46" s="97" t="n">
        <f aca="false">+R46*J46</f>
        <v>32.245</v>
      </c>
      <c r="U46" s="97"/>
      <c r="V46" s="98" t="n">
        <v>262094</v>
      </c>
      <c r="W46" s="57"/>
      <c r="X46" s="83"/>
      <c r="Y46" s="83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  <c r="IT46" s="96"/>
      <c r="IU46" s="96"/>
      <c r="IV46" s="96"/>
      <c r="IW46" s="96"/>
    </row>
    <row r="47" customFormat="false" ht="12.75" hidden="false" customHeight="false" outlineLevel="0" collapsed="false">
      <c r="A47" s="96"/>
      <c r="B47" s="57" t="s">
        <v>186</v>
      </c>
      <c r="C47" s="55" t="s">
        <v>273</v>
      </c>
      <c r="D47" s="55" t="s">
        <v>192</v>
      </c>
      <c r="E47" s="56" t="n">
        <v>36656</v>
      </c>
      <c r="F47" s="87" t="n">
        <v>36950</v>
      </c>
      <c r="G47" s="57" t="s">
        <v>321</v>
      </c>
      <c r="H47" s="57" t="s">
        <v>324</v>
      </c>
      <c r="I47" s="55" t="s">
        <v>111</v>
      </c>
      <c r="J47" s="69" t="n">
        <v>6.449</v>
      </c>
      <c r="K47" s="60"/>
      <c r="L47" s="60"/>
      <c r="M47" s="60"/>
      <c r="N47" s="60"/>
      <c r="O47" s="61"/>
      <c r="P47" s="60"/>
      <c r="Q47" s="91" t="n">
        <v>68308</v>
      </c>
      <c r="R47" s="86" t="n">
        <v>4</v>
      </c>
      <c r="S47" s="57" t="s">
        <v>325</v>
      </c>
      <c r="T47" s="97" t="n">
        <f aca="false">+R47*J47</f>
        <v>25.796</v>
      </c>
      <c r="U47" s="97"/>
      <c r="V47" s="98" t="n">
        <v>262094</v>
      </c>
      <c r="W47" s="57"/>
      <c r="X47" s="83"/>
      <c r="Y47" s="83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  <c r="IT47" s="96"/>
      <c r="IU47" s="96"/>
      <c r="IV47" s="96"/>
      <c r="IW47" s="96"/>
    </row>
    <row r="48" customFormat="false" ht="12.75" hidden="false" customHeight="false" outlineLevel="0" collapsed="false">
      <c r="A48" s="96"/>
      <c r="B48" s="57" t="s">
        <v>186</v>
      </c>
      <c r="C48" s="55" t="s">
        <v>273</v>
      </c>
      <c r="D48" s="55" t="s">
        <v>326</v>
      </c>
      <c r="E48" s="56" t="n">
        <v>36617</v>
      </c>
      <c r="F48" s="56" t="s">
        <v>327</v>
      </c>
      <c r="G48" s="57" t="s">
        <v>328</v>
      </c>
      <c r="H48" s="57"/>
      <c r="I48" s="55" t="s">
        <v>329</v>
      </c>
      <c r="J48" s="69"/>
      <c r="K48" s="60"/>
      <c r="L48" s="60"/>
      <c r="M48" s="60"/>
      <c r="N48" s="60"/>
      <c r="O48" s="61"/>
      <c r="P48" s="60"/>
      <c r="Q48" s="62" t="n">
        <v>66917</v>
      </c>
      <c r="R48" s="55"/>
      <c r="S48" s="57"/>
      <c r="T48" s="97"/>
      <c r="U48" s="97"/>
      <c r="V48" s="98" t="n">
        <v>228085</v>
      </c>
      <c r="W48" s="57"/>
      <c r="X48" s="83"/>
      <c r="Y48" s="83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  <c r="IT48" s="96"/>
      <c r="IU48" s="96"/>
      <c r="IV48" s="96"/>
      <c r="IW48" s="96"/>
    </row>
    <row r="49" customFormat="false" ht="12.75" hidden="false" customHeight="false" outlineLevel="0" collapsed="false">
      <c r="A49" s="96"/>
      <c r="B49" s="57" t="s">
        <v>186</v>
      </c>
      <c r="C49" s="55" t="s">
        <v>273</v>
      </c>
      <c r="D49" s="55" t="s">
        <v>192</v>
      </c>
      <c r="E49" s="56" t="n">
        <v>36617</v>
      </c>
      <c r="F49" s="87" t="n">
        <v>36981</v>
      </c>
      <c r="G49" s="57" t="s">
        <v>321</v>
      </c>
      <c r="H49" s="57" t="s">
        <v>322</v>
      </c>
      <c r="I49" s="55" t="s">
        <v>111</v>
      </c>
      <c r="J49" s="69" t="n">
        <f aca="false">6.401/$J$1</f>
        <v>0.206483870967742</v>
      </c>
      <c r="K49" s="60"/>
      <c r="L49" s="60"/>
      <c r="M49" s="60"/>
      <c r="N49" s="60"/>
      <c r="O49" s="61"/>
      <c r="P49" s="60"/>
      <c r="Q49" s="91" t="n">
        <v>66939</v>
      </c>
      <c r="R49" s="86" t="n">
        <v>5</v>
      </c>
      <c r="S49" s="57" t="s">
        <v>330</v>
      </c>
      <c r="T49" s="97" t="n">
        <f aca="false">+R49*J49</f>
        <v>1.03241935483871</v>
      </c>
      <c r="U49" s="97"/>
      <c r="V49" s="98"/>
      <c r="W49" s="57"/>
      <c r="X49" s="83"/>
      <c r="Y49" s="83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  <c r="IT49" s="96"/>
      <c r="IU49" s="96"/>
      <c r="IV49" s="96"/>
      <c r="IW49" s="96"/>
    </row>
    <row r="50" customFormat="false" ht="12.75" hidden="false" customHeight="false" outlineLevel="0" collapsed="false">
      <c r="A50" s="96"/>
      <c r="B50" s="57" t="s">
        <v>186</v>
      </c>
      <c r="C50" s="55" t="s">
        <v>273</v>
      </c>
      <c r="D50" s="55" t="s">
        <v>192</v>
      </c>
      <c r="E50" s="56" t="n">
        <v>36617</v>
      </c>
      <c r="F50" s="87" t="n">
        <v>36981</v>
      </c>
      <c r="G50" s="57" t="s">
        <v>321</v>
      </c>
      <c r="H50" s="57" t="s">
        <v>324</v>
      </c>
      <c r="I50" s="55" t="s">
        <v>111</v>
      </c>
      <c r="J50" s="69" t="n">
        <f aca="false">6.401/$J$1</f>
        <v>0.206483870967742</v>
      </c>
      <c r="K50" s="60"/>
      <c r="L50" s="60"/>
      <c r="M50" s="60"/>
      <c r="N50" s="60"/>
      <c r="O50" s="61"/>
      <c r="P50" s="60"/>
      <c r="Q50" s="91" t="n">
        <v>66939</v>
      </c>
      <c r="R50" s="86" t="n">
        <v>27</v>
      </c>
      <c r="S50" s="57" t="s">
        <v>330</v>
      </c>
      <c r="T50" s="97" t="n">
        <f aca="false">+R50*J50</f>
        <v>5.57506451612903</v>
      </c>
      <c r="U50" s="97"/>
      <c r="V50" s="98"/>
      <c r="W50" s="57"/>
      <c r="X50" s="83"/>
      <c r="Y50" s="83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12.75" hidden="false" customHeight="false" outlineLevel="0" collapsed="false">
      <c r="A51" s="96"/>
      <c r="B51" s="57" t="s">
        <v>186</v>
      </c>
      <c r="C51" s="55" t="s">
        <v>273</v>
      </c>
      <c r="D51" s="55" t="s">
        <v>192</v>
      </c>
      <c r="E51" s="56" t="n">
        <v>36617</v>
      </c>
      <c r="F51" s="87" t="n">
        <v>36981</v>
      </c>
      <c r="G51" s="57" t="s">
        <v>321</v>
      </c>
      <c r="H51" s="57" t="s">
        <v>331</v>
      </c>
      <c r="I51" s="55" t="s">
        <v>111</v>
      </c>
      <c r="J51" s="69" t="n">
        <f aca="false">6.401/$J$1</f>
        <v>0.206483870967742</v>
      </c>
      <c r="K51" s="60"/>
      <c r="L51" s="60"/>
      <c r="M51" s="60"/>
      <c r="N51" s="60"/>
      <c r="O51" s="61"/>
      <c r="P51" s="60"/>
      <c r="Q51" s="91" t="n">
        <v>66939</v>
      </c>
      <c r="R51" s="86" t="n">
        <v>3</v>
      </c>
      <c r="S51" s="57" t="s">
        <v>330</v>
      </c>
      <c r="T51" s="97" t="n">
        <f aca="false">+R51*J51</f>
        <v>0.619451612903226</v>
      </c>
      <c r="U51" s="97"/>
      <c r="V51" s="98"/>
      <c r="W51" s="57"/>
      <c r="X51" s="83"/>
      <c r="Y51" s="83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12.75" hidden="false" customHeight="false" outlineLevel="0" collapsed="false">
      <c r="A52" s="96"/>
      <c r="B52" s="57" t="s">
        <v>186</v>
      </c>
      <c r="C52" s="55" t="s">
        <v>273</v>
      </c>
      <c r="D52" s="55" t="s">
        <v>192</v>
      </c>
      <c r="E52" s="56" t="n">
        <v>36617</v>
      </c>
      <c r="F52" s="87" t="n">
        <v>36981</v>
      </c>
      <c r="G52" s="57" t="s">
        <v>321</v>
      </c>
      <c r="H52" s="57" t="s">
        <v>332</v>
      </c>
      <c r="I52" s="55" t="s">
        <v>111</v>
      </c>
      <c r="J52" s="69" t="n">
        <f aca="false">6.401/$J$1</f>
        <v>0.206483870967742</v>
      </c>
      <c r="K52" s="60"/>
      <c r="L52" s="60"/>
      <c r="M52" s="60"/>
      <c r="N52" s="60"/>
      <c r="O52" s="61"/>
      <c r="P52" s="60"/>
      <c r="Q52" s="91" t="n">
        <v>66939</v>
      </c>
      <c r="R52" s="86" t="n">
        <v>17</v>
      </c>
      <c r="S52" s="57" t="s">
        <v>330</v>
      </c>
      <c r="T52" s="97" t="n">
        <f aca="false">+R52*J52</f>
        <v>3.51022580645161</v>
      </c>
      <c r="U52" s="97"/>
      <c r="V52" s="98"/>
      <c r="W52" s="57"/>
      <c r="X52" s="83"/>
      <c r="Y52" s="83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12.75" hidden="false" customHeight="false" outlineLevel="0" collapsed="false">
      <c r="A53" s="96"/>
      <c r="B53" s="57" t="s">
        <v>186</v>
      </c>
      <c r="C53" s="55" t="s">
        <v>273</v>
      </c>
      <c r="D53" s="55" t="s">
        <v>333</v>
      </c>
      <c r="E53" s="56" t="n">
        <v>36617</v>
      </c>
      <c r="F53" s="87" t="n">
        <v>36981</v>
      </c>
      <c r="G53" s="57" t="s">
        <v>321</v>
      </c>
      <c r="H53" s="57" t="s">
        <v>334</v>
      </c>
      <c r="I53" s="55" t="s">
        <v>111</v>
      </c>
      <c r="J53" s="69" t="n">
        <f aca="false">6.401/$J$1</f>
        <v>0.206483870967742</v>
      </c>
      <c r="K53" s="60"/>
      <c r="L53" s="60"/>
      <c r="M53" s="60"/>
      <c r="N53" s="60"/>
      <c r="O53" s="61"/>
      <c r="P53" s="60"/>
      <c r="Q53" s="91" t="n">
        <v>66940</v>
      </c>
      <c r="R53" s="86" t="n">
        <v>1</v>
      </c>
      <c r="S53" s="57" t="s">
        <v>335</v>
      </c>
      <c r="T53" s="97" t="n">
        <f aca="false">+R53*J53</f>
        <v>0.206483870967742</v>
      </c>
      <c r="U53" s="97"/>
      <c r="V53" s="98" t="n">
        <v>228134</v>
      </c>
      <c r="W53" s="57"/>
      <c r="X53" s="83"/>
      <c r="Y53" s="83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12.75" hidden="false" customHeight="false" outlineLevel="0" collapsed="false">
      <c r="A54" s="96"/>
      <c r="B54" s="57" t="s">
        <v>186</v>
      </c>
      <c r="C54" s="55" t="s">
        <v>273</v>
      </c>
      <c r="D54" s="55" t="s">
        <v>333</v>
      </c>
      <c r="E54" s="56" t="n">
        <v>36617</v>
      </c>
      <c r="F54" s="87" t="n">
        <v>36981</v>
      </c>
      <c r="G54" s="57" t="s">
        <v>321</v>
      </c>
      <c r="H54" s="57" t="s">
        <v>336</v>
      </c>
      <c r="I54" s="55" t="s">
        <v>111</v>
      </c>
      <c r="J54" s="69" t="n">
        <f aca="false">6.401/$J$1</f>
        <v>0.206483870967742</v>
      </c>
      <c r="K54" s="60"/>
      <c r="L54" s="60"/>
      <c r="M54" s="60"/>
      <c r="N54" s="60"/>
      <c r="O54" s="61"/>
      <c r="P54" s="60"/>
      <c r="Q54" s="91" t="n">
        <v>66940</v>
      </c>
      <c r="R54" s="86" t="n">
        <v>1</v>
      </c>
      <c r="S54" s="57" t="s">
        <v>335</v>
      </c>
      <c r="T54" s="97" t="n">
        <f aca="false">+R54*J54</f>
        <v>0.206483870967742</v>
      </c>
      <c r="U54" s="97"/>
      <c r="V54" s="98" t="n">
        <v>228134</v>
      </c>
      <c r="W54" s="57"/>
      <c r="X54" s="83"/>
      <c r="Y54" s="83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12.75" hidden="false" customHeight="false" outlineLevel="0" collapsed="false">
      <c r="A55" s="96"/>
      <c r="B55" s="57" t="s">
        <v>186</v>
      </c>
      <c r="C55" s="55" t="s">
        <v>273</v>
      </c>
      <c r="D55" s="55" t="s">
        <v>333</v>
      </c>
      <c r="E55" s="56" t="n">
        <v>36647</v>
      </c>
      <c r="F55" s="87" t="n">
        <v>37011</v>
      </c>
      <c r="G55" s="57" t="s">
        <v>337</v>
      </c>
      <c r="H55" s="57" t="s">
        <v>338</v>
      </c>
      <c r="I55" s="55" t="s">
        <v>111</v>
      </c>
      <c r="J55" s="69" t="n">
        <f aca="false">6.401/J1</f>
        <v>0.206483870967742</v>
      </c>
      <c r="K55" s="60"/>
      <c r="L55" s="60"/>
      <c r="M55" s="60"/>
      <c r="N55" s="60"/>
      <c r="O55" s="61"/>
      <c r="P55" s="60"/>
      <c r="Q55" s="91" t="n">
        <v>68188</v>
      </c>
      <c r="R55" s="86" t="n">
        <v>1</v>
      </c>
      <c r="S55" s="57" t="s">
        <v>339</v>
      </c>
      <c r="T55" s="97" t="n">
        <f aca="false">+J55*R55*13</f>
        <v>2.68429032258065</v>
      </c>
      <c r="U55" s="97"/>
      <c r="V55" s="98" t="n">
        <v>253195</v>
      </c>
      <c r="W55" s="57"/>
      <c r="X55" s="83"/>
      <c r="Y55" s="83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2.75" hidden="false" customHeight="false" outlineLevel="0" collapsed="false">
      <c r="A56" s="150"/>
      <c r="B56" s="66" t="s">
        <v>186</v>
      </c>
      <c r="C56" s="135" t="s">
        <v>273</v>
      </c>
      <c r="D56" s="135" t="s">
        <v>37</v>
      </c>
      <c r="E56" s="151" t="n">
        <v>36312</v>
      </c>
      <c r="F56" s="151" t="n">
        <v>37011</v>
      </c>
      <c r="G56" s="66" t="s">
        <v>299</v>
      </c>
      <c r="H56" s="66" t="s">
        <v>340</v>
      </c>
      <c r="I56" s="135" t="s">
        <v>111</v>
      </c>
      <c r="J56" s="152"/>
      <c r="K56" s="99"/>
      <c r="L56" s="99"/>
      <c r="M56" s="99"/>
      <c r="N56" s="99"/>
      <c r="O56" s="153"/>
      <c r="P56" s="99"/>
      <c r="Q56" s="132" t="n">
        <v>65403</v>
      </c>
      <c r="R56" s="135"/>
      <c r="S56" s="66" t="s">
        <v>341</v>
      </c>
      <c r="T56" s="64"/>
      <c r="U56" s="64"/>
      <c r="V56" s="65"/>
      <c r="W56" s="66" t="s">
        <v>342</v>
      </c>
      <c r="X56" s="67"/>
      <c r="Y56" s="67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  <c r="IK56" s="150"/>
      <c r="IL56" s="150"/>
      <c r="IM56" s="150"/>
      <c r="IN56" s="150"/>
      <c r="IO56" s="150"/>
      <c r="IP56" s="150"/>
      <c r="IQ56" s="150"/>
      <c r="IR56" s="150"/>
      <c r="IS56" s="150"/>
      <c r="IT56" s="150"/>
      <c r="IU56" s="150"/>
      <c r="IV56" s="150"/>
      <c r="IW56" s="150"/>
    </row>
    <row r="57" customFormat="false" ht="12.75" hidden="false" customHeight="false" outlineLevel="0" collapsed="false">
      <c r="A57" s="150"/>
      <c r="B57" s="66" t="s">
        <v>186</v>
      </c>
      <c r="C57" s="135" t="s">
        <v>273</v>
      </c>
      <c r="D57" s="135" t="s">
        <v>188</v>
      </c>
      <c r="E57" s="151" t="n">
        <v>36739</v>
      </c>
      <c r="F57" s="154" t="n">
        <v>37103</v>
      </c>
      <c r="G57" s="66" t="s">
        <v>321</v>
      </c>
      <c r="H57" s="66" t="s">
        <v>343</v>
      </c>
      <c r="I57" s="135" t="s">
        <v>111</v>
      </c>
      <c r="J57" s="69" t="n">
        <f aca="false">6.401/$J$1</f>
        <v>0.206483870967742</v>
      </c>
      <c r="K57" s="99"/>
      <c r="L57" s="99"/>
      <c r="M57" s="99"/>
      <c r="N57" s="99"/>
      <c r="O57" s="153"/>
      <c r="P57" s="99"/>
      <c r="Q57" s="155" t="n">
        <v>68928</v>
      </c>
      <c r="R57" s="156" t="n">
        <v>47</v>
      </c>
      <c r="S57" s="66" t="s">
        <v>344</v>
      </c>
      <c r="T57" s="64" t="n">
        <f aca="false">+J57*R57</f>
        <v>9.70474193548387</v>
      </c>
      <c r="U57" s="64"/>
      <c r="V57" s="65" t="n">
        <v>351966</v>
      </c>
      <c r="W57" s="66"/>
      <c r="X57" s="67"/>
      <c r="Y57" s="67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  <c r="IK57" s="150"/>
      <c r="IL57" s="150"/>
      <c r="IM57" s="150"/>
      <c r="IN57" s="150"/>
      <c r="IO57" s="150"/>
      <c r="IP57" s="150"/>
      <c r="IQ57" s="150"/>
      <c r="IR57" s="150"/>
      <c r="IS57" s="150"/>
      <c r="IT57" s="150"/>
      <c r="IU57" s="150"/>
      <c r="IV57" s="150"/>
      <c r="IW57" s="150"/>
    </row>
    <row r="58" customFormat="false" ht="12.75" hidden="false" customHeight="false" outlineLevel="0" collapsed="false">
      <c r="A58" s="150"/>
      <c r="B58" s="66" t="s">
        <v>186</v>
      </c>
      <c r="C58" s="135" t="s">
        <v>273</v>
      </c>
      <c r="D58" s="135" t="s">
        <v>192</v>
      </c>
      <c r="E58" s="151" t="n">
        <v>36770</v>
      </c>
      <c r="F58" s="154" t="n">
        <v>37134</v>
      </c>
      <c r="G58" s="66" t="s">
        <v>321</v>
      </c>
      <c r="H58" s="66" t="s">
        <v>345</v>
      </c>
      <c r="I58" s="135" t="s">
        <v>111</v>
      </c>
      <c r="J58" s="69" t="n">
        <f aca="false">6.401/$J$1</f>
        <v>0.206483870967742</v>
      </c>
      <c r="K58" s="99"/>
      <c r="L58" s="99"/>
      <c r="M58" s="99"/>
      <c r="N58" s="99"/>
      <c r="O58" s="153"/>
      <c r="P58" s="99"/>
      <c r="Q58" s="155" t="n">
        <v>69144</v>
      </c>
      <c r="R58" s="156" t="n">
        <v>62</v>
      </c>
      <c r="S58" s="66" t="s">
        <v>346</v>
      </c>
      <c r="T58" s="64" t="n">
        <f aca="false">+J58*R58</f>
        <v>12.802</v>
      </c>
      <c r="U58" s="64"/>
      <c r="V58" s="65"/>
      <c r="W58" s="66"/>
      <c r="X58" s="67"/>
      <c r="Y58" s="67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  <c r="IK58" s="150"/>
      <c r="IL58" s="150"/>
      <c r="IM58" s="150"/>
      <c r="IN58" s="150"/>
      <c r="IO58" s="150"/>
      <c r="IP58" s="150"/>
      <c r="IQ58" s="150"/>
      <c r="IR58" s="150"/>
      <c r="IS58" s="150"/>
      <c r="IT58" s="150"/>
      <c r="IU58" s="150"/>
      <c r="IV58" s="150"/>
      <c r="IW58" s="150"/>
    </row>
    <row r="59" customFormat="false" ht="12.75" hidden="false" customHeight="false" outlineLevel="0" collapsed="false">
      <c r="A59" s="157"/>
      <c r="B59" s="158" t="s">
        <v>186</v>
      </c>
      <c r="C59" s="129" t="s">
        <v>273</v>
      </c>
      <c r="D59" s="129" t="s">
        <v>192</v>
      </c>
      <c r="E59" s="159" t="n">
        <v>36800</v>
      </c>
      <c r="F59" s="154" t="n">
        <v>37164</v>
      </c>
      <c r="G59" s="158" t="s">
        <v>321</v>
      </c>
      <c r="H59" s="158" t="s">
        <v>347</v>
      </c>
      <c r="I59" s="129" t="s">
        <v>111</v>
      </c>
      <c r="J59" s="160" t="n">
        <f aca="false">6.401/J1</f>
        <v>0.206483870967742</v>
      </c>
      <c r="K59" s="161"/>
      <c r="L59" s="161"/>
      <c r="M59" s="161"/>
      <c r="N59" s="161"/>
      <c r="O59" s="162"/>
      <c r="P59" s="161"/>
      <c r="Q59" s="155" t="n">
        <v>69424</v>
      </c>
      <c r="R59" s="156" t="n">
        <v>13</v>
      </c>
      <c r="S59" s="158" t="s">
        <v>348</v>
      </c>
      <c r="T59" s="163" t="n">
        <f aca="false">+J59*R59</f>
        <v>2.68429032258065</v>
      </c>
      <c r="U59" s="163"/>
      <c r="V59" s="164" t="n">
        <v>418221</v>
      </c>
      <c r="W59" s="158"/>
      <c r="X59" s="165"/>
      <c r="Y59" s="165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5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7"/>
      <c r="FU59" s="157"/>
      <c r="FV59" s="157"/>
      <c r="FW59" s="157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7"/>
      <c r="GI59" s="157"/>
      <c r="GJ59" s="157"/>
      <c r="GK59" s="157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7"/>
      <c r="GW59" s="157"/>
      <c r="GX59" s="157"/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  <c r="HL59" s="157"/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  <c r="IV59" s="157"/>
      <c r="IW59" s="157"/>
    </row>
    <row r="60" customFormat="false" ht="12.75" hidden="false" customHeight="false" outlineLevel="0" collapsed="false">
      <c r="A60" s="150"/>
      <c r="B60" s="66" t="s">
        <v>186</v>
      </c>
      <c r="C60" s="135" t="s">
        <v>273</v>
      </c>
      <c r="D60" s="135" t="s">
        <v>188</v>
      </c>
      <c r="E60" s="151" t="n">
        <v>36647</v>
      </c>
      <c r="F60" s="154" t="n">
        <v>37011</v>
      </c>
      <c r="G60" s="66" t="s">
        <v>321</v>
      </c>
      <c r="H60" s="66" t="s">
        <v>349</v>
      </c>
      <c r="I60" s="135" t="s">
        <v>111</v>
      </c>
      <c r="J60" s="69" t="n">
        <f aca="false">6.401/$J$1</f>
        <v>0.206483870967742</v>
      </c>
      <c r="K60" s="99"/>
      <c r="L60" s="99"/>
      <c r="M60" s="99"/>
      <c r="N60" s="99"/>
      <c r="O60" s="153"/>
      <c r="P60" s="99"/>
      <c r="Q60" s="155" t="n">
        <v>68257</v>
      </c>
      <c r="R60" s="156" t="n">
        <v>21</v>
      </c>
      <c r="S60" s="66" t="s">
        <v>350</v>
      </c>
      <c r="T60" s="64" t="n">
        <f aca="false">+R60*J60</f>
        <v>4.33616129032258</v>
      </c>
      <c r="U60" s="64"/>
      <c r="V60" s="65" t="n">
        <v>254718</v>
      </c>
      <c r="W60" s="66"/>
      <c r="X60" s="67"/>
      <c r="Y60" s="67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  <c r="IP60" s="150"/>
      <c r="IQ60" s="150"/>
      <c r="IR60" s="150"/>
      <c r="IS60" s="150"/>
      <c r="IT60" s="150"/>
      <c r="IU60" s="150"/>
      <c r="IV60" s="150"/>
      <c r="IW60" s="150"/>
    </row>
    <row r="61" customFormat="false" ht="12.75" hidden="false" customHeight="false" outlineLevel="0" collapsed="false">
      <c r="T61" s="97" t="n">
        <f aca="false">+R61*J61</f>
        <v>0</v>
      </c>
    </row>
    <row r="62" customFormat="false" ht="12.75" hidden="false" customHeight="false" outlineLevel="0" collapsed="false">
      <c r="B62" s="139" t="s">
        <v>155</v>
      </c>
      <c r="C62" s="140" t="s">
        <v>155</v>
      </c>
      <c r="D62" s="140" t="s">
        <v>155</v>
      </c>
      <c r="E62" s="142" t="s">
        <v>155</v>
      </c>
      <c r="F62" s="142" t="s">
        <v>155</v>
      </c>
      <c r="G62" s="139" t="s">
        <v>155</v>
      </c>
      <c r="H62" s="143" t="s">
        <v>155</v>
      </c>
      <c r="I62" s="140" t="s">
        <v>155</v>
      </c>
      <c r="J62" s="144"/>
      <c r="K62" s="145"/>
      <c r="L62" s="145"/>
      <c r="M62" s="145"/>
      <c r="N62" s="145"/>
      <c r="O62" s="146"/>
      <c r="P62" s="145"/>
      <c r="Q62" s="147" t="s">
        <v>155</v>
      </c>
      <c r="R62" s="140" t="n">
        <f aca="false">SUM(R31:R60)</f>
        <v>21297</v>
      </c>
      <c r="S62" s="139" t="s">
        <v>155</v>
      </c>
      <c r="T62" s="148" t="n">
        <f aca="false">SUM(T19:T60)</f>
        <v>1206680.6217129</v>
      </c>
      <c r="U62" s="148" t="e">
        <f aca="false">SUM(#REF!)</f>
        <v>#REF!</v>
      </c>
      <c r="V62" s="149"/>
      <c r="W62" s="143"/>
      <c r="X62" s="83"/>
      <c r="Y62" s="83"/>
    </row>
    <row r="63" customFormat="false" ht="12.75" hidden="false" customHeight="false" outlineLevel="0" collapsed="false">
      <c r="B63" s="74" t="s">
        <v>166</v>
      </c>
      <c r="C63" s="75" t="s">
        <v>167</v>
      </c>
      <c r="D63" s="75" t="s">
        <v>168</v>
      </c>
      <c r="E63" s="76" t="s">
        <v>169</v>
      </c>
      <c r="F63" s="76"/>
      <c r="G63" s="74" t="s">
        <v>170</v>
      </c>
      <c r="H63" s="74" t="s">
        <v>171</v>
      </c>
      <c r="I63" s="75" t="s">
        <v>172</v>
      </c>
      <c r="J63" s="77" t="s">
        <v>173</v>
      </c>
      <c r="K63" s="75" t="s">
        <v>174</v>
      </c>
      <c r="L63" s="75" t="s">
        <v>175</v>
      </c>
      <c r="M63" s="75" t="s">
        <v>176</v>
      </c>
      <c r="N63" s="75" t="s">
        <v>177</v>
      </c>
      <c r="O63" s="78" t="s">
        <v>178</v>
      </c>
      <c r="P63" s="75" t="s">
        <v>179</v>
      </c>
      <c r="Q63" s="79" t="s">
        <v>180</v>
      </c>
      <c r="R63" s="75" t="s">
        <v>181</v>
      </c>
      <c r="S63" s="74" t="s">
        <v>182</v>
      </c>
      <c r="T63" s="80" t="s">
        <v>183</v>
      </c>
      <c r="U63" s="80" t="s">
        <v>184</v>
      </c>
      <c r="V63" s="81" t="s">
        <v>185</v>
      </c>
      <c r="W63" s="82" t="n">
        <f aca="false">+W37</f>
        <v>0</v>
      </c>
      <c r="X63" s="83"/>
      <c r="Y63" s="83"/>
    </row>
    <row r="64" customFormat="false" ht="12" hidden="false" customHeight="true" outlineLevel="0" collapsed="false">
      <c r="A64" s="84"/>
      <c r="B64" s="85" t="s">
        <v>186</v>
      </c>
      <c r="C64" s="86" t="s">
        <v>351</v>
      </c>
      <c r="D64" s="86" t="s">
        <v>352</v>
      </c>
      <c r="E64" s="87" t="n">
        <v>35612</v>
      </c>
      <c r="F64" s="87" t="n">
        <v>37437</v>
      </c>
      <c r="G64" s="85" t="s">
        <v>353</v>
      </c>
      <c r="H64" s="85" t="s">
        <v>354</v>
      </c>
      <c r="I64" s="86" t="s">
        <v>111</v>
      </c>
      <c r="J64" s="88" t="n">
        <f aca="false">+(5.7625+0.2)/J$1</f>
        <v>0.192338709677419</v>
      </c>
      <c r="K64" s="89" t="n">
        <v>0</v>
      </c>
      <c r="L64" s="89" t="n">
        <v>0.0022</v>
      </c>
      <c r="M64" s="89" t="n">
        <v>0.0072</v>
      </c>
      <c r="N64" s="89" t="n">
        <v>0</v>
      </c>
      <c r="O64" s="90" t="n">
        <v>0</v>
      </c>
      <c r="P64" s="89" t="n">
        <f aca="false">SUM(J64:N64)</f>
        <v>0.201738709677419</v>
      </c>
      <c r="Q64" s="91" t="n">
        <v>270</v>
      </c>
      <c r="R64" s="86" t="n">
        <v>1000</v>
      </c>
      <c r="S64" s="85"/>
      <c r="T64" s="92" t="n">
        <f aca="false">J64*J$1*R64</f>
        <v>5962.5</v>
      </c>
      <c r="U64" s="92"/>
      <c r="V64" s="93" t="n">
        <v>348630</v>
      </c>
      <c r="W64" s="85"/>
      <c r="X64" s="94"/>
      <c r="Y64" s="9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2" hidden="false" customHeight="true" outlineLevel="0" collapsed="false">
      <c r="A65" s="96"/>
      <c r="B65" s="57"/>
      <c r="C65" s="55"/>
      <c r="D65" s="55"/>
      <c r="E65" s="56"/>
      <c r="F65" s="56"/>
      <c r="G65" s="57"/>
      <c r="H65" s="57"/>
      <c r="I65" s="55"/>
      <c r="J65" s="69"/>
      <c r="K65" s="60"/>
      <c r="L65" s="60"/>
      <c r="M65" s="60"/>
      <c r="N65" s="60"/>
      <c r="O65" s="61"/>
      <c r="P65" s="60"/>
      <c r="Q65" s="62"/>
      <c r="R65" s="55"/>
      <c r="S65" s="57"/>
      <c r="T65" s="97" t="n">
        <f aca="false">SUM(T64)</f>
        <v>5962.5</v>
      </c>
      <c r="U65" s="97"/>
      <c r="V65" s="98"/>
      <c r="W65" s="57"/>
      <c r="X65" s="83"/>
      <c r="Y65" s="83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2.75" hidden="false" customHeight="false" outlineLevel="0" collapsed="false">
      <c r="B66" s="51"/>
      <c r="C66" s="55"/>
      <c r="D66" s="55"/>
      <c r="E66" s="56"/>
      <c r="F66" s="56"/>
      <c r="G66" s="57"/>
      <c r="H66" s="57"/>
      <c r="I66" s="55"/>
      <c r="J66" s="60"/>
      <c r="K66" s="60"/>
      <c r="L66" s="60"/>
      <c r="M66" s="60"/>
      <c r="N66" s="60"/>
      <c r="O66" s="61"/>
      <c r="P66" s="60"/>
      <c r="Q66" s="132"/>
      <c r="R66" s="133"/>
      <c r="S66" s="64"/>
      <c r="T66" s="64"/>
      <c r="U66" s="64"/>
      <c r="V66" s="65"/>
      <c r="W66" s="66"/>
      <c r="X66" s="67"/>
      <c r="Y66" s="67"/>
    </row>
    <row r="67" customFormat="false" ht="12.75" hidden="false" customHeight="false" outlineLevel="0" collapsed="false">
      <c r="B67" s="51"/>
      <c r="C67" s="55"/>
      <c r="D67" s="55"/>
      <c r="E67" s="56"/>
      <c r="F67" s="56"/>
      <c r="G67" s="57"/>
      <c r="H67" s="57"/>
      <c r="I67" s="55"/>
      <c r="J67" s="69"/>
      <c r="K67" s="60"/>
      <c r="L67" s="60"/>
      <c r="M67" s="60"/>
      <c r="N67" s="60"/>
      <c r="O67" s="61"/>
      <c r="P67" s="60"/>
      <c r="Q67" s="132"/>
      <c r="R67" s="133"/>
      <c r="S67" s="64"/>
      <c r="T67" s="64"/>
      <c r="U67" s="64"/>
      <c r="V67" s="65"/>
      <c r="W67" s="66"/>
      <c r="X67" s="67"/>
      <c r="Y67" s="67"/>
    </row>
    <row r="68" customFormat="false" ht="13.5" hidden="false" customHeight="false" outlineLevel="0" collapsed="false">
      <c r="B68" s="51"/>
      <c r="C68" s="55"/>
      <c r="D68" s="55"/>
      <c r="E68" s="56"/>
      <c r="F68" s="56"/>
      <c r="G68" s="57"/>
      <c r="H68" s="57"/>
      <c r="I68" s="55"/>
      <c r="J68" s="60"/>
      <c r="K68" s="60"/>
      <c r="L68" s="60"/>
      <c r="M68" s="60"/>
      <c r="N68" s="60"/>
      <c r="O68" s="61"/>
      <c r="P68" s="60"/>
      <c r="Q68" s="132"/>
      <c r="R68" s="133"/>
      <c r="S68" s="64"/>
      <c r="T68" s="166" t="n">
        <f aca="false">SUM(T65,T62,T17,)</f>
        <v>1213105.4175129</v>
      </c>
      <c r="U68" s="66" t="s">
        <v>355</v>
      </c>
      <c r="V68" s="65"/>
      <c r="W68" s="66"/>
      <c r="X68" s="67"/>
      <c r="Y68" s="67"/>
    </row>
    <row r="69" customFormat="false" ht="13.5" hidden="false" customHeight="false" outlineLevel="0" collapsed="false">
      <c r="B69" s="51"/>
      <c r="C69" s="55"/>
      <c r="D69" s="55"/>
      <c r="E69" s="56"/>
      <c r="F69" s="56"/>
      <c r="G69" s="57"/>
      <c r="H69" s="57"/>
      <c r="I69" s="55"/>
      <c r="J69" s="60"/>
      <c r="K69" s="60"/>
      <c r="L69" s="60"/>
      <c r="M69" s="60"/>
      <c r="N69" s="60"/>
      <c r="O69" s="61"/>
      <c r="P69" s="60"/>
      <c r="Q69" s="132"/>
      <c r="R69" s="133"/>
      <c r="S69" s="64"/>
      <c r="T69" s="64"/>
      <c r="U69" s="66" t="s">
        <v>267</v>
      </c>
      <c r="V69" s="65"/>
      <c r="W69" s="66"/>
      <c r="X69" s="135"/>
      <c r="Y69" s="67"/>
    </row>
    <row r="70" customFormat="false" ht="12.75" hidden="false" customHeight="false" outlineLevel="0" collapsed="false">
      <c r="B70" s="51"/>
      <c r="C70" s="55"/>
      <c r="D70" s="55"/>
      <c r="E70" s="56"/>
      <c r="F70" s="56"/>
      <c r="G70" s="57"/>
      <c r="H70" s="57"/>
      <c r="I70" s="55"/>
      <c r="J70" s="60"/>
      <c r="K70" s="60"/>
      <c r="L70" s="60"/>
      <c r="M70" s="60"/>
      <c r="N70" s="60"/>
      <c r="O70" s="61"/>
      <c r="P70" s="60"/>
      <c r="Q70" s="132"/>
      <c r="R70" s="133"/>
      <c r="S70" s="64"/>
      <c r="T70" s="64" t="n">
        <v>10000</v>
      </c>
      <c r="U70" s="66" t="s">
        <v>356</v>
      </c>
      <c r="V70" s="65"/>
      <c r="W70" s="66"/>
      <c r="X70" s="67"/>
      <c r="Y70" s="67"/>
    </row>
    <row r="71" customFormat="false" ht="12.75" hidden="false" customHeight="false" outlineLevel="0" collapsed="false">
      <c r="B71" s="51"/>
      <c r="C71" s="55"/>
      <c r="D71" s="55"/>
      <c r="E71" s="56"/>
      <c r="F71" s="56"/>
      <c r="G71" s="57"/>
      <c r="H71" s="57"/>
      <c r="I71" s="55"/>
      <c r="J71" s="60"/>
      <c r="K71" s="60"/>
      <c r="L71" s="60"/>
      <c r="M71" s="60"/>
      <c r="N71" s="60"/>
      <c r="O71" s="61"/>
      <c r="P71" s="60"/>
      <c r="Q71" s="132"/>
      <c r="R71" s="133"/>
      <c r="S71" s="64"/>
      <c r="T71" s="64"/>
      <c r="U71" s="64"/>
      <c r="V71" s="65"/>
      <c r="W71" s="66"/>
      <c r="X71" s="67"/>
      <c r="Y71" s="67"/>
    </row>
    <row r="72" customFormat="false" ht="12.75" hidden="false" customHeight="false" outlineLevel="0" collapsed="false">
      <c r="B72" s="51"/>
      <c r="C72" s="55"/>
      <c r="D72" s="55"/>
      <c r="E72" s="56"/>
      <c r="F72" s="56"/>
      <c r="G72" s="57"/>
      <c r="H72" s="57"/>
      <c r="I72" s="55"/>
      <c r="J72" s="69"/>
      <c r="K72" s="60"/>
      <c r="L72" s="60"/>
      <c r="M72" s="60"/>
      <c r="N72" s="60"/>
      <c r="O72" s="61"/>
      <c r="P72" s="60"/>
      <c r="Q72" s="132"/>
      <c r="R72" s="133"/>
      <c r="S72" s="135"/>
      <c r="T72" s="64"/>
      <c r="U72" s="64"/>
      <c r="V72" s="65"/>
      <c r="W72" s="66"/>
      <c r="X72" s="67"/>
      <c r="Y72" s="67"/>
    </row>
    <row r="73" customFormat="false" ht="12.75" hidden="false" customHeight="false" outlineLevel="0" collapsed="false">
      <c r="B73" s="51"/>
      <c r="C73" s="55"/>
      <c r="D73" s="55"/>
      <c r="E73" s="56"/>
      <c r="F73" s="56"/>
      <c r="G73" s="57"/>
      <c r="H73" s="57"/>
      <c r="I73" s="55"/>
      <c r="J73" s="69"/>
      <c r="K73" s="60"/>
      <c r="L73" s="60"/>
      <c r="M73" s="60"/>
      <c r="N73" s="60"/>
      <c r="O73" s="61"/>
      <c r="P73" s="60"/>
      <c r="Q73" s="132"/>
      <c r="R73" s="133"/>
      <c r="S73" s="135"/>
      <c r="T73" s="64"/>
      <c r="U73" s="64"/>
      <c r="V73" s="65"/>
      <c r="W73" s="66"/>
      <c r="X73" s="67"/>
      <c r="Y73" s="67"/>
    </row>
    <row r="74" customFormat="false" ht="12.75" hidden="false" customHeight="false" outlineLevel="0" collapsed="false">
      <c r="Q74" s="47"/>
      <c r="R74" s="47"/>
      <c r="S74" s="47"/>
      <c r="T74" s="47"/>
      <c r="U74" s="47"/>
      <c r="V74" s="136"/>
      <c r="W74" s="137"/>
      <c r="X74" s="136"/>
    </row>
    <row r="75" customFormat="false" ht="12.75" hidden="false" customHeight="false" outlineLevel="0" collapsed="false">
      <c r="Q75" s="47"/>
      <c r="R75" s="47"/>
      <c r="S75" s="47"/>
      <c r="T75" s="47"/>
      <c r="U75" s="47"/>
      <c r="V75" s="136"/>
      <c r="W75" s="137"/>
      <c r="X75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357</v>
      </c>
      <c r="D1" s="0" t="s">
        <v>358</v>
      </c>
      <c r="E1" s="0" t="s">
        <v>88</v>
      </c>
      <c r="F1" s="0" t="s">
        <v>359</v>
      </c>
      <c r="G1" s="0" t="s">
        <v>360</v>
      </c>
      <c r="H1" s="0" t="s">
        <v>361</v>
      </c>
      <c r="I1" s="0" t="s">
        <v>362</v>
      </c>
      <c r="J1" s="0" t="s">
        <v>363</v>
      </c>
      <c r="K1" s="0" t="s">
        <v>364</v>
      </c>
      <c r="L1" s="0" t="s">
        <v>365</v>
      </c>
      <c r="M1" s="0" t="s">
        <v>366</v>
      </c>
      <c r="N1" s="0" t="s">
        <v>367</v>
      </c>
      <c r="O1" s="0" t="s">
        <v>368</v>
      </c>
    </row>
    <row r="2" customFormat="false" ht="12.75" hidden="false" customHeight="false" outlineLevel="0" collapsed="false">
      <c r="B2" s="167"/>
      <c r="C2" s="167" t="s">
        <v>369</v>
      </c>
      <c r="D2" s="167" t="n">
        <v>37147</v>
      </c>
      <c r="E2" s="167" t="s">
        <v>370</v>
      </c>
      <c r="F2" s="167" t="s">
        <v>371</v>
      </c>
      <c r="G2" s="167" t="s">
        <v>371</v>
      </c>
      <c r="H2" s="168" t="n">
        <v>35582</v>
      </c>
      <c r="I2" s="167" t="s">
        <v>371</v>
      </c>
      <c r="J2" s="167" t="s">
        <v>371</v>
      </c>
      <c r="K2" s="167" t="n">
        <v>0</v>
      </c>
      <c r="L2" s="167" t="n">
        <v>0</v>
      </c>
      <c r="M2" s="167" t="n">
        <v>0</v>
      </c>
      <c r="N2" s="167" t="n">
        <v>0</v>
      </c>
      <c r="O2" s="167" t="n">
        <v>0</v>
      </c>
      <c r="P2" s="167" t="n">
        <v>0</v>
      </c>
      <c r="Q2" s="167" t="s">
        <v>371</v>
      </c>
    </row>
    <row r="3" customFormat="false" ht="12.75" hidden="false" customHeight="false" outlineLevel="0" collapsed="false">
      <c r="B3" s="169"/>
      <c r="C3" s="169" t="s">
        <v>369</v>
      </c>
      <c r="D3" s="169" t="n">
        <v>39149</v>
      </c>
      <c r="E3" s="169" t="s">
        <v>329</v>
      </c>
      <c r="F3" s="169" t="s">
        <v>371</v>
      </c>
      <c r="G3" s="169" t="s">
        <v>371</v>
      </c>
      <c r="H3" s="170" t="n">
        <v>35582</v>
      </c>
      <c r="I3" s="169" t="s">
        <v>371</v>
      </c>
      <c r="J3" s="169" t="s">
        <v>371</v>
      </c>
      <c r="K3" s="171" t="n">
        <v>500000</v>
      </c>
      <c r="L3" s="169" t="n">
        <v>0</v>
      </c>
      <c r="M3" s="171" t="n">
        <v>500000</v>
      </c>
      <c r="N3" s="169" t="n">
        <v>0</v>
      </c>
      <c r="O3" s="169" t="n">
        <v>0</v>
      </c>
      <c r="P3" s="169" t="n">
        <v>0</v>
      </c>
      <c r="Q3" s="169" t="s">
        <v>371</v>
      </c>
    </row>
    <row r="4" customFormat="false" ht="12.75" hidden="false" customHeight="false" outlineLevel="0" collapsed="false">
      <c r="B4" s="167"/>
      <c r="C4" s="167" t="s">
        <v>369</v>
      </c>
      <c r="D4" s="167" t="n">
        <v>39607</v>
      </c>
      <c r="E4" s="167" t="s">
        <v>372</v>
      </c>
      <c r="F4" s="167" t="s">
        <v>371</v>
      </c>
      <c r="G4" s="167" t="s">
        <v>371</v>
      </c>
      <c r="H4" s="168" t="n">
        <v>35582</v>
      </c>
      <c r="I4" s="167" t="s">
        <v>371</v>
      </c>
      <c r="J4" s="167" t="s">
        <v>371</v>
      </c>
      <c r="K4" s="172" t="n">
        <v>10000000</v>
      </c>
      <c r="L4" s="167" t="n">
        <v>0</v>
      </c>
      <c r="M4" s="172" t="n">
        <v>10000000</v>
      </c>
      <c r="N4" s="167" t="n">
        <v>0</v>
      </c>
      <c r="O4" s="167" t="n">
        <v>0</v>
      </c>
      <c r="P4" s="167" t="n">
        <v>0</v>
      </c>
      <c r="Q4" s="167" t="s">
        <v>371</v>
      </c>
    </row>
    <row r="5" customFormat="false" ht="12.75" hidden="false" customHeight="false" outlineLevel="0" collapsed="false">
      <c r="B5" s="169"/>
      <c r="C5" s="169" t="s">
        <v>369</v>
      </c>
      <c r="D5" s="169" t="n">
        <v>39764</v>
      </c>
      <c r="E5" s="169" t="s">
        <v>373</v>
      </c>
      <c r="F5" s="169" t="s">
        <v>371</v>
      </c>
      <c r="G5" s="169" t="s">
        <v>371</v>
      </c>
      <c r="H5" s="170" t="n">
        <v>35582</v>
      </c>
      <c r="I5" s="169" t="s">
        <v>371</v>
      </c>
      <c r="J5" s="169" t="s">
        <v>371</v>
      </c>
      <c r="K5" s="171" t="n">
        <v>60000</v>
      </c>
      <c r="L5" s="169" t="n">
        <v>0</v>
      </c>
      <c r="M5" s="171" t="n">
        <v>60000</v>
      </c>
      <c r="N5" s="169" t="n">
        <v>0</v>
      </c>
      <c r="O5" s="169" t="n">
        <v>0</v>
      </c>
      <c r="P5" s="169" t="n">
        <v>0</v>
      </c>
      <c r="Q5" s="169" t="s">
        <v>371</v>
      </c>
    </row>
    <row r="6" customFormat="false" ht="12.75" hidden="false" customHeight="false" outlineLevel="0" collapsed="false">
      <c r="B6" s="167"/>
      <c r="C6" s="167" t="s">
        <v>369</v>
      </c>
      <c r="D6" s="167" t="n">
        <v>40998</v>
      </c>
      <c r="E6" s="167" t="s">
        <v>374</v>
      </c>
      <c r="F6" s="167" t="s">
        <v>371</v>
      </c>
      <c r="G6" s="167" t="s">
        <v>371</v>
      </c>
      <c r="H6" s="168" t="n">
        <v>34393</v>
      </c>
      <c r="I6" s="167" t="s">
        <v>371</v>
      </c>
      <c r="J6" s="167" t="s">
        <v>371</v>
      </c>
      <c r="K6" s="172" t="n">
        <v>250000</v>
      </c>
      <c r="L6" s="167" t="n">
        <v>0</v>
      </c>
      <c r="M6" s="172" t="n">
        <v>250000</v>
      </c>
      <c r="N6" s="167" t="n">
        <v>0</v>
      </c>
      <c r="O6" s="167" t="n">
        <v>0</v>
      </c>
      <c r="P6" s="167" t="n">
        <v>0</v>
      </c>
      <c r="Q6" s="167" t="s">
        <v>371</v>
      </c>
    </row>
    <row r="7" customFormat="false" ht="12.75" hidden="false" customHeight="false" outlineLevel="0" collapsed="false">
      <c r="B7" s="169"/>
      <c r="C7" s="169" t="s">
        <v>369</v>
      </c>
      <c r="D7" s="169" t="n">
        <v>60094</v>
      </c>
      <c r="E7" s="169" t="s">
        <v>375</v>
      </c>
      <c r="F7" s="169" t="s">
        <v>371</v>
      </c>
      <c r="G7" s="169" t="s">
        <v>371</v>
      </c>
      <c r="H7" s="170" t="n">
        <v>35916</v>
      </c>
      <c r="I7" s="169" t="s">
        <v>371</v>
      </c>
      <c r="J7" s="169" t="s">
        <v>371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s">
        <v>371</v>
      </c>
    </row>
    <row r="8" customFormat="false" ht="12.75" hidden="false" customHeight="false" outlineLevel="0" collapsed="false">
      <c r="B8" s="167"/>
      <c r="C8" s="167" t="s">
        <v>369</v>
      </c>
      <c r="D8" s="167" t="n">
        <v>61822</v>
      </c>
      <c r="E8" s="167" t="s">
        <v>111</v>
      </c>
      <c r="F8" s="167" t="s">
        <v>371</v>
      </c>
      <c r="G8" s="167" t="s">
        <v>371</v>
      </c>
      <c r="H8" s="168" t="n">
        <v>36557</v>
      </c>
      <c r="I8" s="167" t="s">
        <v>371</v>
      </c>
      <c r="J8" s="167" t="n">
        <v>22429</v>
      </c>
      <c r="K8" s="172" t="n">
        <v>4000</v>
      </c>
      <c r="L8" s="167" t="n">
        <v>0</v>
      </c>
      <c r="M8" s="172" t="n">
        <v>4000</v>
      </c>
      <c r="N8" s="167" t="n">
        <v>0</v>
      </c>
      <c r="O8" s="167" t="n">
        <v>0</v>
      </c>
      <c r="P8" s="167" t="n">
        <v>0</v>
      </c>
      <c r="Q8" s="167" t="s">
        <v>371</v>
      </c>
    </row>
    <row r="9" customFormat="false" ht="12.75" hidden="false" customHeight="false" outlineLevel="0" collapsed="false">
      <c r="B9" s="169"/>
      <c r="C9" s="169" t="s">
        <v>369</v>
      </c>
      <c r="D9" s="169" t="n">
        <v>61825</v>
      </c>
      <c r="E9" s="169" t="s">
        <v>111</v>
      </c>
      <c r="F9" s="169" t="s">
        <v>371</v>
      </c>
      <c r="G9" s="169" t="s">
        <v>371</v>
      </c>
      <c r="H9" s="170" t="n">
        <v>36557</v>
      </c>
      <c r="I9" s="170" t="n">
        <v>36830</v>
      </c>
      <c r="J9" s="169" t="n">
        <v>22428</v>
      </c>
      <c r="K9" s="171" t="n">
        <v>8000</v>
      </c>
      <c r="L9" s="169" t="n">
        <v>0</v>
      </c>
      <c r="M9" s="171" t="n">
        <v>8000</v>
      </c>
      <c r="N9" s="169" t="n">
        <v>0</v>
      </c>
      <c r="O9" s="169" t="n">
        <v>0</v>
      </c>
      <c r="P9" s="169" t="n">
        <v>0</v>
      </c>
      <c r="Q9" s="169" t="s">
        <v>371</v>
      </c>
    </row>
    <row r="10" customFormat="false" ht="12.75" hidden="false" customHeight="false" outlineLevel="0" collapsed="false">
      <c r="B10" s="167"/>
      <c r="C10" s="167" t="s">
        <v>369</v>
      </c>
      <c r="D10" s="167" t="n">
        <v>61838</v>
      </c>
      <c r="E10" s="167" t="s">
        <v>111</v>
      </c>
      <c r="F10" s="167" t="s">
        <v>371</v>
      </c>
      <c r="G10" s="167" t="s">
        <v>371</v>
      </c>
      <c r="H10" s="168" t="n">
        <v>36557</v>
      </c>
      <c r="I10" s="167" t="s">
        <v>371</v>
      </c>
      <c r="J10" s="167" t="n">
        <v>22422</v>
      </c>
      <c r="K10" s="172" t="n">
        <v>1000</v>
      </c>
      <c r="L10" s="167" t="n">
        <v>0</v>
      </c>
      <c r="M10" s="172" t="n">
        <v>1000</v>
      </c>
      <c r="N10" s="167" t="n">
        <v>0</v>
      </c>
      <c r="O10" s="167" t="n">
        <v>0</v>
      </c>
      <c r="P10" s="167" t="n">
        <v>0</v>
      </c>
      <c r="Q10" s="167" t="s">
        <v>371</v>
      </c>
    </row>
    <row r="11" customFormat="false" ht="12.75" hidden="false" customHeight="false" outlineLevel="0" collapsed="false">
      <c r="B11" s="169"/>
      <c r="C11" s="169" t="s">
        <v>369</v>
      </c>
      <c r="D11" s="169" t="n">
        <v>61990</v>
      </c>
      <c r="E11" s="169" t="s">
        <v>111</v>
      </c>
      <c r="F11" s="169" t="s">
        <v>371</v>
      </c>
      <c r="G11" s="169" t="s">
        <v>371</v>
      </c>
      <c r="H11" s="170" t="n">
        <v>36557</v>
      </c>
      <c r="I11" s="169" t="s">
        <v>371</v>
      </c>
      <c r="J11" s="169" t="n">
        <v>22747</v>
      </c>
      <c r="K11" s="171" t="n">
        <v>2000</v>
      </c>
      <c r="L11" s="169" t="n">
        <v>0</v>
      </c>
      <c r="M11" s="171" t="n">
        <v>2000</v>
      </c>
      <c r="N11" s="169" t="n">
        <v>0</v>
      </c>
      <c r="O11" s="169" t="n">
        <v>0</v>
      </c>
      <c r="P11" s="169" t="n">
        <v>0</v>
      </c>
      <c r="Q11" s="169" t="s">
        <v>371</v>
      </c>
    </row>
    <row r="12" customFormat="false" ht="12.75" hidden="false" customHeight="false" outlineLevel="0" collapsed="false">
      <c r="B12" s="167"/>
      <c r="C12" s="167" t="s">
        <v>369</v>
      </c>
      <c r="D12" s="167" t="n">
        <v>62164</v>
      </c>
      <c r="E12" s="167" t="s">
        <v>111</v>
      </c>
      <c r="F12" s="167" t="s">
        <v>371</v>
      </c>
      <c r="G12" s="167" t="s">
        <v>371</v>
      </c>
      <c r="H12" s="168" t="n">
        <v>36557</v>
      </c>
      <c r="I12" s="168" t="n">
        <v>36891</v>
      </c>
      <c r="J12" s="167" t="n">
        <v>23652</v>
      </c>
      <c r="K12" s="172" t="n">
        <v>2000</v>
      </c>
      <c r="L12" s="167" t="n">
        <v>0</v>
      </c>
      <c r="M12" s="172" t="n">
        <v>2000</v>
      </c>
      <c r="N12" s="167" t="n">
        <v>0</v>
      </c>
      <c r="O12" s="167" t="n">
        <v>0</v>
      </c>
      <c r="P12" s="167" t="n">
        <v>0</v>
      </c>
      <c r="Q12" s="167" t="s">
        <v>371</v>
      </c>
    </row>
    <row r="13" customFormat="false" ht="12.75" hidden="false" customHeight="false" outlineLevel="0" collapsed="false">
      <c r="B13" s="169"/>
      <c r="C13" s="169" t="s">
        <v>369</v>
      </c>
      <c r="D13" s="169" t="n">
        <v>64034</v>
      </c>
      <c r="E13" s="169" t="s">
        <v>111</v>
      </c>
      <c r="F13" s="169" t="s">
        <v>371</v>
      </c>
      <c r="G13" s="169" t="s">
        <v>371</v>
      </c>
      <c r="H13" s="170" t="n">
        <v>36557</v>
      </c>
      <c r="I13" s="170" t="n">
        <v>36707</v>
      </c>
      <c r="J13" s="169" t="n">
        <v>25699</v>
      </c>
      <c r="K13" s="169" t="n">
        <v>911</v>
      </c>
      <c r="L13" s="169" t="n">
        <v>0</v>
      </c>
      <c r="M13" s="169" t="n">
        <v>911</v>
      </c>
      <c r="N13" s="169" t="n">
        <v>0</v>
      </c>
      <c r="O13" s="169" t="n">
        <v>0</v>
      </c>
      <c r="P13" s="169" t="n">
        <v>0</v>
      </c>
      <c r="Q13" s="169" t="s">
        <v>371</v>
      </c>
    </row>
    <row r="14" customFormat="false" ht="12.75" hidden="false" customHeight="false" outlineLevel="0" collapsed="false">
      <c r="B14" s="167"/>
      <c r="C14" s="167" t="s">
        <v>369</v>
      </c>
      <c r="D14" s="167" t="n">
        <v>64036</v>
      </c>
      <c r="E14" s="167" t="s">
        <v>111</v>
      </c>
      <c r="F14" s="167" t="s">
        <v>371</v>
      </c>
      <c r="G14" s="167" t="s">
        <v>371</v>
      </c>
      <c r="H14" s="168" t="n">
        <v>36557</v>
      </c>
      <c r="I14" s="168" t="n">
        <v>36707</v>
      </c>
      <c r="J14" s="167" t="n">
        <v>25712</v>
      </c>
      <c r="K14" s="167" t="n">
        <v>1</v>
      </c>
      <c r="L14" s="167" t="n">
        <v>0</v>
      </c>
      <c r="M14" s="167" t="n">
        <v>1</v>
      </c>
      <c r="N14" s="167" t="n">
        <v>0</v>
      </c>
      <c r="O14" s="167" t="n">
        <v>0</v>
      </c>
      <c r="P14" s="167" t="n">
        <v>0</v>
      </c>
      <c r="Q14" s="167" t="s">
        <v>371</v>
      </c>
    </row>
    <row r="15" customFormat="false" ht="12.75" hidden="false" customHeight="false" outlineLevel="0" collapsed="false">
      <c r="B15" s="169"/>
      <c r="C15" s="169" t="s">
        <v>369</v>
      </c>
      <c r="D15" s="169" t="n">
        <v>64328</v>
      </c>
      <c r="E15" s="169" t="s">
        <v>111</v>
      </c>
      <c r="F15" s="169" t="s">
        <v>371</v>
      </c>
      <c r="G15" s="169" t="s">
        <v>371</v>
      </c>
      <c r="H15" s="170" t="n">
        <v>36557</v>
      </c>
      <c r="I15" s="170" t="n">
        <v>36738</v>
      </c>
      <c r="J15" s="169" t="n">
        <v>25955</v>
      </c>
      <c r="K15" s="169" t="n">
        <v>51</v>
      </c>
      <c r="L15" s="169" t="n">
        <v>0</v>
      </c>
      <c r="M15" s="169" t="n">
        <v>51</v>
      </c>
      <c r="N15" s="169" t="n">
        <v>0</v>
      </c>
      <c r="O15" s="169" t="n">
        <v>0</v>
      </c>
      <c r="P15" s="169" t="n">
        <v>0</v>
      </c>
      <c r="Q15" s="169" t="s">
        <v>371</v>
      </c>
    </row>
    <row r="16" customFormat="false" ht="12.75" hidden="false" customHeight="false" outlineLevel="0" collapsed="false">
      <c r="B16" s="167"/>
      <c r="C16" s="167" t="s">
        <v>369</v>
      </c>
      <c r="D16" s="167" t="n">
        <v>64329</v>
      </c>
      <c r="E16" s="167" t="s">
        <v>111</v>
      </c>
      <c r="F16" s="167" t="s">
        <v>371</v>
      </c>
      <c r="G16" s="167" t="s">
        <v>371</v>
      </c>
      <c r="H16" s="168" t="n">
        <v>36557</v>
      </c>
      <c r="I16" s="168" t="n">
        <v>36738</v>
      </c>
      <c r="J16" s="167" t="n">
        <v>25965</v>
      </c>
      <c r="K16" s="167" t="n">
        <v>12</v>
      </c>
      <c r="L16" s="167" t="n">
        <v>0</v>
      </c>
      <c r="M16" s="167" t="n">
        <v>12</v>
      </c>
      <c r="N16" s="167" t="n">
        <v>0</v>
      </c>
      <c r="O16" s="167" t="n">
        <v>0</v>
      </c>
      <c r="P16" s="167" t="n">
        <v>0</v>
      </c>
      <c r="Q16" s="167" t="s">
        <v>371</v>
      </c>
    </row>
    <row r="17" customFormat="false" ht="12.75" hidden="false" customHeight="false" outlineLevel="0" collapsed="false">
      <c r="B17" s="169"/>
      <c r="C17" s="169" t="s">
        <v>369</v>
      </c>
      <c r="D17" s="169" t="n">
        <v>64356</v>
      </c>
      <c r="E17" s="169" t="s">
        <v>376</v>
      </c>
      <c r="F17" s="169" t="s">
        <v>377</v>
      </c>
      <c r="G17" s="169" t="s">
        <v>371</v>
      </c>
      <c r="H17" s="170" t="n">
        <v>36526</v>
      </c>
      <c r="I17" s="170" t="n">
        <v>36707</v>
      </c>
      <c r="J17" s="169" t="s">
        <v>371</v>
      </c>
      <c r="K17" s="171" t="n">
        <v>310000</v>
      </c>
      <c r="L17" s="169" t="n">
        <v>0</v>
      </c>
      <c r="M17" s="171" t="n">
        <v>310000</v>
      </c>
      <c r="N17" s="169" t="n">
        <v>0</v>
      </c>
      <c r="O17" s="169" t="n">
        <v>0</v>
      </c>
      <c r="P17" s="169" t="n">
        <v>0</v>
      </c>
      <c r="Q17" s="169"/>
    </row>
    <row r="18" customFormat="false" ht="12.75" hidden="false" customHeight="false" outlineLevel="0" collapsed="false">
      <c r="B18" s="167"/>
      <c r="C18" s="167" t="s">
        <v>369</v>
      </c>
      <c r="D18" s="167" t="n">
        <v>64651</v>
      </c>
      <c r="E18" s="167" t="s">
        <v>111</v>
      </c>
      <c r="F18" s="167" t="s">
        <v>371</v>
      </c>
      <c r="G18" s="167" t="s">
        <v>371</v>
      </c>
      <c r="H18" s="168" t="n">
        <v>36557</v>
      </c>
      <c r="I18" s="168" t="n">
        <v>36769</v>
      </c>
      <c r="J18" s="167" t="n">
        <v>26150</v>
      </c>
      <c r="K18" s="167" t="n">
        <v>64</v>
      </c>
      <c r="L18" s="167" t="n">
        <v>0</v>
      </c>
      <c r="M18" s="167" t="n">
        <v>64</v>
      </c>
      <c r="N18" s="167" t="n">
        <v>0</v>
      </c>
      <c r="O18" s="167" t="n">
        <v>0</v>
      </c>
      <c r="P18" s="167" t="n">
        <v>0</v>
      </c>
      <c r="Q18" s="167" t="s">
        <v>371</v>
      </c>
    </row>
    <row r="19" customFormat="false" ht="12.75" hidden="false" customHeight="false" outlineLevel="0" collapsed="false">
      <c r="B19" s="169"/>
      <c r="C19" s="169" t="s">
        <v>369</v>
      </c>
      <c r="D19" s="169" t="n">
        <v>64862</v>
      </c>
      <c r="E19" s="169" t="s">
        <v>111</v>
      </c>
      <c r="F19" s="169" t="s">
        <v>371</v>
      </c>
      <c r="G19" s="169" t="s">
        <v>371</v>
      </c>
      <c r="H19" s="170" t="n">
        <v>36557</v>
      </c>
      <c r="I19" s="170" t="n">
        <v>36799</v>
      </c>
      <c r="J19" s="169" t="n">
        <v>26503</v>
      </c>
      <c r="K19" s="169" t="n">
        <v>13</v>
      </c>
      <c r="L19" s="169" t="n">
        <v>0</v>
      </c>
      <c r="M19" s="169" t="n">
        <v>13</v>
      </c>
      <c r="N19" s="169" t="n">
        <v>0</v>
      </c>
      <c r="O19" s="169" t="n">
        <v>0</v>
      </c>
      <c r="P19" s="169" t="n">
        <v>0</v>
      </c>
      <c r="Q19" s="169" t="s">
        <v>371</v>
      </c>
    </row>
    <row r="20" customFormat="false" ht="12.75" hidden="false" customHeight="false" outlineLevel="0" collapsed="false">
      <c r="B20" s="167"/>
      <c r="C20" s="167" t="s">
        <v>369</v>
      </c>
      <c r="D20" s="167" t="n">
        <v>64939</v>
      </c>
      <c r="E20" s="167" t="s">
        <v>111</v>
      </c>
      <c r="F20" s="167" t="s">
        <v>371</v>
      </c>
      <c r="G20" s="167" t="s">
        <v>371</v>
      </c>
      <c r="H20" s="168" t="n">
        <v>36557</v>
      </c>
      <c r="I20" s="168" t="n">
        <v>36799</v>
      </c>
      <c r="J20" s="167" t="n">
        <v>26577</v>
      </c>
      <c r="K20" s="172" t="n">
        <v>2300</v>
      </c>
      <c r="L20" s="167" t="n">
        <v>0</v>
      </c>
      <c r="M20" s="172" t="n">
        <v>2300</v>
      </c>
      <c r="N20" s="167" t="n">
        <v>0</v>
      </c>
      <c r="O20" s="167" t="n">
        <v>0</v>
      </c>
      <c r="P20" s="167" t="n">
        <v>0</v>
      </c>
      <c r="Q20" s="167" t="s">
        <v>371</v>
      </c>
    </row>
    <row r="21" customFormat="false" ht="12.75" hidden="false" customHeight="false" outlineLevel="0" collapsed="false">
      <c r="B21" s="169"/>
      <c r="C21" s="169" t="s">
        <v>369</v>
      </c>
      <c r="D21" s="169" t="n">
        <v>65026</v>
      </c>
      <c r="E21" s="169" t="s">
        <v>111</v>
      </c>
      <c r="F21" s="169" t="s">
        <v>371</v>
      </c>
      <c r="G21" s="169" t="s">
        <v>371</v>
      </c>
      <c r="H21" s="170" t="n">
        <v>36557</v>
      </c>
      <c r="I21" s="170" t="n">
        <v>36830</v>
      </c>
      <c r="J21" s="169" t="n">
        <v>26726</v>
      </c>
      <c r="K21" s="169" t="n">
        <v>128</v>
      </c>
      <c r="L21" s="169" t="n">
        <v>0</v>
      </c>
      <c r="M21" s="169" t="n">
        <v>128</v>
      </c>
      <c r="N21" s="169" t="n">
        <v>0</v>
      </c>
      <c r="O21" s="169" t="n">
        <v>0</v>
      </c>
      <c r="P21" s="169" t="n">
        <v>0</v>
      </c>
      <c r="Q21" s="169" t="s">
        <v>371</v>
      </c>
    </row>
    <row r="22" customFormat="false" ht="12.75" hidden="false" customHeight="false" outlineLevel="0" collapsed="false">
      <c r="B22" s="167"/>
      <c r="C22" s="167" t="s">
        <v>369</v>
      </c>
      <c r="D22" s="167" t="n">
        <v>65041</v>
      </c>
      <c r="E22" s="167" t="s">
        <v>111</v>
      </c>
      <c r="F22" s="167" t="s">
        <v>371</v>
      </c>
      <c r="G22" s="167" t="s">
        <v>371</v>
      </c>
      <c r="H22" s="168" t="n">
        <v>36557</v>
      </c>
      <c r="I22" s="168" t="n">
        <v>36830</v>
      </c>
      <c r="J22" s="167" t="n">
        <v>26754</v>
      </c>
      <c r="K22" s="172" t="n">
        <v>9619</v>
      </c>
      <c r="L22" s="167" t="n">
        <v>0</v>
      </c>
      <c r="M22" s="172" t="n">
        <v>9619</v>
      </c>
      <c r="N22" s="167" t="n">
        <v>0</v>
      </c>
      <c r="O22" s="167" t="n">
        <v>0</v>
      </c>
      <c r="P22" s="167" t="n">
        <v>0</v>
      </c>
      <c r="Q22" s="167" t="s">
        <v>371</v>
      </c>
    </row>
    <row r="23" customFormat="false" ht="12.75" hidden="false" customHeight="false" outlineLevel="0" collapsed="false">
      <c r="B23" s="169"/>
      <c r="C23" s="169" t="s">
        <v>369</v>
      </c>
      <c r="D23" s="169" t="n">
        <v>65042</v>
      </c>
      <c r="E23" s="169" t="s">
        <v>111</v>
      </c>
      <c r="F23" s="169" t="s">
        <v>371</v>
      </c>
      <c r="G23" s="169" t="s">
        <v>371</v>
      </c>
      <c r="H23" s="170" t="n">
        <v>36557</v>
      </c>
      <c r="I23" s="170" t="n">
        <v>36830</v>
      </c>
      <c r="J23" s="169" t="n">
        <v>26753</v>
      </c>
      <c r="K23" s="171" t="n">
        <v>4427</v>
      </c>
      <c r="L23" s="169" t="n">
        <v>0</v>
      </c>
      <c r="M23" s="171" t="n">
        <v>4427</v>
      </c>
      <c r="N23" s="169" t="n">
        <v>0</v>
      </c>
      <c r="O23" s="169" t="n">
        <v>0</v>
      </c>
      <c r="P23" s="169" t="n">
        <v>0</v>
      </c>
      <c r="Q23" s="169" t="s">
        <v>371</v>
      </c>
    </row>
    <row r="24" customFormat="false" ht="12.75" hidden="false" customHeight="false" outlineLevel="0" collapsed="false">
      <c r="B24" s="167"/>
      <c r="C24" s="167" t="s">
        <v>369</v>
      </c>
      <c r="D24" s="167" t="n">
        <v>65071</v>
      </c>
      <c r="E24" s="167" t="s">
        <v>111</v>
      </c>
      <c r="F24" s="167" t="s">
        <v>371</v>
      </c>
      <c r="G24" s="167" t="s">
        <v>371</v>
      </c>
      <c r="H24" s="168" t="n">
        <v>36557</v>
      </c>
      <c r="I24" s="168" t="n">
        <v>36830</v>
      </c>
      <c r="J24" s="167" t="n">
        <v>26782</v>
      </c>
      <c r="K24" s="172" t="n">
        <v>7429</v>
      </c>
      <c r="L24" s="167" t="n">
        <v>0</v>
      </c>
      <c r="M24" s="172" t="n">
        <v>7035</v>
      </c>
      <c r="N24" s="167" t="n">
        <v>394</v>
      </c>
      <c r="O24" s="167" t="n">
        <v>0</v>
      </c>
      <c r="P24" s="167" t="n">
        <v>0</v>
      </c>
      <c r="Q24" s="167" t="s">
        <v>371</v>
      </c>
    </row>
    <row r="25" customFormat="false" ht="12.75" hidden="false" customHeight="false" outlineLevel="0" collapsed="false">
      <c r="B25" s="169"/>
      <c r="C25" s="169" t="s">
        <v>369</v>
      </c>
      <c r="D25" s="169" t="n">
        <v>65108</v>
      </c>
      <c r="E25" s="169" t="s">
        <v>111</v>
      </c>
      <c r="F25" s="169" t="s">
        <v>371</v>
      </c>
      <c r="G25" s="169" t="s">
        <v>371</v>
      </c>
      <c r="H25" s="170" t="n">
        <v>36557</v>
      </c>
      <c r="I25" s="170" t="n">
        <v>37011</v>
      </c>
      <c r="J25" s="169" t="s">
        <v>371</v>
      </c>
      <c r="K25" s="171" t="n">
        <v>5000</v>
      </c>
      <c r="L25" s="169" t="n">
        <v>0</v>
      </c>
      <c r="M25" s="171" t="n">
        <v>5000</v>
      </c>
      <c r="N25" s="169" t="n">
        <v>0</v>
      </c>
      <c r="O25" s="169" t="n">
        <v>0</v>
      </c>
      <c r="P25" s="169" t="n">
        <v>0</v>
      </c>
      <c r="Q25" s="169" t="s">
        <v>371</v>
      </c>
    </row>
    <row r="26" customFormat="false" ht="12.75" hidden="false" customHeight="false" outlineLevel="0" collapsed="false">
      <c r="B26" s="167"/>
      <c r="C26" s="167" t="s">
        <v>369</v>
      </c>
      <c r="D26" s="167" t="n">
        <v>65402</v>
      </c>
      <c r="E26" s="167" t="s">
        <v>111</v>
      </c>
      <c r="F26" s="167" t="s">
        <v>371</v>
      </c>
      <c r="G26" s="167" t="s">
        <v>371</v>
      </c>
      <c r="H26" s="168" t="n">
        <v>36557</v>
      </c>
      <c r="I26" s="168" t="n">
        <v>36830</v>
      </c>
      <c r="J26" s="167" t="n">
        <v>26694</v>
      </c>
      <c r="K26" s="172" t="n">
        <v>20000</v>
      </c>
      <c r="L26" s="167" t="n">
        <v>0</v>
      </c>
      <c r="M26" s="167" t="n">
        <v>0</v>
      </c>
      <c r="N26" s="172" t="n">
        <v>20000</v>
      </c>
      <c r="O26" s="167" t="n">
        <v>0</v>
      </c>
      <c r="P26" s="167" t="n">
        <v>0</v>
      </c>
      <c r="Q26" s="167" t="s">
        <v>371</v>
      </c>
    </row>
    <row r="27" customFormat="false" ht="12.75" hidden="false" customHeight="false" outlineLevel="0" collapsed="false">
      <c r="B27" s="169"/>
      <c r="C27" s="169" t="s">
        <v>369</v>
      </c>
      <c r="D27" s="169" t="n">
        <v>65403</v>
      </c>
      <c r="E27" s="169" t="s">
        <v>111</v>
      </c>
      <c r="F27" s="169" t="s">
        <v>371</v>
      </c>
      <c r="G27" s="169" t="s">
        <v>371</v>
      </c>
      <c r="H27" s="170" t="n">
        <v>36557</v>
      </c>
      <c r="I27" s="170" t="n">
        <v>37011</v>
      </c>
      <c r="J27" s="169" t="n">
        <v>26714</v>
      </c>
      <c r="K27" s="171" t="n">
        <v>19293</v>
      </c>
      <c r="L27" s="169" t="n">
        <v>0</v>
      </c>
      <c r="M27" s="171" t="n">
        <v>19293</v>
      </c>
      <c r="N27" s="169" t="n">
        <v>0</v>
      </c>
      <c r="O27" s="169" t="n">
        <v>0</v>
      </c>
      <c r="P27" s="169" t="n">
        <v>0</v>
      </c>
      <c r="Q27" s="169" t="s">
        <v>371</v>
      </c>
    </row>
    <row r="28" customFormat="false" ht="12.75" hidden="false" customHeight="false" outlineLevel="0" collapsed="false">
      <c r="B28" s="167"/>
      <c r="C28" s="167" t="s">
        <v>369</v>
      </c>
      <c r="D28" s="167" t="n">
        <v>65418</v>
      </c>
      <c r="E28" s="167" t="s">
        <v>111</v>
      </c>
      <c r="F28" s="167" t="s">
        <v>371</v>
      </c>
      <c r="G28" s="167" t="s">
        <v>371</v>
      </c>
      <c r="H28" s="168" t="n">
        <v>36557</v>
      </c>
      <c r="I28" s="167" t="s">
        <v>371</v>
      </c>
      <c r="J28" s="167" t="n">
        <v>26722</v>
      </c>
      <c r="K28" s="167" t="n">
        <v>500</v>
      </c>
      <c r="L28" s="167" t="n">
        <v>0</v>
      </c>
      <c r="M28" s="167" t="n">
        <v>500</v>
      </c>
      <c r="N28" s="167" t="n">
        <v>0</v>
      </c>
      <c r="O28" s="167" t="n">
        <v>0</v>
      </c>
      <c r="P28" s="167" t="n">
        <v>0</v>
      </c>
      <c r="Q28" s="167" t="s">
        <v>371</v>
      </c>
    </row>
    <row r="29" customFormat="false" ht="12.75" hidden="false" customHeight="false" outlineLevel="0" collapsed="false">
      <c r="B29" s="169"/>
      <c r="C29" s="169" t="s">
        <v>369</v>
      </c>
      <c r="D29" s="169" t="n">
        <v>65556</v>
      </c>
      <c r="E29" s="169" t="s">
        <v>111</v>
      </c>
      <c r="F29" s="169" t="s">
        <v>371</v>
      </c>
      <c r="G29" s="169" t="s">
        <v>371</v>
      </c>
      <c r="H29" s="170" t="n">
        <v>36557</v>
      </c>
      <c r="I29" s="170" t="n">
        <v>36860</v>
      </c>
      <c r="J29" s="169" t="n">
        <v>27127</v>
      </c>
      <c r="K29" s="169" t="n">
        <v>3</v>
      </c>
      <c r="L29" s="169" t="n">
        <v>0</v>
      </c>
      <c r="M29" s="169" t="n">
        <v>3</v>
      </c>
      <c r="N29" s="169" t="n">
        <v>0</v>
      </c>
      <c r="O29" s="169" t="n">
        <v>0</v>
      </c>
      <c r="P29" s="169" t="n">
        <v>0</v>
      </c>
      <c r="Q29" s="169" t="s">
        <v>371</v>
      </c>
    </row>
    <row r="30" customFormat="false" ht="12.75" hidden="false" customHeight="false" outlineLevel="0" collapsed="false">
      <c r="B30" s="167"/>
      <c r="C30" s="167" t="s">
        <v>369</v>
      </c>
      <c r="D30" s="167" t="n">
        <v>66280</v>
      </c>
      <c r="E30" s="167" t="s">
        <v>111</v>
      </c>
      <c r="F30" s="167" t="s">
        <v>371</v>
      </c>
      <c r="G30" s="167" t="s">
        <v>371</v>
      </c>
      <c r="H30" s="168" t="n">
        <v>36557</v>
      </c>
      <c r="I30" s="168" t="n">
        <v>36922</v>
      </c>
      <c r="J30" s="167" t="n">
        <v>27772</v>
      </c>
      <c r="K30" s="167" t="n">
        <v>5</v>
      </c>
      <c r="L30" s="167" t="n">
        <v>0</v>
      </c>
      <c r="M30" s="167" t="n">
        <v>5</v>
      </c>
      <c r="N30" s="167" t="n">
        <v>0</v>
      </c>
      <c r="O30" s="167" t="n">
        <v>0</v>
      </c>
      <c r="P30" s="167" t="n">
        <v>0</v>
      </c>
      <c r="Q30" s="167" t="s">
        <v>371</v>
      </c>
    </row>
    <row r="31" customFormat="false" ht="12.75" hidden="false" customHeight="false" outlineLevel="0" collapsed="false">
      <c r="B31" s="169"/>
      <c r="C31" s="169" t="s">
        <v>369</v>
      </c>
      <c r="D31" s="169" t="n">
        <v>66917</v>
      </c>
      <c r="E31" s="169" t="s">
        <v>329</v>
      </c>
      <c r="F31" s="169" t="s">
        <v>371</v>
      </c>
      <c r="G31" s="169" t="s">
        <v>371</v>
      </c>
      <c r="H31" s="170" t="n">
        <v>36617</v>
      </c>
      <c r="I31" s="169" t="s">
        <v>371</v>
      </c>
      <c r="J31" s="169" t="s">
        <v>371</v>
      </c>
      <c r="K31" s="171" t="n">
        <v>50000</v>
      </c>
      <c r="L31" s="169" t="n">
        <v>0</v>
      </c>
      <c r="M31" s="171" t="n">
        <v>50000</v>
      </c>
      <c r="N31" s="169" t="n">
        <v>0</v>
      </c>
      <c r="O31" s="169" t="n">
        <v>0</v>
      </c>
      <c r="P31" s="169" t="n">
        <v>0</v>
      </c>
      <c r="Q31" s="169" t="s">
        <v>371</v>
      </c>
    </row>
    <row r="32" customFormat="false" ht="12.75" hidden="false" customHeight="false" outlineLevel="0" collapsed="false">
      <c r="B32" s="167"/>
      <c r="C32" s="167" t="s">
        <v>369</v>
      </c>
      <c r="D32" s="167" t="n">
        <v>66930</v>
      </c>
      <c r="E32" s="167" t="s">
        <v>111</v>
      </c>
      <c r="F32" s="167" t="s">
        <v>371</v>
      </c>
      <c r="G32" s="167" t="s">
        <v>371</v>
      </c>
      <c r="H32" s="168" t="n">
        <v>36617</v>
      </c>
      <c r="I32" s="168" t="n">
        <v>36981</v>
      </c>
      <c r="J32" s="167" t="n">
        <v>28188</v>
      </c>
      <c r="K32" s="172" t="n">
        <v>4000</v>
      </c>
      <c r="L32" s="167" t="n">
        <v>0</v>
      </c>
      <c r="M32" s="172" t="n">
        <v>4000</v>
      </c>
      <c r="N32" s="167" t="n">
        <v>0</v>
      </c>
      <c r="O32" s="167" t="n">
        <v>0</v>
      </c>
      <c r="P32" s="167" t="n">
        <v>0</v>
      </c>
      <c r="Q32" s="167" t="s">
        <v>371</v>
      </c>
    </row>
    <row r="33" customFormat="false" ht="12.75" hidden="false" customHeight="false" outlineLevel="0" collapsed="false">
      <c r="B33" s="169"/>
      <c r="C33" s="169" t="s">
        <v>369</v>
      </c>
      <c r="D33" s="169" t="n">
        <v>66931</v>
      </c>
      <c r="E33" s="169" t="s">
        <v>111</v>
      </c>
      <c r="F33" s="169" t="s">
        <v>371</v>
      </c>
      <c r="G33" s="169" t="s">
        <v>371</v>
      </c>
      <c r="H33" s="170" t="n">
        <v>36617</v>
      </c>
      <c r="I33" s="170" t="n">
        <v>36981</v>
      </c>
      <c r="J33" s="169" t="n">
        <v>28189</v>
      </c>
      <c r="K33" s="171" t="n">
        <v>4000</v>
      </c>
      <c r="L33" s="169" t="n">
        <v>0</v>
      </c>
      <c r="M33" s="171" t="n">
        <v>4000</v>
      </c>
      <c r="N33" s="169" t="n">
        <v>0</v>
      </c>
      <c r="O33" s="169" t="n">
        <v>0</v>
      </c>
      <c r="P33" s="169" t="n">
        <v>0</v>
      </c>
      <c r="Q33" s="169" t="s">
        <v>371</v>
      </c>
    </row>
    <row r="34" customFormat="false" ht="12.75" hidden="false" customHeight="false" outlineLevel="0" collapsed="false">
      <c r="B34" s="167"/>
      <c r="C34" s="167" t="s">
        <v>369</v>
      </c>
      <c r="D34" s="167" t="n">
        <v>66932</v>
      </c>
      <c r="E34" s="167" t="s">
        <v>111</v>
      </c>
      <c r="F34" s="167" t="s">
        <v>371</v>
      </c>
      <c r="G34" s="167" t="s">
        <v>371</v>
      </c>
      <c r="H34" s="168" t="n">
        <v>36617</v>
      </c>
      <c r="I34" s="168" t="n">
        <v>36981</v>
      </c>
      <c r="J34" s="167" t="n">
        <v>28176</v>
      </c>
      <c r="K34" s="172" t="n">
        <v>4000</v>
      </c>
      <c r="L34" s="167" t="n">
        <v>0</v>
      </c>
      <c r="M34" s="172" t="n">
        <v>4000</v>
      </c>
      <c r="N34" s="167" t="n">
        <v>0</v>
      </c>
      <c r="O34" s="167" t="n">
        <v>0</v>
      </c>
      <c r="P34" s="167" t="n">
        <v>0</v>
      </c>
      <c r="Q34" s="167" t="s">
        <v>371</v>
      </c>
    </row>
    <row r="35" customFormat="false" ht="12.75" hidden="false" customHeight="false" outlineLevel="0" collapsed="false">
      <c r="B35" s="169"/>
      <c r="C35" s="169" t="s">
        <v>369</v>
      </c>
      <c r="D35" s="169" t="n">
        <v>66939</v>
      </c>
      <c r="E35" s="169" t="s">
        <v>111</v>
      </c>
      <c r="F35" s="169" t="s">
        <v>371</v>
      </c>
      <c r="G35" s="169" t="s">
        <v>371</v>
      </c>
      <c r="H35" s="170" t="n">
        <v>36617</v>
      </c>
      <c r="I35" s="170" t="n">
        <v>36981</v>
      </c>
      <c r="J35" s="169" t="n">
        <v>28332</v>
      </c>
      <c r="K35" s="169" t="n">
        <v>52</v>
      </c>
      <c r="L35" s="169" t="n">
        <v>0</v>
      </c>
      <c r="M35" s="169" t="n">
        <v>52</v>
      </c>
      <c r="N35" s="169" t="n">
        <v>0</v>
      </c>
      <c r="O35" s="169" t="n">
        <v>0</v>
      </c>
      <c r="P35" s="169" t="n">
        <v>0</v>
      </c>
      <c r="Q35" s="169" t="s">
        <v>371</v>
      </c>
    </row>
    <row r="36" customFormat="false" ht="12.75" hidden="false" customHeight="false" outlineLevel="0" collapsed="false">
      <c r="B36" s="167"/>
      <c r="C36" s="167" t="s">
        <v>369</v>
      </c>
      <c r="D36" s="167" t="n">
        <v>66940</v>
      </c>
      <c r="E36" s="167" t="s">
        <v>111</v>
      </c>
      <c r="F36" s="167" t="s">
        <v>371</v>
      </c>
      <c r="G36" s="167" t="s">
        <v>371</v>
      </c>
      <c r="H36" s="168" t="n">
        <v>36617</v>
      </c>
      <c r="I36" s="168" t="n">
        <v>36981</v>
      </c>
      <c r="J36" s="167" t="n">
        <v>28331</v>
      </c>
      <c r="K36" s="167" t="n">
        <v>2</v>
      </c>
      <c r="L36" s="167" t="n">
        <v>0</v>
      </c>
      <c r="M36" s="167" t="n">
        <v>2</v>
      </c>
      <c r="N36" s="167" t="n">
        <v>0</v>
      </c>
      <c r="O36" s="167" t="n">
        <v>0</v>
      </c>
      <c r="P36" s="167" t="n">
        <v>0</v>
      </c>
      <c r="Q36" s="167" t="s">
        <v>371</v>
      </c>
    </row>
    <row r="37" customFormat="false" ht="12.75" hidden="false" customHeight="false" outlineLevel="0" collapsed="false">
      <c r="B37" s="169"/>
      <c r="C37" s="169" t="s">
        <v>369</v>
      </c>
      <c r="D37" s="169" t="n">
        <v>66965</v>
      </c>
      <c r="E37" s="169" t="s">
        <v>295</v>
      </c>
      <c r="F37" s="169" t="s">
        <v>371</v>
      </c>
      <c r="G37" s="169" t="s">
        <v>371</v>
      </c>
      <c r="H37" s="170" t="n">
        <v>36617</v>
      </c>
      <c r="I37" s="170" t="n">
        <v>36830</v>
      </c>
      <c r="J37" s="169" t="n">
        <v>28226</v>
      </c>
      <c r="K37" s="171" t="n">
        <v>20000</v>
      </c>
      <c r="L37" s="169" t="n">
        <v>0</v>
      </c>
      <c r="M37" s="171" t="n">
        <v>20000</v>
      </c>
      <c r="N37" s="169" t="n">
        <v>0</v>
      </c>
      <c r="O37" s="169" t="n">
        <v>0</v>
      </c>
      <c r="P37" s="169" t="n">
        <v>0</v>
      </c>
      <c r="Q37" s="169" t="s">
        <v>371</v>
      </c>
    </row>
    <row r="38" customFormat="false" ht="12.75" hidden="false" customHeight="false" outlineLevel="0" collapsed="false">
      <c r="B38" s="167"/>
      <c r="C38" s="167" t="s">
        <v>369</v>
      </c>
      <c r="D38" s="167" t="n">
        <v>67693</v>
      </c>
      <c r="E38" s="167" t="s">
        <v>295</v>
      </c>
      <c r="F38" s="167" t="s">
        <v>371</v>
      </c>
      <c r="G38" s="167" t="s">
        <v>371</v>
      </c>
      <c r="H38" s="168" t="n">
        <v>36617</v>
      </c>
      <c r="I38" s="168" t="n">
        <v>36799</v>
      </c>
      <c r="J38" s="167" t="n">
        <v>28390</v>
      </c>
      <c r="K38" s="172" t="n">
        <v>54327</v>
      </c>
      <c r="L38" s="167" t="n">
        <v>0</v>
      </c>
      <c r="M38" s="172" t="n">
        <v>29827</v>
      </c>
      <c r="N38" s="172" t="n">
        <v>24500</v>
      </c>
      <c r="O38" s="167" t="n">
        <v>0</v>
      </c>
      <c r="P38" s="167" t="n">
        <v>0</v>
      </c>
      <c r="Q38" s="167" t="s">
        <v>371</v>
      </c>
    </row>
    <row r="39" customFormat="false" ht="12.75" hidden="false" customHeight="false" outlineLevel="0" collapsed="false">
      <c r="B39" s="169"/>
      <c r="C39" s="169" t="s">
        <v>369</v>
      </c>
      <c r="D39" s="169" t="n">
        <v>67712</v>
      </c>
      <c r="E39" s="169" t="s">
        <v>276</v>
      </c>
      <c r="F39" s="169" t="s">
        <v>371</v>
      </c>
      <c r="G39" s="169" t="s">
        <v>371</v>
      </c>
      <c r="H39" s="170" t="n">
        <v>36617</v>
      </c>
      <c r="I39" s="170" t="n">
        <v>36981</v>
      </c>
      <c r="J39" s="169" t="n">
        <v>28389</v>
      </c>
      <c r="K39" s="171" t="n">
        <v>108648</v>
      </c>
      <c r="L39" s="171" t="n">
        <v>6050607</v>
      </c>
      <c r="M39" s="171" t="n">
        <v>108648</v>
      </c>
      <c r="N39" s="169" t="n">
        <v>0</v>
      </c>
      <c r="O39" s="169" t="n">
        <v>0</v>
      </c>
      <c r="P39" s="169" t="n">
        <v>0</v>
      </c>
      <c r="Q39" s="169" t="n">
        <v>67713</v>
      </c>
    </row>
    <row r="40" customFormat="false" ht="12.75" hidden="false" customHeight="false" outlineLevel="0" collapsed="false">
      <c r="B40" s="167"/>
      <c r="C40" s="167" t="s">
        <v>369</v>
      </c>
      <c r="D40" s="167" t="n">
        <v>67713</v>
      </c>
      <c r="E40" s="167" t="s">
        <v>276</v>
      </c>
      <c r="F40" s="167" t="s">
        <v>371</v>
      </c>
      <c r="G40" s="167" t="s">
        <v>371</v>
      </c>
      <c r="H40" s="168" t="n">
        <v>36617</v>
      </c>
      <c r="I40" s="168" t="n">
        <v>36981</v>
      </c>
      <c r="J40" s="167" t="n">
        <v>28389</v>
      </c>
      <c r="K40" s="172" t="n">
        <v>108648</v>
      </c>
      <c r="L40" s="172" t="n">
        <v>6050607</v>
      </c>
      <c r="M40" s="172" t="n">
        <v>108648</v>
      </c>
      <c r="N40" s="167" t="n">
        <v>0</v>
      </c>
      <c r="O40" s="167" t="n">
        <v>0</v>
      </c>
      <c r="P40" s="167" t="n">
        <v>0</v>
      </c>
      <c r="Q40" s="167" t="n">
        <v>67713</v>
      </c>
    </row>
    <row r="41" customFormat="false" ht="12.75" hidden="false" customHeight="false" outlineLevel="0" collapsed="false">
      <c r="B41" s="169"/>
      <c r="C41" s="169" t="s">
        <v>369</v>
      </c>
      <c r="D41" s="169" t="n">
        <v>68188</v>
      </c>
      <c r="E41" s="169" t="s">
        <v>111</v>
      </c>
      <c r="F41" s="169" t="s">
        <v>371</v>
      </c>
      <c r="G41" s="169" t="s">
        <v>371</v>
      </c>
      <c r="H41" s="170" t="n">
        <v>36647</v>
      </c>
      <c r="I41" s="170" t="n">
        <v>37011</v>
      </c>
      <c r="J41" s="169" t="n">
        <v>28742</v>
      </c>
      <c r="K41" s="169" t="n">
        <v>1</v>
      </c>
      <c r="L41" s="169" t="n">
        <v>0</v>
      </c>
      <c r="M41" s="169" t="n">
        <v>1</v>
      </c>
      <c r="N41" s="169" t="n">
        <v>0</v>
      </c>
      <c r="O41" s="169" t="n">
        <v>0</v>
      </c>
      <c r="P41" s="169" t="n">
        <v>0</v>
      </c>
      <c r="Q41" s="169" t="s">
        <v>371</v>
      </c>
    </row>
    <row r="42" customFormat="false" ht="12.75" hidden="false" customHeight="false" outlineLevel="0" collapsed="false">
      <c r="B42" s="167"/>
      <c r="C42" s="167" t="s">
        <v>369</v>
      </c>
      <c r="D42" s="167" t="n">
        <v>68257</v>
      </c>
      <c r="E42" s="167" t="s">
        <v>111</v>
      </c>
      <c r="F42" s="167" t="s">
        <v>371</v>
      </c>
      <c r="G42" s="167" t="s">
        <v>371</v>
      </c>
      <c r="H42" s="168" t="n">
        <v>36647</v>
      </c>
      <c r="I42" s="168" t="n">
        <v>37011</v>
      </c>
      <c r="J42" s="167" t="n">
        <v>28631</v>
      </c>
      <c r="K42" s="167" t="n">
        <v>21</v>
      </c>
      <c r="L42" s="167" t="n">
        <v>0</v>
      </c>
      <c r="M42" s="167" t="n">
        <v>21</v>
      </c>
      <c r="N42" s="167" t="n">
        <v>0</v>
      </c>
      <c r="O42" s="167" t="n">
        <v>0</v>
      </c>
      <c r="P42" s="167" t="n">
        <v>0</v>
      </c>
      <c r="Q42" s="167"/>
    </row>
    <row r="43" customFormat="false" ht="12.75" hidden="false" customHeight="false" outlineLevel="0" collapsed="false">
      <c r="B43" s="169"/>
      <c r="C43" s="169" t="s">
        <v>369</v>
      </c>
      <c r="D43" s="169" t="n">
        <v>68308</v>
      </c>
      <c r="E43" s="169" t="s">
        <v>111</v>
      </c>
      <c r="F43" s="169" t="s">
        <v>371</v>
      </c>
      <c r="G43" s="169" t="s">
        <v>371</v>
      </c>
      <c r="H43" s="170" t="n">
        <v>36656</v>
      </c>
      <c r="I43" s="170" t="n">
        <v>36950</v>
      </c>
      <c r="J43" s="169" t="n">
        <v>28864</v>
      </c>
      <c r="K43" s="169" t="n">
        <v>9</v>
      </c>
      <c r="L43" s="169" t="n">
        <v>0</v>
      </c>
      <c r="M43" s="169" t="n">
        <v>9</v>
      </c>
      <c r="N43" s="169" t="n">
        <v>0</v>
      </c>
      <c r="O43" s="169" t="n">
        <v>0</v>
      </c>
      <c r="P43" s="169" t="n">
        <v>0</v>
      </c>
      <c r="Q43" s="169" t="s">
        <v>371</v>
      </c>
    </row>
    <row r="44" customFormat="false" ht="12.75" hidden="false" customHeight="false" outlineLevel="0" collapsed="false">
      <c r="B44" s="167"/>
      <c r="C44" s="167" t="s">
        <v>369</v>
      </c>
      <c r="D44" s="167" t="n">
        <v>68359</v>
      </c>
      <c r="E44" s="167" t="s">
        <v>111</v>
      </c>
      <c r="F44" s="167" t="s">
        <v>371</v>
      </c>
      <c r="G44" s="167" t="s">
        <v>371</v>
      </c>
      <c r="H44" s="168" t="n">
        <v>36678</v>
      </c>
      <c r="I44" s="168" t="n">
        <v>37042</v>
      </c>
      <c r="J44" s="167" t="n">
        <v>28933</v>
      </c>
      <c r="K44" s="167" t="n">
        <v>285</v>
      </c>
      <c r="L44" s="167" t="n">
        <v>0</v>
      </c>
      <c r="M44" s="167" t="n">
        <v>285</v>
      </c>
      <c r="N44" s="167" t="n">
        <v>0</v>
      </c>
      <c r="O44" s="167" t="n">
        <v>0</v>
      </c>
      <c r="P44" s="167" t="n">
        <v>0</v>
      </c>
      <c r="Q44" s="167" t="s">
        <v>371</v>
      </c>
    </row>
    <row r="45" customFormat="false" ht="12.75" hidden="false" customHeight="false" outlineLevel="0" collapsed="false">
      <c r="B45" s="169"/>
      <c r="C45" s="169" t="s">
        <v>369</v>
      </c>
      <c r="D45" s="169" t="n">
        <v>68384</v>
      </c>
      <c r="E45" s="169" t="s">
        <v>111</v>
      </c>
      <c r="F45" s="169" t="s">
        <v>371</v>
      </c>
      <c r="G45" s="169" t="s">
        <v>371</v>
      </c>
      <c r="H45" s="170" t="n">
        <v>36678</v>
      </c>
      <c r="I45" s="170" t="n">
        <v>37042</v>
      </c>
      <c r="J45" s="169" t="n">
        <v>28962</v>
      </c>
      <c r="K45" s="169" t="n">
        <v>218</v>
      </c>
      <c r="L45" s="169" t="n">
        <v>0</v>
      </c>
      <c r="M45" s="169" t="n">
        <v>218</v>
      </c>
      <c r="N45" s="169" t="n">
        <v>0</v>
      </c>
      <c r="O45" s="169" t="n">
        <v>0</v>
      </c>
      <c r="P45" s="169" t="n">
        <v>0</v>
      </c>
      <c r="Q45" s="169" t="s">
        <v>371</v>
      </c>
    </row>
    <row r="46" customFormat="false" ht="12.75" hidden="false" customHeight="false" outlineLevel="0" collapsed="false">
      <c r="B46" s="167"/>
      <c r="C46" s="167" t="s">
        <v>369</v>
      </c>
      <c r="D46" s="167" t="n">
        <v>68443</v>
      </c>
      <c r="E46" s="167" t="s">
        <v>295</v>
      </c>
      <c r="F46" s="167" t="s">
        <v>371</v>
      </c>
      <c r="G46" s="167" t="s">
        <v>371</v>
      </c>
      <c r="H46" s="168" t="n">
        <v>36678</v>
      </c>
      <c r="I46" s="168" t="n">
        <v>36707</v>
      </c>
      <c r="J46" s="167" t="n">
        <v>29005</v>
      </c>
      <c r="K46" s="172" t="n">
        <v>10000</v>
      </c>
      <c r="L46" s="167" t="n">
        <v>0</v>
      </c>
      <c r="M46" s="172" t="n">
        <v>10000</v>
      </c>
      <c r="N46" s="167" t="n">
        <v>0</v>
      </c>
      <c r="O46" s="167" t="n">
        <v>0</v>
      </c>
      <c r="P46" s="167" t="n">
        <v>0</v>
      </c>
      <c r="Q46" s="167" t="s">
        <v>371</v>
      </c>
    </row>
    <row r="47" customFormat="false" ht="12.75" hidden="false" customHeight="false" outlineLevel="0" collapsed="false">
      <c r="B47" s="169"/>
      <c r="C47" s="169" t="s">
        <v>369</v>
      </c>
      <c r="D47" s="169" t="n">
        <v>68447</v>
      </c>
      <c r="E47" s="169" t="s">
        <v>111</v>
      </c>
      <c r="F47" s="169" t="s">
        <v>371</v>
      </c>
      <c r="G47" s="169" t="s">
        <v>371</v>
      </c>
      <c r="H47" s="170" t="n">
        <v>36678</v>
      </c>
      <c r="I47" s="170" t="n">
        <v>36707</v>
      </c>
      <c r="J47" s="169" t="n">
        <v>29095</v>
      </c>
      <c r="K47" s="171" t="n">
        <v>7500</v>
      </c>
      <c r="L47" s="169" t="n">
        <v>0</v>
      </c>
      <c r="M47" s="171" t="n">
        <v>7500</v>
      </c>
      <c r="N47" s="169" t="n">
        <v>0</v>
      </c>
      <c r="O47" s="169" t="n">
        <v>0</v>
      </c>
      <c r="P47" s="169" t="n">
        <v>0</v>
      </c>
      <c r="Q47" s="169" t="s">
        <v>371</v>
      </c>
    </row>
    <row r="48" customFormat="false" ht="38.25" hidden="false" customHeight="false" outlineLevel="0" collapsed="false">
      <c r="B48" s="167"/>
      <c r="C48" s="167" t="s">
        <v>378</v>
      </c>
      <c r="D48" s="167" t="n">
        <v>37393</v>
      </c>
      <c r="E48" s="167" t="s">
        <v>379</v>
      </c>
      <c r="F48" s="167" t="s">
        <v>371</v>
      </c>
      <c r="G48" s="167" t="s">
        <v>371</v>
      </c>
      <c r="H48" s="168" t="n">
        <v>34274</v>
      </c>
      <c r="I48" s="167" t="s">
        <v>371</v>
      </c>
      <c r="J48" s="167" t="s">
        <v>371</v>
      </c>
      <c r="K48" s="172" t="n">
        <v>20000</v>
      </c>
      <c r="L48" s="167" t="n">
        <v>0</v>
      </c>
      <c r="M48" s="172" t="n">
        <v>20000</v>
      </c>
      <c r="N48" s="167" t="n">
        <v>0</v>
      </c>
      <c r="O48" s="167" t="n">
        <v>0</v>
      </c>
      <c r="P48" s="167" t="n">
        <v>0</v>
      </c>
      <c r="Q48" s="167" t="s">
        <v>371</v>
      </c>
    </row>
    <row r="49" customFormat="false" ht="38.25" hidden="false" customHeight="false" outlineLevel="0" collapsed="false">
      <c r="B49" s="169"/>
      <c r="C49" s="169" t="s">
        <v>378</v>
      </c>
      <c r="D49" s="169" t="n">
        <v>37556</v>
      </c>
      <c r="E49" s="169" t="s">
        <v>380</v>
      </c>
      <c r="F49" s="169" t="s">
        <v>371</v>
      </c>
      <c r="G49" s="169" t="s">
        <v>371</v>
      </c>
      <c r="H49" s="170" t="n">
        <v>34274</v>
      </c>
      <c r="I49" s="169" t="s">
        <v>371</v>
      </c>
      <c r="J49" s="169" t="s">
        <v>371</v>
      </c>
      <c r="K49" s="171" t="n">
        <v>300000</v>
      </c>
      <c r="L49" s="169" t="n">
        <v>0</v>
      </c>
      <c r="M49" s="171" t="n">
        <v>300000</v>
      </c>
      <c r="N49" s="169" t="n">
        <v>0</v>
      </c>
      <c r="O49" s="169" t="n">
        <v>0</v>
      </c>
      <c r="P49" s="169" t="n">
        <v>0</v>
      </c>
      <c r="Q49" s="169" t="s">
        <v>371</v>
      </c>
    </row>
    <row r="50" customFormat="false" ht="38.25" hidden="false" customHeight="false" outlineLevel="0" collapsed="false">
      <c r="B50" s="167"/>
      <c r="C50" s="167" t="s">
        <v>378</v>
      </c>
      <c r="D50" s="167" t="n">
        <v>37861</v>
      </c>
      <c r="E50" s="167" t="s">
        <v>381</v>
      </c>
      <c r="F50" s="167" t="s">
        <v>371</v>
      </c>
      <c r="G50" s="167" t="s">
        <v>371</v>
      </c>
      <c r="H50" s="168" t="n">
        <v>35582</v>
      </c>
      <c r="I50" s="167" t="s">
        <v>371</v>
      </c>
      <c r="J50" s="167" t="s">
        <v>371</v>
      </c>
      <c r="K50" s="172" t="n">
        <v>15000</v>
      </c>
      <c r="L50" s="167" t="n">
        <v>0</v>
      </c>
      <c r="M50" s="172" t="n">
        <v>15000</v>
      </c>
      <c r="N50" s="167" t="n">
        <v>0</v>
      </c>
      <c r="O50" s="167" t="n">
        <v>0</v>
      </c>
      <c r="P50" s="167" t="n">
        <v>0</v>
      </c>
      <c r="Q50" s="167" t="s">
        <v>371</v>
      </c>
    </row>
    <row r="51" customFormat="false" ht="38.25" hidden="false" customHeight="false" outlineLevel="0" collapsed="false">
      <c r="B51" s="169"/>
      <c r="C51" s="169" t="s">
        <v>378</v>
      </c>
      <c r="D51" s="169" t="n">
        <v>38641</v>
      </c>
      <c r="E51" s="169" t="s">
        <v>382</v>
      </c>
      <c r="F51" s="169" t="s">
        <v>371</v>
      </c>
      <c r="G51" s="169" t="s">
        <v>371</v>
      </c>
      <c r="H51" s="170" t="n">
        <v>34274</v>
      </c>
      <c r="I51" s="169" t="s">
        <v>371</v>
      </c>
      <c r="J51" s="169" t="s">
        <v>371</v>
      </c>
      <c r="K51" s="171" t="n">
        <v>450000</v>
      </c>
      <c r="L51" s="169" t="n">
        <v>0</v>
      </c>
      <c r="M51" s="171" t="n">
        <v>450000</v>
      </c>
      <c r="N51" s="169" t="n">
        <v>0</v>
      </c>
      <c r="O51" s="169" t="n">
        <v>0</v>
      </c>
      <c r="P51" s="169" t="n">
        <v>0</v>
      </c>
      <c r="Q51" s="169" t="s">
        <v>371</v>
      </c>
    </row>
    <row r="52" customFormat="false" ht="38.25" hidden="false" customHeight="false" outlineLevel="0" collapsed="false">
      <c r="B52" s="167"/>
      <c r="C52" s="167" t="s">
        <v>378</v>
      </c>
      <c r="D52" s="167" t="n">
        <v>39229</v>
      </c>
      <c r="E52" s="167" t="s">
        <v>370</v>
      </c>
      <c r="F52" s="167" t="s">
        <v>371</v>
      </c>
      <c r="G52" s="167" t="s">
        <v>371</v>
      </c>
      <c r="H52" s="168" t="n">
        <v>34274</v>
      </c>
      <c r="I52" s="167" t="s">
        <v>371</v>
      </c>
      <c r="J52" s="167" t="s">
        <v>371</v>
      </c>
      <c r="K52" s="167" t="n">
        <v>0</v>
      </c>
      <c r="L52" s="167" t="n">
        <v>0</v>
      </c>
      <c r="M52" s="167" t="n">
        <v>0</v>
      </c>
      <c r="N52" s="167" t="n">
        <v>0</v>
      </c>
      <c r="O52" s="167" t="n">
        <v>0</v>
      </c>
      <c r="P52" s="167" t="n">
        <v>0</v>
      </c>
      <c r="Q52" s="167" t="s">
        <v>371</v>
      </c>
    </row>
    <row r="53" customFormat="false" ht="38.25" hidden="false" customHeight="false" outlineLevel="0" collapsed="false">
      <c r="B53" s="169"/>
      <c r="C53" s="169" t="s">
        <v>378</v>
      </c>
      <c r="D53" s="169" t="n">
        <v>39266</v>
      </c>
      <c r="E53" s="169" t="s">
        <v>329</v>
      </c>
      <c r="F53" s="169" t="s">
        <v>371</v>
      </c>
      <c r="G53" s="169" t="s">
        <v>371</v>
      </c>
      <c r="H53" s="170" t="n">
        <v>34274</v>
      </c>
      <c r="I53" s="169" t="s">
        <v>371</v>
      </c>
      <c r="J53" s="169" t="s">
        <v>371</v>
      </c>
      <c r="K53" s="171" t="n">
        <v>300000</v>
      </c>
      <c r="L53" s="169" t="n">
        <v>0</v>
      </c>
      <c r="M53" s="171" t="n">
        <v>300000</v>
      </c>
      <c r="N53" s="169" t="n">
        <v>0</v>
      </c>
      <c r="O53" s="169" t="n">
        <v>0</v>
      </c>
      <c r="P53" s="169" t="n">
        <v>0</v>
      </c>
      <c r="Q53" s="169" t="s">
        <v>371</v>
      </c>
    </row>
    <row r="54" customFormat="false" ht="38.25" hidden="false" customHeight="false" outlineLevel="0" collapsed="false">
      <c r="B54" s="167"/>
      <c r="C54" s="167" t="s">
        <v>378</v>
      </c>
      <c r="D54" s="167" t="n">
        <v>42789</v>
      </c>
      <c r="E54" s="167" t="s">
        <v>379</v>
      </c>
      <c r="F54" s="167" t="s">
        <v>371</v>
      </c>
      <c r="G54" s="167" t="s">
        <v>371</v>
      </c>
      <c r="H54" s="168" t="n">
        <v>36557</v>
      </c>
      <c r="I54" s="167" t="s">
        <v>371</v>
      </c>
      <c r="J54" s="167" t="s">
        <v>371</v>
      </c>
      <c r="K54" s="172" t="n">
        <v>30000</v>
      </c>
      <c r="L54" s="167" t="n">
        <v>0</v>
      </c>
      <c r="M54" s="172" t="n">
        <v>30000</v>
      </c>
      <c r="N54" s="167" t="n">
        <v>0</v>
      </c>
      <c r="O54" s="167" t="n">
        <v>0</v>
      </c>
      <c r="P54" s="167" t="n">
        <v>0</v>
      </c>
      <c r="Q54" s="167" t="s">
        <v>371</v>
      </c>
    </row>
    <row r="55" customFormat="false" ht="38.25" hidden="false" customHeight="false" outlineLevel="0" collapsed="false">
      <c r="B55" s="169"/>
      <c r="C55" s="169" t="s">
        <v>378</v>
      </c>
      <c r="D55" s="169" t="n">
        <v>50250</v>
      </c>
      <c r="E55" s="169" t="s">
        <v>379</v>
      </c>
      <c r="F55" s="169" t="s">
        <v>371</v>
      </c>
      <c r="G55" s="169" t="s">
        <v>371</v>
      </c>
      <c r="H55" s="170" t="n">
        <v>36557</v>
      </c>
      <c r="I55" s="169" t="s">
        <v>371</v>
      </c>
      <c r="J55" s="169" t="s">
        <v>371</v>
      </c>
      <c r="K55" s="171" t="n">
        <v>20000</v>
      </c>
      <c r="L55" s="169" t="n">
        <v>0</v>
      </c>
      <c r="M55" s="171" t="n">
        <v>20000</v>
      </c>
      <c r="N55" s="169" t="n">
        <v>0</v>
      </c>
      <c r="O55" s="169" t="n">
        <v>0</v>
      </c>
      <c r="P55" s="169" t="n">
        <v>0</v>
      </c>
      <c r="Q55" s="169" t="s">
        <v>371</v>
      </c>
    </row>
    <row r="56" customFormat="false" ht="38.25" hidden="false" customHeight="false" outlineLevel="0" collapsed="false">
      <c r="B56" s="167"/>
      <c r="C56" s="167" t="s">
        <v>378</v>
      </c>
      <c r="D56" s="167" t="n">
        <v>58654</v>
      </c>
      <c r="E56" s="167" t="s">
        <v>381</v>
      </c>
      <c r="F56" s="167" t="s">
        <v>371</v>
      </c>
      <c r="G56" s="167" t="s">
        <v>371</v>
      </c>
      <c r="H56" s="168" t="n">
        <v>36557</v>
      </c>
      <c r="I56" s="167" t="s">
        <v>371</v>
      </c>
      <c r="J56" s="167" t="s">
        <v>371</v>
      </c>
      <c r="K56" s="172" t="n">
        <v>15000</v>
      </c>
      <c r="L56" s="167" t="n">
        <v>0</v>
      </c>
      <c r="M56" s="172" t="n">
        <v>15000</v>
      </c>
      <c r="N56" s="167" t="n">
        <v>0</v>
      </c>
      <c r="O56" s="167" t="n">
        <v>0</v>
      </c>
      <c r="P56" s="167" t="n">
        <v>0</v>
      </c>
      <c r="Q56" s="167" t="s">
        <v>371</v>
      </c>
    </row>
    <row r="57" customFormat="false" ht="38.25" hidden="false" customHeight="false" outlineLevel="0" collapsed="false">
      <c r="B57" s="169"/>
      <c r="C57" s="169" t="s">
        <v>378</v>
      </c>
      <c r="D57" s="169" t="n">
        <v>62408</v>
      </c>
      <c r="E57" s="169" t="s">
        <v>379</v>
      </c>
      <c r="F57" s="169" t="s">
        <v>371</v>
      </c>
      <c r="G57" s="169" t="s">
        <v>371</v>
      </c>
      <c r="H57" s="170" t="n">
        <v>36557</v>
      </c>
      <c r="I57" s="169" t="s">
        <v>371</v>
      </c>
      <c r="J57" s="169" t="s">
        <v>371</v>
      </c>
      <c r="K57" s="171" t="n">
        <v>40000</v>
      </c>
      <c r="L57" s="169" t="n">
        <v>0</v>
      </c>
      <c r="M57" s="171" t="n">
        <v>40000</v>
      </c>
      <c r="N57" s="169" t="n">
        <v>0</v>
      </c>
      <c r="O57" s="169" t="n">
        <v>0</v>
      </c>
      <c r="P57" s="169" t="n">
        <v>0</v>
      </c>
      <c r="Q57" s="169" t="s">
        <v>371</v>
      </c>
    </row>
    <row r="58" customFormat="false" ht="38.25" hidden="false" customHeight="false" outlineLevel="0" collapsed="false">
      <c r="B58" s="167"/>
      <c r="C58" s="167" t="s">
        <v>378</v>
      </c>
      <c r="D58" s="167" t="n">
        <v>63115</v>
      </c>
      <c r="E58" s="167" t="s">
        <v>381</v>
      </c>
      <c r="F58" s="167" t="s">
        <v>371</v>
      </c>
      <c r="G58" s="167" t="s">
        <v>371</v>
      </c>
      <c r="H58" s="168" t="n">
        <v>36557</v>
      </c>
      <c r="I58" s="168" t="n">
        <v>37346</v>
      </c>
      <c r="J58" s="167" t="n">
        <v>24770</v>
      </c>
      <c r="K58" s="172" t="n">
        <v>30000</v>
      </c>
      <c r="L58" s="167" t="n">
        <v>0</v>
      </c>
      <c r="M58" s="172" t="n">
        <v>30000</v>
      </c>
      <c r="N58" s="167" t="n">
        <v>0</v>
      </c>
      <c r="O58" s="167" t="n">
        <v>0</v>
      </c>
      <c r="P58" s="167" t="n">
        <v>0</v>
      </c>
      <c r="Q58" s="167" t="s">
        <v>371</v>
      </c>
    </row>
    <row r="59" customFormat="false" ht="38.25" hidden="false" customHeight="false" outlineLevel="0" collapsed="false">
      <c r="B59" s="169"/>
      <c r="C59" s="169" t="s">
        <v>378</v>
      </c>
      <c r="D59" s="169" t="n">
        <v>63922</v>
      </c>
      <c r="E59" s="169" t="s">
        <v>379</v>
      </c>
      <c r="F59" s="169" t="s">
        <v>371</v>
      </c>
      <c r="G59" s="169" t="s">
        <v>371</v>
      </c>
      <c r="H59" s="170" t="n">
        <v>36557</v>
      </c>
      <c r="I59" s="170" t="n">
        <v>38291</v>
      </c>
      <c r="J59" s="169" t="n">
        <v>25471</v>
      </c>
      <c r="K59" s="171" t="n">
        <v>25654</v>
      </c>
      <c r="L59" s="169" t="n">
        <v>0</v>
      </c>
      <c r="M59" s="171" t="n">
        <v>25654</v>
      </c>
      <c r="N59" s="169" t="n">
        <v>0</v>
      </c>
      <c r="O59" s="169" t="n">
        <v>0</v>
      </c>
      <c r="P59" s="169" t="n">
        <v>0</v>
      </c>
      <c r="Q59" s="169" t="s">
        <v>371</v>
      </c>
    </row>
    <row r="60" customFormat="false" ht="38.25" hidden="false" customHeight="false" outlineLevel="0" collapsed="false">
      <c r="B60" s="167"/>
      <c r="C60" s="167" t="s">
        <v>378</v>
      </c>
      <c r="D60" s="167" t="n">
        <v>64033</v>
      </c>
      <c r="E60" s="167" t="s">
        <v>381</v>
      </c>
      <c r="F60" s="167" t="s">
        <v>371</v>
      </c>
      <c r="G60" s="167" t="s">
        <v>371</v>
      </c>
      <c r="H60" s="168" t="n">
        <v>36557</v>
      </c>
      <c r="I60" s="168" t="n">
        <v>36707</v>
      </c>
      <c r="J60" s="167" t="n">
        <v>25713</v>
      </c>
      <c r="K60" s="167" t="n">
        <v>1</v>
      </c>
      <c r="L60" s="167" t="n">
        <v>0</v>
      </c>
      <c r="M60" s="167" t="n">
        <v>1</v>
      </c>
      <c r="N60" s="167" t="n">
        <v>0</v>
      </c>
      <c r="O60" s="167" t="n">
        <v>0</v>
      </c>
      <c r="P60" s="167" t="n">
        <v>0</v>
      </c>
      <c r="Q60" s="167" t="s">
        <v>371</v>
      </c>
    </row>
    <row r="61" customFormat="false" ht="38.25" hidden="false" customHeight="false" outlineLevel="0" collapsed="false">
      <c r="B61" s="169"/>
      <c r="C61" s="169" t="s">
        <v>378</v>
      </c>
      <c r="D61" s="169" t="n">
        <v>64035</v>
      </c>
      <c r="E61" s="169" t="s">
        <v>381</v>
      </c>
      <c r="F61" s="169" t="s">
        <v>371</v>
      </c>
      <c r="G61" s="169" t="s">
        <v>371</v>
      </c>
      <c r="H61" s="170" t="n">
        <v>36557</v>
      </c>
      <c r="I61" s="170" t="n">
        <v>36707</v>
      </c>
      <c r="J61" s="169" t="n">
        <v>25700</v>
      </c>
      <c r="K61" s="169" t="n">
        <v>931</v>
      </c>
      <c r="L61" s="169" t="n">
        <v>0</v>
      </c>
      <c r="M61" s="169" t="n">
        <v>931</v>
      </c>
      <c r="N61" s="169" t="n">
        <v>0</v>
      </c>
      <c r="O61" s="169" t="n">
        <v>0</v>
      </c>
      <c r="P61" s="169" t="n">
        <v>0</v>
      </c>
      <c r="Q61" s="169" t="s">
        <v>371</v>
      </c>
    </row>
    <row r="62" customFormat="false" ht="38.25" hidden="false" customHeight="false" outlineLevel="0" collapsed="false">
      <c r="B62" s="167"/>
      <c r="C62" s="167" t="s">
        <v>378</v>
      </c>
      <c r="D62" s="167" t="n">
        <v>64332</v>
      </c>
      <c r="E62" s="167" t="s">
        <v>381</v>
      </c>
      <c r="F62" s="167" t="s">
        <v>371</v>
      </c>
      <c r="G62" s="167" t="s">
        <v>371</v>
      </c>
      <c r="H62" s="168" t="n">
        <v>36557</v>
      </c>
      <c r="I62" s="168" t="n">
        <v>36738</v>
      </c>
      <c r="J62" s="167" t="n">
        <v>25966</v>
      </c>
      <c r="K62" s="167" t="n">
        <v>12</v>
      </c>
      <c r="L62" s="167" t="n">
        <v>0</v>
      </c>
      <c r="M62" s="167" t="n">
        <v>12</v>
      </c>
      <c r="N62" s="167" t="n">
        <v>0</v>
      </c>
      <c r="O62" s="167" t="n">
        <v>0</v>
      </c>
      <c r="P62" s="167" t="n">
        <v>0</v>
      </c>
      <c r="Q62" s="167" t="s">
        <v>371</v>
      </c>
    </row>
    <row r="63" customFormat="false" ht="38.25" hidden="false" customHeight="false" outlineLevel="0" collapsed="false">
      <c r="B63" s="169"/>
      <c r="C63" s="169" t="s">
        <v>378</v>
      </c>
      <c r="D63" s="169" t="n">
        <v>64334</v>
      </c>
      <c r="E63" s="169" t="s">
        <v>381</v>
      </c>
      <c r="F63" s="169" t="s">
        <v>371</v>
      </c>
      <c r="G63" s="169" t="s">
        <v>371</v>
      </c>
      <c r="H63" s="170" t="n">
        <v>36557</v>
      </c>
      <c r="I63" s="170" t="n">
        <v>36738</v>
      </c>
      <c r="J63" s="169" t="n">
        <v>25956</v>
      </c>
      <c r="K63" s="169" t="n">
        <v>52</v>
      </c>
      <c r="L63" s="169" t="n">
        <v>0</v>
      </c>
      <c r="M63" s="169" t="n">
        <v>52</v>
      </c>
      <c r="N63" s="169" t="n">
        <v>0</v>
      </c>
      <c r="O63" s="169" t="n">
        <v>0</v>
      </c>
      <c r="P63" s="169" t="n">
        <v>0</v>
      </c>
      <c r="Q63" s="169" t="s">
        <v>371</v>
      </c>
    </row>
    <row r="64" customFormat="false" ht="38.25" hidden="false" customHeight="false" outlineLevel="0" collapsed="false">
      <c r="B64" s="167"/>
      <c r="C64" s="167" t="s">
        <v>378</v>
      </c>
      <c r="D64" s="167" t="n">
        <v>64446</v>
      </c>
      <c r="E64" s="167" t="s">
        <v>381</v>
      </c>
      <c r="F64" s="167" t="s">
        <v>371</v>
      </c>
      <c r="G64" s="167" t="s">
        <v>371</v>
      </c>
      <c r="H64" s="168" t="n">
        <v>36557</v>
      </c>
      <c r="I64" s="168" t="n">
        <v>36738</v>
      </c>
      <c r="J64" s="167" t="n">
        <v>26081</v>
      </c>
      <c r="K64" s="167" t="n">
        <v>142</v>
      </c>
      <c r="L64" s="167" t="n">
        <v>0</v>
      </c>
      <c r="M64" s="167" t="n">
        <v>142</v>
      </c>
      <c r="N64" s="167" t="n">
        <v>0</v>
      </c>
      <c r="O64" s="167" t="n">
        <v>0</v>
      </c>
      <c r="P64" s="167" t="n">
        <v>0</v>
      </c>
      <c r="Q64" s="167" t="s">
        <v>371</v>
      </c>
    </row>
    <row r="65" customFormat="false" ht="38.25" hidden="false" customHeight="false" outlineLevel="0" collapsed="false">
      <c r="B65" s="169"/>
      <c r="C65" s="169" t="s">
        <v>378</v>
      </c>
      <c r="D65" s="169" t="n">
        <v>64502</v>
      </c>
      <c r="E65" s="169" t="s">
        <v>379</v>
      </c>
      <c r="F65" s="169" t="s">
        <v>371</v>
      </c>
      <c r="G65" s="169" t="s">
        <v>371</v>
      </c>
      <c r="H65" s="170" t="n">
        <v>36557</v>
      </c>
      <c r="I65" s="169" t="s">
        <v>371</v>
      </c>
      <c r="J65" s="169" t="s">
        <v>371</v>
      </c>
      <c r="K65" s="171" t="n">
        <v>29000</v>
      </c>
      <c r="L65" s="169" t="n">
        <v>0</v>
      </c>
      <c r="M65" s="171" t="n">
        <v>29000</v>
      </c>
      <c r="N65" s="169" t="n">
        <v>0</v>
      </c>
      <c r="O65" s="169" t="n">
        <v>0</v>
      </c>
      <c r="P65" s="169" t="n">
        <v>0</v>
      </c>
      <c r="Q65" s="169"/>
    </row>
    <row r="66" customFormat="false" ht="38.25" hidden="false" customHeight="false" outlineLevel="0" collapsed="false">
      <c r="B66" s="167"/>
      <c r="C66" s="167" t="s">
        <v>378</v>
      </c>
      <c r="D66" s="167" t="n">
        <v>64652</v>
      </c>
      <c r="E66" s="167" t="s">
        <v>381</v>
      </c>
      <c r="F66" s="167" t="s">
        <v>371</v>
      </c>
      <c r="G66" s="167" t="s">
        <v>371</v>
      </c>
      <c r="H66" s="168" t="n">
        <v>36557</v>
      </c>
      <c r="I66" s="168" t="n">
        <v>36769</v>
      </c>
      <c r="J66" s="167" t="n">
        <v>26151</v>
      </c>
      <c r="K66" s="167" t="n">
        <v>65</v>
      </c>
      <c r="L66" s="167" t="n">
        <v>0</v>
      </c>
      <c r="M66" s="167" t="n">
        <v>65</v>
      </c>
      <c r="N66" s="167" t="n">
        <v>0</v>
      </c>
      <c r="O66" s="167" t="n">
        <v>0</v>
      </c>
      <c r="P66" s="167" t="n">
        <v>0</v>
      </c>
      <c r="Q66" s="167" t="s">
        <v>371</v>
      </c>
    </row>
    <row r="67" customFormat="false" ht="38.25" hidden="false" customHeight="false" outlineLevel="0" collapsed="false">
      <c r="B67" s="169"/>
      <c r="C67" s="169" t="s">
        <v>378</v>
      </c>
      <c r="D67" s="169" t="n">
        <v>64863</v>
      </c>
      <c r="E67" s="169" t="s">
        <v>381</v>
      </c>
      <c r="F67" s="169" t="s">
        <v>371</v>
      </c>
      <c r="G67" s="169" t="s">
        <v>371</v>
      </c>
      <c r="H67" s="170" t="n">
        <v>36557</v>
      </c>
      <c r="I67" s="170" t="n">
        <v>36799</v>
      </c>
      <c r="J67" s="169" t="n">
        <v>26504</v>
      </c>
      <c r="K67" s="169" t="n">
        <v>13</v>
      </c>
      <c r="L67" s="169" t="n">
        <v>0</v>
      </c>
      <c r="M67" s="169" t="n">
        <v>13</v>
      </c>
      <c r="N67" s="169" t="n">
        <v>0</v>
      </c>
      <c r="O67" s="169" t="n">
        <v>0</v>
      </c>
      <c r="P67" s="169" t="n">
        <v>0</v>
      </c>
      <c r="Q67" s="169" t="s">
        <v>371</v>
      </c>
    </row>
    <row r="68" customFormat="false" ht="38.25" hidden="false" customHeight="false" outlineLevel="0" collapsed="false">
      <c r="B68" s="167"/>
      <c r="C68" s="167" t="s">
        <v>378</v>
      </c>
      <c r="D68" s="167" t="n">
        <v>64937</v>
      </c>
      <c r="E68" s="167" t="s">
        <v>379</v>
      </c>
      <c r="F68" s="167" t="s">
        <v>371</v>
      </c>
      <c r="G68" s="167" t="s">
        <v>371</v>
      </c>
      <c r="H68" s="168" t="n">
        <v>36434</v>
      </c>
      <c r="I68" s="167" t="s">
        <v>371</v>
      </c>
      <c r="J68" s="167" t="s">
        <v>371</v>
      </c>
      <c r="K68" s="172" t="n">
        <v>10000</v>
      </c>
      <c r="L68" s="167" t="n">
        <v>0</v>
      </c>
      <c r="M68" s="172" t="n">
        <v>10000</v>
      </c>
      <c r="N68" s="167" t="n">
        <v>0</v>
      </c>
      <c r="O68" s="167" t="n">
        <v>0</v>
      </c>
      <c r="P68" s="167" t="n">
        <v>0</v>
      </c>
      <c r="Q68" s="167" t="s">
        <v>371</v>
      </c>
    </row>
    <row r="69" customFormat="false" ht="38.25" hidden="false" customHeight="false" outlineLevel="0" collapsed="false">
      <c r="B69" s="169"/>
      <c r="C69" s="169" t="s">
        <v>378</v>
      </c>
      <c r="D69" s="169" t="n">
        <v>65027</v>
      </c>
      <c r="E69" s="169" t="s">
        <v>381</v>
      </c>
      <c r="F69" s="169" t="s">
        <v>371</v>
      </c>
      <c r="G69" s="169" t="s">
        <v>371</v>
      </c>
      <c r="H69" s="170" t="n">
        <v>36557</v>
      </c>
      <c r="I69" s="170" t="n">
        <v>36830</v>
      </c>
      <c r="J69" s="169" t="n">
        <v>26727</v>
      </c>
      <c r="K69" s="169" t="n">
        <v>131</v>
      </c>
      <c r="L69" s="169" t="n">
        <v>0</v>
      </c>
      <c r="M69" s="169" t="n">
        <v>131</v>
      </c>
      <c r="N69" s="169" t="n">
        <v>0</v>
      </c>
      <c r="O69" s="169" t="n">
        <v>0</v>
      </c>
      <c r="P69" s="169" t="n">
        <v>0</v>
      </c>
      <c r="Q69" s="169" t="s">
        <v>371</v>
      </c>
    </row>
    <row r="70" customFormat="false" ht="38.25" hidden="false" customHeight="false" outlineLevel="0" collapsed="false">
      <c r="B70" s="167"/>
      <c r="C70" s="167" t="s">
        <v>378</v>
      </c>
      <c r="D70" s="167" t="n">
        <v>65072</v>
      </c>
      <c r="E70" s="167" t="s">
        <v>381</v>
      </c>
      <c r="F70" s="167" t="s">
        <v>371</v>
      </c>
      <c r="G70" s="167" t="s">
        <v>371</v>
      </c>
      <c r="H70" s="168" t="n">
        <v>36617</v>
      </c>
      <c r="I70" s="168" t="n">
        <v>36830</v>
      </c>
      <c r="J70" s="167" t="n">
        <v>26785</v>
      </c>
      <c r="K70" s="172" t="n">
        <v>7391</v>
      </c>
      <c r="L70" s="167" t="n">
        <v>0</v>
      </c>
      <c r="M70" s="172" t="n">
        <v>6987</v>
      </c>
      <c r="N70" s="167" t="n">
        <v>404</v>
      </c>
      <c r="O70" s="167" t="n">
        <v>0</v>
      </c>
      <c r="P70" s="167" t="n">
        <v>0</v>
      </c>
      <c r="Q70" s="167" t="s">
        <v>371</v>
      </c>
    </row>
    <row r="71" customFormat="false" ht="38.25" hidden="false" customHeight="false" outlineLevel="0" collapsed="false">
      <c r="B71" s="169"/>
      <c r="C71" s="169" t="s">
        <v>378</v>
      </c>
      <c r="D71" s="169" t="n">
        <v>65557</v>
      </c>
      <c r="E71" s="169" t="s">
        <v>381</v>
      </c>
      <c r="F71" s="169" t="s">
        <v>371</v>
      </c>
      <c r="G71" s="169" t="s">
        <v>371</v>
      </c>
      <c r="H71" s="170" t="n">
        <v>36557</v>
      </c>
      <c r="I71" s="170" t="n">
        <v>36860</v>
      </c>
      <c r="J71" s="169" t="n">
        <v>27128</v>
      </c>
      <c r="K71" s="169" t="n">
        <v>3</v>
      </c>
      <c r="L71" s="169" t="n">
        <v>0</v>
      </c>
      <c r="M71" s="169" t="n">
        <v>3</v>
      </c>
      <c r="N71" s="169" t="n">
        <v>0</v>
      </c>
      <c r="O71" s="169" t="n">
        <v>0</v>
      </c>
      <c r="P71" s="169" t="n">
        <v>0</v>
      </c>
      <c r="Q71" s="169" t="s">
        <v>371</v>
      </c>
    </row>
    <row r="72" customFormat="false" ht="38.25" hidden="false" customHeight="false" outlineLevel="0" collapsed="false">
      <c r="B72" s="167"/>
      <c r="C72" s="167" t="s">
        <v>378</v>
      </c>
      <c r="D72" s="167" t="n">
        <v>66283</v>
      </c>
      <c r="E72" s="167" t="s">
        <v>381</v>
      </c>
      <c r="F72" s="167" t="s">
        <v>371</v>
      </c>
      <c r="G72" s="167" t="s">
        <v>371</v>
      </c>
      <c r="H72" s="168" t="n">
        <v>36557</v>
      </c>
      <c r="I72" s="168" t="n">
        <v>36922</v>
      </c>
      <c r="J72" s="167" t="n">
        <v>27775</v>
      </c>
      <c r="K72" s="167" t="n">
        <v>5</v>
      </c>
      <c r="L72" s="167" t="n">
        <v>0</v>
      </c>
      <c r="M72" s="167" t="n">
        <v>5</v>
      </c>
      <c r="N72" s="167" t="n">
        <v>0</v>
      </c>
      <c r="O72" s="167" t="n">
        <v>0</v>
      </c>
      <c r="P72" s="167" t="n">
        <v>0</v>
      </c>
      <c r="Q72" s="167" t="s">
        <v>371</v>
      </c>
    </row>
    <row r="73" customFormat="false" ht="38.25" hidden="false" customHeight="false" outlineLevel="0" collapsed="false">
      <c r="B73" s="169"/>
      <c r="C73" s="169" t="s">
        <v>378</v>
      </c>
      <c r="D73" s="169" t="n">
        <v>66941</v>
      </c>
      <c r="E73" s="169" t="s">
        <v>381</v>
      </c>
      <c r="F73" s="169" t="s">
        <v>371</v>
      </c>
      <c r="G73" s="169" t="s">
        <v>371</v>
      </c>
      <c r="H73" s="170" t="n">
        <v>36617</v>
      </c>
      <c r="I73" s="170" t="n">
        <v>36981</v>
      </c>
      <c r="J73" s="169" t="n">
        <v>28330</v>
      </c>
      <c r="K73" s="169" t="n">
        <v>53</v>
      </c>
      <c r="L73" s="169" t="n">
        <v>0</v>
      </c>
      <c r="M73" s="169" t="n">
        <v>53</v>
      </c>
      <c r="N73" s="169" t="n">
        <v>0</v>
      </c>
      <c r="O73" s="169" t="n">
        <v>0</v>
      </c>
      <c r="P73" s="169" t="n">
        <v>0</v>
      </c>
      <c r="Q73" s="169" t="s">
        <v>371</v>
      </c>
    </row>
    <row r="74" customFormat="false" ht="38.25" hidden="false" customHeight="false" outlineLevel="0" collapsed="false">
      <c r="B74" s="167"/>
      <c r="C74" s="167" t="s">
        <v>378</v>
      </c>
      <c r="D74" s="167" t="n">
        <v>66973</v>
      </c>
      <c r="E74" s="167" t="s">
        <v>379</v>
      </c>
      <c r="F74" s="167" t="s">
        <v>371</v>
      </c>
      <c r="G74" s="167" t="s">
        <v>371</v>
      </c>
      <c r="H74" s="168" t="n">
        <v>36678</v>
      </c>
      <c r="I74" s="168" t="n">
        <v>36981</v>
      </c>
      <c r="J74" s="167" t="s">
        <v>371</v>
      </c>
      <c r="K74" s="172" t="n">
        <v>10000</v>
      </c>
      <c r="L74" s="167" t="n">
        <v>0</v>
      </c>
      <c r="M74" s="172" t="n">
        <v>10000</v>
      </c>
      <c r="N74" s="167" t="n">
        <v>0</v>
      </c>
      <c r="O74" s="167" t="n">
        <v>0</v>
      </c>
      <c r="P74" s="167" t="n">
        <v>0</v>
      </c>
      <c r="Q74" s="167" t="s">
        <v>371</v>
      </c>
    </row>
    <row r="75" customFormat="false" ht="38.25" hidden="false" customHeight="false" outlineLevel="0" collapsed="false">
      <c r="B75" s="169"/>
      <c r="C75" s="169" t="s">
        <v>378</v>
      </c>
      <c r="D75" s="169" t="n">
        <v>68281</v>
      </c>
      <c r="E75" s="169" t="s">
        <v>381</v>
      </c>
      <c r="F75" s="169" t="s">
        <v>371</v>
      </c>
      <c r="G75" s="169" t="s">
        <v>371</v>
      </c>
      <c r="H75" s="170" t="n">
        <v>36647</v>
      </c>
      <c r="I75" s="170" t="n">
        <v>37011</v>
      </c>
      <c r="J75" s="169" t="n">
        <v>28632</v>
      </c>
      <c r="K75" s="169" t="n">
        <v>21</v>
      </c>
      <c r="L75" s="169" t="n">
        <v>0</v>
      </c>
      <c r="M75" s="169" t="n">
        <v>21</v>
      </c>
      <c r="N75" s="169" t="n">
        <v>0</v>
      </c>
      <c r="O75" s="169" t="n">
        <v>0</v>
      </c>
      <c r="P75" s="169" t="n">
        <v>0</v>
      </c>
      <c r="Q75" s="169"/>
    </row>
    <row r="76" customFormat="false" ht="38.25" hidden="false" customHeight="false" outlineLevel="0" collapsed="false">
      <c r="B76" s="167"/>
      <c r="C76" s="167" t="s">
        <v>378</v>
      </c>
      <c r="D76" s="167" t="n">
        <v>68309</v>
      </c>
      <c r="E76" s="167" t="s">
        <v>381</v>
      </c>
      <c r="F76" s="167" t="s">
        <v>371</v>
      </c>
      <c r="G76" s="167" t="s">
        <v>371</v>
      </c>
      <c r="H76" s="168" t="n">
        <v>36656</v>
      </c>
      <c r="I76" s="168" t="n">
        <v>36950</v>
      </c>
      <c r="J76" s="167" t="n">
        <v>28865</v>
      </c>
      <c r="K76" s="167" t="n">
        <v>9</v>
      </c>
      <c r="L76" s="167" t="n">
        <v>0</v>
      </c>
      <c r="M76" s="167" t="n">
        <v>9</v>
      </c>
      <c r="N76" s="167" t="n">
        <v>0</v>
      </c>
      <c r="O76" s="167" t="n">
        <v>0</v>
      </c>
      <c r="P76" s="167" t="n">
        <v>0</v>
      </c>
      <c r="Q76" s="167" t="s">
        <v>371</v>
      </c>
    </row>
    <row r="77" customFormat="false" ht="38.25" hidden="false" customHeight="false" outlineLevel="0" collapsed="false">
      <c r="B77" s="169"/>
      <c r="C77" s="169" t="s">
        <v>378</v>
      </c>
      <c r="D77" s="169" t="n">
        <v>68360</v>
      </c>
      <c r="E77" s="169" t="s">
        <v>381</v>
      </c>
      <c r="F77" s="169" t="s">
        <v>371</v>
      </c>
      <c r="G77" s="169" t="s">
        <v>371</v>
      </c>
      <c r="H77" s="170" t="n">
        <v>36678</v>
      </c>
      <c r="I77" s="170" t="n">
        <v>37042</v>
      </c>
      <c r="J77" s="169" t="n">
        <v>28934</v>
      </c>
      <c r="K77" s="169" t="n">
        <v>291</v>
      </c>
      <c r="L77" s="169" t="n">
        <v>0</v>
      </c>
      <c r="M77" s="169" t="n">
        <v>291</v>
      </c>
      <c r="N77" s="169" t="n">
        <v>0</v>
      </c>
      <c r="O77" s="169" t="n">
        <v>0</v>
      </c>
      <c r="P77" s="169" t="n">
        <v>0</v>
      </c>
      <c r="Q77" s="169" t="s">
        <v>371</v>
      </c>
    </row>
    <row r="78" customFormat="false" ht="38.25" hidden="false" customHeight="false" outlineLevel="0" collapsed="false">
      <c r="B78" s="167"/>
      <c r="C78" s="167" t="s">
        <v>378</v>
      </c>
      <c r="D78" s="167" t="n">
        <v>68385</v>
      </c>
      <c r="E78" s="167" t="s">
        <v>381</v>
      </c>
      <c r="F78" s="167" t="s">
        <v>371</v>
      </c>
      <c r="G78" s="167" t="s">
        <v>371</v>
      </c>
      <c r="H78" s="168" t="n">
        <v>36678</v>
      </c>
      <c r="I78" s="168" t="n">
        <v>37042</v>
      </c>
      <c r="J78" s="167" t="n">
        <v>28963</v>
      </c>
      <c r="K78" s="167" t="n">
        <v>223</v>
      </c>
      <c r="L78" s="167" t="n">
        <v>0</v>
      </c>
      <c r="M78" s="167" t="n">
        <v>223</v>
      </c>
      <c r="N78" s="167" t="n">
        <v>0</v>
      </c>
      <c r="O78" s="167" t="n">
        <v>0</v>
      </c>
      <c r="P78" s="167" t="n">
        <v>0</v>
      </c>
      <c r="Q78" s="167" t="s">
        <v>371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3" activeCellId="0" sqref="F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44" width="9.14"/>
    <col collapsed="false" customWidth="true" hidden="true" outlineLevel="0" max="4" min="4" style="44" width="9.06"/>
    <col collapsed="false" customWidth="false" hidden="false" outlineLevel="0" max="10" min="5" style="44" width="9.14"/>
    <col collapsed="false" customWidth="true" hidden="true" outlineLevel="0" max="16" min="11" style="44" width="9.06"/>
    <col collapsed="false" customWidth="false" hidden="false" outlineLevel="0" max="257" min="17" style="44" width="9.14"/>
  </cols>
  <sheetData>
    <row r="1" customFormat="false" ht="12.75" hidden="false" customHeight="false" outlineLevel="0" collapsed="false">
      <c r="J1" s="44" t="n">
        <v>30</v>
      </c>
    </row>
    <row r="3" customFormat="false" ht="12.75" hidden="false" customHeight="false" outlineLevel="0" collapsed="false">
      <c r="B3" s="74" t="s">
        <v>166</v>
      </c>
      <c r="C3" s="75" t="s">
        <v>167</v>
      </c>
      <c r="D3" s="75" t="s">
        <v>168</v>
      </c>
      <c r="E3" s="76" t="s">
        <v>169</v>
      </c>
      <c r="F3" s="76"/>
      <c r="G3" s="74" t="s">
        <v>170</v>
      </c>
      <c r="H3" s="74" t="s">
        <v>171</v>
      </c>
      <c r="I3" s="75" t="s">
        <v>172</v>
      </c>
      <c r="J3" s="77" t="s">
        <v>173</v>
      </c>
      <c r="K3" s="75" t="s">
        <v>174</v>
      </c>
      <c r="L3" s="75" t="s">
        <v>175</v>
      </c>
      <c r="M3" s="75" t="s">
        <v>176</v>
      </c>
      <c r="N3" s="75" t="s">
        <v>177</v>
      </c>
      <c r="O3" s="78" t="s">
        <v>178</v>
      </c>
      <c r="P3" s="75" t="s">
        <v>179</v>
      </c>
      <c r="Q3" s="79" t="s">
        <v>180</v>
      </c>
      <c r="R3" s="75" t="s">
        <v>181</v>
      </c>
      <c r="S3" s="74" t="s">
        <v>182</v>
      </c>
      <c r="T3" s="80" t="s">
        <v>183</v>
      </c>
      <c r="U3" s="80" t="s">
        <v>184</v>
      </c>
      <c r="V3" s="81" t="s">
        <v>185</v>
      </c>
      <c r="W3" s="82" t="e">
        <f aca="false">+#REF!</f>
        <v>#REF!</v>
      </c>
      <c r="X3" s="83"/>
      <c r="Y3" s="83"/>
    </row>
    <row r="4" customFormat="false" ht="12.75" hidden="false" customHeight="false" outlineLevel="0" collapsed="false">
      <c r="A4" s="96"/>
      <c r="B4" s="57" t="s">
        <v>186</v>
      </c>
      <c r="C4" s="55" t="s">
        <v>273</v>
      </c>
      <c r="D4" s="55" t="s">
        <v>274</v>
      </c>
      <c r="E4" s="56" t="n">
        <v>36617</v>
      </c>
      <c r="F4" s="56" t="n">
        <v>36830</v>
      </c>
      <c r="G4" s="57" t="s">
        <v>275</v>
      </c>
      <c r="H4" s="57" t="s">
        <v>209</v>
      </c>
      <c r="I4" s="55" t="s">
        <v>276</v>
      </c>
      <c r="J4" s="69" t="e">
        <f aca="false">6.238/#REF!</f>
        <v>#REF!</v>
      </c>
      <c r="K4" s="60" t="n">
        <v>0</v>
      </c>
      <c r="L4" s="60" t="n">
        <v>0</v>
      </c>
      <c r="M4" s="60" t="n">
        <v>0</v>
      </c>
      <c r="N4" s="60" t="n">
        <v>0</v>
      </c>
      <c r="O4" s="61" t="n">
        <v>0</v>
      </c>
      <c r="P4" s="60" t="e">
        <f aca="false">SUM(J4:N4)</f>
        <v>#REF!</v>
      </c>
      <c r="Q4" s="62" t="n">
        <v>51407</v>
      </c>
      <c r="R4" s="55" t="n">
        <v>73754</v>
      </c>
      <c r="S4" s="57" t="s">
        <v>277</v>
      </c>
      <c r="T4" s="97"/>
      <c r="U4" s="97"/>
      <c r="V4" s="98" t="n">
        <v>156569</v>
      </c>
      <c r="W4" s="57"/>
      <c r="X4" s="83"/>
      <c r="Y4" s="83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customFormat="false" ht="12.75" hidden="false" customHeight="false" outlineLevel="0" collapsed="false">
      <c r="A5" s="96"/>
      <c r="B5" s="57" t="s">
        <v>186</v>
      </c>
      <c r="C5" s="55" t="s">
        <v>273</v>
      </c>
      <c r="D5" s="55" t="s">
        <v>274</v>
      </c>
      <c r="E5" s="56" t="n">
        <v>36617</v>
      </c>
      <c r="F5" s="56" t="n">
        <v>36830</v>
      </c>
      <c r="G5" s="57" t="s">
        <v>275</v>
      </c>
      <c r="H5" s="57" t="s">
        <v>211</v>
      </c>
      <c r="I5" s="55" t="s">
        <v>276</v>
      </c>
      <c r="J5" s="69" t="e">
        <f aca="false">1.512/#REF!</f>
        <v>#REF!</v>
      </c>
      <c r="K5" s="60" t="n">
        <v>0</v>
      </c>
      <c r="L5" s="60" t="n">
        <v>0</v>
      </c>
      <c r="M5" s="60" t="n">
        <v>0</v>
      </c>
      <c r="N5" s="60" t="n">
        <v>0</v>
      </c>
      <c r="O5" s="61" t="n">
        <v>0</v>
      </c>
      <c r="P5" s="60" t="e">
        <f aca="false">SUM(J5:N5)</f>
        <v>#REF!</v>
      </c>
      <c r="Q5" s="62" t="n">
        <v>51407</v>
      </c>
      <c r="R5" s="55" t="n">
        <v>73754</v>
      </c>
      <c r="S5" s="57" t="s">
        <v>277</v>
      </c>
      <c r="T5" s="97"/>
      <c r="U5" s="97"/>
      <c r="V5" s="98" t="n">
        <v>156569</v>
      </c>
      <c r="W5" s="57"/>
      <c r="X5" s="83"/>
      <c r="Y5" s="83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customFormat="false" ht="12.75" hidden="false" customHeight="false" outlineLevel="0" collapsed="false">
      <c r="A6" s="96"/>
      <c r="B6" s="57" t="s">
        <v>186</v>
      </c>
      <c r="C6" s="55" t="s">
        <v>273</v>
      </c>
      <c r="D6" s="55"/>
      <c r="E6" s="56" t="n">
        <v>36100</v>
      </c>
      <c r="F6" s="56" t="n">
        <v>36830</v>
      </c>
      <c r="G6" s="57" t="s">
        <v>278</v>
      </c>
      <c r="H6" s="57" t="s">
        <v>279</v>
      </c>
      <c r="I6" s="55" t="s">
        <v>111</v>
      </c>
      <c r="J6" s="69" t="n">
        <f aca="false">4.56/J$1</f>
        <v>0.152</v>
      </c>
      <c r="K6" s="60" t="n">
        <v>0.0132</v>
      </c>
      <c r="L6" s="60" t="n">
        <v>0.0022</v>
      </c>
      <c r="M6" s="60" t="n">
        <v>0.0072</v>
      </c>
      <c r="N6" s="60" t="n">
        <v>0</v>
      </c>
      <c r="O6" s="61" t="n">
        <v>0.02116</v>
      </c>
      <c r="P6" s="60" t="n">
        <f aca="false">SUM(J6:N6)</f>
        <v>0.1746</v>
      </c>
      <c r="Q6" s="62" t="n">
        <v>61822</v>
      </c>
      <c r="R6" s="55" t="n">
        <v>4000</v>
      </c>
      <c r="S6" s="57" t="s">
        <v>280</v>
      </c>
      <c r="T6" s="97" t="n">
        <f aca="false">J6*J$1*R6</f>
        <v>18240</v>
      </c>
      <c r="U6" s="97"/>
      <c r="V6" s="98" t="n">
        <v>162284</v>
      </c>
      <c r="W6" s="57"/>
      <c r="X6" s="83"/>
      <c r="Y6" s="83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customFormat="false" ht="12.75" hidden="false" customHeight="false" outlineLevel="0" collapsed="false">
      <c r="A7" s="96"/>
      <c r="B7" s="57"/>
      <c r="C7" s="55"/>
      <c r="D7" s="55"/>
      <c r="E7" s="56"/>
      <c r="F7" s="56"/>
      <c r="G7" s="57"/>
      <c r="H7" s="57"/>
      <c r="I7" s="55"/>
      <c r="J7" s="69"/>
      <c r="K7" s="60"/>
      <c r="L7" s="60"/>
      <c r="M7" s="60"/>
      <c r="N7" s="60"/>
      <c r="O7" s="61"/>
      <c r="P7" s="60"/>
      <c r="Q7" s="62"/>
      <c r="R7" s="55"/>
      <c r="S7" s="57"/>
      <c r="T7" s="97"/>
      <c r="U7" s="97"/>
      <c r="V7" s="98"/>
      <c r="W7" s="57"/>
      <c r="X7" s="83"/>
      <c r="Y7" s="83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customFormat="false" ht="12.75" hidden="false" customHeight="false" outlineLevel="0" collapsed="false">
      <c r="A8" s="173"/>
      <c r="B8" s="174" t="s">
        <v>186</v>
      </c>
      <c r="C8" s="175" t="s">
        <v>273</v>
      </c>
      <c r="D8" s="175" t="s">
        <v>281</v>
      </c>
      <c r="E8" s="176" t="n">
        <v>36526</v>
      </c>
      <c r="F8" s="176" t="n">
        <v>36830</v>
      </c>
      <c r="G8" s="174" t="s">
        <v>282</v>
      </c>
      <c r="H8" s="174" t="s">
        <v>283</v>
      </c>
      <c r="I8" s="175" t="s">
        <v>111</v>
      </c>
      <c r="J8" s="177" t="n">
        <f aca="false">4.56/J$1</f>
        <v>0.152</v>
      </c>
      <c r="K8" s="178" t="n">
        <v>0.0132</v>
      </c>
      <c r="L8" s="178" t="n">
        <v>0.0022</v>
      </c>
      <c r="M8" s="178" t="n">
        <v>0.0075</v>
      </c>
      <c r="N8" s="178" t="n">
        <v>0</v>
      </c>
      <c r="O8" s="179" t="n">
        <v>0.02116</v>
      </c>
      <c r="P8" s="178" t="n">
        <f aca="false">SUM(J8:N8)</f>
        <v>0.1749</v>
      </c>
      <c r="Q8" s="180" t="n">
        <v>61825</v>
      </c>
      <c r="R8" s="175" t="n">
        <v>2000</v>
      </c>
      <c r="S8" s="174" t="s">
        <v>284</v>
      </c>
      <c r="T8" s="181" t="n">
        <f aca="false">J8*J$1*R8</f>
        <v>9120</v>
      </c>
      <c r="U8" s="181"/>
      <c r="V8" s="182" t="n">
        <v>156570</v>
      </c>
      <c r="W8" s="181"/>
      <c r="X8" s="183"/>
      <c r="Y8" s="18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  <c r="IQ8" s="173"/>
      <c r="IR8" s="173"/>
      <c r="IS8" s="173"/>
      <c r="IT8" s="173"/>
      <c r="IU8" s="173"/>
      <c r="IV8" s="173"/>
      <c r="IW8" s="173"/>
    </row>
    <row r="9" customFormat="false" ht="12.75" hidden="false" customHeight="false" outlineLevel="0" collapsed="false">
      <c r="A9" s="173"/>
      <c r="B9" s="174" t="s">
        <v>186</v>
      </c>
      <c r="C9" s="175" t="s">
        <v>273</v>
      </c>
      <c r="D9" s="175" t="s">
        <v>281</v>
      </c>
      <c r="E9" s="176" t="n">
        <v>36526</v>
      </c>
      <c r="F9" s="176" t="n">
        <v>36830</v>
      </c>
      <c r="G9" s="174" t="s">
        <v>285</v>
      </c>
      <c r="H9" s="174" t="s">
        <v>283</v>
      </c>
      <c r="I9" s="175" t="s">
        <v>111</v>
      </c>
      <c r="J9" s="177" t="n">
        <f aca="false">4.56/J$1</f>
        <v>0.152</v>
      </c>
      <c r="K9" s="178" t="n">
        <v>0.0132</v>
      </c>
      <c r="L9" s="178" t="n">
        <v>0.0022</v>
      </c>
      <c r="M9" s="178" t="n">
        <v>0.0075</v>
      </c>
      <c r="N9" s="178" t="n">
        <v>0</v>
      </c>
      <c r="O9" s="179" t="n">
        <v>0.02116</v>
      </c>
      <c r="P9" s="178" t="n">
        <f aca="false">SUM(J9:N9)</f>
        <v>0.1749</v>
      </c>
      <c r="Q9" s="180" t="n">
        <v>61825</v>
      </c>
      <c r="R9" s="175" t="n">
        <v>5000</v>
      </c>
      <c r="S9" s="174" t="s">
        <v>284</v>
      </c>
      <c r="T9" s="181" t="n">
        <f aca="false">J9*J$1*R9</f>
        <v>22800</v>
      </c>
      <c r="U9" s="181"/>
      <c r="V9" s="182" t="n">
        <v>156570</v>
      </c>
      <c r="W9" s="181"/>
      <c r="X9" s="183"/>
      <c r="Y9" s="18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  <c r="IW9" s="173"/>
    </row>
    <row r="10" customFormat="false" ht="12.75" hidden="false" customHeight="false" outlineLevel="0" collapsed="false">
      <c r="A10" s="173"/>
      <c r="B10" s="174" t="s">
        <v>186</v>
      </c>
      <c r="C10" s="175" t="s">
        <v>273</v>
      </c>
      <c r="D10" s="175" t="s">
        <v>281</v>
      </c>
      <c r="E10" s="176" t="n">
        <v>36526</v>
      </c>
      <c r="F10" s="176" t="n">
        <v>36830</v>
      </c>
      <c r="G10" s="174" t="s">
        <v>286</v>
      </c>
      <c r="H10" s="174" t="s">
        <v>283</v>
      </c>
      <c r="I10" s="175" t="s">
        <v>111</v>
      </c>
      <c r="J10" s="177" t="n">
        <f aca="false">4.56/J$1</f>
        <v>0.152</v>
      </c>
      <c r="K10" s="178" t="n">
        <v>0.0132</v>
      </c>
      <c r="L10" s="178" t="n">
        <v>0.0022</v>
      </c>
      <c r="M10" s="178" t="n">
        <v>0.0075</v>
      </c>
      <c r="N10" s="178" t="n">
        <v>0</v>
      </c>
      <c r="O10" s="179" t="n">
        <v>0.02116</v>
      </c>
      <c r="P10" s="178" t="n">
        <f aca="false">SUM(J10:N10)</f>
        <v>0.1749</v>
      </c>
      <c r="Q10" s="180" t="n">
        <v>61825</v>
      </c>
      <c r="R10" s="175" t="n">
        <v>1000</v>
      </c>
      <c r="S10" s="174" t="s">
        <v>284</v>
      </c>
      <c r="T10" s="181" t="n">
        <f aca="false">J10*J$1*R10</f>
        <v>4560</v>
      </c>
      <c r="U10" s="181"/>
      <c r="V10" s="182" t="n">
        <v>156570</v>
      </c>
      <c r="W10" s="181"/>
      <c r="X10" s="183"/>
      <c r="Y10" s="18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  <c r="IW10" s="173"/>
    </row>
    <row r="11" customFormat="false" ht="12.75" hidden="false" customHeight="false" outlineLevel="0" collapsed="false">
      <c r="A11" s="184"/>
      <c r="B11" s="185" t="s">
        <v>186</v>
      </c>
      <c r="C11" s="186" t="s">
        <v>273</v>
      </c>
      <c r="D11" s="186" t="s">
        <v>281</v>
      </c>
      <c r="E11" s="187" t="n">
        <v>36831</v>
      </c>
      <c r="F11" s="187" t="n">
        <v>37195</v>
      </c>
      <c r="G11" s="185" t="s">
        <v>282</v>
      </c>
      <c r="H11" s="185" t="s">
        <v>383</v>
      </c>
      <c r="I11" s="186" t="s">
        <v>111</v>
      </c>
      <c r="J11" s="188" t="n">
        <f aca="false">4.56/J$1</f>
        <v>0.152</v>
      </c>
      <c r="K11" s="189" t="n">
        <v>0.0132</v>
      </c>
      <c r="L11" s="189" t="n">
        <v>0.0022</v>
      </c>
      <c r="M11" s="189" t="n">
        <v>0.0075</v>
      </c>
      <c r="N11" s="189" t="n">
        <v>0</v>
      </c>
      <c r="O11" s="190" t="n">
        <v>0.02116</v>
      </c>
      <c r="P11" s="189" t="n">
        <f aca="false">SUM(J11:N11)</f>
        <v>0.1749</v>
      </c>
      <c r="Q11" s="191"/>
      <c r="R11" s="186" t="n">
        <v>1600</v>
      </c>
      <c r="S11" s="185" t="s">
        <v>384</v>
      </c>
      <c r="T11" s="192" t="n">
        <f aca="false">J11*J$1*R11</f>
        <v>7296</v>
      </c>
      <c r="U11" s="192"/>
      <c r="V11" s="193"/>
      <c r="W11" s="192"/>
      <c r="X11" s="194"/>
      <c r="Y11" s="19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2.75" hidden="false" customHeight="false" outlineLevel="0" collapsed="false">
      <c r="A12" s="96"/>
      <c r="B12" s="57"/>
      <c r="C12" s="55"/>
      <c r="D12" s="55"/>
      <c r="E12" s="56"/>
      <c r="F12" s="56"/>
      <c r="G12" s="57"/>
      <c r="H12" s="57"/>
      <c r="I12" s="55"/>
      <c r="J12" s="69"/>
      <c r="K12" s="60"/>
      <c r="L12" s="60"/>
      <c r="M12" s="60"/>
      <c r="N12" s="60"/>
      <c r="O12" s="61"/>
      <c r="P12" s="60"/>
      <c r="Q12" s="62"/>
      <c r="R12" s="55"/>
      <c r="S12" s="57"/>
      <c r="T12" s="97"/>
      <c r="U12" s="97"/>
      <c r="V12" s="98"/>
      <c r="W12" s="97"/>
      <c r="X12" s="83"/>
      <c r="Y12" s="83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customFormat="false" ht="12.75" hidden="false" customHeight="false" outlineLevel="0" collapsed="false">
      <c r="A13" s="96"/>
      <c r="B13" s="57" t="s">
        <v>186</v>
      </c>
      <c r="C13" s="55" t="s">
        <v>273</v>
      </c>
      <c r="D13" s="55"/>
      <c r="E13" s="56" t="n">
        <v>36100</v>
      </c>
      <c r="F13" s="56" t="n">
        <v>36830</v>
      </c>
      <c r="G13" s="57" t="s">
        <v>282</v>
      </c>
      <c r="H13" s="57" t="s">
        <v>287</v>
      </c>
      <c r="I13" s="55" t="s">
        <v>111</v>
      </c>
      <c r="J13" s="69" t="n">
        <f aca="false">4.56/J$1</f>
        <v>0.152</v>
      </c>
      <c r="K13" s="60" t="n">
        <v>0.0132</v>
      </c>
      <c r="L13" s="60" t="n">
        <v>0.0022</v>
      </c>
      <c r="M13" s="60" t="n">
        <v>0.0072</v>
      </c>
      <c r="N13" s="60" t="n">
        <v>0</v>
      </c>
      <c r="O13" s="61" t="n">
        <v>0.02116</v>
      </c>
      <c r="P13" s="60" t="n">
        <f aca="false">SUM(J13:N13)</f>
        <v>0.1746</v>
      </c>
      <c r="Q13" s="62" t="n">
        <v>61838</v>
      </c>
      <c r="R13" s="55" t="n">
        <v>1000</v>
      </c>
      <c r="S13" s="57" t="s">
        <v>288</v>
      </c>
      <c r="T13" s="97" t="n">
        <f aca="false">J13*J$1*R13</f>
        <v>4560</v>
      </c>
      <c r="U13" s="97"/>
      <c r="V13" s="98" t="n">
        <v>156571</v>
      </c>
      <c r="W13" s="57"/>
      <c r="X13" s="83"/>
      <c r="Y13" s="83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customFormat="false" ht="12.75" hidden="false" customHeight="false" outlineLevel="0" collapsed="false">
      <c r="A14" s="96"/>
      <c r="B14" s="57" t="s">
        <v>186</v>
      </c>
      <c r="C14" s="55" t="s">
        <v>273</v>
      </c>
      <c r="D14" s="55" t="s">
        <v>281</v>
      </c>
      <c r="E14" s="56" t="n">
        <v>36526</v>
      </c>
      <c r="F14" s="56" t="n">
        <v>36830</v>
      </c>
      <c r="G14" s="57" t="s">
        <v>282</v>
      </c>
      <c r="H14" s="57" t="s">
        <v>289</v>
      </c>
      <c r="I14" s="55" t="s">
        <v>111</v>
      </c>
      <c r="J14" s="69" t="n">
        <f aca="false">4.56/J$1</f>
        <v>0.152</v>
      </c>
      <c r="K14" s="60" t="n">
        <v>0.0132</v>
      </c>
      <c r="L14" s="60" t="n">
        <v>0.0022</v>
      </c>
      <c r="M14" s="60" t="n">
        <v>0.0075</v>
      </c>
      <c r="N14" s="60" t="n">
        <v>0</v>
      </c>
      <c r="O14" s="61" t="n">
        <v>0.02116</v>
      </c>
      <c r="P14" s="60" t="n">
        <f aca="false">SUM(J14:N14)</f>
        <v>0.1749</v>
      </c>
      <c r="Q14" s="62" t="n">
        <v>61990</v>
      </c>
      <c r="R14" s="55" t="n">
        <v>2000</v>
      </c>
      <c r="S14" s="57" t="s">
        <v>290</v>
      </c>
      <c r="T14" s="97" t="n">
        <f aca="false">J14*J$1*R14</f>
        <v>9120</v>
      </c>
      <c r="U14" s="97"/>
      <c r="V14" s="98" t="n">
        <v>156573</v>
      </c>
      <c r="W14" s="97"/>
      <c r="X14" s="83"/>
      <c r="Y14" s="83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12.75" hidden="false" customHeight="false" outlineLevel="0" collapsed="false">
      <c r="A15" s="96"/>
      <c r="B15" s="57" t="s">
        <v>186</v>
      </c>
      <c r="C15" s="55" t="s">
        <v>273</v>
      </c>
      <c r="D15" s="55" t="s">
        <v>281</v>
      </c>
      <c r="E15" s="56" t="n">
        <v>36465</v>
      </c>
      <c r="F15" s="56" t="n">
        <v>36891</v>
      </c>
      <c r="G15" s="57"/>
      <c r="H15" s="57" t="s">
        <v>291</v>
      </c>
      <c r="I15" s="55" t="s">
        <v>111</v>
      </c>
      <c r="J15" s="69" t="n">
        <f aca="false">3.0417/30.417</f>
        <v>0.1</v>
      </c>
      <c r="K15" s="60" t="n">
        <v>0.0132</v>
      </c>
      <c r="L15" s="60" t="n">
        <v>0.0022</v>
      </c>
      <c r="M15" s="60" t="n">
        <v>0.0075</v>
      </c>
      <c r="N15" s="60" t="n">
        <v>0</v>
      </c>
      <c r="O15" s="61" t="n">
        <v>0.02116</v>
      </c>
      <c r="P15" s="60" t="n">
        <f aca="false">SUM(J15:N15)</f>
        <v>0.1229</v>
      </c>
      <c r="Q15" s="62" t="n">
        <v>62164</v>
      </c>
      <c r="R15" s="55" t="n">
        <v>2000</v>
      </c>
      <c r="S15" s="57" t="s">
        <v>292</v>
      </c>
      <c r="T15" s="97" t="n">
        <f aca="false">J15*J$1*R15</f>
        <v>6000</v>
      </c>
      <c r="U15" s="98"/>
      <c r="V15" s="83" t="s">
        <v>293</v>
      </c>
      <c r="W15" s="83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12.75" hidden="false" customHeight="false" outlineLevel="0" collapsed="false">
      <c r="A16" s="96"/>
      <c r="B16" s="57" t="s">
        <v>186</v>
      </c>
      <c r="C16" s="55" t="s">
        <v>273</v>
      </c>
      <c r="D16" s="55" t="s">
        <v>274</v>
      </c>
      <c r="E16" s="56" t="n">
        <v>36800</v>
      </c>
      <c r="F16" s="56" t="n">
        <v>36981</v>
      </c>
      <c r="G16" s="57" t="s">
        <v>275</v>
      </c>
      <c r="H16" s="57" t="s">
        <v>294</v>
      </c>
      <c r="I16" s="55" t="s">
        <v>295</v>
      </c>
      <c r="J16" s="69" t="n">
        <f aca="false">6.029/J$1</f>
        <v>0.200966666666667</v>
      </c>
      <c r="K16" s="60" t="n">
        <v>0.013</v>
      </c>
      <c r="L16" s="60" t="n">
        <v>0.0022</v>
      </c>
      <c r="M16" s="60" t="n">
        <v>0.0072</v>
      </c>
      <c r="N16" s="60" t="n">
        <v>0</v>
      </c>
      <c r="O16" s="61" t="n">
        <v>0.02116</v>
      </c>
      <c r="P16" s="60" t="n">
        <f aca="false">SUM(J16:N16)</f>
        <v>0.223366666666667</v>
      </c>
      <c r="Q16" s="62" t="n">
        <v>67694</v>
      </c>
      <c r="R16" s="55" t="n">
        <v>108648</v>
      </c>
      <c r="S16" s="57" t="s">
        <v>155</v>
      </c>
      <c r="T16" s="97" t="n">
        <f aca="false">J16*J$1*R16</f>
        <v>655038.792</v>
      </c>
      <c r="U16" s="97"/>
      <c r="V16" s="98" t="n">
        <v>231723</v>
      </c>
      <c r="W16" s="57"/>
      <c r="X16" s="83"/>
      <c r="Y16" s="83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12.75" hidden="false" customHeight="false" outlineLevel="0" collapsed="false">
      <c r="A17" s="96"/>
      <c r="B17" s="57" t="s">
        <v>186</v>
      </c>
      <c r="C17" s="55" t="s">
        <v>273</v>
      </c>
      <c r="D17" s="55" t="s">
        <v>274</v>
      </c>
      <c r="E17" s="56" t="n">
        <v>36617</v>
      </c>
      <c r="F17" s="56" t="n">
        <v>36981</v>
      </c>
      <c r="G17" s="57" t="s">
        <v>275</v>
      </c>
      <c r="H17" s="57" t="s">
        <v>209</v>
      </c>
      <c r="I17" s="55" t="s">
        <v>276</v>
      </c>
      <c r="J17" s="69" t="n">
        <v>0.0293</v>
      </c>
      <c r="K17" s="60" t="n">
        <v>0</v>
      </c>
      <c r="L17" s="60" t="n">
        <v>0</v>
      </c>
      <c r="M17" s="60" t="n">
        <v>0</v>
      </c>
      <c r="N17" s="60" t="n">
        <v>0</v>
      </c>
      <c r="O17" s="61" t="n">
        <v>0</v>
      </c>
      <c r="P17" s="60" t="n">
        <f aca="false">SUM(J17:N17)</f>
        <v>0.0293</v>
      </c>
      <c r="Q17" s="62" t="n">
        <v>67712</v>
      </c>
      <c r="R17" s="55" t="n">
        <v>6050607</v>
      </c>
      <c r="S17" s="57" t="s">
        <v>296</v>
      </c>
      <c r="T17" s="97" t="n">
        <f aca="false">J17*R17</f>
        <v>177282.7851</v>
      </c>
      <c r="U17" s="97"/>
      <c r="V17" s="98" t="n">
        <v>235876</v>
      </c>
      <c r="W17" s="57" t="n">
        <v>231698</v>
      </c>
      <c r="X17" s="83"/>
      <c r="Y17" s="83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12.75" hidden="false" customHeight="false" outlineLevel="0" collapsed="false">
      <c r="A18" s="96"/>
      <c r="B18" s="57" t="s">
        <v>186</v>
      </c>
      <c r="C18" s="55" t="s">
        <v>273</v>
      </c>
      <c r="D18" s="55" t="s">
        <v>274</v>
      </c>
      <c r="E18" s="56" t="n">
        <v>36617</v>
      </c>
      <c r="F18" s="56" t="n">
        <v>36981</v>
      </c>
      <c r="G18" s="57" t="s">
        <v>275</v>
      </c>
      <c r="H18" s="57" t="s">
        <v>211</v>
      </c>
      <c r="I18" s="55" t="s">
        <v>276</v>
      </c>
      <c r="J18" s="69" t="n">
        <v>1.524</v>
      </c>
      <c r="K18" s="60" t="n">
        <v>0</v>
      </c>
      <c r="L18" s="60" t="n">
        <v>0</v>
      </c>
      <c r="M18" s="60" t="n">
        <v>0</v>
      </c>
      <c r="N18" s="60" t="n">
        <v>0</v>
      </c>
      <c r="O18" s="61" t="n">
        <v>0</v>
      </c>
      <c r="P18" s="60" t="n">
        <f aca="false">SUM(J18:N18)</f>
        <v>1.524</v>
      </c>
      <c r="Q18" s="62" t="n">
        <v>67712</v>
      </c>
      <c r="R18" s="55" t="n">
        <v>108648</v>
      </c>
      <c r="S18" s="57" t="s">
        <v>296</v>
      </c>
      <c r="T18" s="97" t="n">
        <f aca="false">J18*R18</f>
        <v>165579.552</v>
      </c>
      <c r="U18" s="97"/>
      <c r="V18" s="98" t="n">
        <v>235876</v>
      </c>
      <c r="W18" s="57" t="n">
        <v>231698</v>
      </c>
      <c r="X18" s="83"/>
      <c r="Y18" s="83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12.75" hidden="false" customHeight="false" outlineLevel="0" collapsed="false">
      <c r="A19" s="96"/>
      <c r="B19" s="57" t="s">
        <v>186</v>
      </c>
      <c r="C19" s="55" t="s">
        <v>273</v>
      </c>
      <c r="D19" s="55" t="s">
        <v>274</v>
      </c>
      <c r="E19" s="56" t="n">
        <v>36617</v>
      </c>
      <c r="F19" s="56" t="n">
        <v>36981</v>
      </c>
      <c r="G19" s="57" t="s">
        <v>275</v>
      </c>
      <c r="H19" s="57" t="s">
        <v>209</v>
      </c>
      <c r="I19" s="55" t="s">
        <v>276</v>
      </c>
      <c r="J19" s="69" t="n">
        <v>0</v>
      </c>
      <c r="K19" s="60" t="n">
        <v>0</v>
      </c>
      <c r="L19" s="60" t="n">
        <v>0</v>
      </c>
      <c r="M19" s="60" t="n">
        <v>0</v>
      </c>
      <c r="N19" s="60" t="n">
        <v>0</v>
      </c>
      <c r="O19" s="61" t="n">
        <v>0</v>
      </c>
      <c r="P19" s="60" t="n">
        <f aca="false">SUM(J19:N19)</f>
        <v>0</v>
      </c>
      <c r="Q19" s="62" t="n">
        <v>67713</v>
      </c>
      <c r="R19" s="55" t="n">
        <v>0</v>
      </c>
      <c r="S19" s="57" t="s">
        <v>297</v>
      </c>
      <c r="T19" s="97" t="n">
        <f aca="false">J19*R19</f>
        <v>0</v>
      </c>
      <c r="U19" s="97"/>
      <c r="V19" s="98" t="n">
        <v>235876</v>
      </c>
      <c r="W19" s="57"/>
      <c r="X19" s="83"/>
      <c r="Y19" s="83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12.75" hidden="false" customHeight="false" outlineLevel="0" collapsed="false">
      <c r="A20" s="96"/>
      <c r="B20" s="57" t="s">
        <v>186</v>
      </c>
      <c r="C20" s="55" t="s">
        <v>273</v>
      </c>
      <c r="D20" s="55" t="s">
        <v>274</v>
      </c>
      <c r="E20" s="56" t="n">
        <v>36617</v>
      </c>
      <c r="F20" s="56" t="n">
        <v>36981</v>
      </c>
      <c r="G20" s="57" t="s">
        <v>275</v>
      </c>
      <c r="H20" s="57" t="s">
        <v>211</v>
      </c>
      <c r="I20" s="55" t="s">
        <v>276</v>
      </c>
      <c r="J20" s="69" t="n">
        <v>0</v>
      </c>
      <c r="K20" s="60" t="n">
        <v>0</v>
      </c>
      <c r="L20" s="60" t="n">
        <v>0</v>
      </c>
      <c r="M20" s="60" t="n">
        <v>0</v>
      </c>
      <c r="N20" s="60" t="n">
        <v>0</v>
      </c>
      <c r="O20" s="61" t="n">
        <v>0</v>
      </c>
      <c r="P20" s="60" t="n">
        <f aca="false">SUM(J20:N20)</f>
        <v>0</v>
      </c>
      <c r="Q20" s="62" t="n">
        <v>67713</v>
      </c>
      <c r="R20" s="55" t="n">
        <v>0</v>
      </c>
      <c r="S20" s="57" t="s">
        <v>297</v>
      </c>
      <c r="T20" s="97" t="n">
        <f aca="false">J20*R20</f>
        <v>0</v>
      </c>
      <c r="U20" s="97"/>
      <c r="V20" s="98" t="n">
        <v>235876</v>
      </c>
      <c r="W20" s="57"/>
      <c r="X20" s="83"/>
      <c r="Y20" s="83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12.75" hidden="false" customHeight="false" outlineLevel="0" collapsed="false">
      <c r="A21" s="96"/>
      <c r="B21" s="57" t="s">
        <v>186</v>
      </c>
      <c r="C21" s="55" t="s">
        <v>273</v>
      </c>
      <c r="D21" s="55" t="s">
        <v>298</v>
      </c>
      <c r="E21" s="56" t="n">
        <v>36678</v>
      </c>
      <c r="F21" s="56" t="n">
        <v>37042</v>
      </c>
      <c r="G21" s="57" t="s">
        <v>299</v>
      </c>
      <c r="H21" s="57" t="s">
        <v>300</v>
      </c>
      <c r="I21" s="55" t="s">
        <v>111</v>
      </c>
      <c r="J21" s="69" t="n">
        <f aca="false">6.401/J$1</f>
        <v>0.213366666666667</v>
      </c>
      <c r="K21" s="60" t="n">
        <v>0.0132</v>
      </c>
      <c r="L21" s="60" t="n">
        <v>0.0022</v>
      </c>
      <c r="M21" s="60" t="n">
        <v>0.0072</v>
      </c>
      <c r="N21" s="60" t="n">
        <v>0</v>
      </c>
      <c r="O21" s="61" t="n">
        <v>0.02116</v>
      </c>
      <c r="P21" s="60" t="n">
        <f aca="false">SUM(J21:N21)</f>
        <v>0.235966666666667</v>
      </c>
      <c r="Q21" s="62" t="n">
        <v>68359</v>
      </c>
      <c r="R21" s="55" t="n">
        <v>285</v>
      </c>
      <c r="S21" s="57" t="s">
        <v>301</v>
      </c>
      <c r="T21" s="97" t="n">
        <f aca="false">J21*J$1*R21</f>
        <v>1824.285</v>
      </c>
      <c r="U21" s="97"/>
      <c r="V21" s="98" t="n">
        <v>271307</v>
      </c>
      <c r="W21" s="57"/>
      <c r="X21" s="83"/>
      <c r="Y21" s="83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12.75" hidden="false" customHeight="false" outlineLevel="0" collapsed="false">
      <c r="A22" s="96"/>
      <c r="B22" s="57" t="s">
        <v>186</v>
      </c>
      <c r="C22" s="55" t="s">
        <v>273</v>
      </c>
      <c r="D22" s="55" t="s">
        <v>302</v>
      </c>
      <c r="E22" s="56" t="n">
        <v>36678</v>
      </c>
      <c r="F22" s="56" t="n">
        <v>37042</v>
      </c>
      <c r="G22" s="57" t="s">
        <v>299</v>
      </c>
      <c r="H22" s="57" t="s">
        <v>303</v>
      </c>
      <c r="I22" s="55" t="s">
        <v>111</v>
      </c>
      <c r="J22" s="69" t="n">
        <f aca="false">6.401/J$1</f>
        <v>0.213366666666667</v>
      </c>
      <c r="K22" s="60" t="n">
        <v>0.0132</v>
      </c>
      <c r="L22" s="60" t="n">
        <v>0.0022</v>
      </c>
      <c r="M22" s="60" t="n">
        <v>0.0072</v>
      </c>
      <c r="N22" s="60" t="n">
        <v>0</v>
      </c>
      <c r="O22" s="61" t="n">
        <v>0.02116</v>
      </c>
      <c r="P22" s="60" t="n">
        <f aca="false">SUM(J22:N22)</f>
        <v>0.235966666666667</v>
      </c>
      <c r="Q22" s="62" t="n">
        <v>68384</v>
      </c>
      <c r="R22" s="55" t="n">
        <v>218</v>
      </c>
      <c r="S22" s="57" t="s">
        <v>304</v>
      </c>
      <c r="T22" s="97" t="n">
        <f aca="false">J22*J$1*R22</f>
        <v>1395.418</v>
      </c>
      <c r="U22" s="97"/>
      <c r="V22" s="98" t="n">
        <v>280570</v>
      </c>
      <c r="W22" s="57"/>
      <c r="X22" s="83"/>
      <c r="Y22" s="83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12.75" hidden="false" customHeight="false" outlineLevel="0" collapsed="false">
      <c r="A23" s="96"/>
      <c r="B23" s="57" t="s">
        <v>186</v>
      </c>
      <c r="C23" s="55" t="s">
        <v>273</v>
      </c>
      <c r="D23" s="55" t="s">
        <v>298</v>
      </c>
      <c r="E23" s="56" t="n">
        <v>36708</v>
      </c>
      <c r="F23" s="56" t="n">
        <v>37072</v>
      </c>
      <c r="G23" s="57" t="s">
        <v>299</v>
      </c>
      <c r="H23" s="57" t="s">
        <v>300</v>
      </c>
      <c r="I23" s="55" t="s">
        <v>111</v>
      </c>
      <c r="J23" s="69" t="n">
        <f aca="false">6.449/J$1</f>
        <v>0.214966666666667</v>
      </c>
      <c r="K23" s="60" t="n">
        <v>0.0132</v>
      </c>
      <c r="L23" s="60" t="n">
        <v>0.0022</v>
      </c>
      <c r="M23" s="60" t="n">
        <v>0.0072</v>
      </c>
      <c r="N23" s="60" t="n">
        <v>0</v>
      </c>
      <c r="O23" s="61" t="n">
        <v>0.02116</v>
      </c>
      <c r="P23" s="60" t="n">
        <f aca="false">SUM(J23:N23)</f>
        <v>0.237566666666667</v>
      </c>
      <c r="Q23" s="62" t="n">
        <v>68616</v>
      </c>
      <c r="R23" s="55" t="n">
        <v>900</v>
      </c>
      <c r="S23" s="57" t="s">
        <v>305</v>
      </c>
      <c r="T23" s="97" t="n">
        <f aca="false">J23*J$1*R23</f>
        <v>5804.1</v>
      </c>
      <c r="U23" s="97"/>
      <c r="V23" s="98" t="n">
        <v>309723</v>
      </c>
      <c r="W23" s="57" t="s">
        <v>306</v>
      </c>
      <c r="X23" s="83"/>
      <c r="Y23" s="83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12.75" hidden="false" customHeight="false" outlineLevel="0" collapsed="false">
      <c r="A24" s="96"/>
      <c r="B24" s="57" t="s">
        <v>186</v>
      </c>
      <c r="C24" s="55" t="s">
        <v>273</v>
      </c>
      <c r="D24" s="55" t="s">
        <v>302</v>
      </c>
      <c r="E24" s="56" t="n">
        <v>36708</v>
      </c>
      <c r="F24" s="56" t="n">
        <v>37072</v>
      </c>
      <c r="G24" s="57" t="s">
        <v>299</v>
      </c>
      <c r="H24" s="57" t="s">
        <v>307</v>
      </c>
      <c r="I24" s="55" t="s">
        <v>111</v>
      </c>
      <c r="J24" s="69" t="n">
        <f aca="false">6.449/J$1</f>
        <v>0.214966666666667</v>
      </c>
      <c r="K24" s="60" t="n">
        <v>0.0132</v>
      </c>
      <c r="L24" s="60" t="n">
        <v>0.0022</v>
      </c>
      <c r="M24" s="60" t="n">
        <v>0.0072</v>
      </c>
      <c r="N24" s="60" t="n">
        <v>0</v>
      </c>
      <c r="O24" s="61" t="n">
        <v>0.02116</v>
      </c>
      <c r="P24" s="60" t="n">
        <f aca="false">SUM(J24:N24)</f>
        <v>0.237566666666667</v>
      </c>
      <c r="Q24" s="62" t="n">
        <v>68635</v>
      </c>
      <c r="R24" s="55" t="n">
        <v>1</v>
      </c>
      <c r="S24" s="57" t="s">
        <v>308</v>
      </c>
      <c r="T24" s="97" t="n">
        <f aca="false">J24*J$1*R24</f>
        <v>6.449</v>
      </c>
      <c r="U24" s="97"/>
      <c r="V24" s="98" t="n">
        <v>312333</v>
      </c>
      <c r="W24" s="57"/>
      <c r="X24" s="83"/>
      <c r="Y24" s="83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12.75" hidden="false" customHeight="false" outlineLevel="0" collapsed="false">
      <c r="A25" s="96"/>
      <c r="B25" s="57" t="s">
        <v>186</v>
      </c>
      <c r="C25" s="55" t="s">
        <v>273</v>
      </c>
      <c r="D25" s="55" t="s">
        <v>302</v>
      </c>
      <c r="E25" s="56" t="n">
        <v>36739</v>
      </c>
      <c r="F25" s="56" t="n">
        <v>37103</v>
      </c>
      <c r="G25" s="57" t="s">
        <v>299</v>
      </c>
      <c r="H25" s="57" t="s">
        <v>300</v>
      </c>
      <c r="I25" s="55" t="s">
        <v>111</v>
      </c>
      <c r="J25" s="69" t="n">
        <f aca="false">6.449/J$1</f>
        <v>0.214966666666667</v>
      </c>
      <c r="K25" s="60" t="n">
        <v>0.0132</v>
      </c>
      <c r="L25" s="60" t="n">
        <v>0.0022</v>
      </c>
      <c r="M25" s="60" t="n">
        <v>0.0072</v>
      </c>
      <c r="N25" s="60" t="n">
        <v>0</v>
      </c>
      <c r="O25" s="61" t="n">
        <v>0.02116</v>
      </c>
      <c r="P25" s="60" t="n">
        <f aca="false">SUM(J25:N25)</f>
        <v>0.237566666666667</v>
      </c>
      <c r="Q25" s="62" t="n">
        <v>64328</v>
      </c>
      <c r="R25" s="55" t="n">
        <v>4</v>
      </c>
      <c r="S25" s="57" t="s">
        <v>344</v>
      </c>
      <c r="T25" s="97" t="n">
        <f aca="false">J25*J$1*R25</f>
        <v>25.796</v>
      </c>
      <c r="U25" s="97"/>
      <c r="V25" s="98" t="n">
        <v>345108</v>
      </c>
      <c r="W25" s="57"/>
      <c r="X25" s="83"/>
      <c r="Y25" s="83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2.75" hidden="false" customHeight="false" outlineLevel="0" collapsed="false">
      <c r="A26" s="96"/>
      <c r="B26" s="57" t="s">
        <v>186</v>
      </c>
      <c r="C26" s="55" t="s">
        <v>273</v>
      </c>
      <c r="D26" s="55" t="s">
        <v>302</v>
      </c>
      <c r="E26" s="56" t="n">
        <v>36739</v>
      </c>
      <c r="F26" s="56" t="n">
        <v>37103</v>
      </c>
      <c r="G26" s="57" t="s">
        <v>299</v>
      </c>
      <c r="H26" s="57" t="s">
        <v>303</v>
      </c>
      <c r="I26" s="55" t="s">
        <v>111</v>
      </c>
      <c r="J26" s="69" t="n">
        <f aca="false">6.401/J$1</f>
        <v>0.213366666666667</v>
      </c>
      <c r="K26" s="60" t="n">
        <v>0.0132</v>
      </c>
      <c r="L26" s="60" t="n">
        <v>0.0022</v>
      </c>
      <c r="M26" s="60" t="n">
        <v>0.0072</v>
      </c>
      <c r="N26" s="60" t="n">
        <v>0</v>
      </c>
      <c r="O26" s="61" t="n">
        <v>0.02116</v>
      </c>
      <c r="P26" s="60" t="n">
        <f aca="false">SUM(J26:N26)</f>
        <v>0.235966666666667</v>
      </c>
      <c r="Q26" s="62" t="n">
        <v>68926</v>
      </c>
      <c r="R26" s="55" t="n">
        <v>4</v>
      </c>
      <c r="S26" s="57" t="s">
        <v>309</v>
      </c>
      <c r="T26" s="97" t="n">
        <f aca="false">J26*J$1*R26</f>
        <v>25.604</v>
      </c>
      <c r="U26" s="97"/>
      <c r="V26" s="98" t="n">
        <v>345125</v>
      </c>
      <c r="W26" s="57"/>
      <c r="X26" s="83"/>
      <c r="Y26" s="83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12.75" hidden="false" customHeight="false" outlineLevel="0" collapsed="false">
      <c r="A27" s="96"/>
      <c r="B27" s="57"/>
      <c r="C27" s="55"/>
      <c r="D27" s="55"/>
      <c r="E27" s="56"/>
      <c r="F27" s="56"/>
      <c r="G27" s="57"/>
      <c r="H27" s="57"/>
      <c r="I27" s="55"/>
      <c r="J27" s="69"/>
      <c r="K27" s="60"/>
      <c r="L27" s="60"/>
      <c r="M27" s="60"/>
      <c r="N27" s="60"/>
      <c r="O27" s="61"/>
      <c r="P27" s="60"/>
      <c r="Q27" s="62"/>
      <c r="R27" s="55"/>
      <c r="S27" s="57"/>
      <c r="T27" s="97"/>
      <c r="U27" s="97"/>
      <c r="V27" s="98"/>
      <c r="W27" s="57"/>
      <c r="X27" s="83"/>
      <c r="Y27" s="83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</row>
    <row r="28" customFormat="false" ht="12.75" hidden="false" customHeight="false" outlineLevel="0" collapsed="false">
      <c r="A28" s="173"/>
      <c r="B28" s="174" t="s">
        <v>186</v>
      </c>
      <c r="C28" s="175" t="s">
        <v>273</v>
      </c>
      <c r="D28" s="175" t="s">
        <v>302</v>
      </c>
      <c r="E28" s="176" t="n">
        <v>36465</v>
      </c>
      <c r="F28" s="176" t="n">
        <v>36830</v>
      </c>
      <c r="G28" s="174" t="s">
        <v>299</v>
      </c>
      <c r="H28" s="174" t="s">
        <v>303</v>
      </c>
      <c r="I28" s="175" t="s">
        <v>111</v>
      </c>
      <c r="J28" s="177" t="n">
        <f aca="false">6.449/J$1</f>
        <v>0.214966666666667</v>
      </c>
      <c r="K28" s="178" t="n">
        <v>0.0132</v>
      </c>
      <c r="L28" s="178" t="n">
        <v>0.0022</v>
      </c>
      <c r="M28" s="178" t="n">
        <v>0.0072</v>
      </c>
      <c r="N28" s="178" t="n">
        <v>0</v>
      </c>
      <c r="O28" s="179" t="n">
        <v>0.02116</v>
      </c>
      <c r="P28" s="178" t="n">
        <f aca="false">SUM(J28:N28)</f>
        <v>0.237566666666667</v>
      </c>
      <c r="Q28" s="180" t="n">
        <v>65026</v>
      </c>
      <c r="R28" s="175" t="n">
        <v>128</v>
      </c>
      <c r="S28" s="174" t="s">
        <v>310</v>
      </c>
      <c r="T28" s="181" t="n">
        <f aca="false">J28*J$1*R28</f>
        <v>825.472</v>
      </c>
      <c r="U28" s="181"/>
      <c r="V28" s="182" t="n">
        <v>162286</v>
      </c>
      <c r="W28" s="174"/>
      <c r="X28" s="183"/>
      <c r="Y28" s="18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  <c r="EB28" s="173"/>
      <c r="EC28" s="173"/>
      <c r="ED28" s="173"/>
      <c r="EE28" s="173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3"/>
      <c r="ER28" s="173"/>
      <c r="ES28" s="173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3"/>
      <c r="FG28" s="173"/>
      <c r="FH28" s="173"/>
      <c r="FI28" s="173"/>
      <c r="FJ28" s="173"/>
      <c r="FK28" s="173"/>
      <c r="FL28" s="173"/>
      <c r="FM28" s="173"/>
      <c r="FN28" s="173"/>
      <c r="FO28" s="173"/>
      <c r="FP28" s="173"/>
      <c r="FQ28" s="173"/>
      <c r="FR28" s="173"/>
      <c r="FS28" s="173"/>
      <c r="FT28" s="173"/>
      <c r="FU28" s="173"/>
      <c r="FV28" s="173"/>
      <c r="FW28" s="173"/>
      <c r="FX28" s="173"/>
      <c r="FY28" s="173"/>
      <c r="FZ28" s="173"/>
      <c r="GA28" s="173"/>
      <c r="GB28" s="173"/>
      <c r="GC28" s="173"/>
      <c r="GD28" s="173"/>
      <c r="GE28" s="173"/>
      <c r="GF28" s="173"/>
      <c r="GG28" s="173"/>
      <c r="GH28" s="173"/>
      <c r="GI28" s="173"/>
      <c r="GJ28" s="173"/>
      <c r="GK28" s="173"/>
      <c r="GL28" s="173"/>
      <c r="GM28" s="173"/>
      <c r="GN28" s="173"/>
      <c r="GO28" s="173"/>
      <c r="GP28" s="173"/>
      <c r="GQ28" s="173"/>
      <c r="GR28" s="173"/>
      <c r="GS28" s="173"/>
      <c r="GT28" s="173"/>
      <c r="GU28" s="173"/>
      <c r="GV28" s="173"/>
      <c r="GW28" s="173"/>
      <c r="GX28" s="173"/>
      <c r="GY28" s="173"/>
      <c r="GZ28" s="173"/>
      <c r="HA28" s="173"/>
      <c r="HB28" s="173"/>
      <c r="HC28" s="173"/>
      <c r="HD28" s="173"/>
      <c r="HE28" s="173"/>
      <c r="HF28" s="173"/>
      <c r="HG28" s="173"/>
      <c r="HH28" s="173"/>
      <c r="HI28" s="173"/>
      <c r="HJ28" s="173"/>
      <c r="HK28" s="173"/>
      <c r="HL28" s="173"/>
      <c r="HM28" s="173"/>
      <c r="HN28" s="173"/>
      <c r="HO28" s="173"/>
      <c r="HP28" s="173"/>
      <c r="HQ28" s="173"/>
      <c r="HR28" s="173"/>
      <c r="HS28" s="173"/>
      <c r="HT28" s="173"/>
      <c r="HU28" s="173"/>
      <c r="HV28" s="173"/>
      <c r="HW28" s="173"/>
      <c r="HX28" s="173"/>
      <c r="HY28" s="173"/>
      <c r="HZ28" s="173"/>
      <c r="IA28" s="173"/>
      <c r="IB28" s="173"/>
      <c r="IC28" s="173"/>
      <c r="ID28" s="173"/>
      <c r="IE28" s="173"/>
      <c r="IF28" s="173"/>
      <c r="IG28" s="173"/>
      <c r="IH28" s="173"/>
      <c r="II28" s="173"/>
      <c r="IJ28" s="173"/>
      <c r="IK28" s="173"/>
      <c r="IL28" s="173"/>
      <c r="IM28" s="173"/>
      <c r="IN28" s="173"/>
      <c r="IO28" s="173"/>
      <c r="IP28" s="173"/>
      <c r="IQ28" s="173"/>
      <c r="IR28" s="173"/>
      <c r="IS28" s="173"/>
      <c r="IT28" s="173"/>
      <c r="IU28" s="173"/>
      <c r="IV28" s="173"/>
      <c r="IW28" s="173"/>
    </row>
    <row r="29" customFormat="false" ht="12.75" hidden="false" customHeight="false" outlineLevel="0" collapsed="false">
      <c r="A29" s="184"/>
      <c r="B29" s="185" t="s">
        <v>186</v>
      </c>
      <c r="C29" s="186" t="s">
        <v>273</v>
      </c>
      <c r="D29" s="186" t="s">
        <v>302</v>
      </c>
      <c r="E29" s="187" t="n">
        <v>36831</v>
      </c>
      <c r="F29" s="187" t="n">
        <v>37195</v>
      </c>
      <c r="G29" s="185" t="s">
        <v>299</v>
      </c>
      <c r="H29" s="185" t="s">
        <v>385</v>
      </c>
      <c r="I29" s="186" t="s">
        <v>111</v>
      </c>
      <c r="J29" s="188" t="n">
        <f aca="false">6.449/J$1</f>
        <v>0.214966666666667</v>
      </c>
      <c r="K29" s="189" t="n">
        <v>0.0132</v>
      </c>
      <c r="L29" s="189" t="n">
        <v>0.0022</v>
      </c>
      <c r="M29" s="189" t="n">
        <v>0.0072</v>
      </c>
      <c r="N29" s="189" t="n">
        <v>0</v>
      </c>
      <c r="O29" s="190" t="n">
        <v>0.02116</v>
      </c>
      <c r="P29" s="189" t="n">
        <f aca="false">SUM(J29:N29)</f>
        <v>0.237566666666667</v>
      </c>
      <c r="Q29" s="191"/>
      <c r="R29" s="186" t="n">
        <v>13</v>
      </c>
      <c r="S29" s="185" t="s">
        <v>386</v>
      </c>
      <c r="T29" s="192" t="n">
        <f aca="false">J29*J$1*R29</f>
        <v>83.837</v>
      </c>
      <c r="U29" s="192"/>
      <c r="V29" s="193"/>
      <c r="W29" s="185"/>
      <c r="X29" s="194"/>
      <c r="Y29" s="19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  <c r="FG29" s="184"/>
      <c r="FH29" s="184"/>
      <c r="FI29" s="184"/>
      <c r="FJ29" s="184"/>
      <c r="FK29" s="184"/>
      <c r="FL29" s="184"/>
      <c r="FM29" s="184"/>
      <c r="FN29" s="184"/>
      <c r="FO29" s="184"/>
      <c r="FP29" s="184"/>
      <c r="FQ29" s="184"/>
      <c r="FR29" s="184"/>
      <c r="FS29" s="184"/>
      <c r="FT29" s="184"/>
      <c r="FU29" s="184"/>
      <c r="FV29" s="184"/>
      <c r="FW29" s="184"/>
      <c r="FX29" s="184"/>
      <c r="FY29" s="184"/>
      <c r="FZ29" s="184"/>
      <c r="GA29" s="184"/>
      <c r="GB29" s="184"/>
      <c r="GC29" s="184"/>
      <c r="GD29" s="184"/>
      <c r="GE29" s="184"/>
      <c r="GF29" s="184"/>
      <c r="GG29" s="184"/>
      <c r="GH29" s="184"/>
      <c r="GI29" s="184"/>
      <c r="GJ29" s="184"/>
      <c r="GK29" s="184"/>
      <c r="GL29" s="184"/>
      <c r="GM29" s="184"/>
      <c r="GN29" s="184"/>
      <c r="GO29" s="184"/>
      <c r="GP29" s="184"/>
      <c r="GQ29" s="184"/>
      <c r="GR29" s="184"/>
      <c r="GS29" s="184"/>
      <c r="GT29" s="184"/>
      <c r="GU29" s="184"/>
      <c r="GV29" s="184"/>
      <c r="GW29" s="184"/>
      <c r="GX29" s="184"/>
      <c r="GY29" s="184"/>
      <c r="GZ29" s="184"/>
      <c r="HA29" s="184"/>
      <c r="HB29" s="184"/>
      <c r="HC29" s="184"/>
      <c r="HD29" s="184"/>
      <c r="HE29" s="184"/>
      <c r="HF29" s="184"/>
      <c r="HG29" s="184"/>
      <c r="HH29" s="184"/>
      <c r="HI29" s="184"/>
      <c r="HJ29" s="184"/>
      <c r="HK29" s="184"/>
      <c r="HL29" s="184"/>
      <c r="HM29" s="184"/>
      <c r="HN29" s="184"/>
      <c r="HO29" s="184"/>
      <c r="HP29" s="184"/>
      <c r="HQ29" s="184"/>
      <c r="HR29" s="184"/>
      <c r="HS29" s="184"/>
      <c r="HT29" s="184"/>
      <c r="HU29" s="184"/>
      <c r="HV29" s="184"/>
      <c r="HW29" s="184"/>
      <c r="HX29" s="184"/>
      <c r="HY29" s="184"/>
      <c r="HZ29" s="184"/>
      <c r="IA29" s="184"/>
      <c r="IB29" s="184"/>
      <c r="IC29" s="184"/>
      <c r="ID29" s="184"/>
      <c r="IE29" s="184"/>
      <c r="IF29" s="184"/>
      <c r="IG29" s="184"/>
      <c r="IH29" s="184"/>
      <c r="II29" s="184"/>
      <c r="IJ29" s="184"/>
      <c r="IK29" s="184"/>
      <c r="IL29" s="184"/>
      <c r="IM29" s="184"/>
      <c r="IN29" s="184"/>
      <c r="IO29" s="184"/>
      <c r="IP29" s="184"/>
      <c r="IQ29" s="184"/>
      <c r="IR29" s="184"/>
      <c r="IS29" s="184"/>
      <c r="IT29" s="184"/>
      <c r="IU29" s="184"/>
      <c r="IV29" s="184"/>
      <c r="IW29" s="184"/>
    </row>
    <row r="30" customFormat="false" ht="12.75" hidden="false" customHeight="false" outlineLevel="0" collapsed="false">
      <c r="A30" s="184"/>
      <c r="B30" s="185" t="s">
        <v>186</v>
      </c>
      <c r="C30" s="186" t="s">
        <v>273</v>
      </c>
      <c r="D30" s="186" t="s">
        <v>302</v>
      </c>
      <c r="E30" s="187" t="n">
        <v>36831</v>
      </c>
      <c r="F30" s="187" t="n">
        <v>37195</v>
      </c>
      <c r="G30" s="185" t="s">
        <v>299</v>
      </c>
      <c r="H30" s="185" t="s">
        <v>387</v>
      </c>
      <c r="I30" s="186" t="s">
        <v>111</v>
      </c>
      <c r="J30" s="188" t="n">
        <f aca="false">6.449/J$1</f>
        <v>0.214966666666667</v>
      </c>
      <c r="K30" s="189" t="n">
        <v>0.0132</v>
      </c>
      <c r="L30" s="189" t="n">
        <v>0.0022</v>
      </c>
      <c r="M30" s="189" t="n">
        <v>0.0072</v>
      </c>
      <c r="N30" s="189" t="n">
        <v>0</v>
      </c>
      <c r="O30" s="190" t="n">
        <v>0.02116</v>
      </c>
      <c r="P30" s="189" t="n">
        <f aca="false">SUM(J30:N30)</f>
        <v>0.237566666666667</v>
      </c>
      <c r="Q30" s="191"/>
      <c r="R30" s="186" t="n">
        <v>63</v>
      </c>
      <c r="S30" s="185" t="s">
        <v>386</v>
      </c>
      <c r="T30" s="192" t="n">
        <f aca="false">J30*J$1*R30</f>
        <v>406.287</v>
      </c>
      <c r="U30" s="192"/>
      <c r="V30" s="193"/>
      <c r="W30" s="185"/>
      <c r="X30" s="194"/>
      <c r="Y30" s="19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  <c r="GK30" s="184"/>
      <c r="GL30" s="184"/>
      <c r="GM30" s="184"/>
      <c r="GN30" s="184"/>
      <c r="GO30" s="184"/>
      <c r="GP30" s="184"/>
      <c r="GQ30" s="184"/>
      <c r="GR30" s="184"/>
      <c r="GS30" s="184"/>
      <c r="GT30" s="184"/>
      <c r="GU30" s="184"/>
      <c r="GV30" s="184"/>
      <c r="GW30" s="184"/>
      <c r="GX30" s="184"/>
      <c r="GY30" s="184"/>
      <c r="GZ30" s="184"/>
      <c r="HA30" s="184"/>
      <c r="HB30" s="184"/>
      <c r="HC30" s="184"/>
      <c r="HD30" s="184"/>
      <c r="HE30" s="184"/>
      <c r="HF30" s="184"/>
      <c r="HG30" s="184"/>
      <c r="HH30" s="184"/>
      <c r="HI30" s="184"/>
      <c r="HJ30" s="184"/>
      <c r="HK30" s="184"/>
      <c r="HL30" s="184"/>
      <c r="HM30" s="184"/>
      <c r="HN30" s="184"/>
      <c r="HO30" s="184"/>
      <c r="HP30" s="184"/>
      <c r="HQ30" s="184"/>
      <c r="HR30" s="184"/>
      <c r="HS30" s="184"/>
      <c r="HT30" s="184"/>
      <c r="HU30" s="184"/>
      <c r="HV30" s="184"/>
      <c r="HW30" s="184"/>
      <c r="HX30" s="184"/>
      <c r="HY30" s="184"/>
      <c r="HZ30" s="184"/>
      <c r="IA30" s="184"/>
      <c r="IB30" s="184"/>
      <c r="IC30" s="184"/>
      <c r="ID30" s="184"/>
      <c r="IE30" s="184"/>
      <c r="IF30" s="184"/>
      <c r="IG30" s="184"/>
      <c r="IH30" s="184"/>
      <c r="II30" s="184"/>
      <c r="IJ30" s="184"/>
      <c r="IK30" s="184"/>
      <c r="IL30" s="184"/>
      <c r="IM30" s="184"/>
      <c r="IN30" s="184"/>
      <c r="IO30" s="184"/>
      <c r="IP30" s="184"/>
      <c r="IQ30" s="184"/>
      <c r="IR30" s="184"/>
      <c r="IS30" s="184"/>
      <c r="IT30" s="184"/>
      <c r="IU30" s="184"/>
      <c r="IV30" s="184"/>
      <c r="IW30" s="184"/>
    </row>
    <row r="31" customFormat="false" ht="12.75" hidden="false" customHeight="false" outlineLevel="0" collapsed="false">
      <c r="A31" s="184"/>
      <c r="B31" s="185" t="s">
        <v>186</v>
      </c>
      <c r="C31" s="186" t="s">
        <v>273</v>
      </c>
      <c r="D31" s="186" t="s">
        <v>302</v>
      </c>
      <c r="E31" s="187" t="n">
        <v>36831</v>
      </c>
      <c r="F31" s="187" t="n">
        <v>37195</v>
      </c>
      <c r="G31" s="185" t="s">
        <v>299</v>
      </c>
      <c r="H31" s="185" t="s">
        <v>388</v>
      </c>
      <c r="I31" s="186" t="s">
        <v>111</v>
      </c>
      <c r="J31" s="188" t="n">
        <f aca="false">6.449/J$1</f>
        <v>0.214966666666667</v>
      </c>
      <c r="K31" s="189" t="n">
        <v>0.0132</v>
      </c>
      <c r="L31" s="189" t="n">
        <v>0.0022</v>
      </c>
      <c r="M31" s="189" t="n">
        <v>0.0072</v>
      </c>
      <c r="N31" s="189" t="n">
        <v>0</v>
      </c>
      <c r="O31" s="190" t="n">
        <v>0.02116</v>
      </c>
      <c r="P31" s="189" t="n">
        <f aca="false">SUM(J31:N31)</f>
        <v>0.237566666666667</v>
      </c>
      <c r="Q31" s="191"/>
      <c r="R31" s="186" t="n">
        <v>14</v>
      </c>
      <c r="S31" s="185" t="s">
        <v>386</v>
      </c>
      <c r="T31" s="192" t="n">
        <f aca="false">J31*J$1*R31</f>
        <v>90.286</v>
      </c>
      <c r="U31" s="192"/>
      <c r="V31" s="193"/>
      <c r="W31" s="185"/>
      <c r="X31" s="194"/>
      <c r="Y31" s="19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  <c r="IV31" s="184"/>
      <c r="IW31" s="184"/>
    </row>
    <row r="32" customFormat="false" ht="12.75" hidden="false" customHeight="false" outlineLevel="0" collapsed="false">
      <c r="A32" s="184"/>
      <c r="B32" s="185" t="s">
        <v>186</v>
      </c>
      <c r="C32" s="186" t="s">
        <v>273</v>
      </c>
      <c r="D32" s="186" t="s">
        <v>302</v>
      </c>
      <c r="E32" s="187" t="n">
        <v>36831</v>
      </c>
      <c r="F32" s="187" t="n">
        <v>37195</v>
      </c>
      <c r="G32" s="185" t="s">
        <v>299</v>
      </c>
      <c r="H32" s="185" t="s">
        <v>389</v>
      </c>
      <c r="I32" s="186" t="s">
        <v>111</v>
      </c>
      <c r="J32" s="188" t="n">
        <f aca="false">6.449/J$1</f>
        <v>0.214966666666667</v>
      </c>
      <c r="K32" s="189" t="n">
        <v>0.0132</v>
      </c>
      <c r="L32" s="189" t="n">
        <v>0.0022</v>
      </c>
      <c r="M32" s="189" t="n">
        <v>0.0072</v>
      </c>
      <c r="N32" s="189" t="n">
        <v>0</v>
      </c>
      <c r="O32" s="190" t="n">
        <v>0.02116</v>
      </c>
      <c r="P32" s="189" t="n">
        <f aca="false">SUM(J32:N32)</f>
        <v>0.237566666666667</v>
      </c>
      <c r="Q32" s="191"/>
      <c r="R32" s="186" t="n">
        <v>36</v>
      </c>
      <c r="S32" s="185" t="s">
        <v>386</v>
      </c>
      <c r="T32" s="192" t="n">
        <f aca="false">J32*J$1*R32</f>
        <v>232.164</v>
      </c>
      <c r="U32" s="192"/>
      <c r="V32" s="193"/>
      <c r="W32" s="185"/>
      <c r="X32" s="194"/>
      <c r="Y32" s="19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84"/>
      <c r="HF32" s="184"/>
      <c r="HG32" s="184"/>
      <c r="HH32" s="184"/>
      <c r="HI32" s="184"/>
      <c r="HJ32" s="184"/>
      <c r="HK32" s="184"/>
      <c r="HL32" s="184"/>
      <c r="HM32" s="184"/>
      <c r="HN32" s="184"/>
      <c r="HO32" s="184"/>
      <c r="HP32" s="184"/>
      <c r="HQ32" s="184"/>
      <c r="HR32" s="184"/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  <c r="IR32" s="184"/>
      <c r="IS32" s="184"/>
      <c r="IT32" s="184"/>
      <c r="IU32" s="184"/>
      <c r="IV32" s="184"/>
      <c r="IW32" s="184"/>
    </row>
    <row r="33" customFormat="false" ht="12.75" hidden="false" customHeight="false" outlineLevel="0" collapsed="false">
      <c r="A33" s="96"/>
      <c r="B33" s="57"/>
      <c r="C33" s="55"/>
      <c r="D33" s="55"/>
      <c r="E33" s="56"/>
      <c r="F33" s="56"/>
      <c r="G33" s="57"/>
      <c r="H33" s="57"/>
      <c r="I33" s="55"/>
      <c r="J33" s="69"/>
      <c r="K33" s="60"/>
      <c r="L33" s="60"/>
      <c r="M33" s="60"/>
      <c r="N33" s="60"/>
      <c r="O33" s="61"/>
      <c r="P33" s="60"/>
      <c r="Q33" s="62"/>
      <c r="R33" s="55"/>
      <c r="S33" s="57"/>
      <c r="T33" s="97"/>
      <c r="U33" s="97"/>
      <c r="V33" s="98"/>
      <c r="W33" s="57"/>
      <c r="X33" s="83"/>
      <c r="Y33" s="83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  <c r="IW33" s="96"/>
    </row>
    <row r="34" customFormat="false" ht="12.75" hidden="false" customHeight="false" outlineLevel="0" collapsed="false">
      <c r="A34" s="173"/>
      <c r="B34" s="174" t="s">
        <v>186</v>
      </c>
      <c r="C34" s="175" t="s">
        <v>273</v>
      </c>
      <c r="D34" s="175" t="s">
        <v>311</v>
      </c>
      <c r="E34" s="176" t="n">
        <v>36465</v>
      </c>
      <c r="F34" s="176" t="n">
        <v>36830</v>
      </c>
      <c r="G34" s="174" t="s">
        <v>299</v>
      </c>
      <c r="H34" s="174" t="s">
        <v>312</v>
      </c>
      <c r="I34" s="175" t="s">
        <v>111</v>
      </c>
      <c r="J34" s="177" t="n">
        <f aca="false">6.449/J$1</f>
        <v>0.214966666666667</v>
      </c>
      <c r="K34" s="178" t="n">
        <v>0.0132</v>
      </c>
      <c r="L34" s="178" t="n">
        <v>0.0022</v>
      </c>
      <c r="M34" s="178" t="n">
        <v>0.0072</v>
      </c>
      <c r="N34" s="178" t="n">
        <v>0</v>
      </c>
      <c r="O34" s="179" t="n">
        <v>0.02116</v>
      </c>
      <c r="P34" s="178" t="n">
        <f aca="false">SUM(J34:N34)</f>
        <v>0.237566666666667</v>
      </c>
      <c r="Q34" s="180" t="n">
        <v>65041</v>
      </c>
      <c r="R34" s="175" t="n">
        <v>9619</v>
      </c>
      <c r="S34" s="174" t="s">
        <v>313</v>
      </c>
      <c r="T34" s="181" t="n">
        <f aca="false">J34*J$1*R34</f>
        <v>62032.931</v>
      </c>
      <c r="U34" s="181"/>
      <c r="V34" s="182" t="n">
        <v>162285</v>
      </c>
      <c r="W34" s="174"/>
      <c r="X34" s="183"/>
      <c r="Y34" s="18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73"/>
      <c r="GD34" s="173"/>
      <c r="GE34" s="173"/>
      <c r="GF34" s="173"/>
      <c r="GG34" s="173"/>
      <c r="GH34" s="173"/>
      <c r="GI34" s="173"/>
      <c r="GJ34" s="173"/>
      <c r="GK34" s="173"/>
      <c r="GL34" s="173"/>
      <c r="GM34" s="173"/>
      <c r="GN34" s="173"/>
      <c r="GO34" s="173"/>
      <c r="GP34" s="173"/>
      <c r="GQ34" s="173"/>
      <c r="GR34" s="173"/>
      <c r="GS34" s="173"/>
      <c r="GT34" s="173"/>
      <c r="GU34" s="173"/>
      <c r="GV34" s="173"/>
      <c r="GW34" s="173"/>
      <c r="GX34" s="173"/>
      <c r="GY34" s="173"/>
      <c r="GZ34" s="173"/>
      <c r="HA34" s="173"/>
      <c r="HB34" s="173"/>
      <c r="HC34" s="173"/>
      <c r="HD34" s="173"/>
      <c r="HE34" s="173"/>
      <c r="HF34" s="173"/>
      <c r="HG34" s="173"/>
      <c r="HH34" s="173"/>
      <c r="HI34" s="173"/>
      <c r="HJ34" s="173"/>
      <c r="HK34" s="173"/>
      <c r="HL34" s="173"/>
      <c r="HM34" s="173"/>
      <c r="HN34" s="173"/>
      <c r="HO34" s="173"/>
      <c r="HP34" s="173"/>
      <c r="HQ34" s="173"/>
      <c r="HR34" s="173"/>
      <c r="HS34" s="173"/>
      <c r="HT34" s="173"/>
      <c r="HU34" s="173"/>
      <c r="HV34" s="173"/>
      <c r="HW34" s="173"/>
      <c r="HX34" s="173"/>
      <c r="HY34" s="173"/>
      <c r="HZ34" s="173"/>
      <c r="IA34" s="173"/>
      <c r="IB34" s="173"/>
      <c r="IC34" s="173"/>
      <c r="ID34" s="173"/>
      <c r="IE34" s="173"/>
      <c r="IF34" s="173"/>
      <c r="IG34" s="173"/>
      <c r="IH34" s="173"/>
      <c r="II34" s="173"/>
      <c r="IJ34" s="173"/>
      <c r="IK34" s="173"/>
      <c r="IL34" s="173"/>
      <c r="IM34" s="173"/>
      <c r="IN34" s="173"/>
      <c r="IO34" s="173"/>
      <c r="IP34" s="173"/>
      <c r="IQ34" s="173"/>
      <c r="IR34" s="173"/>
      <c r="IS34" s="173"/>
      <c r="IT34" s="173"/>
      <c r="IU34" s="173"/>
      <c r="IV34" s="173"/>
      <c r="IW34" s="173"/>
    </row>
    <row r="35" customFormat="false" ht="12.75" hidden="false" customHeight="false" outlineLevel="0" collapsed="false">
      <c r="A35" s="184"/>
      <c r="B35" s="185" t="s">
        <v>186</v>
      </c>
      <c r="C35" s="186" t="s">
        <v>273</v>
      </c>
      <c r="D35" s="186" t="s">
        <v>302</v>
      </c>
      <c r="E35" s="187" t="n">
        <v>36831</v>
      </c>
      <c r="F35" s="187" t="n">
        <v>37195</v>
      </c>
      <c r="G35" s="185" t="s">
        <v>390</v>
      </c>
      <c r="H35" s="185" t="s">
        <v>391</v>
      </c>
      <c r="I35" s="186" t="s">
        <v>111</v>
      </c>
      <c r="J35" s="188" t="n">
        <f aca="false">6.449/J$1</f>
        <v>0.214966666666667</v>
      </c>
      <c r="K35" s="189" t="n">
        <v>0.0132</v>
      </c>
      <c r="L35" s="189" t="n">
        <v>0.0022</v>
      </c>
      <c r="M35" s="189" t="n">
        <v>0.0072</v>
      </c>
      <c r="N35" s="189" t="n">
        <v>0</v>
      </c>
      <c r="O35" s="190" t="n">
        <v>0.02116</v>
      </c>
      <c r="P35" s="189" t="n">
        <f aca="false">SUM(J35:N35)</f>
        <v>0.237566666666667</v>
      </c>
      <c r="Q35" s="191"/>
      <c r="R35" s="186" t="n">
        <v>3630</v>
      </c>
      <c r="S35" s="185" t="s">
        <v>392</v>
      </c>
      <c r="T35" s="192" t="n">
        <f aca="false">J35*J$1*R35</f>
        <v>23409.87</v>
      </c>
      <c r="U35" s="192"/>
      <c r="V35" s="193"/>
      <c r="W35" s="185"/>
      <c r="X35" s="194"/>
      <c r="Y35" s="19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  <c r="FY35" s="184"/>
      <c r="FZ35" s="184"/>
      <c r="GA35" s="184"/>
      <c r="GB35" s="184"/>
      <c r="GC35" s="184"/>
      <c r="GD35" s="184"/>
      <c r="GE35" s="184"/>
      <c r="GF35" s="184"/>
      <c r="GG35" s="184"/>
      <c r="GH35" s="184"/>
      <c r="GI35" s="184"/>
      <c r="GJ35" s="184"/>
      <c r="GK35" s="184"/>
      <c r="GL35" s="184"/>
      <c r="GM35" s="184"/>
      <c r="GN35" s="184"/>
      <c r="GO35" s="184"/>
      <c r="GP35" s="184"/>
      <c r="GQ35" s="184"/>
      <c r="GR35" s="184"/>
      <c r="GS35" s="184"/>
      <c r="GT35" s="184"/>
      <c r="GU35" s="184"/>
      <c r="GV35" s="184"/>
      <c r="GW35" s="184"/>
      <c r="GX35" s="184"/>
      <c r="GY35" s="184"/>
      <c r="GZ35" s="184"/>
      <c r="HA35" s="184"/>
      <c r="HB35" s="184"/>
      <c r="HC35" s="184"/>
      <c r="HD35" s="184"/>
      <c r="HE35" s="184"/>
      <c r="HF35" s="184"/>
      <c r="HG35" s="184"/>
      <c r="HH35" s="184"/>
      <c r="HI35" s="184"/>
      <c r="HJ35" s="184"/>
      <c r="HK35" s="184"/>
      <c r="HL35" s="184"/>
      <c r="HM35" s="184"/>
      <c r="HN35" s="184"/>
      <c r="HO35" s="184"/>
      <c r="HP35" s="184"/>
      <c r="HQ35" s="184"/>
      <c r="HR35" s="184"/>
      <c r="HS35" s="184"/>
      <c r="HT35" s="184"/>
      <c r="HU35" s="184"/>
      <c r="HV35" s="184"/>
      <c r="HW35" s="184"/>
      <c r="HX35" s="184"/>
      <c r="HY35" s="184"/>
      <c r="HZ35" s="184"/>
      <c r="IA35" s="184"/>
      <c r="IB35" s="184"/>
      <c r="IC35" s="184"/>
      <c r="ID35" s="184"/>
      <c r="IE35" s="184"/>
      <c r="IF35" s="184"/>
      <c r="IG35" s="184"/>
      <c r="IH35" s="184"/>
      <c r="II35" s="184"/>
      <c r="IJ35" s="184"/>
      <c r="IK35" s="184"/>
      <c r="IL35" s="184"/>
      <c r="IM35" s="184"/>
      <c r="IN35" s="184"/>
      <c r="IO35" s="184"/>
      <c r="IP35" s="184"/>
      <c r="IQ35" s="184"/>
      <c r="IR35" s="184"/>
      <c r="IS35" s="184"/>
      <c r="IT35" s="184"/>
      <c r="IU35" s="184"/>
      <c r="IV35" s="184"/>
      <c r="IW35" s="184"/>
    </row>
    <row r="36" customFormat="false" ht="12.75" hidden="false" customHeight="false" outlineLevel="0" collapsed="false">
      <c r="A36" s="184"/>
      <c r="B36" s="185" t="s">
        <v>186</v>
      </c>
      <c r="C36" s="186" t="s">
        <v>273</v>
      </c>
      <c r="D36" s="186" t="s">
        <v>302</v>
      </c>
      <c r="E36" s="187" t="n">
        <v>36831</v>
      </c>
      <c r="F36" s="187" t="n">
        <v>37195</v>
      </c>
      <c r="G36" s="185" t="s">
        <v>393</v>
      </c>
      <c r="H36" s="185" t="s">
        <v>391</v>
      </c>
      <c r="I36" s="186" t="s">
        <v>111</v>
      </c>
      <c r="J36" s="188" t="n">
        <f aca="false">6.449/J$1</f>
        <v>0.214966666666667</v>
      </c>
      <c r="K36" s="189" t="n">
        <v>0.0132</v>
      </c>
      <c r="L36" s="189" t="n">
        <v>0.0022</v>
      </c>
      <c r="M36" s="189" t="n">
        <v>0.0072</v>
      </c>
      <c r="N36" s="189" t="n">
        <v>0</v>
      </c>
      <c r="O36" s="190" t="n">
        <v>0.02116</v>
      </c>
      <c r="P36" s="189" t="n">
        <f aca="false">SUM(J36:N36)</f>
        <v>0.237566666666667</v>
      </c>
      <c r="Q36" s="191"/>
      <c r="R36" s="186" t="n">
        <v>2795</v>
      </c>
      <c r="S36" s="185" t="s">
        <v>392</v>
      </c>
      <c r="T36" s="192" t="n">
        <f aca="false">J36*J$1*R36</f>
        <v>18024.955</v>
      </c>
      <c r="U36" s="192"/>
      <c r="V36" s="193"/>
      <c r="W36" s="185"/>
      <c r="X36" s="194"/>
      <c r="Y36" s="19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  <c r="FY36" s="184"/>
      <c r="FZ36" s="184"/>
      <c r="GA36" s="184"/>
      <c r="GB36" s="184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184"/>
      <c r="GP36" s="184"/>
      <c r="GQ36" s="184"/>
      <c r="GR36" s="184"/>
      <c r="GS36" s="184"/>
      <c r="GT36" s="184"/>
      <c r="GU36" s="184"/>
      <c r="GV36" s="184"/>
      <c r="GW36" s="184"/>
      <c r="GX36" s="184"/>
      <c r="GY36" s="184"/>
      <c r="GZ36" s="184"/>
      <c r="HA36" s="184"/>
      <c r="HB36" s="184"/>
      <c r="HC36" s="184"/>
      <c r="HD36" s="184"/>
      <c r="HE36" s="184"/>
      <c r="HF36" s="184"/>
      <c r="HG36" s="184"/>
      <c r="HH36" s="184"/>
      <c r="HI36" s="184"/>
      <c r="HJ36" s="184"/>
      <c r="HK36" s="184"/>
      <c r="HL36" s="184"/>
      <c r="HM36" s="184"/>
      <c r="HN36" s="184"/>
      <c r="HO36" s="184"/>
      <c r="HP36" s="184"/>
      <c r="HQ36" s="184"/>
      <c r="HR36" s="184"/>
      <c r="HS36" s="184"/>
      <c r="HT36" s="184"/>
      <c r="HU36" s="184"/>
      <c r="HV36" s="184"/>
      <c r="HW36" s="184"/>
      <c r="HX36" s="184"/>
      <c r="HY36" s="184"/>
      <c r="HZ36" s="184"/>
      <c r="IA36" s="184"/>
      <c r="IB36" s="184"/>
      <c r="IC36" s="184"/>
      <c r="ID36" s="184"/>
      <c r="IE36" s="184"/>
      <c r="IF36" s="184"/>
      <c r="IG36" s="184"/>
      <c r="IH36" s="184"/>
      <c r="II36" s="184"/>
      <c r="IJ36" s="184"/>
      <c r="IK36" s="184"/>
      <c r="IL36" s="184"/>
      <c r="IM36" s="184"/>
      <c r="IN36" s="184"/>
      <c r="IO36" s="184"/>
      <c r="IP36" s="184"/>
      <c r="IQ36" s="184"/>
      <c r="IR36" s="184"/>
      <c r="IS36" s="184"/>
      <c r="IT36" s="184"/>
      <c r="IU36" s="184"/>
      <c r="IV36" s="184"/>
      <c r="IW36" s="184"/>
    </row>
    <row r="37" customFormat="false" ht="12.75" hidden="false" customHeight="false" outlineLevel="0" collapsed="false">
      <c r="A37" s="184"/>
      <c r="B37" s="185" t="s">
        <v>186</v>
      </c>
      <c r="C37" s="186" t="s">
        <v>273</v>
      </c>
      <c r="D37" s="186" t="s">
        <v>302</v>
      </c>
      <c r="E37" s="187" t="n">
        <v>36831</v>
      </c>
      <c r="F37" s="187" t="n">
        <v>37195</v>
      </c>
      <c r="G37" s="185" t="s">
        <v>299</v>
      </c>
      <c r="H37" s="185" t="s">
        <v>391</v>
      </c>
      <c r="I37" s="186" t="s">
        <v>111</v>
      </c>
      <c r="J37" s="188" t="n">
        <f aca="false">6.449/J$1</f>
        <v>0.214966666666667</v>
      </c>
      <c r="K37" s="189" t="n">
        <v>0.0132</v>
      </c>
      <c r="L37" s="189" t="n">
        <v>0.0022</v>
      </c>
      <c r="M37" s="189" t="n">
        <v>0.0072</v>
      </c>
      <c r="N37" s="189" t="n">
        <v>0</v>
      </c>
      <c r="O37" s="190" t="n">
        <v>0.02116</v>
      </c>
      <c r="P37" s="189" t="n">
        <f aca="false">SUM(J37:N37)</f>
        <v>0.237566666666667</v>
      </c>
      <c r="Q37" s="191"/>
      <c r="R37" s="186" t="n">
        <v>2759</v>
      </c>
      <c r="S37" s="185" t="s">
        <v>392</v>
      </c>
      <c r="T37" s="192" t="n">
        <f aca="false">J37*J$1*R37</f>
        <v>17792.791</v>
      </c>
      <c r="U37" s="192"/>
      <c r="V37" s="193"/>
      <c r="W37" s="185"/>
      <c r="X37" s="194"/>
      <c r="Y37" s="19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  <c r="FX37" s="184"/>
      <c r="FY37" s="184"/>
      <c r="FZ37" s="184"/>
      <c r="GA37" s="184"/>
      <c r="GB37" s="184"/>
      <c r="GC37" s="184"/>
      <c r="GD37" s="184"/>
      <c r="GE37" s="184"/>
      <c r="GF37" s="184"/>
      <c r="GG37" s="184"/>
      <c r="GH37" s="184"/>
      <c r="GI37" s="184"/>
      <c r="GJ37" s="184"/>
      <c r="GK37" s="184"/>
      <c r="GL37" s="184"/>
      <c r="GM37" s="184"/>
      <c r="GN37" s="184"/>
      <c r="GO37" s="184"/>
      <c r="GP37" s="184"/>
      <c r="GQ37" s="184"/>
      <c r="GR37" s="184"/>
      <c r="GS37" s="184"/>
      <c r="GT37" s="184"/>
      <c r="GU37" s="184"/>
      <c r="GV37" s="184"/>
      <c r="GW37" s="184"/>
      <c r="GX37" s="184"/>
      <c r="GY37" s="184"/>
      <c r="GZ37" s="184"/>
      <c r="HA37" s="184"/>
      <c r="HB37" s="184"/>
      <c r="HC37" s="184"/>
      <c r="HD37" s="184"/>
      <c r="HE37" s="184"/>
      <c r="HF37" s="184"/>
      <c r="HG37" s="184"/>
      <c r="HH37" s="184"/>
      <c r="HI37" s="184"/>
      <c r="HJ37" s="184"/>
      <c r="HK37" s="184"/>
      <c r="HL37" s="184"/>
      <c r="HM37" s="184"/>
      <c r="HN37" s="184"/>
      <c r="HO37" s="184"/>
      <c r="HP37" s="184"/>
      <c r="HQ37" s="184"/>
      <c r="HR37" s="184"/>
      <c r="HS37" s="184"/>
      <c r="HT37" s="184"/>
      <c r="HU37" s="184"/>
      <c r="HV37" s="184"/>
      <c r="HW37" s="184"/>
      <c r="HX37" s="184"/>
      <c r="HY37" s="184"/>
      <c r="HZ37" s="184"/>
      <c r="IA37" s="184"/>
      <c r="IB37" s="184"/>
      <c r="IC37" s="184"/>
      <c r="ID37" s="184"/>
      <c r="IE37" s="184"/>
      <c r="IF37" s="184"/>
      <c r="IG37" s="184"/>
      <c r="IH37" s="184"/>
      <c r="II37" s="184"/>
      <c r="IJ37" s="184"/>
      <c r="IK37" s="184"/>
      <c r="IL37" s="184"/>
      <c r="IM37" s="184"/>
      <c r="IN37" s="184"/>
      <c r="IO37" s="184"/>
      <c r="IP37" s="184"/>
      <c r="IQ37" s="184"/>
      <c r="IR37" s="184"/>
      <c r="IS37" s="184"/>
      <c r="IT37" s="184"/>
      <c r="IU37" s="184"/>
      <c r="IV37" s="184"/>
      <c r="IW37" s="184"/>
    </row>
    <row r="38" customFormat="false" ht="12.75" hidden="false" customHeight="false" outlineLevel="0" collapsed="false">
      <c r="A38" s="96"/>
      <c r="B38" s="57"/>
      <c r="C38" s="55"/>
      <c r="D38" s="55"/>
      <c r="E38" s="56"/>
      <c r="F38" s="56"/>
      <c r="G38" s="57"/>
      <c r="H38" s="57"/>
      <c r="I38" s="55"/>
      <c r="J38" s="69"/>
      <c r="K38" s="60"/>
      <c r="L38" s="60"/>
      <c r="M38" s="60"/>
      <c r="N38" s="60"/>
      <c r="O38" s="61"/>
      <c r="P38" s="60"/>
      <c r="Q38" s="62"/>
      <c r="R38" s="55"/>
      <c r="S38" s="57"/>
      <c r="T38" s="97"/>
      <c r="U38" s="97"/>
      <c r="V38" s="98"/>
      <c r="W38" s="57"/>
      <c r="X38" s="83"/>
      <c r="Y38" s="83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12.75" hidden="false" customHeight="false" outlineLevel="0" collapsed="false">
      <c r="A39" s="173"/>
      <c r="B39" s="174" t="s">
        <v>186</v>
      </c>
      <c r="C39" s="175" t="s">
        <v>273</v>
      </c>
      <c r="D39" s="175" t="s">
        <v>311</v>
      </c>
      <c r="E39" s="176" t="n">
        <v>36465</v>
      </c>
      <c r="F39" s="176" t="n">
        <v>36830</v>
      </c>
      <c r="G39" s="174" t="s">
        <v>299</v>
      </c>
      <c r="H39" s="174" t="s">
        <v>314</v>
      </c>
      <c r="I39" s="175" t="s">
        <v>111</v>
      </c>
      <c r="J39" s="177" t="n">
        <f aca="false">6.449/J$1</f>
        <v>0.214966666666667</v>
      </c>
      <c r="K39" s="178" t="n">
        <v>0.0132</v>
      </c>
      <c r="L39" s="178" t="n">
        <v>0.0022</v>
      </c>
      <c r="M39" s="178" t="n">
        <v>0.0072</v>
      </c>
      <c r="N39" s="178" t="n">
        <v>0</v>
      </c>
      <c r="O39" s="179" t="n">
        <v>0.02116</v>
      </c>
      <c r="P39" s="178" t="n">
        <f aca="false">SUM(J39:N39)</f>
        <v>0.237566666666667</v>
      </c>
      <c r="Q39" s="180" t="n">
        <v>65042</v>
      </c>
      <c r="R39" s="175" t="n">
        <v>4427</v>
      </c>
      <c r="S39" s="174" t="s">
        <v>315</v>
      </c>
      <c r="T39" s="181" t="n">
        <f aca="false">J39*J$1*R39</f>
        <v>28549.723</v>
      </c>
      <c r="U39" s="181"/>
      <c r="V39" s="182" t="n">
        <v>162287</v>
      </c>
      <c r="W39" s="174"/>
      <c r="X39" s="183"/>
      <c r="Y39" s="18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12.75" hidden="false" customHeight="false" outlineLevel="0" collapsed="false">
      <c r="A40" s="184"/>
      <c r="B40" s="185" t="s">
        <v>186</v>
      </c>
      <c r="C40" s="186" t="s">
        <v>273</v>
      </c>
      <c r="D40" s="186" t="s">
        <v>311</v>
      </c>
      <c r="E40" s="187" t="n">
        <v>36831</v>
      </c>
      <c r="F40" s="187" t="n">
        <v>37195</v>
      </c>
      <c r="G40" s="185" t="s">
        <v>299</v>
      </c>
      <c r="H40" s="185" t="s">
        <v>314</v>
      </c>
      <c r="I40" s="186" t="s">
        <v>111</v>
      </c>
      <c r="J40" s="188" t="n">
        <f aca="false">6.449/J$1</f>
        <v>0.214966666666667</v>
      </c>
      <c r="K40" s="189" t="n">
        <v>0.0132</v>
      </c>
      <c r="L40" s="189" t="n">
        <v>0.0022</v>
      </c>
      <c r="M40" s="189" t="n">
        <v>0.0072</v>
      </c>
      <c r="N40" s="189" t="n">
        <v>0</v>
      </c>
      <c r="O40" s="190" t="n">
        <v>0.02116</v>
      </c>
      <c r="P40" s="189" t="n">
        <f aca="false">SUM(J40:N40)</f>
        <v>0.237566666666667</v>
      </c>
      <c r="Q40" s="191"/>
      <c r="R40" s="186" t="n">
        <v>4018</v>
      </c>
      <c r="S40" s="185" t="s">
        <v>394</v>
      </c>
      <c r="T40" s="192" t="n">
        <f aca="false">J40*J$1*R40</f>
        <v>25912.082</v>
      </c>
      <c r="U40" s="192"/>
      <c r="V40" s="193" t="n">
        <v>162287</v>
      </c>
      <c r="W40" s="185"/>
      <c r="X40" s="194"/>
      <c r="Y40" s="19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184"/>
      <c r="CP40" s="184"/>
      <c r="CQ40" s="184"/>
      <c r="CR40" s="184"/>
      <c r="CS40" s="184"/>
      <c r="CT40" s="184"/>
      <c r="CU40" s="184"/>
      <c r="CV40" s="184"/>
      <c r="CW40" s="184"/>
      <c r="CX40" s="184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4"/>
      <c r="DM40" s="184"/>
      <c r="DN40" s="184"/>
      <c r="DO40" s="184"/>
      <c r="DP40" s="184"/>
      <c r="DQ40" s="184"/>
      <c r="DR40" s="184"/>
      <c r="DS40" s="184"/>
      <c r="DT40" s="184"/>
      <c r="DU40" s="184"/>
      <c r="DV40" s="184"/>
      <c r="DW40" s="184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4"/>
      <c r="EI40" s="184"/>
      <c r="EJ40" s="184"/>
      <c r="EK40" s="184"/>
      <c r="EL40" s="184"/>
      <c r="EM40" s="184"/>
      <c r="EN40" s="184"/>
      <c r="EO40" s="184"/>
      <c r="EP40" s="184"/>
      <c r="EQ40" s="184"/>
      <c r="ER40" s="184"/>
      <c r="ES40" s="184"/>
      <c r="ET40" s="184"/>
      <c r="EU40" s="184"/>
      <c r="EV40" s="184"/>
      <c r="EW40" s="184"/>
      <c r="EX40" s="184"/>
      <c r="EY40" s="184"/>
      <c r="EZ40" s="184"/>
      <c r="FA40" s="184"/>
      <c r="FB40" s="184"/>
      <c r="FC40" s="184"/>
      <c r="FD40" s="184"/>
      <c r="FE40" s="184"/>
      <c r="FF40" s="184"/>
      <c r="FG40" s="184"/>
      <c r="FH40" s="184"/>
      <c r="FI40" s="184"/>
      <c r="FJ40" s="184"/>
      <c r="FK40" s="184"/>
      <c r="FL40" s="184"/>
      <c r="FM40" s="184"/>
      <c r="FN40" s="184"/>
      <c r="FO40" s="184"/>
      <c r="FP40" s="184"/>
      <c r="FQ40" s="184"/>
      <c r="FR40" s="184"/>
      <c r="FS40" s="184"/>
      <c r="FT40" s="184"/>
      <c r="FU40" s="184"/>
      <c r="FV40" s="184"/>
      <c r="FW40" s="184"/>
      <c r="FX40" s="184"/>
      <c r="FY40" s="184"/>
      <c r="FZ40" s="184"/>
      <c r="GA40" s="184"/>
      <c r="GB40" s="184"/>
      <c r="GC40" s="184"/>
      <c r="GD40" s="184"/>
      <c r="GE40" s="184"/>
      <c r="GF40" s="184"/>
      <c r="GG40" s="184"/>
      <c r="GH40" s="184"/>
      <c r="GI40" s="184"/>
      <c r="GJ40" s="184"/>
      <c r="GK40" s="184"/>
      <c r="GL40" s="184"/>
      <c r="GM40" s="184"/>
      <c r="GN40" s="184"/>
      <c r="GO40" s="184"/>
      <c r="GP40" s="184"/>
      <c r="GQ40" s="184"/>
      <c r="GR40" s="184"/>
      <c r="GS40" s="184"/>
      <c r="GT40" s="184"/>
      <c r="GU40" s="184"/>
      <c r="GV40" s="184"/>
      <c r="GW40" s="184"/>
      <c r="GX40" s="184"/>
      <c r="GY40" s="184"/>
      <c r="GZ40" s="184"/>
      <c r="HA40" s="184"/>
      <c r="HB40" s="184"/>
      <c r="HC40" s="184"/>
      <c r="HD40" s="184"/>
      <c r="HE40" s="184"/>
      <c r="HF40" s="184"/>
      <c r="HG40" s="184"/>
      <c r="HH40" s="184"/>
      <c r="HI40" s="184"/>
      <c r="HJ40" s="184"/>
      <c r="HK40" s="184"/>
      <c r="HL40" s="184"/>
      <c r="HM40" s="184"/>
      <c r="HN40" s="184"/>
      <c r="HO40" s="184"/>
      <c r="HP40" s="184"/>
      <c r="HQ40" s="184"/>
      <c r="HR40" s="184"/>
      <c r="HS40" s="184"/>
      <c r="HT40" s="184"/>
      <c r="HU40" s="184"/>
      <c r="HV40" s="184"/>
      <c r="HW40" s="184"/>
      <c r="HX40" s="184"/>
      <c r="HY40" s="184"/>
      <c r="HZ40" s="184"/>
      <c r="IA40" s="184"/>
      <c r="IB40" s="184"/>
      <c r="IC40" s="184"/>
      <c r="ID40" s="184"/>
      <c r="IE40" s="184"/>
      <c r="IF40" s="184"/>
      <c r="IG40" s="184"/>
      <c r="IH40" s="184"/>
      <c r="II40" s="184"/>
      <c r="IJ40" s="184"/>
      <c r="IK40" s="184"/>
      <c r="IL40" s="184"/>
      <c r="IM40" s="184"/>
      <c r="IN40" s="184"/>
      <c r="IO40" s="184"/>
      <c r="IP40" s="184"/>
      <c r="IQ40" s="184"/>
      <c r="IR40" s="184"/>
      <c r="IS40" s="184"/>
      <c r="IT40" s="184"/>
      <c r="IU40" s="184"/>
      <c r="IV40" s="184"/>
      <c r="IW40" s="184"/>
    </row>
    <row r="41" customFormat="false" ht="12.75" hidden="false" customHeight="false" outlineLevel="0" collapsed="false">
      <c r="A41" s="96"/>
      <c r="B41" s="57"/>
      <c r="C41" s="55"/>
      <c r="D41" s="55"/>
      <c r="E41" s="56"/>
      <c r="F41" s="56"/>
      <c r="G41" s="57"/>
      <c r="H41" s="57"/>
      <c r="I41" s="55"/>
      <c r="J41" s="69"/>
      <c r="K41" s="60"/>
      <c r="L41" s="60"/>
      <c r="M41" s="60"/>
      <c r="N41" s="60"/>
      <c r="O41" s="61"/>
      <c r="P41" s="60"/>
      <c r="Q41" s="62"/>
      <c r="R41" s="55"/>
      <c r="S41" s="57"/>
      <c r="T41" s="97"/>
      <c r="U41" s="97"/>
      <c r="V41" s="98"/>
      <c r="W41" s="57"/>
      <c r="X41" s="83"/>
      <c r="Y41" s="83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12.75" hidden="false" customHeight="false" outlineLevel="0" collapsed="false">
      <c r="A42" s="96"/>
      <c r="B42" s="57" t="s">
        <v>186</v>
      </c>
      <c r="C42" s="55" t="s">
        <v>273</v>
      </c>
      <c r="D42" s="55" t="s">
        <v>316</v>
      </c>
      <c r="E42" s="56" t="n">
        <v>36465</v>
      </c>
      <c r="F42" s="56" t="n">
        <v>37011</v>
      </c>
      <c r="G42" s="57" t="s">
        <v>299</v>
      </c>
      <c r="H42" s="57" t="s">
        <v>317</v>
      </c>
      <c r="I42" s="55" t="s">
        <v>111</v>
      </c>
      <c r="J42" s="69" t="n">
        <f aca="false">6.449/J$1</f>
        <v>0.214966666666667</v>
      </c>
      <c r="K42" s="60" t="n">
        <v>0.0132</v>
      </c>
      <c r="L42" s="60" t="n">
        <v>0.0022</v>
      </c>
      <c r="M42" s="60" t="n">
        <v>0.0072</v>
      </c>
      <c r="N42" s="60" t="n">
        <v>0</v>
      </c>
      <c r="O42" s="61" t="n">
        <v>0.02116</v>
      </c>
      <c r="P42" s="60" t="n">
        <f aca="false">SUM(J42:N42)</f>
        <v>0.237566666666667</v>
      </c>
      <c r="Q42" s="62" t="n">
        <v>65108</v>
      </c>
      <c r="R42" s="55" t="n">
        <v>5000</v>
      </c>
      <c r="S42" s="57" t="s">
        <v>318</v>
      </c>
      <c r="T42" s="97" t="n">
        <f aca="false">J42*J$1*R42</f>
        <v>32245</v>
      </c>
      <c r="U42" s="97"/>
      <c r="V42" s="98" t="n">
        <v>163001</v>
      </c>
      <c r="W42" s="57"/>
      <c r="X42" s="83"/>
      <c r="Y42" s="83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</row>
    <row r="43" customFormat="false" ht="12.75" hidden="false" customHeight="false" outlineLevel="0" collapsed="false">
      <c r="A43" s="96"/>
      <c r="B43" s="57" t="s">
        <v>186</v>
      </c>
      <c r="C43" s="55" t="s">
        <v>273</v>
      </c>
      <c r="D43" s="55"/>
      <c r="E43" s="56" t="n">
        <v>36557</v>
      </c>
      <c r="F43" s="56" t="n">
        <v>36830</v>
      </c>
      <c r="G43" s="57" t="s">
        <v>285</v>
      </c>
      <c r="H43" s="57" t="s">
        <v>279</v>
      </c>
      <c r="I43" s="55" t="s">
        <v>111</v>
      </c>
      <c r="J43" s="69" t="n">
        <f aca="false">4.563/J$1</f>
        <v>0.1521</v>
      </c>
      <c r="K43" s="60" t="n">
        <v>0.0132</v>
      </c>
      <c r="L43" s="60" t="n">
        <v>0.0022</v>
      </c>
      <c r="M43" s="60" t="n">
        <v>0.0072</v>
      </c>
      <c r="N43" s="60" t="n">
        <v>0</v>
      </c>
      <c r="O43" s="61" t="n">
        <v>0.02116</v>
      </c>
      <c r="P43" s="60" t="n">
        <f aca="false">SUM(J43:N43)</f>
        <v>0.1747</v>
      </c>
      <c r="Q43" s="62" t="n">
        <v>65418</v>
      </c>
      <c r="R43" s="55" t="n">
        <v>500</v>
      </c>
      <c r="S43" s="57" t="s">
        <v>319</v>
      </c>
      <c r="T43" s="97" t="n">
        <f aca="false">J43*J$1*R43</f>
        <v>2281.5</v>
      </c>
      <c r="U43" s="97"/>
      <c r="V43" s="98" t="n">
        <v>156599</v>
      </c>
      <c r="W43" s="57"/>
      <c r="X43" s="83"/>
      <c r="Y43" s="83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  <c r="IV43" s="96"/>
      <c r="IW43" s="96"/>
    </row>
    <row r="44" customFormat="false" ht="12.75" hidden="false" customHeight="false" outlineLevel="0" collapsed="false">
      <c r="A44" s="96"/>
      <c r="B44" s="57" t="s">
        <v>186</v>
      </c>
      <c r="C44" s="55" t="s">
        <v>273</v>
      </c>
      <c r="D44" s="55" t="s">
        <v>302</v>
      </c>
      <c r="E44" s="56" t="n">
        <v>36557</v>
      </c>
      <c r="F44" s="56" t="n">
        <v>36860</v>
      </c>
      <c r="G44" s="57" t="s">
        <v>299</v>
      </c>
      <c r="H44" s="57" t="s">
        <v>303</v>
      </c>
      <c r="I44" s="55" t="s">
        <v>111</v>
      </c>
      <c r="J44" s="69" t="n">
        <f aca="false">6.449/J$1</f>
        <v>0.214966666666667</v>
      </c>
      <c r="K44" s="60" t="n">
        <v>0.0132</v>
      </c>
      <c r="L44" s="60" t="n">
        <v>0.0022</v>
      </c>
      <c r="M44" s="60" t="n">
        <v>0.0072</v>
      </c>
      <c r="N44" s="60" t="n">
        <v>0</v>
      </c>
      <c r="O44" s="61" t="n">
        <v>0.02116</v>
      </c>
      <c r="P44" s="60" t="n">
        <f aca="false">SUM(J44:N44)</f>
        <v>0.237566666666667</v>
      </c>
      <c r="Q44" s="62" t="n">
        <v>65556</v>
      </c>
      <c r="R44" s="55" t="n">
        <v>3</v>
      </c>
      <c r="S44" s="57" t="s">
        <v>320</v>
      </c>
      <c r="T44" s="97" t="n">
        <f aca="false">J44*J$1*R44</f>
        <v>19.347</v>
      </c>
      <c r="U44" s="97"/>
      <c r="V44" s="98" t="n">
        <v>156602</v>
      </c>
      <c r="W44" s="57"/>
      <c r="X44" s="83"/>
      <c r="Y44" s="83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</row>
    <row r="45" customFormat="false" ht="12.75" hidden="false" customHeight="false" outlineLevel="0" collapsed="false">
      <c r="A45" s="96"/>
      <c r="B45" s="57" t="s">
        <v>186</v>
      </c>
      <c r="C45" s="55" t="s">
        <v>273</v>
      </c>
      <c r="D45" s="55" t="s">
        <v>192</v>
      </c>
      <c r="E45" s="56" t="n">
        <v>36557</v>
      </c>
      <c r="F45" s="56" t="n">
        <v>36922</v>
      </c>
      <c r="G45" s="57" t="s">
        <v>321</v>
      </c>
      <c r="H45" s="57" t="s">
        <v>322</v>
      </c>
      <c r="I45" s="55" t="s">
        <v>111</v>
      </c>
      <c r="J45" s="69" t="n">
        <f aca="false">6.449/J$1</f>
        <v>0.214966666666667</v>
      </c>
      <c r="K45" s="60"/>
      <c r="L45" s="60"/>
      <c r="M45" s="60"/>
      <c r="N45" s="60"/>
      <c r="O45" s="61"/>
      <c r="P45" s="60"/>
      <c r="Q45" s="62" t="n">
        <v>66280</v>
      </c>
      <c r="R45" s="55" t="n">
        <v>1</v>
      </c>
      <c r="S45" s="57" t="s">
        <v>323</v>
      </c>
      <c r="T45" s="97" t="n">
        <f aca="false">J45*J$1*R45</f>
        <v>6.449</v>
      </c>
      <c r="U45" s="97"/>
      <c r="V45" s="98" t="n">
        <v>156606</v>
      </c>
      <c r="W45" s="57"/>
      <c r="X45" s="83"/>
      <c r="Y45" s="83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  <c r="IV45" s="96"/>
      <c r="IW45" s="96"/>
    </row>
    <row r="46" customFormat="false" ht="12.75" hidden="false" customHeight="false" outlineLevel="0" collapsed="false">
      <c r="A46" s="96"/>
      <c r="B46" s="57" t="s">
        <v>186</v>
      </c>
      <c r="C46" s="55" t="s">
        <v>273</v>
      </c>
      <c r="D46" s="55" t="s">
        <v>192</v>
      </c>
      <c r="E46" s="56" t="n">
        <v>36557</v>
      </c>
      <c r="F46" s="56" t="n">
        <v>36922</v>
      </c>
      <c r="G46" s="57" t="s">
        <v>321</v>
      </c>
      <c r="H46" s="57" t="s">
        <v>324</v>
      </c>
      <c r="I46" s="55" t="s">
        <v>111</v>
      </c>
      <c r="J46" s="69" t="n">
        <f aca="false">6.449/J$1</f>
        <v>0.214966666666667</v>
      </c>
      <c r="K46" s="60"/>
      <c r="L46" s="60"/>
      <c r="M46" s="60"/>
      <c r="N46" s="60"/>
      <c r="O46" s="61"/>
      <c r="P46" s="60"/>
      <c r="Q46" s="62" t="n">
        <v>66280</v>
      </c>
      <c r="R46" s="55" t="n">
        <v>4</v>
      </c>
      <c r="S46" s="57" t="s">
        <v>323</v>
      </c>
      <c r="T46" s="97" t="n">
        <f aca="false">J46*J$1*R46</f>
        <v>25.796</v>
      </c>
      <c r="U46" s="97"/>
      <c r="V46" s="98" t="n">
        <v>156606</v>
      </c>
      <c r="W46" s="57"/>
      <c r="X46" s="83"/>
      <c r="Y46" s="83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  <c r="IT46" s="96"/>
      <c r="IU46" s="96"/>
      <c r="IV46" s="96"/>
      <c r="IW46" s="96"/>
    </row>
    <row r="47" customFormat="false" ht="12.75" hidden="false" customHeight="false" outlineLevel="0" collapsed="false">
      <c r="A47" s="96"/>
      <c r="B47" s="57" t="s">
        <v>186</v>
      </c>
      <c r="C47" s="55" t="s">
        <v>273</v>
      </c>
      <c r="D47" s="55" t="s">
        <v>192</v>
      </c>
      <c r="E47" s="56" t="n">
        <v>36656</v>
      </c>
      <c r="F47" s="56" t="n">
        <v>36950</v>
      </c>
      <c r="G47" s="57" t="s">
        <v>321</v>
      </c>
      <c r="H47" s="57" t="s">
        <v>322</v>
      </c>
      <c r="I47" s="55" t="s">
        <v>111</v>
      </c>
      <c r="J47" s="69" t="n">
        <v>6.449</v>
      </c>
      <c r="K47" s="60"/>
      <c r="L47" s="60"/>
      <c r="M47" s="60"/>
      <c r="N47" s="60"/>
      <c r="O47" s="61"/>
      <c r="P47" s="60"/>
      <c r="Q47" s="62" t="n">
        <v>68308</v>
      </c>
      <c r="R47" s="55" t="n">
        <v>5</v>
      </c>
      <c r="S47" s="57" t="s">
        <v>325</v>
      </c>
      <c r="T47" s="97" t="n">
        <f aca="false">+R47*J47</f>
        <v>32.245</v>
      </c>
      <c r="U47" s="97"/>
      <c r="V47" s="98" t="n">
        <v>262094</v>
      </c>
      <c r="W47" s="57"/>
      <c r="X47" s="83"/>
      <c r="Y47" s="83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  <c r="IT47" s="96"/>
      <c r="IU47" s="96"/>
      <c r="IV47" s="96"/>
      <c r="IW47" s="96"/>
    </row>
    <row r="48" customFormat="false" ht="12.75" hidden="false" customHeight="false" outlineLevel="0" collapsed="false">
      <c r="A48" s="96"/>
      <c r="B48" s="57" t="s">
        <v>186</v>
      </c>
      <c r="C48" s="55" t="s">
        <v>273</v>
      </c>
      <c r="D48" s="55" t="s">
        <v>192</v>
      </c>
      <c r="E48" s="56" t="n">
        <v>36656</v>
      </c>
      <c r="F48" s="56" t="n">
        <v>36950</v>
      </c>
      <c r="G48" s="57" t="s">
        <v>321</v>
      </c>
      <c r="H48" s="57" t="s">
        <v>324</v>
      </c>
      <c r="I48" s="55" t="s">
        <v>111</v>
      </c>
      <c r="J48" s="69" t="n">
        <v>6.449</v>
      </c>
      <c r="K48" s="60"/>
      <c r="L48" s="60"/>
      <c r="M48" s="60"/>
      <c r="N48" s="60"/>
      <c r="O48" s="61"/>
      <c r="P48" s="60"/>
      <c r="Q48" s="62" t="n">
        <v>68308</v>
      </c>
      <c r="R48" s="55" t="n">
        <v>4</v>
      </c>
      <c r="S48" s="57" t="s">
        <v>325</v>
      </c>
      <c r="T48" s="97" t="n">
        <f aca="false">+R48*J48</f>
        <v>25.796</v>
      </c>
      <c r="U48" s="97"/>
      <c r="V48" s="98" t="n">
        <v>262094</v>
      </c>
      <c r="W48" s="57"/>
      <c r="X48" s="83"/>
      <c r="Y48" s="83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  <c r="IT48" s="96"/>
      <c r="IU48" s="96"/>
      <c r="IV48" s="96"/>
      <c r="IW48" s="96"/>
    </row>
    <row r="49" customFormat="false" ht="12.75" hidden="false" customHeight="false" outlineLevel="0" collapsed="false">
      <c r="A49" s="96"/>
      <c r="B49" s="57" t="s">
        <v>186</v>
      </c>
      <c r="C49" s="55" t="s">
        <v>273</v>
      </c>
      <c r="D49" s="55" t="s">
        <v>192</v>
      </c>
      <c r="E49" s="56" t="n">
        <v>36708</v>
      </c>
      <c r="F49" s="56" t="n">
        <v>37072</v>
      </c>
      <c r="G49" s="57" t="s">
        <v>189</v>
      </c>
      <c r="H49" s="57" t="s">
        <v>190</v>
      </c>
      <c r="I49" s="55" t="s">
        <v>191</v>
      </c>
      <c r="J49" s="69" t="n">
        <f aca="false">3.145/J$1</f>
        <v>0.104833333333333</v>
      </c>
      <c r="K49" s="60" t="n">
        <v>0.0132</v>
      </c>
      <c r="L49" s="60" t="n">
        <v>0.0022</v>
      </c>
      <c r="M49" s="60" t="n">
        <v>0</v>
      </c>
      <c r="N49" s="60" t="n">
        <v>0</v>
      </c>
      <c r="O49" s="61" t="n">
        <v>0.02116</v>
      </c>
      <c r="P49" s="60" t="n">
        <f aca="false">SUM(J49:N49)</f>
        <v>0.120233333333333</v>
      </c>
      <c r="Q49" s="62" t="n">
        <v>68635</v>
      </c>
      <c r="R49" s="55" t="n">
        <v>1</v>
      </c>
      <c r="S49" s="57" t="s">
        <v>395</v>
      </c>
      <c r="T49" s="97" t="n">
        <f aca="false">J49*J$1*R49</f>
        <v>3.145</v>
      </c>
      <c r="U49" s="97"/>
      <c r="V49" s="98" t="n">
        <v>312333</v>
      </c>
      <c r="W49" s="57"/>
      <c r="X49" s="83"/>
      <c r="Y49" s="83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  <c r="IT49" s="96"/>
      <c r="IU49" s="96"/>
      <c r="IV49" s="96"/>
      <c r="IW49" s="96"/>
    </row>
    <row r="50" customFormat="false" ht="12.75" hidden="false" customHeight="false" outlineLevel="0" collapsed="false">
      <c r="A50" s="96"/>
      <c r="B50" s="57" t="s">
        <v>186</v>
      </c>
      <c r="C50" s="55" t="s">
        <v>273</v>
      </c>
      <c r="D50" s="55" t="s">
        <v>326</v>
      </c>
      <c r="E50" s="56" t="n">
        <v>36617</v>
      </c>
      <c r="F50" s="56" t="s">
        <v>327</v>
      </c>
      <c r="G50" s="57" t="s">
        <v>328</v>
      </c>
      <c r="H50" s="57"/>
      <c r="I50" s="55" t="s">
        <v>329</v>
      </c>
      <c r="J50" s="69"/>
      <c r="K50" s="60"/>
      <c r="L50" s="60"/>
      <c r="M50" s="60"/>
      <c r="N50" s="60"/>
      <c r="O50" s="61"/>
      <c r="P50" s="60"/>
      <c r="Q50" s="62" t="n">
        <v>66917</v>
      </c>
      <c r="R50" s="55"/>
      <c r="S50" s="57"/>
      <c r="T50" s="97"/>
      <c r="U50" s="97"/>
      <c r="V50" s="98" t="n">
        <v>228085</v>
      </c>
      <c r="W50" s="57"/>
      <c r="X50" s="83"/>
      <c r="Y50" s="83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12.75" hidden="false" customHeight="false" outlineLevel="0" collapsed="false">
      <c r="A51" s="96"/>
      <c r="B51" s="57" t="s">
        <v>186</v>
      </c>
      <c r="C51" s="55" t="s">
        <v>273</v>
      </c>
      <c r="D51" s="55" t="s">
        <v>192</v>
      </c>
      <c r="E51" s="56" t="n">
        <v>36617</v>
      </c>
      <c r="F51" s="56" t="n">
        <v>36981</v>
      </c>
      <c r="G51" s="57" t="s">
        <v>321</v>
      </c>
      <c r="H51" s="57" t="s">
        <v>322</v>
      </c>
      <c r="I51" s="55" t="s">
        <v>111</v>
      </c>
      <c r="J51" s="69" t="n">
        <f aca="false">6.401/$J$1</f>
        <v>0.213366666666667</v>
      </c>
      <c r="K51" s="60"/>
      <c r="L51" s="60"/>
      <c r="M51" s="60"/>
      <c r="N51" s="60"/>
      <c r="O51" s="61"/>
      <c r="P51" s="60"/>
      <c r="Q51" s="62" t="n">
        <v>66939</v>
      </c>
      <c r="R51" s="55" t="n">
        <v>5</v>
      </c>
      <c r="S51" s="57" t="s">
        <v>330</v>
      </c>
      <c r="T51" s="97" t="n">
        <f aca="false">+R51*J51</f>
        <v>1.06683333333333</v>
      </c>
      <c r="U51" s="97"/>
      <c r="V51" s="98"/>
      <c r="W51" s="57"/>
      <c r="X51" s="83"/>
      <c r="Y51" s="83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12.75" hidden="false" customHeight="false" outlineLevel="0" collapsed="false">
      <c r="A52" s="96"/>
      <c r="B52" s="57" t="s">
        <v>186</v>
      </c>
      <c r="C52" s="55" t="s">
        <v>273</v>
      </c>
      <c r="D52" s="55" t="s">
        <v>192</v>
      </c>
      <c r="E52" s="56" t="n">
        <v>36617</v>
      </c>
      <c r="F52" s="56" t="n">
        <v>36981</v>
      </c>
      <c r="G52" s="57" t="s">
        <v>321</v>
      </c>
      <c r="H52" s="57" t="s">
        <v>324</v>
      </c>
      <c r="I52" s="55" t="s">
        <v>111</v>
      </c>
      <c r="J52" s="69" t="n">
        <f aca="false">6.401/$J$1</f>
        <v>0.213366666666667</v>
      </c>
      <c r="K52" s="60"/>
      <c r="L52" s="60"/>
      <c r="M52" s="60"/>
      <c r="N52" s="60"/>
      <c r="O52" s="61"/>
      <c r="P52" s="60"/>
      <c r="Q52" s="62" t="n">
        <v>66939</v>
      </c>
      <c r="R52" s="55" t="n">
        <v>27</v>
      </c>
      <c r="S52" s="57" t="s">
        <v>330</v>
      </c>
      <c r="T52" s="97" t="n">
        <f aca="false">+R52*J52</f>
        <v>5.7609</v>
      </c>
      <c r="U52" s="97"/>
      <c r="V52" s="98"/>
      <c r="W52" s="57"/>
      <c r="X52" s="83"/>
      <c r="Y52" s="83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12.75" hidden="false" customHeight="false" outlineLevel="0" collapsed="false">
      <c r="A53" s="96"/>
      <c r="B53" s="57" t="s">
        <v>186</v>
      </c>
      <c r="C53" s="55" t="s">
        <v>273</v>
      </c>
      <c r="D53" s="55" t="s">
        <v>192</v>
      </c>
      <c r="E53" s="56" t="n">
        <v>36617</v>
      </c>
      <c r="F53" s="56" t="n">
        <v>36981</v>
      </c>
      <c r="G53" s="57" t="s">
        <v>321</v>
      </c>
      <c r="H53" s="57" t="s">
        <v>331</v>
      </c>
      <c r="I53" s="55" t="s">
        <v>111</v>
      </c>
      <c r="J53" s="69" t="n">
        <f aca="false">6.401/$J$1</f>
        <v>0.213366666666667</v>
      </c>
      <c r="K53" s="60"/>
      <c r="L53" s="60"/>
      <c r="M53" s="60"/>
      <c r="N53" s="60"/>
      <c r="O53" s="61"/>
      <c r="P53" s="60"/>
      <c r="Q53" s="62" t="n">
        <v>66939</v>
      </c>
      <c r="R53" s="55" t="n">
        <v>3</v>
      </c>
      <c r="S53" s="57" t="s">
        <v>330</v>
      </c>
      <c r="T53" s="97" t="n">
        <f aca="false">+R53*J53</f>
        <v>0.6401</v>
      </c>
      <c r="U53" s="97"/>
      <c r="V53" s="98"/>
      <c r="W53" s="57"/>
      <c r="X53" s="83"/>
      <c r="Y53" s="83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12.75" hidden="false" customHeight="false" outlineLevel="0" collapsed="false">
      <c r="A54" s="96"/>
      <c r="B54" s="57" t="s">
        <v>186</v>
      </c>
      <c r="C54" s="55" t="s">
        <v>273</v>
      </c>
      <c r="D54" s="55" t="s">
        <v>192</v>
      </c>
      <c r="E54" s="56" t="n">
        <v>36617</v>
      </c>
      <c r="F54" s="56" t="n">
        <v>36981</v>
      </c>
      <c r="G54" s="57" t="s">
        <v>321</v>
      </c>
      <c r="H54" s="57" t="s">
        <v>332</v>
      </c>
      <c r="I54" s="55" t="s">
        <v>111</v>
      </c>
      <c r="J54" s="69" t="n">
        <f aca="false">6.401/$J$1</f>
        <v>0.213366666666667</v>
      </c>
      <c r="K54" s="60"/>
      <c r="L54" s="60"/>
      <c r="M54" s="60"/>
      <c r="N54" s="60"/>
      <c r="O54" s="61"/>
      <c r="P54" s="60"/>
      <c r="Q54" s="62" t="n">
        <v>66939</v>
      </c>
      <c r="R54" s="55" t="n">
        <v>17</v>
      </c>
      <c r="S54" s="57" t="s">
        <v>330</v>
      </c>
      <c r="T54" s="97" t="n">
        <f aca="false">+R54*J54</f>
        <v>3.62723333333333</v>
      </c>
      <c r="U54" s="97"/>
      <c r="V54" s="98"/>
      <c r="W54" s="57"/>
      <c r="X54" s="83"/>
      <c r="Y54" s="83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12.75" hidden="false" customHeight="false" outlineLevel="0" collapsed="false">
      <c r="A55" s="96"/>
      <c r="B55" s="57" t="s">
        <v>186</v>
      </c>
      <c r="C55" s="55" t="s">
        <v>273</v>
      </c>
      <c r="D55" s="55" t="s">
        <v>333</v>
      </c>
      <c r="E55" s="56" t="n">
        <v>36617</v>
      </c>
      <c r="F55" s="56" t="n">
        <v>36981</v>
      </c>
      <c r="G55" s="57" t="s">
        <v>321</v>
      </c>
      <c r="H55" s="57" t="s">
        <v>334</v>
      </c>
      <c r="I55" s="55" t="s">
        <v>111</v>
      </c>
      <c r="J55" s="69" t="n">
        <f aca="false">6.401/$J$1</f>
        <v>0.213366666666667</v>
      </c>
      <c r="K55" s="60"/>
      <c r="L55" s="60"/>
      <c r="M55" s="60"/>
      <c r="N55" s="60"/>
      <c r="O55" s="61"/>
      <c r="P55" s="60"/>
      <c r="Q55" s="62" t="n">
        <v>66940</v>
      </c>
      <c r="R55" s="55" t="n">
        <v>1</v>
      </c>
      <c r="S55" s="57" t="s">
        <v>335</v>
      </c>
      <c r="T55" s="97" t="n">
        <f aca="false">+R55*J55</f>
        <v>0.213366666666667</v>
      </c>
      <c r="U55" s="97"/>
      <c r="V55" s="98" t="n">
        <v>228134</v>
      </c>
      <c r="W55" s="57"/>
      <c r="X55" s="83"/>
      <c r="Y55" s="83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2.75" hidden="false" customHeight="false" outlineLevel="0" collapsed="false">
      <c r="A56" s="96"/>
      <c r="B56" s="57" t="s">
        <v>186</v>
      </c>
      <c r="C56" s="55" t="s">
        <v>273</v>
      </c>
      <c r="D56" s="55" t="s">
        <v>333</v>
      </c>
      <c r="E56" s="56" t="n">
        <v>36617</v>
      </c>
      <c r="F56" s="56" t="n">
        <v>36981</v>
      </c>
      <c r="G56" s="57" t="s">
        <v>321</v>
      </c>
      <c r="H56" s="57" t="s">
        <v>336</v>
      </c>
      <c r="I56" s="55" t="s">
        <v>111</v>
      </c>
      <c r="J56" s="69" t="n">
        <f aca="false">6.401/$J$1</f>
        <v>0.213366666666667</v>
      </c>
      <c r="K56" s="60"/>
      <c r="L56" s="60"/>
      <c r="M56" s="60"/>
      <c r="N56" s="60"/>
      <c r="O56" s="61"/>
      <c r="P56" s="60"/>
      <c r="Q56" s="62" t="n">
        <v>66940</v>
      </c>
      <c r="R56" s="55" t="n">
        <v>1</v>
      </c>
      <c r="S56" s="57" t="s">
        <v>335</v>
      </c>
      <c r="T56" s="97" t="n">
        <f aca="false">+R56*J56</f>
        <v>0.213366666666667</v>
      </c>
      <c r="U56" s="97"/>
      <c r="V56" s="98" t="n">
        <v>228134</v>
      </c>
      <c r="W56" s="57"/>
      <c r="X56" s="83"/>
      <c r="Y56" s="83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  <c r="IT56" s="96"/>
      <c r="IU56" s="96"/>
      <c r="IV56" s="96"/>
      <c r="IW56" s="96"/>
    </row>
    <row r="57" customFormat="false" ht="12.75" hidden="false" customHeight="false" outlineLevel="0" collapsed="false">
      <c r="A57" s="96"/>
      <c r="B57" s="57" t="s">
        <v>186</v>
      </c>
      <c r="C57" s="55" t="s">
        <v>273</v>
      </c>
      <c r="D57" s="55" t="s">
        <v>333</v>
      </c>
      <c r="E57" s="56" t="n">
        <v>36647</v>
      </c>
      <c r="F57" s="56" t="n">
        <v>37011</v>
      </c>
      <c r="G57" s="57" t="s">
        <v>337</v>
      </c>
      <c r="H57" s="57" t="s">
        <v>338</v>
      </c>
      <c r="I57" s="55" t="s">
        <v>111</v>
      </c>
      <c r="J57" s="69" t="e">
        <f aca="false">6.401/#REF!</f>
        <v>#REF!</v>
      </c>
      <c r="K57" s="60"/>
      <c r="L57" s="60"/>
      <c r="M57" s="60"/>
      <c r="N57" s="60"/>
      <c r="O57" s="61"/>
      <c r="P57" s="60"/>
      <c r="Q57" s="62" t="n">
        <v>68188</v>
      </c>
      <c r="R57" s="55" t="n">
        <v>1</v>
      </c>
      <c r="S57" s="57" t="s">
        <v>339</v>
      </c>
      <c r="T57" s="97" t="e">
        <f aca="false">+J57*R57*13</f>
        <v>#REF!</v>
      </c>
      <c r="U57" s="97"/>
      <c r="V57" s="98" t="n">
        <v>253195</v>
      </c>
      <c r="W57" s="57"/>
      <c r="X57" s="83"/>
      <c r="Y57" s="83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  <c r="IU57" s="96"/>
      <c r="IV57" s="96"/>
      <c r="IW57" s="96"/>
    </row>
    <row r="58" customFormat="false" ht="12.75" hidden="false" customHeight="false" outlineLevel="0" collapsed="false">
      <c r="A58" s="150"/>
      <c r="B58" s="66" t="s">
        <v>186</v>
      </c>
      <c r="C58" s="135" t="s">
        <v>273</v>
      </c>
      <c r="D58" s="135" t="s">
        <v>37</v>
      </c>
      <c r="E58" s="151" t="n">
        <v>36312</v>
      </c>
      <c r="F58" s="151" t="n">
        <v>37011</v>
      </c>
      <c r="G58" s="66" t="s">
        <v>299</v>
      </c>
      <c r="H58" s="66" t="s">
        <v>340</v>
      </c>
      <c r="I58" s="135" t="s">
        <v>111</v>
      </c>
      <c r="J58" s="152"/>
      <c r="K58" s="99"/>
      <c r="L58" s="99"/>
      <c r="M58" s="99"/>
      <c r="N58" s="99"/>
      <c r="O58" s="153"/>
      <c r="P58" s="99"/>
      <c r="Q58" s="132" t="n">
        <v>65403</v>
      </c>
      <c r="R58" s="135"/>
      <c r="S58" s="66" t="s">
        <v>341</v>
      </c>
      <c r="T58" s="64"/>
      <c r="U58" s="64"/>
      <c r="V58" s="65"/>
      <c r="W58" s="66" t="s">
        <v>342</v>
      </c>
      <c r="X58" s="67"/>
      <c r="Y58" s="67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  <c r="IK58" s="150"/>
      <c r="IL58" s="150"/>
      <c r="IM58" s="150"/>
      <c r="IN58" s="150"/>
      <c r="IO58" s="150"/>
      <c r="IP58" s="150"/>
      <c r="IQ58" s="150"/>
      <c r="IR58" s="150"/>
      <c r="IS58" s="150"/>
      <c r="IT58" s="150"/>
      <c r="IU58" s="150"/>
      <c r="IV58" s="150"/>
      <c r="IW58" s="150"/>
    </row>
    <row r="59" customFormat="false" ht="12.75" hidden="false" customHeight="false" outlineLevel="0" collapsed="false">
      <c r="A59" s="150"/>
      <c r="B59" s="66" t="s">
        <v>186</v>
      </c>
      <c r="C59" s="135" t="s">
        <v>273</v>
      </c>
      <c r="D59" s="135" t="s">
        <v>188</v>
      </c>
      <c r="E59" s="151" t="n">
        <v>36739</v>
      </c>
      <c r="F59" s="151" t="n">
        <v>37103</v>
      </c>
      <c r="G59" s="66" t="s">
        <v>321</v>
      </c>
      <c r="H59" s="66" t="s">
        <v>343</v>
      </c>
      <c r="I59" s="135" t="s">
        <v>111</v>
      </c>
      <c r="J59" s="69" t="n">
        <f aca="false">6.401/$J$1</f>
        <v>0.213366666666667</v>
      </c>
      <c r="K59" s="99"/>
      <c r="L59" s="99"/>
      <c r="M59" s="99"/>
      <c r="N59" s="99"/>
      <c r="O59" s="153"/>
      <c r="P59" s="99"/>
      <c r="Q59" s="132" t="n">
        <v>68928</v>
      </c>
      <c r="R59" s="135" t="n">
        <v>47</v>
      </c>
      <c r="S59" s="66" t="s">
        <v>344</v>
      </c>
      <c r="T59" s="64" t="n">
        <f aca="false">+J59*R59</f>
        <v>10.0282333333333</v>
      </c>
      <c r="U59" s="64"/>
      <c r="V59" s="65" t="n">
        <v>351966</v>
      </c>
      <c r="W59" s="66"/>
      <c r="X59" s="67"/>
      <c r="Y59" s="67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  <c r="IK59" s="150"/>
      <c r="IL59" s="150"/>
      <c r="IM59" s="150"/>
      <c r="IN59" s="150"/>
      <c r="IO59" s="150"/>
      <c r="IP59" s="150"/>
      <c r="IQ59" s="150"/>
      <c r="IR59" s="150"/>
      <c r="IS59" s="150"/>
      <c r="IT59" s="150"/>
      <c r="IU59" s="150"/>
      <c r="IV59" s="150"/>
      <c r="IW59" s="150"/>
    </row>
    <row r="60" customFormat="false" ht="12.75" hidden="false" customHeight="false" outlineLevel="0" collapsed="false">
      <c r="A60" s="150"/>
      <c r="B60" s="66" t="s">
        <v>186</v>
      </c>
      <c r="C60" s="135" t="s">
        <v>273</v>
      </c>
      <c r="D60" s="135" t="s">
        <v>192</v>
      </c>
      <c r="E60" s="151" t="n">
        <v>36770</v>
      </c>
      <c r="F60" s="151" t="n">
        <v>37134</v>
      </c>
      <c r="G60" s="66" t="s">
        <v>321</v>
      </c>
      <c r="H60" s="66" t="s">
        <v>345</v>
      </c>
      <c r="I60" s="135" t="s">
        <v>111</v>
      </c>
      <c r="J60" s="69" t="n">
        <f aca="false">6.401/$J$1</f>
        <v>0.213366666666667</v>
      </c>
      <c r="K60" s="99"/>
      <c r="L60" s="99"/>
      <c r="M60" s="99"/>
      <c r="N60" s="99"/>
      <c r="O60" s="153"/>
      <c r="P60" s="99"/>
      <c r="Q60" s="132" t="n">
        <v>69144</v>
      </c>
      <c r="R60" s="135" t="n">
        <v>62</v>
      </c>
      <c r="S60" s="66" t="s">
        <v>346</v>
      </c>
      <c r="T60" s="64" t="n">
        <f aca="false">+J60*R60</f>
        <v>13.2287333333333</v>
      </c>
      <c r="U60" s="64"/>
      <c r="V60" s="65"/>
      <c r="W60" s="66"/>
      <c r="X60" s="67"/>
      <c r="Y60" s="67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  <c r="IP60" s="150"/>
      <c r="IQ60" s="150"/>
      <c r="IR60" s="150"/>
      <c r="IS60" s="150"/>
      <c r="IT60" s="150"/>
      <c r="IU60" s="150"/>
      <c r="IV60" s="150"/>
      <c r="IW60" s="150"/>
    </row>
    <row r="61" customFormat="false" ht="12.75" hidden="false" customHeight="false" outlineLevel="0" collapsed="false">
      <c r="A61" s="150"/>
      <c r="B61" s="66" t="s">
        <v>186</v>
      </c>
      <c r="C61" s="135" t="s">
        <v>273</v>
      </c>
      <c r="D61" s="135" t="s">
        <v>192</v>
      </c>
      <c r="E61" s="151" t="n">
        <v>36800</v>
      </c>
      <c r="F61" s="151" t="n">
        <v>37164</v>
      </c>
      <c r="G61" s="66" t="s">
        <v>321</v>
      </c>
      <c r="H61" s="66" t="s">
        <v>347</v>
      </c>
      <c r="I61" s="135" t="s">
        <v>111</v>
      </c>
      <c r="J61" s="152" t="e">
        <f aca="false">6.401/#REF!</f>
        <v>#REF!</v>
      </c>
      <c r="K61" s="99"/>
      <c r="L61" s="99"/>
      <c r="M61" s="99"/>
      <c r="N61" s="99"/>
      <c r="O61" s="153"/>
      <c r="P61" s="99"/>
      <c r="Q61" s="132" t="n">
        <v>69424</v>
      </c>
      <c r="R61" s="135" t="n">
        <v>13</v>
      </c>
      <c r="S61" s="66" t="s">
        <v>348</v>
      </c>
      <c r="T61" s="64" t="e">
        <f aca="false">+J61*R61</f>
        <v>#REF!</v>
      </c>
      <c r="U61" s="64"/>
      <c r="V61" s="65" t="n">
        <v>418221</v>
      </c>
      <c r="W61" s="66"/>
      <c r="X61" s="67"/>
      <c r="Y61" s="6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50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  <c r="IK61" s="150"/>
      <c r="IL61" s="150"/>
      <c r="IM61" s="150"/>
      <c r="IN61" s="150"/>
      <c r="IO61" s="150"/>
      <c r="IP61" s="150"/>
      <c r="IQ61" s="150"/>
      <c r="IR61" s="150"/>
      <c r="IS61" s="150"/>
      <c r="IT61" s="150"/>
      <c r="IU61" s="150"/>
      <c r="IV61" s="150"/>
      <c r="IW61" s="150"/>
    </row>
    <row r="62" customFormat="false" ht="12.75" hidden="false" customHeight="false" outlineLevel="0" collapsed="false">
      <c r="A62" s="150"/>
      <c r="B62" s="66" t="s">
        <v>186</v>
      </c>
      <c r="C62" s="135" t="s">
        <v>273</v>
      </c>
      <c r="D62" s="135" t="s">
        <v>188</v>
      </c>
      <c r="E62" s="151" t="n">
        <v>36647</v>
      </c>
      <c r="F62" s="151" t="n">
        <v>37011</v>
      </c>
      <c r="G62" s="66" t="s">
        <v>321</v>
      </c>
      <c r="H62" s="66" t="s">
        <v>349</v>
      </c>
      <c r="I62" s="135" t="s">
        <v>111</v>
      </c>
      <c r="J62" s="69" t="n">
        <f aca="false">6.401/$J$1</f>
        <v>0.213366666666667</v>
      </c>
      <c r="K62" s="99"/>
      <c r="L62" s="99"/>
      <c r="M62" s="99"/>
      <c r="N62" s="99"/>
      <c r="O62" s="153"/>
      <c r="P62" s="99"/>
      <c r="Q62" s="132" t="n">
        <v>68257</v>
      </c>
      <c r="R62" s="135" t="n">
        <v>21</v>
      </c>
      <c r="S62" s="66" t="s">
        <v>350</v>
      </c>
      <c r="T62" s="64" t="n">
        <f aca="false">+R62*J62</f>
        <v>4.4807</v>
      </c>
      <c r="U62" s="64"/>
      <c r="V62" s="65" t="n">
        <v>254718</v>
      </c>
      <c r="W62" s="66"/>
      <c r="X62" s="67"/>
      <c r="Y62" s="67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50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  <c r="IK62" s="150"/>
      <c r="IL62" s="150"/>
      <c r="IM62" s="150"/>
      <c r="IN62" s="150"/>
      <c r="IO62" s="150"/>
      <c r="IP62" s="150"/>
      <c r="IQ62" s="150"/>
      <c r="IR62" s="150"/>
      <c r="IS62" s="150"/>
      <c r="IT62" s="150"/>
      <c r="IU62" s="150"/>
      <c r="IV62" s="150"/>
      <c r="IW62" s="150"/>
    </row>
    <row r="63" customFormat="false" ht="12.75" hidden="false" customHeight="false" outlineLevel="0" collapsed="false">
      <c r="G63" s="51"/>
      <c r="H63" s="51"/>
      <c r="O63" s="52"/>
      <c r="T63" s="97" t="n">
        <f aca="false">+R63*J63</f>
        <v>0</v>
      </c>
      <c r="V63" s="53"/>
      <c r="W63" s="51"/>
      <c r="X63" s="53"/>
      <c r="Y63" s="53"/>
    </row>
    <row r="64" customFormat="false" ht="12.75" hidden="false" customHeight="false" outlineLevel="0" collapsed="false">
      <c r="B64" s="139" t="s">
        <v>155</v>
      </c>
      <c r="C64" s="140" t="s">
        <v>155</v>
      </c>
      <c r="D64" s="140" t="s">
        <v>155</v>
      </c>
      <c r="E64" s="142" t="s">
        <v>155</v>
      </c>
      <c r="F64" s="142" t="s">
        <v>155</v>
      </c>
      <c r="G64" s="139" t="s">
        <v>155</v>
      </c>
      <c r="H64" s="143" t="s">
        <v>155</v>
      </c>
      <c r="I64" s="140" t="s">
        <v>155</v>
      </c>
      <c r="J64" s="144"/>
      <c r="K64" s="145"/>
      <c r="L64" s="145"/>
      <c r="M64" s="145"/>
      <c r="N64" s="145"/>
      <c r="O64" s="146"/>
      <c r="P64" s="145"/>
      <c r="Q64" s="147" t="s">
        <v>155</v>
      </c>
      <c r="R64" s="140" t="n">
        <f aca="false">SUM(R19:R62)</f>
        <v>34630</v>
      </c>
      <c r="S64" s="139" t="s">
        <v>155</v>
      </c>
      <c r="T64" s="148" t="e">
        <f aca="false">SUM(T4:T62)</f>
        <v>#REF!</v>
      </c>
      <c r="U64" s="148" t="e">
        <f aca="false">SUM(#REF!)</f>
        <v>#REF!</v>
      </c>
      <c r="V64" s="149"/>
      <c r="W64" s="143"/>
      <c r="X64" s="83"/>
      <c r="Y64" s="83"/>
    </row>
    <row r="67" customFormat="false" ht="12.75" hidden="false" customHeight="false" outlineLevel="0" collapsed="false">
      <c r="B67" s="74" t="s">
        <v>166</v>
      </c>
      <c r="C67" s="75" t="s">
        <v>167</v>
      </c>
      <c r="D67" s="75" t="s">
        <v>168</v>
      </c>
      <c r="E67" s="76" t="s">
        <v>169</v>
      </c>
      <c r="F67" s="76"/>
      <c r="G67" s="74" t="s">
        <v>170</v>
      </c>
      <c r="H67" s="74" t="s">
        <v>171</v>
      </c>
      <c r="I67" s="75" t="s">
        <v>172</v>
      </c>
      <c r="J67" s="77" t="s">
        <v>173</v>
      </c>
      <c r="K67" s="75" t="s">
        <v>174</v>
      </c>
      <c r="L67" s="75" t="s">
        <v>175</v>
      </c>
      <c r="M67" s="75" t="s">
        <v>176</v>
      </c>
      <c r="N67" s="75" t="s">
        <v>177</v>
      </c>
      <c r="O67" s="78" t="s">
        <v>178</v>
      </c>
      <c r="P67" s="75" t="s">
        <v>179</v>
      </c>
      <c r="Q67" s="79" t="s">
        <v>180</v>
      </c>
      <c r="R67" s="75" t="s">
        <v>181</v>
      </c>
      <c r="S67" s="74" t="s">
        <v>182</v>
      </c>
      <c r="T67" s="80" t="s">
        <v>183</v>
      </c>
      <c r="U67" s="80" t="s">
        <v>184</v>
      </c>
      <c r="V67" s="81" t="s">
        <v>185</v>
      </c>
      <c r="W67" s="82" t="e">
        <f aca="false">+#REF!</f>
        <v>#REF!</v>
      </c>
      <c r="X67" s="83"/>
      <c r="Y67" s="83"/>
    </row>
    <row r="68" customFormat="false" ht="12.75" hidden="false" customHeight="false" outlineLevel="0" collapsed="false">
      <c r="A68" s="96"/>
      <c r="B68" s="57" t="s">
        <v>186</v>
      </c>
      <c r="C68" s="55" t="s">
        <v>187</v>
      </c>
      <c r="D68" s="55" t="s">
        <v>188</v>
      </c>
      <c r="E68" s="56" t="n">
        <v>36678</v>
      </c>
      <c r="F68" s="56" t="n">
        <v>37042</v>
      </c>
      <c r="G68" s="57" t="s">
        <v>189</v>
      </c>
      <c r="H68" s="57" t="s">
        <v>190</v>
      </c>
      <c r="I68" s="55" t="s">
        <v>191</v>
      </c>
      <c r="J68" s="69" t="n">
        <f aca="false">3.145/J$1</f>
        <v>0.104833333333333</v>
      </c>
      <c r="K68" s="60" t="n">
        <v>0.0132</v>
      </c>
      <c r="L68" s="60" t="n">
        <v>0.0022</v>
      </c>
      <c r="M68" s="60" t="n">
        <v>0</v>
      </c>
      <c r="N68" s="60" t="n">
        <v>0</v>
      </c>
      <c r="O68" s="61" t="n">
        <v>0.02116</v>
      </c>
      <c r="P68" s="60" t="n">
        <f aca="false">SUM(J68:N68)</f>
        <v>0.120233333333333</v>
      </c>
      <c r="Q68" s="62" t="n">
        <v>68360</v>
      </c>
      <c r="R68" s="55" t="n">
        <v>291</v>
      </c>
      <c r="S68" s="57"/>
      <c r="T68" s="97" t="n">
        <f aca="false">J68*J$1*R68</f>
        <v>915.195</v>
      </c>
      <c r="U68" s="97"/>
      <c r="V68" s="98" t="n">
        <v>271311</v>
      </c>
      <c r="W68" s="57"/>
      <c r="X68" s="83"/>
      <c r="Y68" s="83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2.75" hidden="false" customHeight="false" outlineLevel="0" collapsed="false">
      <c r="A69" s="96"/>
      <c r="B69" s="57" t="s">
        <v>186</v>
      </c>
      <c r="C69" s="55" t="s">
        <v>187</v>
      </c>
      <c r="D69" s="55" t="s">
        <v>192</v>
      </c>
      <c r="E69" s="56" t="n">
        <v>36678</v>
      </c>
      <c r="F69" s="56" t="n">
        <v>37042</v>
      </c>
      <c r="G69" s="57" t="s">
        <v>189</v>
      </c>
      <c r="H69" s="57" t="s">
        <v>190</v>
      </c>
      <c r="I69" s="55" t="s">
        <v>191</v>
      </c>
      <c r="J69" s="69" t="n">
        <f aca="false">3.145/J$1</f>
        <v>0.104833333333333</v>
      </c>
      <c r="K69" s="60" t="n">
        <v>0.0132</v>
      </c>
      <c r="L69" s="60" t="n">
        <v>0.0022</v>
      </c>
      <c r="M69" s="60" t="n">
        <v>0</v>
      </c>
      <c r="N69" s="60" t="n">
        <v>0</v>
      </c>
      <c r="O69" s="61" t="n">
        <v>0.02116</v>
      </c>
      <c r="P69" s="60" t="n">
        <f aca="false">SUM(J69:N69)</f>
        <v>0.120233333333333</v>
      </c>
      <c r="Q69" s="62" t="n">
        <v>68385</v>
      </c>
      <c r="R69" s="55" t="n">
        <v>223</v>
      </c>
      <c r="S69" s="57"/>
      <c r="T69" s="97" t="n">
        <f aca="false">J69*J$1*R69</f>
        <v>701.335</v>
      </c>
      <c r="U69" s="97"/>
      <c r="V69" s="98" t="n">
        <v>280550</v>
      </c>
      <c r="W69" s="57"/>
      <c r="X69" s="83"/>
      <c r="Y69" s="83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2.75" hidden="false" customHeight="false" outlineLevel="0" collapsed="false">
      <c r="A70" s="96"/>
      <c r="B70" s="57" t="s">
        <v>186</v>
      </c>
      <c r="C70" s="55" t="s">
        <v>187</v>
      </c>
      <c r="D70" s="55" t="s">
        <v>188</v>
      </c>
      <c r="E70" s="56" t="n">
        <v>36708</v>
      </c>
      <c r="F70" s="56" t="n">
        <v>37072</v>
      </c>
      <c r="G70" s="57" t="s">
        <v>189</v>
      </c>
      <c r="H70" s="57" t="s">
        <v>190</v>
      </c>
      <c r="I70" s="55" t="s">
        <v>191</v>
      </c>
      <c r="J70" s="69" t="n">
        <f aca="false">3.145/J$1</f>
        <v>0.104833333333333</v>
      </c>
      <c r="K70" s="60" t="n">
        <v>0.0132</v>
      </c>
      <c r="L70" s="60" t="n">
        <v>0.0022</v>
      </c>
      <c r="M70" s="60" t="n">
        <v>0</v>
      </c>
      <c r="N70" s="60" t="n">
        <v>0</v>
      </c>
      <c r="O70" s="61" t="n">
        <v>0.02116</v>
      </c>
      <c r="P70" s="60" t="n">
        <f aca="false">SUM(J70:N70)</f>
        <v>0.120233333333333</v>
      </c>
      <c r="Q70" s="62" t="n">
        <v>68615</v>
      </c>
      <c r="R70" s="55" t="n">
        <v>920</v>
      </c>
      <c r="S70" s="57"/>
      <c r="T70" s="97" t="n">
        <f aca="false">J70*J$1*R70</f>
        <v>2893.4</v>
      </c>
      <c r="U70" s="97"/>
      <c r="V70" s="98" t="n">
        <v>309873</v>
      </c>
      <c r="W70" s="57"/>
      <c r="X70" s="83"/>
      <c r="Y70" s="83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2.75" hidden="false" customHeight="false" outlineLevel="0" collapsed="false">
      <c r="A71" s="96"/>
      <c r="B71" s="57"/>
      <c r="C71" s="55"/>
      <c r="D71" s="55"/>
      <c r="E71" s="56"/>
      <c r="F71" s="56"/>
      <c r="G71" s="57"/>
      <c r="H71" s="57"/>
      <c r="I71" s="55"/>
      <c r="J71" s="69"/>
      <c r="K71" s="60"/>
      <c r="L71" s="60"/>
      <c r="M71" s="60"/>
      <c r="N71" s="60"/>
      <c r="O71" s="61"/>
      <c r="P71" s="60"/>
      <c r="Q71" s="62"/>
      <c r="R71" s="55"/>
      <c r="S71" s="57"/>
      <c r="T71" s="97"/>
      <c r="U71" s="97"/>
      <c r="V71" s="98"/>
      <c r="W71" s="57"/>
      <c r="X71" s="83"/>
      <c r="Y71" s="83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2.75" hidden="false" customHeight="false" outlineLevel="0" collapsed="false">
      <c r="A72" s="173"/>
      <c r="B72" s="174" t="s">
        <v>186</v>
      </c>
      <c r="C72" s="175" t="s">
        <v>187</v>
      </c>
      <c r="D72" s="175" t="s">
        <v>192</v>
      </c>
      <c r="E72" s="176" t="n">
        <v>36465</v>
      </c>
      <c r="F72" s="176" t="n">
        <v>36830</v>
      </c>
      <c r="G72" s="174" t="s">
        <v>189</v>
      </c>
      <c r="H72" s="174" t="s">
        <v>190</v>
      </c>
      <c r="I72" s="175" t="s">
        <v>191</v>
      </c>
      <c r="J72" s="177" t="n">
        <f aca="false">3.145/J$1</f>
        <v>0.104833333333333</v>
      </c>
      <c r="K72" s="178" t="n">
        <v>0.0132</v>
      </c>
      <c r="L72" s="178" t="n">
        <v>0.0022</v>
      </c>
      <c r="M72" s="178" t="n">
        <v>0</v>
      </c>
      <c r="N72" s="178" t="n">
        <v>0</v>
      </c>
      <c r="O72" s="179" t="n">
        <v>0.02116</v>
      </c>
      <c r="P72" s="178" t="n">
        <f aca="false">SUM(J72:N72)</f>
        <v>0.120233333333333</v>
      </c>
      <c r="Q72" s="180" t="n">
        <v>65027</v>
      </c>
      <c r="R72" s="175" t="n">
        <v>131</v>
      </c>
      <c r="S72" s="174" t="s">
        <v>193</v>
      </c>
      <c r="T72" s="181" t="n">
        <f aca="false">J72*J$1*R72</f>
        <v>411.995</v>
      </c>
      <c r="U72" s="181"/>
      <c r="V72" s="182" t="n">
        <v>156666</v>
      </c>
      <c r="W72" s="174" t="s">
        <v>194</v>
      </c>
      <c r="X72" s="183"/>
      <c r="Y72" s="18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3"/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3"/>
      <c r="CM72" s="173"/>
      <c r="CN72" s="173"/>
      <c r="CO72" s="173"/>
      <c r="CP72" s="173"/>
      <c r="CQ72" s="173"/>
      <c r="CR72" s="173"/>
      <c r="CS72" s="173"/>
      <c r="CT72" s="173"/>
      <c r="CU72" s="173"/>
      <c r="CV72" s="173"/>
      <c r="CW72" s="173"/>
      <c r="CX72" s="173"/>
      <c r="CY72" s="173"/>
      <c r="CZ72" s="173"/>
      <c r="DA72" s="173"/>
      <c r="DB72" s="173"/>
      <c r="DC72" s="173"/>
      <c r="DD72" s="173"/>
      <c r="DE72" s="173"/>
      <c r="DF72" s="173"/>
      <c r="DG72" s="173"/>
      <c r="DH72" s="173"/>
      <c r="DI72" s="173"/>
      <c r="DJ72" s="173"/>
      <c r="DK72" s="173"/>
      <c r="DL72" s="173"/>
      <c r="DM72" s="173"/>
      <c r="DN72" s="173"/>
      <c r="DO72" s="173"/>
      <c r="DP72" s="173"/>
      <c r="DQ72" s="173"/>
      <c r="DR72" s="173"/>
      <c r="DS72" s="173"/>
      <c r="DT72" s="173"/>
      <c r="DU72" s="173"/>
      <c r="DV72" s="173"/>
      <c r="DW72" s="173"/>
      <c r="DX72" s="173"/>
      <c r="DY72" s="173"/>
      <c r="DZ72" s="173"/>
      <c r="EA72" s="173"/>
      <c r="EB72" s="173"/>
      <c r="EC72" s="173"/>
      <c r="ED72" s="173"/>
      <c r="EE72" s="173"/>
      <c r="EF72" s="173"/>
      <c r="EG72" s="173"/>
      <c r="EH72" s="173"/>
      <c r="EI72" s="173"/>
      <c r="EJ72" s="173"/>
      <c r="EK72" s="173"/>
      <c r="EL72" s="173"/>
      <c r="EM72" s="173"/>
      <c r="EN72" s="173"/>
      <c r="EO72" s="173"/>
      <c r="EP72" s="173"/>
      <c r="EQ72" s="173"/>
      <c r="ER72" s="173"/>
      <c r="ES72" s="173"/>
      <c r="ET72" s="173"/>
      <c r="EU72" s="173"/>
      <c r="EV72" s="173"/>
      <c r="EW72" s="173"/>
      <c r="EX72" s="173"/>
      <c r="EY72" s="173"/>
      <c r="EZ72" s="173"/>
      <c r="FA72" s="173"/>
      <c r="FB72" s="173"/>
      <c r="FC72" s="173"/>
      <c r="FD72" s="173"/>
      <c r="FE72" s="173"/>
      <c r="FF72" s="173"/>
      <c r="FG72" s="173"/>
      <c r="FH72" s="173"/>
      <c r="FI72" s="173"/>
      <c r="FJ72" s="173"/>
      <c r="FK72" s="173"/>
      <c r="FL72" s="173"/>
      <c r="FM72" s="173"/>
      <c r="FN72" s="173"/>
      <c r="FO72" s="173"/>
      <c r="FP72" s="173"/>
      <c r="FQ72" s="173"/>
      <c r="FR72" s="173"/>
      <c r="FS72" s="173"/>
      <c r="FT72" s="173"/>
      <c r="FU72" s="173"/>
      <c r="FV72" s="173"/>
      <c r="FW72" s="173"/>
      <c r="FX72" s="173"/>
      <c r="FY72" s="173"/>
      <c r="FZ72" s="173"/>
      <c r="GA72" s="173"/>
      <c r="GB72" s="173"/>
      <c r="GC72" s="173"/>
      <c r="GD72" s="173"/>
      <c r="GE72" s="173"/>
      <c r="GF72" s="173"/>
      <c r="GG72" s="173"/>
      <c r="GH72" s="173"/>
      <c r="GI72" s="173"/>
      <c r="GJ72" s="173"/>
      <c r="GK72" s="173"/>
      <c r="GL72" s="173"/>
      <c r="GM72" s="173"/>
      <c r="GN72" s="173"/>
      <c r="GO72" s="173"/>
      <c r="GP72" s="173"/>
      <c r="GQ72" s="173"/>
      <c r="GR72" s="173"/>
      <c r="GS72" s="173"/>
      <c r="GT72" s="173"/>
      <c r="GU72" s="173"/>
      <c r="GV72" s="173"/>
      <c r="GW72" s="173"/>
      <c r="GX72" s="173"/>
      <c r="GY72" s="173"/>
      <c r="GZ72" s="173"/>
      <c r="HA72" s="173"/>
      <c r="HB72" s="173"/>
      <c r="HC72" s="173"/>
      <c r="HD72" s="173"/>
      <c r="HE72" s="173"/>
      <c r="HF72" s="173"/>
      <c r="HG72" s="173"/>
      <c r="HH72" s="173"/>
      <c r="HI72" s="173"/>
      <c r="HJ72" s="173"/>
      <c r="HK72" s="173"/>
      <c r="HL72" s="173"/>
      <c r="HM72" s="173"/>
      <c r="HN72" s="173"/>
      <c r="HO72" s="173"/>
      <c r="HP72" s="173"/>
      <c r="HQ72" s="173"/>
      <c r="HR72" s="173"/>
      <c r="HS72" s="173"/>
      <c r="HT72" s="173"/>
      <c r="HU72" s="173"/>
      <c r="HV72" s="173"/>
      <c r="HW72" s="173"/>
      <c r="HX72" s="173"/>
      <c r="HY72" s="173"/>
      <c r="HZ72" s="173"/>
      <c r="IA72" s="173"/>
      <c r="IB72" s="173"/>
      <c r="IC72" s="173"/>
      <c r="ID72" s="173"/>
      <c r="IE72" s="173"/>
      <c r="IF72" s="173"/>
      <c r="IG72" s="173"/>
      <c r="IH72" s="173"/>
      <c r="II72" s="173"/>
      <c r="IJ72" s="173"/>
      <c r="IK72" s="173"/>
      <c r="IL72" s="173"/>
      <c r="IM72" s="173"/>
      <c r="IN72" s="173"/>
      <c r="IO72" s="173"/>
      <c r="IP72" s="173"/>
      <c r="IQ72" s="173"/>
      <c r="IR72" s="173"/>
      <c r="IS72" s="173"/>
      <c r="IT72" s="173"/>
      <c r="IU72" s="173"/>
      <c r="IV72" s="173"/>
      <c r="IW72" s="173"/>
    </row>
    <row r="73" customFormat="false" ht="12.75" hidden="false" customHeight="false" outlineLevel="0" collapsed="false">
      <c r="A73" s="184"/>
      <c r="B73" s="185" t="s">
        <v>281</v>
      </c>
      <c r="C73" s="186" t="s">
        <v>187</v>
      </c>
      <c r="D73" s="186" t="s">
        <v>192</v>
      </c>
      <c r="E73" s="187" t="n">
        <v>36831</v>
      </c>
      <c r="F73" s="187" t="n">
        <v>37195</v>
      </c>
      <c r="G73" s="185" t="s">
        <v>189</v>
      </c>
      <c r="H73" s="185" t="s">
        <v>190</v>
      </c>
      <c r="I73" s="186" t="s">
        <v>191</v>
      </c>
      <c r="J73" s="188" t="n">
        <f aca="false">3.145/J$1</f>
        <v>0.104833333333333</v>
      </c>
      <c r="K73" s="189" t="n">
        <v>0.0132</v>
      </c>
      <c r="L73" s="189" t="n">
        <v>0.0022</v>
      </c>
      <c r="M73" s="189" t="n">
        <v>0</v>
      </c>
      <c r="N73" s="189" t="n">
        <v>0</v>
      </c>
      <c r="O73" s="190" t="n">
        <v>0.02116</v>
      </c>
      <c r="P73" s="189" t="n">
        <f aca="false">SUM(J73:N73)</f>
        <v>0.120233333333333</v>
      </c>
      <c r="Q73" s="191"/>
      <c r="R73" s="186" t="n">
        <v>129</v>
      </c>
      <c r="S73" s="185" t="s">
        <v>396</v>
      </c>
      <c r="T73" s="192" t="n">
        <f aca="false">J73*J$1*R73</f>
        <v>405.705</v>
      </c>
      <c r="U73" s="192"/>
      <c r="V73" s="193" t="n">
        <v>156666</v>
      </c>
      <c r="W73" s="185" t="s">
        <v>194</v>
      </c>
      <c r="X73" s="194"/>
      <c r="Y73" s="19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184"/>
      <c r="BP73" s="184"/>
      <c r="BQ73" s="184"/>
      <c r="BR73" s="184"/>
      <c r="BS73" s="184"/>
      <c r="BT73" s="184"/>
      <c r="BU73" s="184"/>
      <c r="BV73" s="184"/>
      <c r="BW73" s="184"/>
      <c r="BX73" s="184"/>
      <c r="BY73" s="184"/>
      <c r="BZ73" s="184"/>
      <c r="CA73" s="184"/>
      <c r="CB73" s="184"/>
      <c r="CC73" s="184"/>
      <c r="CD73" s="184"/>
      <c r="CE73" s="184"/>
      <c r="CF73" s="184"/>
      <c r="CG73" s="184"/>
      <c r="CH73" s="184"/>
      <c r="CI73" s="184"/>
      <c r="CJ73" s="184"/>
      <c r="CK73" s="184"/>
      <c r="CL73" s="184"/>
      <c r="CM73" s="184"/>
      <c r="CN73" s="184"/>
      <c r="CO73" s="184"/>
      <c r="CP73" s="184"/>
      <c r="CQ73" s="184"/>
      <c r="CR73" s="184"/>
      <c r="CS73" s="184"/>
      <c r="CT73" s="184"/>
      <c r="CU73" s="184"/>
      <c r="CV73" s="184"/>
      <c r="CW73" s="184"/>
      <c r="CX73" s="184"/>
      <c r="CY73" s="184"/>
      <c r="CZ73" s="184"/>
      <c r="DA73" s="184"/>
      <c r="DB73" s="184"/>
      <c r="DC73" s="184"/>
      <c r="DD73" s="184"/>
      <c r="DE73" s="184"/>
      <c r="DF73" s="184"/>
      <c r="DG73" s="184"/>
      <c r="DH73" s="184"/>
      <c r="DI73" s="184"/>
      <c r="DJ73" s="184"/>
      <c r="DK73" s="184"/>
      <c r="DL73" s="184"/>
      <c r="DM73" s="184"/>
      <c r="DN73" s="184"/>
      <c r="DO73" s="184"/>
      <c r="DP73" s="184"/>
      <c r="DQ73" s="184"/>
      <c r="DR73" s="184"/>
      <c r="DS73" s="184"/>
      <c r="DT73" s="184"/>
      <c r="DU73" s="184"/>
      <c r="DV73" s="184"/>
      <c r="DW73" s="184"/>
      <c r="DX73" s="184"/>
      <c r="DY73" s="184"/>
      <c r="DZ73" s="184"/>
      <c r="EA73" s="184"/>
      <c r="EB73" s="184"/>
      <c r="EC73" s="184"/>
      <c r="ED73" s="184"/>
      <c r="EE73" s="184"/>
      <c r="EF73" s="184"/>
      <c r="EG73" s="184"/>
      <c r="EH73" s="184"/>
      <c r="EI73" s="184"/>
      <c r="EJ73" s="184"/>
      <c r="EK73" s="184"/>
      <c r="EL73" s="184"/>
      <c r="EM73" s="184"/>
      <c r="EN73" s="184"/>
      <c r="EO73" s="184"/>
      <c r="EP73" s="184"/>
      <c r="EQ73" s="184"/>
      <c r="ER73" s="184"/>
      <c r="ES73" s="184"/>
      <c r="ET73" s="184"/>
      <c r="EU73" s="184"/>
      <c r="EV73" s="184"/>
      <c r="EW73" s="184"/>
      <c r="EX73" s="184"/>
      <c r="EY73" s="184"/>
      <c r="EZ73" s="184"/>
      <c r="FA73" s="184"/>
      <c r="FB73" s="184"/>
      <c r="FC73" s="184"/>
      <c r="FD73" s="184"/>
      <c r="FE73" s="184"/>
      <c r="FF73" s="184"/>
      <c r="FG73" s="184"/>
      <c r="FH73" s="184"/>
      <c r="FI73" s="184"/>
      <c r="FJ73" s="184"/>
      <c r="FK73" s="184"/>
      <c r="FL73" s="184"/>
      <c r="FM73" s="184"/>
      <c r="FN73" s="184"/>
      <c r="FO73" s="184"/>
      <c r="FP73" s="184"/>
      <c r="FQ73" s="184"/>
      <c r="FR73" s="184"/>
      <c r="FS73" s="184"/>
      <c r="FT73" s="184"/>
      <c r="FU73" s="184"/>
      <c r="FV73" s="184"/>
      <c r="FW73" s="184"/>
      <c r="FX73" s="184"/>
      <c r="FY73" s="184"/>
      <c r="FZ73" s="184"/>
      <c r="GA73" s="184"/>
      <c r="GB73" s="184"/>
      <c r="GC73" s="184"/>
      <c r="GD73" s="184"/>
      <c r="GE73" s="184"/>
      <c r="GF73" s="184"/>
      <c r="GG73" s="184"/>
      <c r="GH73" s="184"/>
      <c r="GI73" s="184"/>
      <c r="GJ73" s="184"/>
      <c r="GK73" s="184"/>
      <c r="GL73" s="184"/>
      <c r="GM73" s="184"/>
      <c r="GN73" s="184"/>
      <c r="GO73" s="184"/>
      <c r="GP73" s="184"/>
      <c r="GQ73" s="184"/>
      <c r="GR73" s="184"/>
      <c r="GS73" s="184"/>
      <c r="GT73" s="184"/>
      <c r="GU73" s="184"/>
      <c r="GV73" s="184"/>
      <c r="GW73" s="184"/>
      <c r="GX73" s="184"/>
      <c r="GY73" s="184"/>
      <c r="GZ73" s="184"/>
      <c r="HA73" s="184"/>
      <c r="HB73" s="184"/>
      <c r="HC73" s="184"/>
      <c r="HD73" s="184"/>
      <c r="HE73" s="184"/>
      <c r="HF73" s="184"/>
      <c r="HG73" s="184"/>
      <c r="HH73" s="184"/>
      <c r="HI73" s="184"/>
      <c r="HJ73" s="184"/>
      <c r="HK73" s="184"/>
      <c r="HL73" s="184"/>
      <c r="HM73" s="184"/>
      <c r="HN73" s="184"/>
      <c r="HO73" s="184"/>
      <c r="HP73" s="184"/>
      <c r="HQ73" s="184"/>
      <c r="HR73" s="184"/>
      <c r="HS73" s="184"/>
      <c r="HT73" s="184"/>
      <c r="HU73" s="184"/>
      <c r="HV73" s="184"/>
      <c r="HW73" s="184"/>
      <c r="HX73" s="184"/>
      <c r="HY73" s="184"/>
      <c r="HZ73" s="184"/>
      <c r="IA73" s="184"/>
      <c r="IB73" s="184"/>
      <c r="IC73" s="184"/>
      <c r="ID73" s="184"/>
      <c r="IE73" s="184"/>
      <c r="IF73" s="184"/>
      <c r="IG73" s="184"/>
      <c r="IH73" s="184"/>
      <c r="II73" s="184"/>
      <c r="IJ73" s="184"/>
      <c r="IK73" s="184"/>
      <c r="IL73" s="184"/>
      <c r="IM73" s="184"/>
      <c r="IN73" s="184"/>
      <c r="IO73" s="184"/>
      <c r="IP73" s="184"/>
      <c r="IQ73" s="184"/>
      <c r="IR73" s="184"/>
      <c r="IS73" s="184"/>
      <c r="IT73" s="184"/>
      <c r="IU73" s="184"/>
      <c r="IV73" s="184"/>
      <c r="IW73" s="184"/>
    </row>
    <row r="74" customFormat="false" ht="12.75" hidden="false" customHeight="false" outlineLevel="0" collapsed="false">
      <c r="A74" s="96"/>
      <c r="B74" s="57"/>
      <c r="C74" s="55"/>
      <c r="D74" s="55"/>
      <c r="E74" s="56"/>
      <c r="F74" s="56"/>
      <c r="G74" s="57"/>
      <c r="H74" s="57"/>
      <c r="I74" s="55"/>
      <c r="J74" s="69"/>
      <c r="K74" s="60"/>
      <c r="L74" s="60"/>
      <c r="M74" s="60"/>
      <c r="N74" s="60"/>
      <c r="O74" s="61"/>
      <c r="P74" s="60"/>
      <c r="Q74" s="62"/>
      <c r="R74" s="55"/>
      <c r="S74" s="57"/>
      <c r="T74" s="97"/>
      <c r="U74" s="97"/>
      <c r="V74" s="98"/>
      <c r="W74" s="57"/>
      <c r="X74" s="83"/>
      <c r="Y74" s="83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2.75" hidden="false" customHeight="false" outlineLevel="0" collapsed="false">
      <c r="A75" s="96"/>
      <c r="B75" s="57" t="s">
        <v>186</v>
      </c>
      <c r="C75" s="55" t="s">
        <v>187</v>
      </c>
      <c r="D75" s="55" t="s">
        <v>192</v>
      </c>
      <c r="E75" s="56" t="n">
        <v>36495</v>
      </c>
      <c r="F75" s="56" t="n">
        <v>36860</v>
      </c>
      <c r="G75" s="57" t="s">
        <v>189</v>
      </c>
      <c r="H75" s="57" t="s">
        <v>190</v>
      </c>
      <c r="I75" s="55" t="s">
        <v>191</v>
      </c>
      <c r="J75" s="69" t="n">
        <f aca="false">3.145/J$1</f>
        <v>0.104833333333333</v>
      </c>
      <c r="K75" s="60" t="n">
        <v>0.0132</v>
      </c>
      <c r="L75" s="60" t="n">
        <v>0.0022</v>
      </c>
      <c r="M75" s="60" t="n">
        <v>0</v>
      </c>
      <c r="N75" s="60" t="n">
        <v>0</v>
      </c>
      <c r="O75" s="61" t="n">
        <v>0.02116</v>
      </c>
      <c r="P75" s="60" t="n">
        <f aca="false">SUM(J75:N75)</f>
        <v>0.120233333333333</v>
      </c>
      <c r="Q75" s="62" t="n">
        <v>65557</v>
      </c>
      <c r="R75" s="55" t="n">
        <v>3</v>
      </c>
      <c r="S75" s="57"/>
      <c r="T75" s="97" t="n">
        <f aca="false">J75*J$1*R75</f>
        <v>9.435</v>
      </c>
      <c r="U75" s="97"/>
      <c r="V75" s="98" t="n">
        <v>156669</v>
      </c>
      <c r="W75" s="57"/>
      <c r="X75" s="83"/>
      <c r="Y75" s="83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12.75" hidden="false" customHeight="false" outlineLevel="0" collapsed="false">
      <c r="A76" s="96"/>
      <c r="B76" s="57" t="s">
        <v>186</v>
      </c>
      <c r="C76" s="55" t="s">
        <v>187</v>
      </c>
      <c r="D76" s="55" t="s">
        <v>188</v>
      </c>
      <c r="E76" s="56" t="n">
        <v>36708</v>
      </c>
      <c r="F76" s="56" t="s">
        <v>196</v>
      </c>
      <c r="G76" s="57" t="s">
        <v>189</v>
      </c>
      <c r="H76" s="57" t="s">
        <v>190</v>
      </c>
      <c r="I76" s="55" t="s">
        <v>191</v>
      </c>
      <c r="J76" s="69" t="e">
        <f aca="false">3.145/J57</f>
        <v>#REF!</v>
      </c>
      <c r="K76" s="60"/>
      <c r="L76" s="60"/>
      <c r="M76" s="60"/>
      <c r="N76" s="60"/>
      <c r="O76" s="61"/>
      <c r="P76" s="60"/>
      <c r="Q76" s="62" t="n">
        <v>68634</v>
      </c>
      <c r="R76" s="55" t="n">
        <v>1</v>
      </c>
      <c r="S76" s="57"/>
      <c r="T76" s="97" t="e">
        <f aca="false">J76*J$1*R76</f>
        <v>#REF!</v>
      </c>
      <c r="U76" s="97"/>
      <c r="V76" s="98" t="n">
        <v>312338</v>
      </c>
      <c r="W76" s="57"/>
      <c r="X76" s="83"/>
      <c r="Y76" s="83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12.75" hidden="false" customHeight="false" outlineLevel="0" collapsed="false">
      <c r="A77" s="96"/>
      <c r="B77" s="57" t="s">
        <v>186</v>
      </c>
      <c r="C77" s="55" t="s">
        <v>187</v>
      </c>
      <c r="D77" s="55" t="s">
        <v>192</v>
      </c>
      <c r="E77" s="56" t="n">
        <v>36557</v>
      </c>
      <c r="F77" s="56" t="n">
        <v>36922</v>
      </c>
      <c r="G77" s="57" t="s">
        <v>189</v>
      </c>
      <c r="H77" s="57" t="s">
        <v>190</v>
      </c>
      <c r="I77" s="55" t="s">
        <v>191</v>
      </c>
      <c r="J77" s="69" t="n">
        <f aca="false">3.145/31</f>
        <v>0.101451612903226</v>
      </c>
      <c r="K77" s="60"/>
      <c r="L77" s="60"/>
      <c r="M77" s="60"/>
      <c r="N77" s="60"/>
      <c r="O77" s="61"/>
      <c r="P77" s="60"/>
      <c r="Q77" s="62" t="n">
        <v>66283</v>
      </c>
      <c r="R77" s="55" t="n">
        <v>5</v>
      </c>
      <c r="S77" s="57"/>
      <c r="T77" s="195" t="n">
        <f aca="false">+J77*R77*31</f>
        <v>15.725</v>
      </c>
      <c r="U77" s="97"/>
      <c r="V77" s="98" t="n">
        <v>156674</v>
      </c>
      <c r="W77" s="57"/>
      <c r="X77" s="83"/>
      <c r="Y77" s="83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12.75" hidden="false" customHeight="false" outlineLevel="0" collapsed="false">
      <c r="A78" s="96"/>
      <c r="B78" s="57" t="s">
        <v>186</v>
      </c>
      <c r="C78" s="55" t="s">
        <v>187</v>
      </c>
      <c r="D78" s="55" t="s">
        <v>192</v>
      </c>
      <c r="E78" s="56" t="n">
        <v>36617</v>
      </c>
      <c r="F78" s="56" t="n">
        <v>36981</v>
      </c>
      <c r="G78" s="57" t="s">
        <v>189</v>
      </c>
      <c r="H78" s="57" t="s">
        <v>190</v>
      </c>
      <c r="I78" s="55" t="s">
        <v>191</v>
      </c>
      <c r="J78" s="69" t="e">
        <f aca="false">3.15/J57</f>
        <v>#REF!</v>
      </c>
      <c r="K78" s="60"/>
      <c r="L78" s="60"/>
      <c r="M78" s="60"/>
      <c r="N78" s="60"/>
      <c r="O78" s="61"/>
      <c r="P78" s="60"/>
      <c r="Q78" s="62" t="n">
        <v>66941</v>
      </c>
      <c r="R78" s="55" t="n">
        <v>53</v>
      </c>
      <c r="S78" s="57"/>
      <c r="T78" s="195" t="e">
        <f aca="false">+J78*R78*31</f>
        <v>#REF!</v>
      </c>
      <c r="U78" s="97"/>
      <c r="V78" s="98" t="n">
        <v>228122</v>
      </c>
      <c r="W78" s="57"/>
      <c r="X78" s="83"/>
      <c r="Y78" s="83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2.75" hidden="false" customHeight="false" outlineLevel="0" collapsed="false">
      <c r="A79" s="96"/>
      <c r="B79" s="57" t="s">
        <v>186</v>
      </c>
      <c r="C79" s="55" t="s">
        <v>187</v>
      </c>
      <c r="D79" s="55" t="s">
        <v>192</v>
      </c>
      <c r="E79" s="56" t="n">
        <v>36656</v>
      </c>
      <c r="F79" s="56" t="n">
        <v>36950</v>
      </c>
      <c r="G79" s="57" t="s">
        <v>189</v>
      </c>
      <c r="H79" s="57" t="s">
        <v>190</v>
      </c>
      <c r="I79" s="55" t="s">
        <v>191</v>
      </c>
      <c r="J79" s="69" t="e">
        <f aca="false">3.145/J57</f>
        <v>#REF!</v>
      </c>
      <c r="K79" s="60"/>
      <c r="L79" s="60"/>
      <c r="M79" s="60"/>
      <c r="N79" s="60"/>
      <c r="O79" s="61"/>
      <c r="P79" s="60"/>
      <c r="Q79" s="62" t="n">
        <v>68309</v>
      </c>
      <c r="R79" s="55" t="n">
        <v>9</v>
      </c>
      <c r="S79" s="57"/>
      <c r="T79" s="97" t="e">
        <f aca="false">+R79*J79*$J$1</f>
        <v>#REF!</v>
      </c>
      <c r="U79" s="97"/>
      <c r="V79" s="98" t="n">
        <v>262090</v>
      </c>
      <c r="W79" s="57" t="s">
        <v>199</v>
      </c>
      <c r="X79" s="83"/>
      <c r="Y79" s="83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2.75" hidden="false" customHeight="false" outlineLevel="0" collapsed="false">
      <c r="A80" s="96"/>
      <c r="B80" s="57" t="s">
        <v>186</v>
      </c>
      <c r="C80" s="55" t="s">
        <v>187</v>
      </c>
      <c r="D80" s="55" t="s">
        <v>192</v>
      </c>
      <c r="E80" s="56" t="n">
        <v>36739</v>
      </c>
      <c r="F80" s="56" t="n">
        <v>36738</v>
      </c>
      <c r="G80" s="57" t="s">
        <v>189</v>
      </c>
      <c r="H80" s="57" t="s">
        <v>190</v>
      </c>
      <c r="I80" s="55" t="s">
        <v>191</v>
      </c>
      <c r="J80" s="69" t="e">
        <f aca="false">3.145/J57</f>
        <v>#REF!</v>
      </c>
      <c r="K80" s="60"/>
      <c r="L80" s="60"/>
      <c r="M80" s="60"/>
      <c r="N80" s="60"/>
      <c r="O80" s="61"/>
      <c r="P80" s="60"/>
      <c r="Q80" s="62" t="n">
        <v>68929</v>
      </c>
      <c r="R80" s="55" t="n">
        <v>48</v>
      </c>
      <c r="S80" s="57" t="s">
        <v>200</v>
      </c>
      <c r="T80" s="97" t="e">
        <f aca="false">+R80*J80*$J$1</f>
        <v>#REF!</v>
      </c>
      <c r="U80" s="97"/>
      <c r="V80" s="98" t="n">
        <v>345091</v>
      </c>
      <c r="W80" s="57"/>
      <c r="X80" s="83"/>
      <c r="Y80" s="83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2.75" hidden="false" customHeight="false" outlineLevel="0" collapsed="false">
      <c r="A81" s="96"/>
      <c r="B81" s="57" t="s">
        <v>186</v>
      </c>
      <c r="C81" s="55" t="s">
        <v>187</v>
      </c>
      <c r="D81" s="55" t="s">
        <v>192</v>
      </c>
      <c r="E81" s="56" t="n">
        <v>36739</v>
      </c>
      <c r="F81" s="56" t="n">
        <v>37103</v>
      </c>
      <c r="G81" s="57" t="s">
        <v>189</v>
      </c>
      <c r="H81" s="57" t="s">
        <v>190</v>
      </c>
      <c r="I81" s="55" t="s">
        <v>191</v>
      </c>
      <c r="J81" s="69" t="e">
        <f aca="false">3.145/J57</f>
        <v>#REF!</v>
      </c>
      <c r="K81" s="60"/>
      <c r="L81" s="60"/>
      <c r="M81" s="60"/>
      <c r="N81" s="60"/>
      <c r="O81" s="61"/>
      <c r="P81" s="60"/>
      <c r="Q81" s="62" t="n">
        <v>68927</v>
      </c>
      <c r="R81" s="55" t="n">
        <v>4</v>
      </c>
      <c r="S81" s="57" t="s">
        <v>201</v>
      </c>
      <c r="T81" s="97" t="e">
        <f aca="false">+R81*J81*$J$1</f>
        <v>#REF!</v>
      </c>
      <c r="U81" s="97"/>
      <c r="V81" s="98" t="n">
        <v>345112</v>
      </c>
      <c r="W81" s="57"/>
      <c r="X81" s="83"/>
      <c r="Y81" s="83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2.75" hidden="false" customHeight="false" outlineLevel="0" collapsed="false">
      <c r="A82" s="96"/>
      <c r="B82" s="57" t="s">
        <v>186</v>
      </c>
      <c r="C82" s="55" t="s">
        <v>187</v>
      </c>
      <c r="D82" s="55" t="s">
        <v>192</v>
      </c>
      <c r="E82" s="56" t="n">
        <v>36770</v>
      </c>
      <c r="F82" s="56" t="n">
        <v>37104</v>
      </c>
      <c r="G82" s="57" t="s">
        <v>189</v>
      </c>
      <c r="H82" s="57" t="s">
        <v>190</v>
      </c>
      <c r="I82" s="55" t="s">
        <v>191</v>
      </c>
      <c r="J82" s="69" t="e">
        <f aca="false">3.145/J57</f>
        <v>#REF!</v>
      </c>
      <c r="K82" s="60"/>
      <c r="L82" s="60"/>
      <c r="M82" s="60"/>
      <c r="N82" s="60"/>
      <c r="O82" s="61"/>
      <c r="P82" s="60"/>
      <c r="Q82" s="62" t="n">
        <v>69145</v>
      </c>
      <c r="R82" s="55" t="n">
        <v>63</v>
      </c>
      <c r="S82" s="57" t="s">
        <v>202</v>
      </c>
      <c r="T82" s="97" t="e">
        <f aca="false">+R82*J82*J57</f>
        <v>#REF!</v>
      </c>
      <c r="U82" s="97"/>
      <c r="V82" s="98" t="n">
        <v>372169</v>
      </c>
      <c r="W82" s="57"/>
      <c r="X82" s="83"/>
      <c r="Y82" s="83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2.75" hidden="false" customHeight="false" outlineLevel="0" collapsed="false">
      <c r="A83" s="96"/>
      <c r="B83" s="57" t="s">
        <v>186</v>
      </c>
      <c r="C83" s="55" t="s">
        <v>187</v>
      </c>
      <c r="D83" s="55" t="s">
        <v>192</v>
      </c>
      <c r="E83" s="56" t="n">
        <v>36800</v>
      </c>
      <c r="F83" s="56" t="n">
        <v>36799</v>
      </c>
      <c r="G83" s="57" t="s">
        <v>189</v>
      </c>
      <c r="H83" s="57" t="s">
        <v>190</v>
      </c>
      <c r="I83" s="55" t="s">
        <v>191</v>
      </c>
      <c r="J83" s="69" t="e">
        <f aca="false">3.145/J57</f>
        <v>#REF!</v>
      </c>
      <c r="K83" s="60"/>
      <c r="L83" s="60"/>
      <c r="M83" s="60"/>
      <c r="N83" s="60"/>
      <c r="O83" s="61"/>
      <c r="P83" s="60"/>
      <c r="Q83" s="62" t="n">
        <v>69357</v>
      </c>
      <c r="R83" s="55" t="n">
        <v>13</v>
      </c>
      <c r="S83" s="57" t="s">
        <v>203</v>
      </c>
      <c r="T83" s="97" t="e">
        <f aca="false">+R83*J83*J57</f>
        <v>#REF!</v>
      </c>
      <c r="U83" s="97"/>
      <c r="V83" s="98" t="n">
        <v>418249</v>
      </c>
      <c r="W83" s="57"/>
      <c r="X83" s="83"/>
      <c r="Y83" s="83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2.75" hidden="false" customHeight="false" outlineLevel="0" collapsed="false">
      <c r="A84" s="96"/>
      <c r="B84" s="57" t="s">
        <v>186</v>
      </c>
      <c r="C84" s="55" t="s">
        <v>187</v>
      </c>
      <c r="D84" s="55" t="s">
        <v>188</v>
      </c>
      <c r="E84" s="56" t="n">
        <v>36647</v>
      </c>
      <c r="F84" s="56" t="n">
        <v>37011</v>
      </c>
      <c r="G84" s="57" t="s">
        <v>189</v>
      </c>
      <c r="H84" s="57" t="s">
        <v>190</v>
      </c>
      <c r="I84" s="55" t="s">
        <v>191</v>
      </c>
      <c r="J84" s="69" t="e">
        <f aca="false">3.154/J57</f>
        <v>#REF!</v>
      </c>
      <c r="K84" s="60"/>
      <c r="L84" s="60"/>
      <c r="M84" s="60"/>
      <c r="N84" s="60"/>
      <c r="O84" s="61"/>
      <c r="P84" s="60"/>
      <c r="Q84" s="62" t="n">
        <v>68281</v>
      </c>
      <c r="R84" s="55" t="n">
        <v>21</v>
      </c>
      <c r="S84" s="57" t="s">
        <v>204</v>
      </c>
      <c r="T84" s="97" t="e">
        <f aca="false">+R84*J84*$J$1</f>
        <v>#REF!</v>
      </c>
      <c r="U84" s="97"/>
      <c r="V84" s="98" t="n">
        <v>256413</v>
      </c>
      <c r="W84" s="57"/>
      <c r="X84" s="83"/>
      <c r="Y84" s="83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2.75" hidden="false" customHeight="false" outlineLevel="0" collapsed="false">
      <c r="G85" s="51"/>
      <c r="H85" s="51"/>
      <c r="O85" s="52"/>
      <c r="V85" s="53"/>
      <c r="W85" s="51"/>
      <c r="X85" s="53"/>
      <c r="Y85" s="53"/>
    </row>
    <row r="86" customFormat="false" ht="12.75" hidden="false" customHeight="false" outlineLevel="0" collapsed="false">
      <c r="A86" s="96"/>
      <c r="B86" s="57"/>
      <c r="C86" s="55"/>
      <c r="D86" s="55"/>
      <c r="E86" s="56"/>
      <c r="F86" s="56"/>
      <c r="G86" s="57"/>
      <c r="H86" s="57"/>
      <c r="I86" s="55"/>
      <c r="J86" s="69"/>
      <c r="K86" s="60"/>
      <c r="L86" s="60"/>
      <c r="M86" s="60"/>
      <c r="N86" s="60"/>
      <c r="O86" s="61"/>
      <c r="P86" s="60"/>
      <c r="Q86" s="62"/>
      <c r="R86" s="55"/>
      <c r="S86" s="57"/>
      <c r="T86" s="97"/>
      <c r="U86" s="97"/>
      <c r="V86" s="98"/>
      <c r="W86" s="57"/>
      <c r="X86" s="83"/>
      <c r="Y86" s="83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2000-10-24T16:48:59Z</cp:lastPrinted>
  <cp:revision>0</cp:revision>
  <dc:subject/>
  <dc:title/>
</cp:coreProperties>
</file>