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Spot Deals" sheetId="2" state="visible" r:id="rId4"/>
    <sheet name="CGAS" sheetId="3" state="visible" r:id="rId5"/>
    <sheet name="Pricing" sheetId="4" state="visible" r:id="rId6"/>
    <sheet name="CES Retail East" sheetId="5" state="visible" r:id="rId7"/>
    <sheet name="CES Retail Mrkt" sheetId="6" state="visible" r:id="rId8"/>
    <sheet name="Sheet1" sheetId="7" state="visible" r:id="rId9"/>
    <sheet name="Sheet2" sheetId="8" state="visible" r:id="rId10"/>
  </sheets>
  <definedNames>
    <definedName function="false" hidden="false" localSheetId="4" name="_xlnm.Print_Area" vbProcedure="false">'CES Retail East'!$A$1:$AC$91</definedName>
    <definedName function="false" hidden="false" localSheetId="5" name="_xlnm.Print_Area" vbProcedure="false">'CES Retail Mrkt'!$A$18:$W$61</definedName>
    <definedName function="false" hidden="false" localSheetId="0" name="_xlnm.Print_Area" vbProcedure="false">'Pricing Notes'!$A$1:$N$72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Purchased from New Power at $5.32, deal 431846.  Bookout with deal 431849.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7</xdr:col>
                <xdr:colOff>52</xdr:colOff>
                <xdr:row>15</xdr:row>
                <xdr:rowOff>15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414075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17</xdr:col>
                <xdr:colOff>1</xdr:colOff>
                <xdr:row>3</xdr:row>
                <xdr:rowOff>7</xdr:rowOff>
              </xdr:from>
              <xdr:to>
                <xdr:col>20</xdr:col>
                <xdr:colOff>63</xdr:colOff>
                <xdr:row>8</xdr:row>
                <xdr:rowOff>16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sold back 10,000 dth day for the 7th - 31st
at $5.32,  see deal 431846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27</xdr:col>
                <xdr:colOff>7</xdr:colOff>
                <xdr:row>10</xdr:row>
                <xdr:rowOff>7</xdr:rowOff>
              </xdr:from>
              <xdr:to>
                <xdr:col>31</xdr:col>
                <xdr:colOff>31</xdr:colOff>
                <xdr:row>17</xdr:row>
                <xdr:rowOff>11</xdr:rowOff>
              </xdr:to>
            </anchor>
          </commentPr>
        </mc:Choice>
        <mc:Fallback/>
      </mc:AlternateContent>
    </comment>
    <comment ref="M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sold 10,000 dth of pool gas to Aquila from the 27th - 31st.  ENA will show this as a sale to New Power at the pool, see deal 452810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27</xdr:col>
                <xdr:colOff>7</xdr:colOff>
                <xdr:row>30</xdr:row>
                <xdr:rowOff>7</xdr:rowOff>
              </xdr:from>
              <xdr:to>
                <xdr:col>31</xdr:col>
                <xdr:colOff>31</xdr:colOff>
                <xdr:row>37</xdr:row>
                <xdr:rowOff>17</xdr:rowOff>
              </xdr:to>
            </anchor>
          </commentPr>
        </mc:Choice>
        <mc:Fallback/>
      </mc:AlternateContent>
    </comment>
    <comment ref="Q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Gas Daily buyback deals  456630 and 456638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3</xdr:row>
                <xdr:rowOff>7</xdr:rowOff>
              </xdr:from>
              <xdr:to>
                <xdr:col>36</xdr:col>
                <xdr:colOff>64</xdr:colOff>
                <xdr:row>12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<sst xmlns="http://schemas.openxmlformats.org/spreadsheetml/2006/main" count="2188" uniqueCount="382">
  <si>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</si>
  <si>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</si>
  <si>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</si>
  <si>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</si>
  <si>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</si>
  <si>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</si>
  <si>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</si>
  <si>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</si>
  <si>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</si>
  <si>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</si>
  <si>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</si>
  <si>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</si>
  <si>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</si>
  <si>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</si>
  <si>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</si>
  <si>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</si>
  <si>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</si>
  <si>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</si>
  <si>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</si>
  <si>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</si>
  <si>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</si>
  <si>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</si>
  <si>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</si>
  <si>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</si>
  <si>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</si>
  <si>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</si>
  <si>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</si>
  <si>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</si>
  <si>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</si>
  <si>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</si>
  <si>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</si>
  <si>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</si>
  <si>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</si>
  <si>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</si>
  <si>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</si>
  <si>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</si>
  <si>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</si>
  <si>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</si>
  <si>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</si>
  <si>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</si>
  <si>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</si>
  <si>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</si>
  <si>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</si>
  <si>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</si>
  <si>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</si>
  <si>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</si>
  <si>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</si>
  <si>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</si>
  <si>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</si>
  <si>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</si>
  <si>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</si>
  <si>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</si>
  <si>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</si>
  <si>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</si>
  <si>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</si>
  <si>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</si>
  <si>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</si>
  <si>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</si>
  <si>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</si>
  <si>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</si>
  <si>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</si>
  <si>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</si>
  <si>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</si>
  <si>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</si>
  <si>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</si>
  <si>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A+B+C</t>
  </si>
  <si>
    <t xml:space="preserve">Storage</t>
  </si>
  <si>
    <t xml:space="preserve">CES Retail</t>
  </si>
  <si>
    <t xml:space="preserve">Calp</t>
  </si>
  <si>
    <t xml:space="preserve">Dayton</t>
  </si>
  <si>
    <t xml:space="preserve">Total</t>
  </si>
  <si>
    <t xml:space="preserve">Net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</si>
  <si>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</si>
  <si>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</si>
  <si>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</si>
  <si>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</si>
  <si>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</si>
  <si>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 &lt;== Total Undertakes</t>
  </si>
  <si>
    <t xml:space="preserve">CNG</t>
  </si>
  <si>
    <t xml:space="preserve">FT</t>
  </si>
  <si>
    <t xml:space="preserve">Index</t>
  </si>
  <si>
    <t xml:space="preserve">Index Prem</t>
  </si>
  <si>
    <t xml:space="preserve">Comm</t>
  </si>
  <si>
    <t xml:space="preserve">Surcharges</t>
  </si>
  <si>
    <t xml:space="preserve">Fuel</t>
  </si>
  <si>
    <t xml:space="preserve">Transport</t>
  </si>
  <si>
    <t xml:space="preserve">Demand For ENA Trans</t>
  </si>
  <si>
    <t xml:space="preserve">Deal 384397</t>
  </si>
  <si>
    <t xml:space="preserve">FTS</t>
  </si>
  <si>
    <t xml:space="preserve">ENA Trsp</t>
  </si>
  <si>
    <t xml:space="preserve">Storage Injection:</t>
  </si>
  <si>
    <t xml:space="preserve">Inj Comm</t>
  </si>
  <si>
    <t xml:space="preserve">Deal 377076</t>
  </si>
  <si>
    <t xml:space="preserve">Deal 414075</t>
  </si>
  <si>
    <t xml:space="preserve">Does not apply for September.</t>
  </si>
  <si>
    <t xml:space="preserve">Other Deals</t>
  </si>
  <si>
    <t xml:space="preserve">Bookout - deal 289587 with deal 376880.  Deal 376880 is a NYMX plus sale to New Power.  ENA purchased the gas back</t>
  </si>
  <si>
    <t xml:space="preserve">at CGAS IF + $.0075 at the pool and includes the volume in the FOM citygate deal.</t>
  </si>
  <si>
    <t xml:space="preserve">Bookout - deal 378935 with deal 377268.   Deal 377268 is a NYMX plus deal for deliveries to WGL.  New Power is taking all deliveries to WGL</t>
  </si>
  <si>
    <t xml:space="preserve">on CGAS with CGAS FOM pricing.  I will purchase the TRCO gas back at the FOM CGAS citygate price of $4.9476.</t>
  </si>
  <si>
    <t xml:space="preserve">Bookout - deal 378939 with deal 377264.   Deal 377264 is a NYMX plus deal for deliveries to WGL.  New Power is taking all deliveries to WGL</t>
  </si>
  <si>
    <t xml:space="preserve">CGLF</t>
  </si>
  <si>
    <t xml:space="preserve">FT-1</t>
  </si>
  <si>
    <t xml:space="preserve">Volume</t>
  </si>
  <si>
    <t xml:space="preserve">Deal 378894 (bookout with deal 380571)</t>
  </si>
  <si>
    <t xml:space="preserve">Deals 433359 and 433385</t>
  </si>
  <si>
    <t xml:space="preserve">Deal 227081, 227113</t>
  </si>
  <si>
    <t xml:space="preserve">Note:  New Power purchased gas from ENA at CGLF Mainline (deal 202939).  ENA will buy this gas back at the CGLF Onshore Index plus $.05,</t>
  </si>
  <si>
    <t xml:space="preserve">and sell the gas back to New Power at CGAS pool at CGLFOnshore Index +$.05 + variable cost from Mainline to Leach.</t>
  </si>
  <si>
    <t xml:space="preserve">ENA will buy the CGAS Pool gas back at the FOM price for CGAS.</t>
  </si>
  <si>
    <t xml:space="preserve">IT</t>
  </si>
  <si>
    <t xml:space="preserve">Delivered Price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</si>
  <si>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</si>
  <si>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</si>
  <si>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</si>
  <si>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</si>
  <si>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</si>
  <si>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</si>
  <si>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</si>
  <si>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</si>
  <si>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</si>
  <si>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</si>
  <si>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</si>
  <si>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</si>
  <si>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</si>
  <si>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</si>
  <si>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</si>
  <si>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</si>
  <si>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</si>
  <si>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</si>
  <si>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</si>
  <si>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</si>
  <si>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</si>
  <si>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</si>
  <si>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</si>
  <si>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</si>
  <si>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</si>
  <si>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</si>
  <si>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</si>
  <si>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</si>
  <si>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</si>
  <si>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</si>
  <si>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La</t>
  </si>
  <si>
    <t xml:space="preserve">Deal 231744</t>
  </si>
  <si>
    <t xml:space="preserve">CES East Desk Transportation Capacity for October,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</si>
  <si>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</si>
  <si>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</si>
  <si>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</si>
  <si>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</si>
  <si>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</si>
  <si>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</si>
  <si>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</si>
  <si>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</si>
  <si>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</si>
  <si>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</si>
  <si>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</si>
  <si>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</si>
  <si>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</si>
  <si>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</si>
  <si>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</si>
  <si>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</si>
  <si>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</si>
  <si>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</si>
  <si>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</si>
  <si>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</si>
  <si>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</si>
  <si>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</si>
  <si>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</si>
  <si>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</si>
  <si>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</si>
  <si>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</si>
  <si>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</si>
  <si>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</si>
  <si>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</si>
  <si>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</si>
  <si>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</si>
  <si>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</si>
  <si>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</si>
  <si>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</si>
  <si>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</si>
  <si>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</si>
  <si>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#27128</t>
  </si>
  <si>
    <t xml:space="preserve">6/31/01</t>
  </si>
  <si>
    <t xml:space="preserve">#27775</t>
  </si>
  <si>
    <t xml:space="preserve">#28330</t>
  </si>
  <si>
    <t xml:space="preserve">From CES #66615</t>
  </si>
  <si>
    <t xml:space="preserve">#29638</t>
  </si>
  <si>
    <t xml:space="preserve">#29637</t>
  </si>
  <si>
    <t xml:space="preserve">#29879</t>
  </si>
  <si>
    <t xml:space="preserve">#30177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</si>
  <si>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</si>
  <si>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</si>
  <si>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</si>
  <si>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</si>
  <si>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</si>
  <si>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</si>
  <si>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2000001931</t>
  </si>
  <si>
    <t xml:space="preserve">MDWQ</t>
  </si>
  <si>
    <t xml:space="preserve">2000001942</t>
  </si>
  <si>
    <t xml:space="preserve">Z3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</si>
  <si>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</si>
  <si>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</si>
  <si>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</si>
  <si>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</si>
  <si>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</si>
  <si>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2000001977</t>
  </si>
  <si>
    <t xml:space="preserve">2000001914</t>
  </si>
  <si>
    <t xml:space="preserve">2000001890</t>
  </si>
  <si>
    <t xml:space="preserve">SGA</t>
  </si>
  <si>
    <t xml:space="preserve">FSGA25</t>
  </si>
  <si>
    <t xml:space="preserve">2000002078</t>
  </si>
  <si>
    <t xml:space="preserve">2000001952</t>
  </si>
  <si>
    <t xml:space="preserve">Tenn</t>
  </si>
  <si>
    <t xml:space="preserve">Atlanta</t>
  </si>
  <si>
    <t xml:space="preserve">10/31/000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</si>
  <si>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</si>
  <si>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</si>
  <si>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</si>
  <si>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</si>
  <si>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</si>
  <si>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</si>
  <si>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</si>
  <si>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</si>
  <si>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</si>
  <si>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</si>
  <si>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</si>
  <si>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St 30</t>
  </si>
  <si>
    <t xml:space="preserve">6484 Atlanta</t>
  </si>
  <si>
    <t xml:space="preserve">FT -R</t>
  </si>
  <si>
    <t xml:space="preserve">#021351</t>
  </si>
  <si>
    <t xml:space="preserve">St 45</t>
  </si>
  <si>
    <t xml:space="preserve">#021608</t>
  </si>
  <si>
    <t xml:space="preserve">10/31/00.</t>
  </si>
  <si>
    <t xml:space="preserve">#021349</t>
  </si>
  <si>
    <t xml:space="preserve">6971 St 85</t>
  </si>
  <si>
    <t xml:space="preserve">FTCHR</t>
  </si>
  <si>
    <t xml:space="preserve">#021350</t>
  </si>
  <si>
    <t xml:space="preserve">#021609</t>
  </si>
  <si>
    <t xml:space="preserve">#021610</t>
  </si>
  <si>
    <t xml:space="preserve">WSR Capacity</t>
  </si>
  <si>
    <t xml:space="preserve">WSR</t>
  </si>
  <si>
    <t xml:space="preserve">#021646</t>
  </si>
  <si>
    <t xml:space="preserve">WSR Demand</t>
  </si>
  <si>
    <t xml:space="preserve">#021378</t>
  </si>
  <si>
    <t xml:space="preserve">9/31/2003</t>
  </si>
  <si>
    <t xml:space="preserve">ESR Capacity</t>
  </si>
  <si>
    <t xml:space="preserve">ESR</t>
  </si>
  <si>
    <t xml:space="preserve">#021377</t>
  </si>
  <si>
    <t xml:space="preserve">ESR Demand</t>
  </si>
  <si>
    <t xml:space="preserve">#021645</t>
  </si>
  <si>
    <t xml:space="preserve">#21645</t>
  </si>
  <si>
    <t xml:space="preserve">Deal 380571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</si>
  <si>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</si>
  <si>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</si>
  <si>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</si>
  <si>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</si>
  <si>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#14174</t>
  </si>
  <si>
    <t xml:space="preserve">#14376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</si>
  <si>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</si>
  <si>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</si>
  <si>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</si>
  <si>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</si>
  <si>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</si>
  <si>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</si>
  <si>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</si>
  <si>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</si>
  <si>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</si>
  <si>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</si>
  <si>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</si>
  <si>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</si>
  <si>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</si>
  <si>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</si>
  <si>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</si>
  <si>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</si>
  <si>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</si>
  <si>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</si>
  <si>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</si>
  <si>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</si>
  <si>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</si>
  <si>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</si>
  <si>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</si>
  <si>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</si>
  <si>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</si>
  <si>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</si>
  <si>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</si>
  <si>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</si>
  <si>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</si>
  <si>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</si>
  <si>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</si>
  <si>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</si>
  <si>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</si>
  <si>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</si>
  <si>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</si>
  <si>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</si>
  <si>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#29635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</si>
  <si>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</si>
  <si>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</si>
  <si>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</si>
  <si>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</si>
  <si>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</si>
  <si>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</si>
  <si>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</si>
  <si>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</si>
  <si>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</si>
  <si>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</si>
  <si>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</si>
  <si>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</si>
  <si>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</si>
  <si>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</si>
  <si>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</si>
  <si>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</si>
  <si>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</si>
  <si>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</si>
  <si>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</si>
  <si>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</si>
  <si>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</si>
  <si>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</si>
  <si>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</si>
  <si>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</si>
  <si>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</si>
  <si>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</si>
  <si>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</si>
  <si>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</si>
  <si>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</si>
  <si>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</si>
  <si>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4 BG&amp;E</t>
  </si>
  <si>
    <t xml:space="preserve">#26714 ENA purchased from CES</t>
  </si>
  <si>
    <t xml:space="preserve">ENA Bought 19,293 @.18 see annuity deal 327906</t>
  </si>
  <si>
    <t xml:space="preserve">CGV-10-30</t>
  </si>
  <si>
    <t xml:space="preserve">#29636</t>
  </si>
  <si>
    <t xml:space="preserve">19e, 19-32, 19-27, 19-26</t>
  </si>
  <si>
    <t xml:space="preserve">#29880</t>
  </si>
  <si>
    <t xml:space="preserve">19-26, 19-27, 19e</t>
  </si>
  <si>
    <t xml:space="preserve">#30178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</si>
  <si>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</si>
  <si>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</si>
  <si>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</si>
  <si>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</si>
  <si>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</si>
  <si>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</si>
  <si>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Deal 380492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</si>
  <si>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</si>
  <si>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</si>
  <si>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</si>
  <si>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</si>
  <si>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</si>
  <si>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</si>
  <si>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</si>
  <si>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</si>
  <si>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</si>
  <si>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</si>
  <si>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</si>
  <si>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</si>
  <si>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</si>
  <si>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</si>
  <si>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</si>
  <si>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</si>
  <si>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</si>
  <si>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</si>
  <si>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</si>
  <si>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</si>
  <si>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</si>
  <si>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</si>
  <si>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</si>
  <si>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</si>
  <si>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</si>
  <si>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</si>
  <si>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</si>
  <si>
    <t xml:space="preserve">23N-7  COH 5-7</t>
  </si>
  <si>
    <t xml:space="preserve">#30172 ROFR</t>
  </si>
  <si>
    <t xml:space="preserve">19-26  CMD 8-26</t>
  </si>
  <si>
    <t xml:space="preserve">#30485</t>
  </si>
  <si>
    <t xml:space="preserve">19-27  CMD 8-27</t>
  </si>
  <si>
    <t xml:space="preserve">19-32  CMD 8-32</t>
  </si>
  <si>
    <t xml:space="preserve">19E  CMD 4-25</t>
  </si>
  <si>
    <t xml:space="preserve">A05  Delmont</t>
  </si>
  <si>
    <t xml:space="preserve">CPA 8, various</t>
  </si>
  <si>
    <t xml:space="preserve">#30497</t>
  </si>
  <si>
    <t xml:space="preserve">A06 McClellandtown</t>
  </si>
  <si>
    <t xml:space="preserve">#30496</t>
  </si>
  <si>
    <t xml:space="preserve">#29290</t>
  </si>
  <si>
    <t xml:space="preserve">#30484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</si>
</sst>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00%"/>
    <numFmt numFmtId="172" formatCode="\$#,##0.00_);&quot;($&quot;#,##0.00\)"/>
    <numFmt numFmtId="173" formatCode="0.00%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CC9CCC"/>
        <bgColor rgb="FFFF99CC"/>
      </patternFill>
    </fill>
    <fill>
      <patternFill patternType="solid">
        <fgColor rgb="FFFFFF99"/>
        <bgColor rgb="FFFFFF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0" width="14.99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</row>
    <row r="5" customFormat="false" ht="12.75" hidden="false" customHeight="false" outlineLevel="0" collapsed="false">
      <c r="A5" s="5"/>
    </row>
    <row r="6" customFormat="false" ht="12.75" hidden="false" customHeight="false" outlineLevel="0" collapsed="false">
      <c r="A6" s="5" t="n">
        <v>1</v>
      </c>
      <c r="B6" s="0" t="n">
        <v>0</v>
      </c>
    </row>
    <row r="7" customFormat="false" ht="12.75" hidden="false" customHeight="false" outlineLevel="0" collapsed="false">
      <c r="A7" s="5" t="n">
        <f aca="false">+A6+1</f>
        <v>2</v>
      </c>
      <c r="B7" s="0" t="n">
        <f aca="false">+B6</f>
        <v>0</v>
      </c>
    </row>
    <row r="8" customFormat="false" ht="12.75" hidden="false" customHeight="false" outlineLevel="0" collapsed="false">
      <c r="A8" s="5" t="n">
        <f aca="false">+A7+1</f>
        <v>3</v>
      </c>
      <c r="B8" s="0" t="n">
        <f aca="false">+B7</f>
        <v>0</v>
      </c>
    </row>
    <row r="9" customFormat="false" ht="12.75" hidden="false" customHeight="false" outlineLevel="0" collapsed="false">
      <c r="A9" s="5" t="n">
        <f aca="false">+A8+1</f>
        <v>4</v>
      </c>
      <c r="B9" s="0" t="n">
        <f aca="false">+B8</f>
        <v>0</v>
      </c>
    </row>
    <row r="10" customFormat="false" ht="12.75" hidden="false" customHeight="false" outlineLevel="0" collapsed="false">
      <c r="A10" s="5" t="n">
        <f aca="false">+A9+1</f>
        <v>5</v>
      </c>
      <c r="B10" s="0" t="n">
        <f aca="false">+B9</f>
        <v>0</v>
      </c>
    </row>
    <row r="11" customFormat="false" ht="12.75" hidden="false" customHeight="false" outlineLevel="0" collapsed="false">
      <c r="A11" s="5" t="n">
        <f aca="false">+A10+1</f>
        <v>6</v>
      </c>
      <c r="B11" s="0" t="n">
        <f aca="false">+B10</f>
        <v>0</v>
      </c>
    </row>
    <row r="12" customFormat="false" ht="12.75" hidden="false" customHeight="false" outlineLevel="0" collapsed="false">
      <c r="A12" s="5" t="n">
        <f aca="false">+A11+1</f>
        <v>7</v>
      </c>
      <c r="B12" s="0" t="n">
        <v>10000</v>
      </c>
    </row>
    <row r="13" customFormat="false" ht="12.75" hidden="false" customHeight="false" outlineLevel="0" collapsed="false">
      <c r="A13" s="5" t="n">
        <f aca="false">+A12+1</f>
        <v>8</v>
      </c>
      <c r="B13" s="0" t="n">
        <f aca="false">+B12</f>
        <v>10000</v>
      </c>
    </row>
    <row r="14" customFormat="false" ht="12.75" hidden="false" customHeight="false" outlineLevel="0" collapsed="false">
      <c r="A14" s="5" t="n">
        <f aca="false">+A13+1</f>
        <v>9</v>
      </c>
      <c r="B14" s="0" t="n">
        <f aca="false">+B13</f>
        <v>10000</v>
      </c>
    </row>
    <row r="15" customFormat="false" ht="12.75" hidden="false" customHeight="false" outlineLevel="0" collapsed="false">
      <c r="A15" s="5" t="n">
        <f aca="false">+A14+1</f>
        <v>10</v>
      </c>
      <c r="B15" s="0" t="n">
        <f aca="false">+B14</f>
        <v>10000</v>
      </c>
    </row>
    <row r="16" customFormat="false" ht="12.75" hidden="false" customHeight="false" outlineLevel="0" collapsed="false">
      <c r="A16" s="5" t="n">
        <f aca="false">+A15+1</f>
        <v>11</v>
      </c>
      <c r="B16" s="0" t="n">
        <f aca="false">+B15</f>
        <v>10000</v>
      </c>
    </row>
    <row r="17" customFormat="false" ht="12.75" hidden="false" customHeight="false" outlineLevel="0" collapsed="false">
      <c r="A17" s="5" t="n">
        <f aca="false">+A16+1</f>
        <v>12</v>
      </c>
      <c r="B17" s="0" t="n">
        <f aca="false">+B16</f>
        <v>10000</v>
      </c>
    </row>
    <row r="18" customFormat="false" ht="12.75" hidden="false" customHeight="false" outlineLevel="0" collapsed="false">
      <c r="A18" s="5" t="n">
        <f aca="false">+A17+1</f>
        <v>13</v>
      </c>
      <c r="B18" s="0" t="n">
        <f aca="false">+B17</f>
        <v>10000</v>
      </c>
    </row>
    <row r="19" customFormat="false" ht="12.75" hidden="false" customHeight="false" outlineLevel="0" collapsed="false">
      <c r="A19" s="5" t="n">
        <f aca="false">+A18+1</f>
        <v>14</v>
      </c>
      <c r="B19" s="0" t="n">
        <f aca="false">+B18</f>
        <v>10000</v>
      </c>
    </row>
    <row r="20" customFormat="false" ht="12.75" hidden="false" customHeight="false" outlineLevel="0" collapsed="false">
      <c r="A20" s="5" t="n">
        <f aca="false">+A19+1</f>
        <v>15</v>
      </c>
      <c r="B20" s="0" t="n">
        <f aca="false">+B19</f>
        <v>10000</v>
      </c>
    </row>
    <row r="21" customFormat="false" ht="12.75" hidden="false" customHeight="false" outlineLevel="0" collapsed="false">
      <c r="A21" s="5" t="n">
        <f aca="false">+A20+1</f>
        <v>16</v>
      </c>
      <c r="B21" s="0" t="n">
        <f aca="false">+B20</f>
        <v>10000</v>
      </c>
    </row>
    <row r="22" customFormat="false" ht="12.75" hidden="false" customHeight="false" outlineLevel="0" collapsed="false">
      <c r="A22" s="5" t="n">
        <f aca="false">+A21+1</f>
        <v>17</v>
      </c>
      <c r="B22" s="0" t="n">
        <f aca="false">+B21</f>
        <v>10000</v>
      </c>
    </row>
    <row r="23" customFormat="false" ht="12.75" hidden="false" customHeight="false" outlineLevel="0" collapsed="false">
      <c r="A23" s="5" t="n">
        <f aca="false">+A22+1</f>
        <v>18</v>
      </c>
      <c r="B23" s="0" t="n">
        <f aca="false">+B22</f>
        <v>10000</v>
      </c>
    </row>
    <row r="24" customFormat="false" ht="12.75" hidden="false" customHeight="false" outlineLevel="0" collapsed="false">
      <c r="A24" s="5" t="n">
        <f aca="false">+A23+1</f>
        <v>19</v>
      </c>
      <c r="B24" s="0" t="n">
        <f aca="false">+B23</f>
        <v>10000</v>
      </c>
    </row>
    <row r="25" customFormat="false" ht="12.75" hidden="false" customHeight="false" outlineLevel="0" collapsed="false">
      <c r="A25" s="5" t="n">
        <f aca="false">+A24+1</f>
        <v>20</v>
      </c>
      <c r="B25" s="0" t="n">
        <f aca="false">+B24</f>
        <v>10000</v>
      </c>
    </row>
    <row r="26" customFormat="false" ht="12.75" hidden="false" customHeight="false" outlineLevel="0" collapsed="false">
      <c r="A26" s="5" t="n">
        <f aca="false">+A25+1</f>
        <v>21</v>
      </c>
      <c r="B26" s="0" t="n">
        <f aca="false">+B25</f>
        <v>10000</v>
      </c>
    </row>
    <row r="27" customFormat="false" ht="12.75" hidden="false" customHeight="false" outlineLevel="0" collapsed="false">
      <c r="A27" s="5" t="n">
        <f aca="false">+A26+1</f>
        <v>22</v>
      </c>
      <c r="B27" s="0" t="n">
        <f aca="false">+B26</f>
        <v>10000</v>
      </c>
    </row>
    <row r="28" customFormat="false" ht="12.75" hidden="false" customHeight="false" outlineLevel="0" collapsed="false">
      <c r="A28" s="5" t="n">
        <f aca="false">+A27+1</f>
        <v>23</v>
      </c>
      <c r="B28" s="0" t="n">
        <f aca="false">+B27</f>
        <v>10000</v>
      </c>
    </row>
    <row r="29" customFormat="false" ht="12.75" hidden="false" customHeight="false" outlineLevel="0" collapsed="false">
      <c r="A29" s="5" t="n">
        <f aca="false">+A28+1</f>
        <v>24</v>
      </c>
      <c r="B29" s="0" t="n">
        <f aca="false">+B28</f>
        <v>10000</v>
      </c>
    </row>
    <row r="30" customFormat="false" ht="12.75" hidden="false" customHeight="false" outlineLevel="0" collapsed="false">
      <c r="A30" s="5" t="n">
        <f aca="false">+A29+1</f>
        <v>25</v>
      </c>
      <c r="B30" s="0" t="n">
        <f aca="false">+B29</f>
        <v>10000</v>
      </c>
    </row>
    <row r="31" customFormat="false" ht="12.75" hidden="false" customHeight="false" outlineLevel="0" collapsed="false">
      <c r="A31" s="5" t="n">
        <f aca="false">+A30+1</f>
        <v>26</v>
      </c>
      <c r="B31" s="0" t="n">
        <f aca="false">+B30</f>
        <v>10000</v>
      </c>
    </row>
    <row r="32" customFormat="false" ht="12.75" hidden="false" customHeight="false" outlineLevel="0" collapsed="false">
      <c r="A32" s="5" t="n">
        <f aca="false">+A31+1</f>
        <v>27</v>
      </c>
      <c r="B32" s="0" t="n">
        <f aca="false">+B31</f>
        <v>10000</v>
      </c>
    </row>
    <row r="33" customFormat="false" ht="12.75" hidden="false" customHeight="false" outlineLevel="0" collapsed="false">
      <c r="A33" s="5" t="n">
        <f aca="false">+A32+1</f>
        <v>28</v>
      </c>
      <c r="B33" s="0" t="n">
        <f aca="false">+B32</f>
        <v>10000</v>
      </c>
    </row>
    <row r="34" customFormat="false" ht="12.75" hidden="false" customHeight="false" outlineLevel="0" collapsed="false">
      <c r="A34" s="5" t="n">
        <f aca="false">+A33+1</f>
        <v>29</v>
      </c>
      <c r="B34" s="0" t="n">
        <f aca="false">+B33</f>
        <v>10000</v>
      </c>
    </row>
    <row r="35" customFormat="false" ht="12.75" hidden="false" customHeight="false" outlineLevel="0" collapsed="false">
      <c r="A35" s="5" t="n">
        <f aca="false">+A34+1</f>
        <v>30</v>
      </c>
      <c r="B35" s="0" t="n">
        <f aca="false">+B34</f>
        <v>10000</v>
      </c>
    </row>
    <row r="36" customFormat="false" ht="12.75" hidden="false" customHeight="false" outlineLevel="0" collapsed="false">
      <c r="A36" s="5" t="n">
        <f aca="false">+A35+1</f>
        <v>31</v>
      </c>
      <c r="B36" s="0" t="n">
        <f aca="false">+B35</f>
        <v>10000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G6" activePane="bottomRight" state="frozen"/>
      <selection pane="topLeft" activeCell="A1" activeCellId="0" sqref="A1"/>
      <selection pane="topRight" activeCell="G1" activeCellId="0" sqref="G1"/>
      <selection pane="bottomLeft" activeCell="A6" activeCellId="0" sqref="A6"/>
      <selection pane="bottomRight" activeCell="Q1" activeCellId="0" sqref="Q1:S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true" outlineLevel="0" max="2" min="2" style="4" width="10.99"/>
    <col collapsed="false" customWidth="true" hidden="true" outlineLevel="0" max="4" min="3" style="4" width="11.28"/>
    <col collapsed="false" customWidth="true" hidden="true" outlineLevel="0" max="5" min="5" style="4" width="3.28"/>
    <col collapsed="false" customWidth="true" hidden="true" outlineLevel="0" max="6" min="6" style="4" width="12.85"/>
    <col collapsed="false" customWidth="true" hidden="true" outlineLevel="0" max="7" min="7" style="4" width="4.7"/>
    <col collapsed="false" customWidth="true" hidden="true" outlineLevel="0" max="8" min="8" style="4" width="10.41"/>
    <col collapsed="false" customWidth="true" hidden="true" outlineLevel="0" max="9" min="9" style="4" width="3.28"/>
    <col collapsed="false" customWidth="true" hidden="true" outlineLevel="0" max="10" min="10" style="4" width="12.85"/>
    <col collapsed="false" customWidth="true" hidden="true" outlineLevel="0" max="12" min="11" style="4" width="9.06"/>
    <col collapsed="false" customWidth="true" hidden="true" outlineLevel="0" max="13" min="13" style="4" width="11.28"/>
    <col collapsed="false" customWidth="true" hidden="true" outlineLevel="0" max="14" min="14" style="4" width="10.28"/>
    <col collapsed="false" customWidth="true" hidden="true" outlineLevel="0" max="15" min="15" style="4" width="11.13"/>
    <col collapsed="false" customWidth="true" hidden="true" outlineLevel="0" max="16" min="16" style="4" width="3.56"/>
    <col collapsed="false" customWidth="true" hidden="false" outlineLevel="0" max="17" min="17" style="6" width="12.99"/>
    <col collapsed="false" customWidth="true" hidden="false" outlineLevel="0" max="18" min="18" style="6" width="4.14"/>
    <col collapsed="false" customWidth="true" hidden="false" outlineLevel="0" max="19" min="19" style="6" width="12.28"/>
    <col collapsed="false" customWidth="true" hidden="false" outlineLevel="0" max="20" min="20" style="4" width="13.85"/>
    <col collapsed="false" customWidth="false" hidden="false" outlineLevel="0" max="23" min="21" style="4" width="9.14"/>
    <col collapsed="false" customWidth="true" hidden="false" outlineLevel="0" max="24" min="24" style="4" width="13.85"/>
    <col collapsed="false" customWidth="false" hidden="false" outlineLevel="0" max="257" min="25" style="4" width="9.14"/>
  </cols>
  <sheetData>
    <row r="2" customFormat="false" ht="12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R2" s="7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7"/>
      <c r="R3" s="7"/>
      <c r="S3" s="7"/>
      <c r="T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 t="s">
        <v>65</v>
      </c>
      <c r="G4" s="5"/>
      <c r="H4" s="8" t="s">
        <v>66</v>
      </c>
      <c r="I4" s="5"/>
      <c r="J4" s="5"/>
      <c r="K4" s="5"/>
      <c r="L4" s="5"/>
      <c r="M4" s="5"/>
      <c r="N4" s="5"/>
      <c r="O4" s="5"/>
      <c r="P4" s="5"/>
      <c r="Q4" s="7"/>
      <c r="R4" s="7"/>
      <c r="S4" s="7"/>
      <c r="T4" s="5"/>
    </row>
    <row r="5" customFormat="false" ht="12.75" hidden="false" customHeight="false" outlineLevel="0" collapsed="false">
      <c r="A5" s="5"/>
      <c r="B5" s="5" t="s">
        <v>67</v>
      </c>
      <c r="C5" s="5" t="s">
        <v>68</v>
      </c>
      <c r="D5" s="5" t="s">
        <v>69</v>
      </c>
      <c r="E5" s="5"/>
      <c r="F5" s="5" t="s">
        <v>70</v>
      </c>
      <c r="G5" s="5"/>
      <c r="H5" s="9" t="s">
        <v>71</v>
      </c>
      <c r="I5" s="5"/>
      <c r="J5" s="5"/>
      <c r="K5" s="5"/>
      <c r="L5" s="5"/>
      <c r="M5" s="10" t="s">
        <v>72</v>
      </c>
      <c r="N5" s="11" t="s">
        <v>73</v>
      </c>
      <c r="O5" s="8" t="s">
        <v>74</v>
      </c>
      <c r="P5" s="5"/>
      <c r="Q5" s="7" t="s">
        <v>75</v>
      </c>
      <c r="R5" s="7"/>
      <c r="S5" s="7" t="s">
        <v>76</v>
      </c>
      <c r="T5" s="5"/>
    </row>
    <row r="6" customFormat="false" ht="12.75" hidden="false" customHeight="false" outlineLevel="0" collapsed="false">
      <c r="A6" s="5" t="n">
        <v>1</v>
      </c>
      <c r="B6" s="5" t="n">
        <v>26517</v>
      </c>
      <c r="C6" s="5" t="n">
        <v>0</v>
      </c>
      <c r="D6" s="5" t="n">
        <v>0</v>
      </c>
      <c r="E6" s="5"/>
      <c r="F6" s="5" t="n">
        <f aca="false">SUM(B6:D6)</f>
        <v>26517</v>
      </c>
      <c r="G6" s="5"/>
      <c r="H6" s="5" t="n">
        <v>3904</v>
      </c>
      <c r="I6" s="5"/>
      <c r="J6" s="5" t="n">
        <f aca="false">+F6+H6</f>
        <v>30421</v>
      </c>
      <c r="K6" s="5"/>
      <c r="L6" s="5"/>
      <c r="M6" s="12" t="n">
        <v>51762</v>
      </c>
      <c r="N6" s="5" t="n">
        <v>3904</v>
      </c>
      <c r="O6" s="13" t="n">
        <f aca="false">+N6+M6</f>
        <v>55666</v>
      </c>
      <c r="P6" s="5"/>
      <c r="Q6" s="7" t="n">
        <f aca="false">IF(O6-J6&gt;0,O6-J6,0)</f>
        <v>25245</v>
      </c>
      <c r="R6" s="7"/>
      <c r="S6" s="14" t="n">
        <v>0</v>
      </c>
      <c r="T6" s="15" t="n">
        <f aca="false">+S6*Q6</f>
        <v>0</v>
      </c>
    </row>
    <row r="7" customFormat="false" ht="12.75" hidden="false" customHeight="false" outlineLevel="0" collapsed="false">
      <c r="A7" s="5" t="n">
        <f aca="false">+A6+1</f>
        <v>2</v>
      </c>
      <c r="B7" s="5" t="n">
        <v>26139</v>
      </c>
      <c r="C7" s="5" t="n">
        <f aca="false">+C6</f>
        <v>0</v>
      </c>
      <c r="D7" s="5" t="n">
        <f aca="false">+D6</f>
        <v>0</v>
      </c>
      <c r="E7" s="5"/>
      <c r="F7" s="5" t="n">
        <f aca="false">SUM(B7:D7)</f>
        <v>26139</v>
      </c>
      <c r="G7" s="5"/>
      <c r="H7" s="5" t="n">
        <f aca="false">+H6</f>
        <v>3904</v>
      </c>
      <c r="I7" s="5"/>
      <c r="J7" s="5" t="n">
        <f aca="false">+F7+H7</f>
        <v>30043</v>
      </c>
      <c r="K7" s="5"/>
      <c r="L7" s="5"/>
      <c r="M7" s="12" t="n">
        <f aca="false">+M6</f>
        <v>51762</v>
      </c>
      <c r="N7" s="5" t="n">
        <f aca="false">+N6</f>
        <v>3904</v>
      </c>
      <c r="O7" s="13" t="n">
        <f aca="false">+N7+M7</f>
        <v>55666</v>
      </c>
      <c r="P7" s="5"/>
      <c r="Q7" s="7" t="n">
        <f aca="false">IF(O7-J7&gt;0,O7-J7,0)</f>
        <v>25623</v>
      </c>
      <c r="R7" s="7"/>
      <c r="S7" s="14" t="n">
        <f aca="false">+S6</f>
        <v>0</v>
      </c>
      <c r="T7" s="15" t="n">
        <f aca="false">+S7*Q7</f>
        <v>0</v>
      </c>
    </row>
    <row r="8" customFormat="false" ht="12.75" hidden="false" customHeight="false" outlineLevel="0" collapsed="false">
      <c r="A8" s="5" t="n">
        <f aca="false">+A7+1</f>
        <v>3</v>
      </c>
      <c r="B8" s="5" t="n">
        <v>26139</v>
      </c>
      <c r="C8" s="5" t="n">
        <f aca="false">+C7</f>
        <v>0</v>
      </c>
      <c r="D8" s="5" t="n">
        <f aca="false">+D7</f>
        <v>0</v>
      </c>
      <c r="E8" s="5"/>
      <c r="F8" s="5" t="n">
        <f aca="false">SUM(B8:D8)</f>
        <v>26139</v>
      </c>
      <c r="G8" s="5"/>
      <c r="H8" s="5" t="n">
        <f aca="false">+H7</f>
        <v>3904</v>
      </c>
      <c r="I8" s="5"/>
      <c r="J8" s="5" t="n">
        <f aca="false">+F8+H8</f>
        <v>30043</v>
      </c>
      <c r="K8" s="5"/>
      <c r="L8" s="5"/>
      <c r="M8" s="12" t="n">
        <f aca="false">+M7</f>
        <v>51762</v>
      </c>
      <c r="N8" s="5" t="n">
        <f aca="false">+N7</f>
        <v>3904</v>
      </c>
      <c r="O8" s="13" t="n">
        <f aca="false">+N8+M8</f>
        <v>55666</v>
      </c>
      <c r="P8" s="5"/>
      <c r="Q8" s="7" t="n">
        <f aca="false">IF(O8-J8&gt;0,O8-J8,0)</f>
        <v>25623</v>
      </c>
      <c r="R8" s="7"/>
      <c r="S8" s="14" t="n">
        <f aca="false">+S7</f>
        <v>0</v>
      </c>
      <c r="T8" s="15" t="n">
        <f aca="false">+S8*Q8</f>
        <v>0</v>
      </c>
    </row>
    <row r="9" customFormat="false" ht="12.75" hidden="false" customHeight="false" outlineLevel="0" collapsed="false">
      <c r="A9" s="5" t="n">
        <f aca="false">+A8+1</f>
        <v>4</v>
      </c>
      <c r="B9" s="5" t="n">
        <v>31010</v>
      </c>
      <c r="C9" s="5" t="n">
        <f aca="false">+C8</f>
        <v>0</v>
      </c>
      <c r="D9" s="5" t="n">
        <f aca="false">+D8</f>
        <v>0</v>
      </c>
      <c r="E9" s="5"/>
      <c r="F9" s="5" t="n">
        <f aca="false">SUM(B9:D9)</f>
        <v>31010</v>
      </c>
      <c r="G9" s="5"/>
      <c r="H9" s="5" t="n">
        <f aca="false">+H8</f>
        <v>3904</v>
      </c>
      <c r="I9" s="5"/>
      <c r="J9" s="5" t="n">
        <f aca="false">+F9+H9</f>
        <v>34914</v>
      </c>
      <c r="K9" s="5"/>
      <c r="L9" s="5"/>
      <c r="M9" s="12" t="n">
        <f aca="false">+M8</f>
        <v>51762</v>
      </c>
      <c r="N9" s="5" t="n">
        <f aca="false">+N8</f>
        <v>3904</v>
      </c>
      <c r="O9" s="13" t="n">
        <f aca="false">+N9+M9</f>
        <v>55666</v>
      </c>
      <c r="P9" s="5"/>
      <c r="Q9" s="7" t="n">
        <f aca="false">IF(O9-J9&gt;0,O9-J9,0)</f>
        <v>20752</v>
      </c>
      <c r="R9" s="7"/>
      <c r="S9" s="14" t="n">
        <f aca="false">+S8</f>
        <v>0</v>
      </c>
      <c r="T9" s="15" t="n">
        <f aca="false">+S9*Q9</f>
        <v>0</v>
      </c>
    </row>
    <row r="10" customFormat="false" ht="12.75" hidden="false" customHeight="false" outlineLevel="0" collapsed="false">
      <c r="A10" s="5" t="n">
        <f aca="false">+A9+1</f>
        <v>5</v>
      </c>
      <c r="B10" s="5" t="n">
        <v>37063</v>
      </c>
      <c r="C10" s="5" t="n">
        <f aca="false">+C9</f>
        <v>0</v>
      </c>
      <c r="D10" s="5" t="n">
        <f aca="false">+D9</f>
        <v>0</v>
      </c>
      <c r="E10" s="5"/>
      <c r="F10" s="5" t="n">
        <f aca="false">SUM(B10:D10)</f>
        <v>37063</v>
      </c>
      <c r="G10" s="5"/>
      <c r="H10" s="5" t="n">
        <f aca="false">+H9</f>
        <v>3904</v>
      </c>
      <c r="I10" s="5"/>
      <c r="J10" s="5" t="n">
        <f aca="false">+F10+H10</f>
        <v>40967</v>
      </c>
      <c r="K10" s="5"/>
      <c r="L10" s="5"/>
      <c r="M10" s="12" t="n">
        <f aca="false">+M9</f>
        <v>51762</v>
      </c>
      <c r="N10" s="5" t="n">
        <f aca="false">+N9</f>
        <v>3904</v>
      </c>
      <c r="O10" s="13" t="n">
        <f aca="false">+N10+M10</f>
        <v>55666</v>
      </c>
      <c r="P10" s="5"/>
      <c r="Q10" s="7" t="n">
        <f aca="false">IF(O10-J10&gt;0,O10-J10,0)</f>
        <v>14699</v>
      </c>
      <c r="R10" s="7"/>
      <c r="S10" s="14" t="n">
        <f aca="false">+S9</f>
        <v>0</v>
      </c>
      <c r="T10" s="15" t="n">
        <f aca="false">+S10*Q10</f>
        <v>0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68651</v>
      </c>
      <c r="C11" s="5" t="n">
        <f aca="false">+C10</f>
        <v>0</v>
      </c>
      <c r="D11" s="5" t="n">
        <f aca="false">+D10</f>
        <v>0</v>
      </c>
      <c r="E11" s="5"/>
      <c r="F11" s="5" t="n">
        <f aca="false">SUM(B11:D11)</f>
        <v>68651</v>
      </c>
      <c r="G11" s="5"/>
      <c r="H11" s="5" t="n">
        <f aca="false">+H10</f>
        <v>3904</v>
      </c>
      <c r="I11" s="5"/>
      <c r="J11" s="5" t="n">
        <f aca="false">+F11+H11</f>
        <v>72555</v>
      </c>
      <c r="K11" s="5"/>
      <c r="L11" s="5"/>
      <c r="M11" s="12" t="n">
        <f aca="false">+M10</f>
        <v>51762</v>
      </c>
      <c r="N11" s="5" t="n">
        <f aca="false">+N10</f>
        <v>3904</v>
      </c>
      <c r="O11" s="13" t="n">
        <f aca="false">+N11+M11</f>
        <v>55666</v>
      </c>
      <c r="P11" s="5"/>
      <c r="Q11" s="7" t="n">
        <f aca="false">IF(O11-J11&gt;0,O11-J11,0)</f>
        <v>0</v>
      </c>
      <c r="R11" s="7"/>
      <c r="S11" s="14" t="n">
        <f aca="false">+S10</f>
        <v>0</v>
      </c>
      <c r="T11" s="15" t="n">
        <f aca="false">+S11*Q11</f>
        <v>0</v>
      </c>
    </row>
    <row r="12" customFormat="false" ht="12.75" hidden="false" customHeight="false" outlineLevel="0" collapsed="false">
      <c r="A12" s="5" t="n">
        <f aca="false">+A11+1</f>
        <v>7</v>
      </c>
      <c r="B12" s="5" t="n">
        <v>80147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80147</v>
      </c>
      <c r="G12" s="5"/>
      <c r="H12" s="5" t="n">
        <f aca="false">+H11</f>
        <v>3904</v>
      </c>
      <c r="I12" s="5"/>
      <c r="J12" s="5" t="n">
        <f aca="false">+F12+H12</f>
        <v>84051</v>
      </c>
      <c r="K12" s="5"/>
      <c r="L12" s="5"/>
      <c r="M12" s="12" t="n">
        <f aca="false">+M11-10000</f>
        <v>41762</v>
      </c>
      <c r="N12" s="5" t="n">
        <f aca="false">+N11</f>
        <v>3904</v>
      </c>
      <c r="O12" s="13" t="n">
        <f aca="false">+N12+M12</f>
        <v>45666</v>
      </c>
      <c r="P12" s="5"/>
      <c r="Q12" s="7" t="n">
        <f aca="false">IF(O12-J12&gt;0,O12-J12,0)</f>
        <v>0</v>
      </c>
      <c r="R12" s="7"/>
      <c r="S12" s="14" t="n">
        <f aca="false">+S11</f>
        <v>0</v>
      </c>
      <c r="T12" s="15" t="n">
        <f aca="false">+S12*Q12</f>
        <v>0</v>
      </c>
    </row>
    <row r="13" customFormat="false" ht="12.75" hidden="false" customHeight="false" outlineLevel="0" collapsed="false">
      <c r="A13" s="5" t="n">
        <f aca="false">+A12+1</f>
        <v>8</v>
      </c>
      <c r="B13" s="5" t="n">
        <v>81455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81455</v>
      </c>
      <c r="G13" s="5"/>
      <c r="H13" s="5" t="n">
        <f aca="false">+H12</f>
        <v>3904</v>
      </c>
      <c r="I13" s="5"/>
      <c r="J13" s="5" t="n">
        <f aca="false">+F13+H13</f>
        <v>85359</v>
      </c>
      <c r="K13" s="5"/>
      <c r="L13" s="5"/>
      <c r="M13" s="12" t="n">
        <f aca="false">+M12</f>
        <v>41762</v>
      </c>
      <c r="N13" s="5" t="n">
        <f aca="false">+N12</f>
        <v>3904</v>
      </c>
      <c r="O13" s="13" t="n">
        <f aca="false">+N13+M13</f>
        <v>45666</v>
      </c>
      <c r="P13" s="5"/>
      <c r="Q13" s="7" t="n">
        <f aca="false">IF(O13-J13&gt;0,O13-J13,0)</f>
        <v>0</v>
      </c>
      <c r="R13" s="7"/>
      <c r="S13" s="14" t="n">
        <f aca="false">+S12</f>
        <v>0</v>
      </c>
      <c r="T13" s="15" t="n">
        <f aca="false">+S13*Q13</f>
        <v>0</v>
      </c>
    </row>
    <row r="14" customFormat="false" ht="12.75" hidden="false" customHeight="false" outlineLevel="0" collapsed="false">
      <c r="A14" s="5" t="n">
        <f aca="false">+A13+1</f>
        <v>9</v>
      </c>
      <c r="B14" s="5" t="n">
        <v>69723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69723</v>
      </c>
      <c r="G14" s="5"/>
      <c r="H14" s="5" t="n">
        <f aca="false">+H13</f>
        <v>3904</v>
      </c>
      <c r="I14" s="5"/>
      <c r="J14" s="5" t="n">
        <f aca="false">+F14+H14</f>
        <v>73627</v>
      </c>
      <c r="K14" s="5"/>
      <c r="L14" s="5"/>
      <c r="M14" s="12" t="n">
        <f aca="false">+M13</f>
        <v>41762</v>
      </c>
      <c r="N14" s="5" t="n">
        <f aca="false">+N13</f>
        <v>3904</v>
      </c>
      <c r="O14" s="13" t="n">
        <f aca="false">+N14+M14</f>
        <v>45666</v>
      </c>
      <c r="P14" s="5"/>
      <c r="Q14" s="7" t="n">
        <f aca="false">IF(O14-J14&gt;0,O14-J14,0)</f>
        <v>0</v>
      </c>
      <c r="R14" s="7"/>
      <c r="S14" s="14" t="n">
        <f aca="false">+S13</f>
        <v>0</v>
      </c>
      <c r="T14" s="15" t="n">
        <f aca="false">+S14*Q14</f>
        <v>0</v>
      </c>
    </row>
    <row r="15" customFormat="false" ht="12.75" hidden="false" customHeight="false" outlineLevel="0" collapsed="false">
      <c r="A15" s="5" t="n">
        <f aca="false">+A14+1</f>
        <v>10</v>
      </c>
      <c r="B15" s="5" t="n">
        <v>59895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59895</v>
      </c>
      <c r="G15" s="5"/>
      <c r="H15" s="5" t="n">
        <f aca="false">+H14</f>
        <v>3904</v>
      </c>
      <c r="I15" s="5"/>
      <c r="J15" s="5" t="n">
        <f aca="false">+F15+H15</f>
        <v>63799</v>
      </c>
      <c r="K15" s="5"/>
      <c r="L15" s="5"/>
      <c r="M15" s="12" t="n">
        <f aca="false">+M14</f>
        <v>41762</v>
      </c>
      <c r="N15" s="5" t="n">
        <f aca="false">+N14</f>
        <v>3904</v>
      </c>
      <c r="O15" s="13" t="n">
        <f aca="false">+N15+M15</f>
        <v>45666</v>
      </c>
      <c r="P15" s="5"/>
      <c r="Q15" s="7" t="n">
        <f aca="false">IF(O15-J15&gt;0,O15-J15,0)</f>
        <v>0</v>
      </c>
      <c r="R15" s="7"/>
      <c r="S15" s="14" t="n">
        <f aca="false">+S14</f>
        <v>0</v>
      </c>
      <c r="T15" s="15" t="n">
        <f aca="false">+S15*Q15</f>
        <v>0</v>
      </c>
    </row>
    <row r="16" customFormat="false" ht="12.75" hidden="false" customHeight="false" outlineLevel="0" collapsed="false">
      <c r="A16" s="5" t="n">
        <f aca="false">+A15+1</f>
        <v>11</v>
      </c>
      <c r="B16" s="5" t="n">
        <v>52457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52457</v>
      </c>
      <c r="G16" s="5"/>
      <c r="H16" s="5" t="n">
        <f aca="false">+H15</f>
        <v>3904</v>
      </c>
      <c r="I16" s="5"/>
      <c r="J16" s="5" t="n">
        <f aca="false">+F16+H16</f>
        <v>56361</v>
      </c>
      <c r="K16" s="5"/>
      <c r="L16" s="5"/>
      <c r="M16" s="12" t="n">
        <f aca="false">+M15</f>
        <v>41762</v>
      </c>
      <c r="N16" s="5" t="n">
        <f aca="false">+N15</f>
        <v>3904</v>
      </c>
      <c r="O16" s="13" t="n">
        <f aca="false">+N16+M16</f>
        <v>45666</v>
      </c>
      <c r="P16" s="5"/>
      <c r="Q16" s="7" t="n">
        <f aca="false">IF(O16-J16&gt;0,O16-J16,0)</f>
        <v>0</v>
      </c>
      <c r="R16" s="7"/>
      <c r="S16" s="14" t="n">
        <f aca="false">+S15</f>
        <v>0</v>
      </c>
      <c r="T16" s="15" t="n">
        <f aca="false">+S16*Q16</f>
        <v>0</v>
      </c>
    </row>
    <row r="17" customFormat="false" ht="12.75" hidden="false" customHeight="false" outlineLevel="0" collapsed="false">
      <c r="A17" s="5" t="n">
        <f aca="false">+A16+1</f>
        <v>12</v>
      </c>
      <c r="B17" s="5" t="n">
        <v>43374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43374</v>
      </c>
      <c r="G17" s="5"/>
      <c r="H17" s="5" t="n">
        <f aca="false">+H16</f>
        <v>3904</v>
      </c>
      <c r="I17" s="5"/>
      <c r="J17" s="5" t="n">
        <f aca="false">+F17+H17</f>
        <v>47278</v>
      </c>
      <c r="K17" s="5"/>
      <c r="L17" s="5"/>
      <c r="M17" s="12" t="n">
        <f aca="false">+M16</f>
        <v>41762</v>
      </c>
      <c r="N17" s="5" t="n">
        <f aca="false">+N16</f>
        <v>3904</v>
      </c>
      <c r="O17" s="13" t="n">
        <f aca="false">+N17+M17</f>
        <v>45666</v>
      </c>
      <c r="P17" s="5"/>
      <c r="Q17" s="7" t="n">
        <f aca="false">IF(O17-J17&gt;0,O17-J17,0)</f>
        <v>0</v>
      </c>
      <c r="R17" s="7"/>
      <c r="S17" s="14" t="n">
        <f aca="false">+S16</f>
        <v>0</v>
      </c>
      <c r="T17" s="15" t="n">
        <f aca="false">+S17*Q17</f>
        <v>0</v>
      </c>
    </row>
    <row r="18" customFormat="false" ht="12.75" hidden="false" customHeight="false" outlineLevel="0" collapsed="false">
      <c r="A18" s="5" t="n">
        <f aca="false">+A17+1</f>
        <v>13</v>
      </c>
      <c r="B18" s="5" t="n">
        <v>31609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31609</v>
      </c>
      <c r="G18" s="5"/>
      <c r="H18" s="5" t="n">
        <f aca="false">+H17</f>
        <v>3904</v>
      </c>
      <c r="I18" s="5"/>
      <c r="J18" s="5" t="n">
        <f aca="false">+F18+H18</f>
        <v>35513</v>
      </c>
      <c r="K18" s="5"/>
      <c r="L18" s="5"/>
      <c r="M18" s="12" t="n">
        <f aca="false">+M17</f>
        <v>41762</v>
      </c>
      <c r="N18" s="5" t="n">
        <f aca="false">+N17</f>
        <v>3904</v>
      </c>
      <c r="O18" s="13" t="n">
        <f aca="false">+N18+M18</f>
        <v>45666</v>
      </c>
      <c r="P18" s="5"/>
      <c r="Q18" s="7" t="n">
        <f aca="false">IF(O18-J18&gt;0,O18-J18,0)</f>
        <v>10153</v>
      </c>
      <c r="R18" s="7"/>
      <c r="S18" s="14" t="n">
        <f aca="false">+S17</f>
        <v>0</v>
      </c>
      <c r="T18" s="15" t="n">
        <f aca="false">+S18*Q18</f>
        <v>0</v>
      </c>
    </row>
    <row r="19" customFormat="false" ht="12.75" hidden="false" customHeight="false" outlineLevel="0" collapsed="false">
      <c r="A19" s="5" t="n">
        <f aca="false">+A18+1</f>
        <v>14</v>
      </c>
      <c r="B19" s="5" t="n">
        <v>26139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26139</v>
      </c>
      <c r="G19" s="5"/>
      <c r="H19" s="5" t="n">
        <f aca="false">+H18</f>
        <v>3904</v>
      </c>
      <c r="I19" s="5"/>
      <c r="J19" s="5" t="n">
        <f aca="false">+F19+H19</f>
        <v>30043</v>
      </c>
      <c r="K19" s="5"/>
      <c r="L19" s="5"/>
      <c r="M19" s="12" t="n">
        <f aca="false">+M18</f>
        <v>41762</v>
      </c>
      <c r="N19" s="5" t="n">
        <f aca="false">+N18</f>
        <v>3904</v>
      </c>
      <c r="O19" s="13" t="n">
        <f aca="false">+N19+M19</f>
        <v>45666</v>
      </c>
      <c r="P19" s="5"/>
      <c r="Q19" s="7" t="n">
        <f aca="false">IF(O19-J19&gt;0,O19-J19,0)</f>
        <v>15623</v>
      </c>
      <c r="R19" s="7"/>
      <c r="S19" s="14" t="n">
        <f aca="false">+S18</f>
        <v>0</v>
      </c>
      <c r="T19" s="15" t="n">
        <f aca="false">+S19*Q19</f>
        <v>0</v>
      </c>
    </row>
    <row r="20" customFormat="false" ht="12.75" hidden="false" customHeight="false" outlineLevel="0" collapsed="false">
      <c r="A20" s="5" t="n">
        <f aca="false">+A19+1</f>
        <v>15</v>
      </c>
      <c r="B20" s="5" t="n">
        <v>33089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33089</v>
      </c>
      <c r="G20" s="5"/>
      <c r="H20" s="5" t="n">
        <f aca="false">+H19</f>
        <v>3904</v>
      </c>
      <c r="I20" s="5"/>
      <c r="J20" s="5" t="n">
        <f aca="false">+F20+H20</f>
        <v>36993</v>
      </c>
      <c r="K20" s="5"/>
      <c r="L20" s="5"/>
      <c r="M20" s="12" t="n">
        <f aca="false">+M19</f>
        <v>41762</v>
      </c>
      <c r="N20" s="5" t="n">
        <f aca="false">+N19</f>
        <v>3904</v>
      </c>
      <c r="O20" s="13" t="n">
        <f aca="false">+N20+M20</f>
        <v>45666</v>
      </c>
      <c r="P20" s="5"/>
      <c r="Q20" s="7" t="n">
        <f aca="false">IF(O20-J20&gt;0,O20-J20,0)</f>
        <v>8673</v>
      </c>
      <c r="R20" s="7"/>
      <c r="S20" s="14" t="n">
        <f aca="false">+S19</f>
        <v>0</v>
      </c>
      <c r="T20" s="15" t="n">
        <f aca="false">+S20*Q20</f>
        <v>0</v>
      </c>
    </row>
    <row r="21" customFormat="false" ht="12.75" hidden="false" customHeight="false" outlineLevel="0" collapsed="false">
      <c r="A21" s="5" t="n">
        <f aca="false">+A20+1</f>
        <v>16</v>
      </c>
      <c r="B21" s="5" t="n">
        <v>36772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36772</v>
      </c>
      <c r="G21" s="5"/>
      <c r="H21" s="5" t="n">
        <f aca="false">+H20</f>
        <v>3904</v>
      </c>
      <c r="I21" s="5"/>
      <c r="J21" s="5" t="n">
        <f aca="false">+F21+H21</f>
        <v>40676</v>
      </c>
      <c r="K21" s="5"/>
      <c r="L21" s="5"/>
      <c r="M21" s="12" t="n">
        <f aca="false">+M20</f>
        <v>41762</v>
      </c>
      <c r="N21" s="5" t="n">
        <f aca="false">+N20</f>
        <v>3904</v>
      </c>
      <c r="O21" s="13" t="n">
        <f aca="false">+N21+M21</f>
        <v>45666</v>
      </c>
      <c r="P21" s="5"/>
      <c r="Q21" s="7" t="n">
        <f aca="false">IF(O21-J21&gt;0,O21-J21,0)</f>
        <v>4990</v>
      </c>
      <c r="R21" s="7"/>
      <c r="S21" s="14" t="n">
        <f aca="false">+S20</f>
        <v>0</v>
      </c>
      <c r="T21" s="15" t="n">
        <f aca="false">+S21*Q21</f>
        <v>0</v>
      </c>
    </row>
    <row r="22" customFormat="false" ht="12.75" hidden="false" customHeight="false" outlineLevel="0" collapsed="false">
      <c r="A22" s="5" t="n">
        <f aca="false">+A21+1</f>
        <v>17</v>
      </c>
      <c r="B22" s="5" t="n">
        <v>43013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43013</v>
      </c>
      <c r="G22" s="5"/>
      <c r="H22" s="5" t="n">
        <f aca="false">+H21</f>
        <v>3904</v>
      </c>
      <c r="I22" s="5"/>
      <c r="J22" s="5" t="n">
        <f aca="false">+F22+H22</f>
        <v>46917</v>
      </c>
      <c r="K22" s="5"/>
      <c r="L22" s="5"/>
      <c r="M22" s="12" t="n">
        <f aca="false">+M21</f>
        <v>41762</v>
      </c>
      <c r="N22" s="5" t="n">
        <f aca="false">+N21</f>
        <v>3904</v>
      </c>
      <c r="O22" s="13" t="n">
        <f aca="false">+N22+M22</f>
        <v>45666</v>
      </c>
      <c r="P22" s="5"/>
      <c r="Q22" s="7" t="n">
        <f aca="false">IF(O22-J22&gt;0,O22-J22,0)</f>
        <v>0</v>
      </c>
      <c r="R22" s="7"/>
      <c r="S22" s="14" t="n">
        <f aca="false">+S21</f>
        <v>0</v>
      </c>
      <c r="T22" s="15" t="n">
        <f aca="false">+S22*Q22</f>
        <v>0</v>
      </c>
    </row>
    <row r="23" customFormat="false" ht="12.75" hidden="false" customHeight="false" outlineLevel="0" collapsed="false">
      <c r="A23" s="5" t="n">
        <f aca="false">+A22+1</f>
        <v>18</v>
      </c>
      <c r="B23" s="5" t="n">
        <v>51174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51174</v>
      </c>
      <c r="G23" s="5"/>
      <c r="H23" s="5" t="n">
        <f aca="false">+H22</f>
        <v>3904</v>
      </c>
      <c r="I23" s="5"/>
      <c r="J23" s="5" t="n">
        <f aca="false">+F23+H23</f>
        <v>55078</v>
      </c>
      <c r="K23" s="5"/>
      <c r="L23" s="5"/>
      <c r="M23" s="12" t="n">
        <f aca="false">+M22</f>
        <v>41762</v>
      </c>
      <c r="N23" s="5" t="n">
        <f aca="false">+N22</f>
        <v>3904</v>
      </c>
      <c r="O23" s="13" t="n">
        <f aca="false">+N23+M23</f>
        <v>45666</v>
      </c>
      <c r="P23" s="5"/>
      <c r="Q23" s="7" t="n">
        <f aca="false">IF(O23-J23&gt;0,O23-J23,0)</f>
        <v>0</v>
      </c>
      <c r="R23" s="7"/>
      <c r="S23" s="14" t="n">
        <f aca="false">+S22</f>
        <v>0</v>
      </c>
      <c r="T23" s="15" t="n">
        <f aca="false">+S23*Q23</f>
        <v>0</v>
      </c>
    </row>
    <row r="24" customFormat="false" ht="12.75" hidden="false" customHeight="false" outlineLevel="0" collapsed="false">
      <c r="A24" s="5" t="n">
        <f aca="false">+A23+1</f>
        <v>19</v>
      </c>
      <c r="B24" s="5" t="n">
        <v>39020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39020</v>
      </c>
      <c r="G24" s="5"/>
      <c r="H24" s="5" t="n">
        <f aca="false">+H23</f>
        <v>3904</v>
      </c>
      <c r="I24" s="5"/>
      <c r="J24" s="5" t="n">
        <f aca="false">+F24+H24</f>
        <v>42924</v>
      </c>
      <c r="K24" s="5"/>
      <c r="L24" s="5"/>
      <c r="M24" s="12" t="n">
        <f aca="false">+M23</f>
        <v>41762</v>
      </c>
      <c r="N24" s="5" t="n">
        <f aca="false">+N23</f>
        <v>3904</v>
      </c>
      <c r="O24" s="13" t="n">
        <f aca="false">+N24+M24</f>
        <v>45666</v>
      </c>
      <c r="P24" s="5"/>
      <c r="Q24" s="7" t="n">
        <f aca="false">IF(O24-J24&gt;0,O24-J24,0)</f>
        <v>2742</v>
      </c>
      <c r="R24" s="7"/>
      <c r="S24" s="14" t="n">
        <f aca="false">+S23</f>
        <v>0</v>
      </c>
      <c r="T24" s="15" t="n">
        <f aca="false">+S24*Q24</f>
        <v>0</v>
      </c>
    </row>
    <row r="25" customFormat="false" ht="12.75" hidden="false" customHeight="false" outlineLevel="0" collapsed="false">
      <c r="A25" s="5" t="n">
        <f aca="false">+A24+1</f>
        <v>20</v>
      </c>
      <c r="B25" s="5" t="n">
        <v>31206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31206</v>
      </c>
      <c r="G25" s="5"/>
      <c r="H25" s="5" t="n">
        <f aca="false">+H24</f>
        <v>3904</v>
      </c>
      <c r="I25" s="5"/>
      <c r="J25" s="5" t="n">
        <f aca="false">+F25+H25</f>
        <v>35110</v>
      </c>
      <c r="K25" s="5"/>
      <c r="L25" s="5"/>
      <c r="M25" s="12" t="n">
        <f aca="false">+M24</f>
        <v>41762</v>
      </c>
      <c r="N25" s="5" t="n">
        <f aca="false">+N24</f>
        <v>3904</v>
      </c>
      <c r="O25" s="13" t="n">
        <f aca="false">+N25+M25</f>
        <v>45666</v>
      </c>
      <c r="P25" s="5"/>
      <c r="Q25" s="7" t="n">
        <f aca="false">IF(O25-J25&gt;0,O25-J25,0)</f>
        <v>10556</v>
      </c>
      <c r="R25" s="7"/>
      <c r="S25" s="14" t="n">
        <f aca="false">+S24</f>
        <v>0</v>
      </c>
      <c r="T25" s="15" t="n">
        <f aca="false">+S25*Q25</f>
        <v>0</v>
      </c>
    </row>
    <row r="26" customFormat="false" ht="12.75" hidden="false" customHeight="false" outlineLevel="0" collapsed="false">
      <c r="A26" s="5" t="n">
        <f aca="false">+A25+1</f>
        <v>21</v>
      </c>
      <c r="B26" s="5" t="n">
        <v>30982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30982</v>
      </c>
      <c r="G26" s="5"/>
      <c r="H26" s="5" t="n">
        <f aca="false">+H25</f>
        <v>3904</v>
      </c>
      <c r="I26" s="5"/>
      <c r="J26" s="5" t="n">
        <f aca="false">+F26+H26</f>
        <v>34886</v>
      </c>
      <c r="K26" s="5"/>
      <c r="L26" s="5"/>
      <c r="M26" s="12" t="n">
        <f aca="false">+M25</f>
        <v>41762</v>
      </c>
      <c r="N26" s="5" t="n">
        <f aca="false">+N25</f>
        <v>3904</v>
      </c>
      <c r="O26" s="13" t="n">
        <f aca="false">+N26+M26</f>
        <v>45666</v>
      </c>
      <c r="P26" s="5"/>
      <c r="Q26" s="7" t="n">
        <f aca="false">IF(O26-J26&gt;0,O26-J26,0)</f>
        <v>10780</v>
      </c>
      <c r="R26" s="7"/>
      <c r="S26" s="14" t="n">
        <f aca="false">+S25</f>
        <v>0</v>
      </c>
      <c r="T26" s="15" t="n">
        <f aca="false">+S26*Q26</f>
        <v>0</v>
      </c>
    </row>
    <row r="27" customFormat="false" ht="12.75" hidden="false" customHeight="false" outlineLevel="0" collapsed="false">
      <c r="A27" s="5" t="n">
        <f aca="false">+A26+1</f>
        <v>22</v>
      </c>
      <c r="B27" s="5" t="n">
        <v>35476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35476</v>
      </c>
      <c r="G27" s="5"/>
      <c r="H27" s="5" t="n">
        <f aca="false">+H26</f>
        <v>3904</v>
      </c>
      <c r="I27" s="5"/>
      <c r="J27" s="5" t="n">
        <f aca="false">+F27+H27</f>
        <v>39380</v>
      </c>
      <c r="K27" s="5"/>
      <c r="L27" s="5"/>
      <c r="M27" s="12" t="n">
        <f aca="false">+M26</f>
        <v>41762</v>
      </c>
      <c r="N27" s="5" t="n">
        <f aca="false">+N26</f>
        <v>3904</v>
      </c>
      <c r="O27" s="13" t="n">
        <f aca="false">+N27+M27</f>
        <v>45666</v>
      </c>
      <c r="P27" s="5"/>
      <c r="Q27" s="7" t="n">
        <f aca="false">IF(O27-J27&gt;0,O27-J27,0)</f>
        <v>6286</v>
      </c>
      <c r="R27" s="7"/>
      <c r="S27" s="14" t="n">
        <f aca="false">+S26</f>
        <v>0</v>
      </c>
      <c r="T27" s="15" t="n">
        <f aca="false">+S27*Q27</f>
        <v>0</v>
      </c>
    </row>
    <row r="28" customFormat="false" ht="12.75" hidden="false" customHeight="false" outlineLevel="0" collapsed="false">
      <c r="A28" s="5" t="n">
        <f aca="false">+A27+1</f>
        <v>23</v>
      </c>
      <c r="B28" s="5" t="n">
        <v>27496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27496</v>
      </c>
      <c r="G28" s="5"/>
      <c r="H28" s="5" t="n">
        <f aca="false">+H27</f>
        <v>3904</v>
      </c>
      <c r="I28" s="5"/>
      <c r="J28" s="5" t="n">
        <f aca="false">+F28+H28</f>
        <v>31400</v>
      </c>
      <c r="K28" s="5"/>
      <c r="L28" s="5"/>
      <c r="M28" s="12" t="n">
        <f aca="false">+M27</f>
        <v>41762</v>
      </c>
      <c r="N28" s="5" t="n">
        <f aca="false">+N27</f>
        <v>3904</v>
      </c>
      <c r="O28" s="13" t="n">
        <f aca="false">+N28+M28</f>
        <v>45666</v>
      </c>
      <c r="P28" s="5"/>
      <c r="Q28" s="7" t="n">
        <f aca="false">IF(O28-J28&gt;0,O28-J28,0)</f>
        <v>14266</v>
      </c>
      <c r="R28" s="7"/>
      <c r="S28" s="14" t="n">
        <f aca="false">+S27</f>
        <v>0</v>
      </c>
      <c r="T28" s="15" t="n">
        <f aca="false">+S28*Q28</f>
        <v>0</v>
      </c>
    </row>
    <row r="29" customFormat="false" ht="12.75" hidden="false" customHeight="false" outlineLevel="0" collapsed="false">
      <c r="A29" s="5" t="n">
        <f aca="false">+A28+1</f>
        <v>24</v>
      </c>
      <c r="B29" s="5" t="n">
        <v>27088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27088</v>
      </c>
      <c r="G29" s="5"/>
      <c r="H29" s="5" t="n">
        <f aca="false">+H28</f>
        <v>3904</v>
      </c>
      <c r="I29" s="5"/>
      <c r="J29" s="5" t="n">
        <f aca="false">+F29+H29</f>
        <v>30992</v>
      </c>
      <c r="K29" s="5"/>
      <c r="L29" s="5"/>
      <c r="M29" s="12" t="n">
        <f aca="false">+M28</f>
        <v>41762</v>
      </c>
      <c r="N29" s="5" t="n">
        <f aca="false">+N28</f>
        <v>3904</v>
      </c>
      <c r="O29" s="13" t="n">
        <f aca="false">+N29+M29</f>
        <v>45666</v>
      </c>
      <c r="P29" s="5"/>
      <c r="Q29" s="7" t="n">
        <f aca="false">IF(O29-J29&gt;0,O29-J29,0)</f>
        <v>14674</v>
      </c>
      <c r="R29" s="7"/>
      <c r="S29" s="14" t="n">
        <f aca="false">+S28</f>
        <v>0</v>
      </c>
      <c r="T29" s="15" t="n">
        <f aca="false">+S29*Q29</f>
        <v>0</v>
      </c>
    </row>
    <row r="30" customFormat="false" ht="12.75" hidden="false" customHeight="false" outlineLevel="0" collapsed="false">
      <c r="A30" s="5" t="n">
        <f aca="false">+A29+1</f>
        <v>25</v>
      </c>
      <c r="B30" s="5" t="n">
        <v>29146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29146</v>
      </c>
      <c r="G30" s="5"/>
      <c r="H30" s="5" t="n">
        <f aca="false">+H29</f>
        <v>3904</v>
      </c>
      <c r="I30" s="5"/>
      <c r="J30" s="5" t="n">
        <f aca="false">+F30+H30</f>
        <v>33050</v>
      </c>
      <c r="K30" s="5"/>
      <c r="L30" s="5"/>
      <c r="M30" s="12" t="n">
        <f aca="false">+M29</f>
        <v>41762</v>
      </c>
      <c r="N30" s="5" t="n">
        <f aca="false">+N29</f>
        <v>3904</v>
      </c>
      <c r="O30" s="13" t="n">
        <f aca="false">+N30+M30</f>
        <v>45666</v>
      </c>
      <c r="P30" s="5"/>
      <c r="Q30" s="7" t="n">
        <f aca="false">IF(O30-J30&gt;0,O30-J30,0)</f>
        <v>12616</v>
      </c>
      <c r="R30" s="7"/>
      <c r="S30" s="14" t="n">
        <f aca="false">+S29</f>
        <v>0</v>
      </c>
      <c r="T30" s="15" t="n">
        <f aca="false">+S30*Q30</f>
        <v>0</v>
      </c>
      <c r="W30" s="16"/>
      <c r="X30" s="15"/>
    </row>
    <row r="31" customFormat="false" ht="12.75" hidden="false" customHeight="false" outlineLevel="0" collapsed="false">
      <c r="A31" s="5" t="n">
        <f aca="false">+A30+1</f>
        <v>26</v>
      </c>
      <c r="B31" s="5" t="n">
        <v>26229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26229</v>
      </c>
      <c r="G31" s="5"/>
      <c r="H31" s="5" t="n">
        <f aca="false">+H30</f>
        <v>3904</v>
      </c>
      <c r="I31" s="5"/>
      <c r="J31" s="5" t="n">
        <f aca="false">+F31+H31</f>
        <v>30133</v>
      </c>
      <c r="K31" s="5"/>
      <c r="L31" s="5"/>
      <c r="M31" s="12" t="n">
        <f aca="false">+M30</f>
        <v>41762</v>
      </c>
      <c r="N31" s="5" t="n">
        <f aca="false">+N30</f>
        <v>3904</v>
      </c>
      <c r="O31" s="13" t="n">
        <f aca="false">+N31+M31</f>
        <v>45666</v>
      </c>
      <c r="P31" s="5"/>
      <c r="Q31" s="7" t="n">
        <f aca="false">IF(O31-J31&gt;0,O31-J31,0)</f>
        <v>15533</v>
      </c>
      <c r="R31" s="7"/>
      <c r="S31" s="14" t="n">
        <f aca="false">+S30</f>
        <v>0</v>
      </c>
      <c r="T31" s="15" t="n">
        <f aca="false">+S31*Q31</f>
        <v>0</v>
      </c>
      <c r="W31" s="16"/>
      <c r="X31" s="15"/>
    </row>
    <row r="32" customFormat="false" ht="12.75" hidden="false" customHeight="false" outlineLevel="0" collapsed="false">
      <c r="A32" s="5" t="n">
        <f aca="false">+A31+1</f>
        <v>27</v>
      </c>
      <c r="B32" s="5" t="n">
        <v>26354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26354</v>
      </c>
      <c r="G32" s="5"/>
      <c r="H32" s="5" t="n">
        <f aca="false">+H31</f>
        <v>3904</v>
      </c>
      <c r="I32" s="5"/>
      <c r="J32" s="5" t="n">
        <f aca="false">+F32+H32</f>
        <v>30258</v>
      </c>
      <c r="K32" s="5"/>
      <c r="L32" s="5"/>
      <c r="M32" s="12" t="n">
        <f aca="false">+M31-10000</f>
        <v>31762</v>
      </c>
      <c r="N32" s="5" t="n">
        <f aca="false">+N31</f>
        <v>3904</v>
      </c>
      <c r="O32" s="13" t="n">
        <f aca="false">+N32+M32</f>
        <v>35666</v>
      </c>
      <c r="P32" s="5"/>
      <c r="Q32" s="7" t="n">
        <f aca="false">IF(O32-J32&gt;0,O32-J32,0)</f>
        <v>5408</v>
      </c>
      <c r="R32" s="7"/>
      <c r="S32" s="14" t="n">
        <f aca="false">+S31</f>
        <v>0</v>
      </c>
      <c r="T32" s="15" t="n">
        <f aca="false">+S32*Q32</f>
        <v>0</v>
      </c>
      <c r="W32" s="16"/>
      <c r="X32" s="15"/>
    </row>
    <row r="33" customFormat="false" ht="12.75" hidden="false" customHeight="false" outlineLevel="0" collapsed="false">
      <c r="A33" s="5" t="n">
        <f aca="false">+A32+1</f>
        <v>28</v>
      </c>
      <c r="B33" s="5" t="n">
        <v>71649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71649</v>
      </c>
      <c r="G33" s="5"/>
      <c r="H33" s="5" t="n">
        <f aca="false">+H32</f>
        <v>3904</v>
      </c>
      <c r="I33" s="5"/>
      <c r="J33" s="5" t="n">
        <f aca="false">+F33+H33</f>
        <v>75553</v>
      </c>
      <c r="K33" s="5"/>
      <c r="L33" s="5"/>
      <c r="M33" s="12" t="n">
        <f aca="false">+M32</f>
        <v>31762</v>
      </c>
      <c r="N33" s="5" t="n">
        <f aca="false">+N32</f>
        <v>3904</v>
      </c>
      <c r="O33" s="13" t="n">
        <f aca="false">+N33+M33</f>
        <v>35666</v>
      </c>
      <c r="P33" s="5"/>
      <c r="Q33" s="7" t="n">
        <f aca="false">IF(O33-J33&gt;0,O33-J33,0)</f>
        <v>0</v>
      </c>
      <c r="R33" s="7"/>
      <c r="S33" s="14" t="n">
        <f aca="false">+S32</f>
        <v>0</v>
      </c>
      <c r="T33" s="15" t="n">
        <f aca="false">+S33*Q33</f>
        <v>0</v>
      </c>
      <c r="W33" s="16"/>
      <c r="X33" s="15"/>
    </row>
    <row r="34" customFormat="false" ht="12.75" hidden="false" customHeight="false" outlineLevel="0" collapsed="false">
      <c r="A34" s="5" t="n">
        <f aca="false">+A33+1</f>
        <v>29</v>
      </c>
      <c r="B34" s="5" t="n">
        <v>72347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72347</v>
      </c>
      <c r="G34" s="5"/>
      <c r="H34" s="5" t="n">
        <f aca="false">+H33</f>
        <v>3904</v>
      </c>
      <c r="I34" s="5"/>
      <c r="J34" s="5" t="n">
        <f aca="false">+F34+H34</f>
        <v>76251</v>
      </c>
      <c r="K34" s="5"/>
      <c r="L34" s="5"/>
      <c r="M34" s="12" t="n">
        <f aca="false">+M33</f>
        <v>31762</v>
      </c>
      <c r="N34" s="5" t="n">
        <f aca="false">+N33</f>
        <v>3904</v>
      </c>
      <c r="O34" s="13" t="n">
        <f aca="false">+N34+M34</f>
        <v>35666</v>
      </c>
      <c r="P34" s="5"/>
      <c r="Q34" s="7" t="n">
        <f aca="false">IF(O34-J34&gt;0,O34-J34,0)</f>
        <v>0</v>
      </c>
      <c r="R34" s="7"/>
      <c r="S34" s="14" t="n">
        <f aca="false">+S33</f>
        <v>0</v>
      </c>
      <c r="T34" s="15" t="n">
        <f aca="false">+S34*Q34</f>
        <v>0</v>
      </c>
      <c r="W34" s="16"/>
      <c r="X34" s="15"/>
    </row>
    <row r="35" customFormat="false" ht="12.75" hidden="false" customHeight="false" outlineLevel="0" collapsed="false">
      <c r="A35" s="5" t="n">
        <f aca="false">+A34+1</f>
        <v>30</v>
      </c>
      <c r="B35" s="5" t="n">
        <v>65704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65704</v>
      </c>
      <c r="G35" s="5"/>
      <c r="H35" s="5" t="n">
        <f aca="false">+H34</f>
        <v>3904</v>
      </c>
      <c r="I35" s="5"/>
      <c r="J35" s="5" t="n">
        <f aca="false">+F35+H35</f>
        <v>69608</v>
      </c>
      <c r="K35" s="5"/>
      <c r="L35" s="5"/>
      <c r="M35" s="12" t="n">
        <f aca="false">+M34</f>
        <v>31762</v>
      </c>
      <c r="N35" s="5" t="n">
        <f aca="false">+N34</f>
        <v>3904</v>
      </c>
      <c r="O35" s="13" t="n">
        <f aca="false">+N35+M35</f>
        <v>35666</v>
      </c>
      <c r="P35" s="5"/>
      <c r="Q35" s="7" t="n">
        <f aca="false">IF(O35-J35&gt;0,O35-J35,0)</f>
        <v>0</v>
      </c>
      <c r="R35" s="7"/>
      <c r="S35" s="14" t="n">
        <f aca="false">+S34</f>
        <v>0</v>
      </c>
      <c r="T35" s="15" t="n">
        <f aca="false">+S35*Q35</f>
        <v>0</v>
      </c>
      <c r="W35" s="16"/>
      <c r="X35" s="15"/>
    </row>
    <row r="36" customFormat="false" ht="12.75" hidden="false" customHeight="false" outlineLevel="0" collapsed="false">
      <c r="A36" s="5" t="n">
        <f aca="false">+A35+1</f>
        <v>31</v>
      </c>
      <c r="B36" s="5" t="n">
        <v>52265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52265</v>
      </c>
      <c r="G36" s="5"/>
      <c r="H36" s="5" t="n">
        <f aca="false">+H35</f>
        <v>3904</v>
      </c>
      <c r="I36" s="5"/>
      <c r="J36" s="5" t="n">
        <f aca="false">+F36+H36</f>
        <v>56169</v>
      </c>
      <c r="K36" s="5"/>
      <c r="L36" s="5"/>
      <c r="M36" s="12" t="n">
        <f aca="false">+M35</f>
        <v>31762</v>
      </c>
      <c r="N36" s="5" t="n">
        <f aca="false">+N35</f>
        <v>3904</v>
      </c>
      <c r="O36" s="13" t="n">
        <f aca="false">+N36+M36</f>
        <v>35666</v>
      </c>
      <c r="P36" s="5"/>
      <c r="Q36" s="7" t="n">
        <f aca="false">IF(O36-J36&gt;0,O36-J36,0)</f>
        <v>0</v>
      </c>
      <c r="R36" s="7"/>
      <c r="S36" s="14" t="n">
        <f aca="false">+S35</f>
        <v>0</v>
      </c>
      <c r="T36" s="15" t="n">
        <f aca="false">+S36*Q36</f>
        <v>0</v>
      </c>
      <c r="W36" s="16"/>
      <c r="X36" s="15"/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7"/>
      <c r="R37" s="7"/>
      <c r="S37" s="7"/>
      <c r="T37" s="5"/>
    </row>
    <row r="38" customFormat="false" ht="12.75" hidden="false" customHeight="false" outlineLevel="0" collapsed="false">
      <c r="A38" s="5"/>
      <c r="B38" s="5" t="n">
        <f aca="false">SUM(B6:B37)</f>
        <v>1359328</v>
      </c>
      <c r="C38" s="5" t="n">
        <f aca="false">SUM(C6:C37)</f>
        <v>0</v>
      </c>
      <c r="D38" s="5" t="n">
        <f aca="false">SUM(D6:D37)</f>
        <v>0</v>
      </c>
      <c r="E38" s="5"/>
      <c r="F38" s="5" t="n">
        <f aca="false">SUM(F6:F37)</f>
        <v>1359328</v>
      </c>
      <c r="G38" s="5"/>
      <c r="H38" s="5" t="n">
        <f aca="false">SUM(H6:H37)</f>
        <v>121024</v>
      </c>
      <c r="I38" s="5"/>
      <c r="J38" s="5" t="n">
        <f aca="false">SUM(J6:J37)</f>
        <v>1480352</v>
      </c>
      <c r="K38" s="5"/>
      <c r="L38" s="5"/>
      <c r="M38" s="5" t="n">
        <f aca="false">SUM(M6:M37)</f>
        <v>1304622</v>
      </c>
      <c r="N38" s="5" t="n">
        <f aca="false">SUM(N6:N37)</f>
        <v>121024</v>
      </c>
      <c r="O38" s="5" t="n">
        <f aca="false">SUM(O6:O37)</f>
        <v>1425646</v>
      </c>
      <c r="P38" s="5"/>
      <c r="Q38" s="7" t="n">
        <f aca="false">SUM(Q6:Q37)</f>
        <v>244242</v>
      </c>
      <c r="R38" s="7" t="s">
        <v>77</v>
      </c>
      <c r="S38" s="7"/>
      <c r="T38" s="15" t="n">
        <f aca="false">SUM(T6:T34)</f>
        <v>0</v>
      </c>
      <c r="V38" s="5"/>
      <c r="X38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1" sqref="C21 C1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7" width="15.56"/>
    <col collapsed="false" customWidth="false" hidden="false" outlineLevel="0" max="2" min="2" style="17" width="9.14"/>
    <col collapsed="false" customWidth="true" hidden="false" outlineLevel="0" max="3" min="3" style="17" width="12.42"/>
    <col collapsed="false" customWidth="true" hidden="false" outlineLevel="0" max="4" min="4" style="17" width="12.14"/>
    <col collapsed="false" customWidth="true" hidden="false" outlineLevel="0" max="5" min="5" style="17" width="10.99"/>
    <col collapsed="false" customWidth="false" hidden="false" outlineLevel="0" max="6" min="6" style="17" width="9.14"/>
    <col collapsed="false" customWidth="true" hidden="false" outlineLevel="0" max="7" min="7" style="17" width="14.99"/>
    <col collapsed="false" customWidth="false" hidden="false" outlineLevel="0" max="11" min="8" style="17" width="9.14"/>
    <col collapsed="false" customWidth="true" hidden="false" outlineLevel="0" max="12" min="12" style="17" width="14.7"/>
    <col collapsed="false" customWidth="false" hidden="false" outlineLevel="0" max="257" min="13" style="17" width="9.14"/>
  </cols>
  <sheetData>
    <row r="1" customFormat="false" ht="12.75" hidden="false" customHeight="false" outlineLevel="0" collapsed="false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customFormat="false" ht="12.75" hidden="false" customHeight="fals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customFormat="false" ht="12.75" hidden="false" customHeight="false" outlineLevel="0" collapsed="false">
      <c r="A3" s="19" t="s">
        <v>78</v>
      </c>
      <c r="C3" s="17" t="s">
        <v>79</v>
      </c>
      <c r="E3" s="18"/>
      <c r="F3" s="18"/>
      <c r="G3" s="18"/>
      <c r="H3" s="18"/>
      <c r="I3" s="18"/>
      <c r="J3" s="18"/>
      <c r="K3" s="18"/>
      <c r="L3" s="18"/>
      <c r="M3" s="18"/>
      <c r="N3" s="18"/>
    </row>
    <row r="4" customFormat="false" ht="12.75" hidden="false" customHeight="false" outlineLevel="0" collapsed="false">
      <c r="A4" s="17" t="s">
        <v>80</v>
      </c>
      <c r="B4" s="17" t="s">
        <v>37</v>
      </c>
      <c r="C4" s="20" t="n">
        <v>4.85</v>
      </c>
      <c r="E4" s="18"/>
      <c r="F4" s="18"/>
      <c r="G4" s="18"/>
      <c r="H4" s="18"/>
      <c r="I4" s="18"/>
      <c r="J4" s="18"/>
      <c r="K4" s="18"/>
      <c r="L4" s="18"/>
      <c r="M4" s="18"/>
      <c r="N4" s="18"/>
    </row>
    <row r="5" customFormat="false" ht="12.75" hidden="false" customHeight="false" outlineLevel="0" collapsed="false">
      <c r="A5" s="17" t="s">
        <v>81</v>
      </c>
      <c r="C5" s="20" t="n">
        <v>0.0075</v>
      </c>
      <c r="E5" s="18"/>
      <c r="F5" s="18"/>
      <c r="G5" s="18"/>
      <c r="H5" s="18"/>
      <c r="I5" s="18"/>
      <c r="J5" s="18"/>
      <c r="K5" s="18"/>
      <c r="L5" s="18"/>
      <c r="M5" s="18"/>
      <c r="N5" s="18"/>
    </row>
    <row r="6" customFormat="false" ht="12.75" hidden="false" customHeight="false" outlineLevel="0" collapsed="false">
      <c r="A6" s="17" t="s">
        <v>82</v>
      </c>
      <c r="C6" s="20" t="n">
        <v>0.044</v>
      </c>
      <c r="E6" s="18"/>
      <c r="F6" s="18"/>
      <c r="G6" s="18"/>
      <c r="H6" s="18"/>
      <c r="I6" s="18"/>
      <c r="J6" s="18"/>
      <c r="K6" s="18"/>
      <c r="L6" s="18"/>
      <c r="M6" s="18"/>
      <c r="N6" s="18"/>
    </row>
    <row r="7" customFormat="false" ht="12.75" hidden="false" customHeight="false" outlineLevel="0" collapsed="false">
      <c r="A7" s="17" t="s">
        <v>83</v>
      </c>
      <c r="C7" s="20" t="n">
        <v>0.0022</v>
      </c>
      <c r="E7" s="18"/>
      <c r="F7" s="18"/>
      <c r="G7" s="18"/>
      <c r="H7" s="18"/>
      <c r="I7" s="18"/>
      <c r="J7" s="18"/>
      <c r="K7" s="18"/>
      <c r="L7" s="18"/>
      <c r="M7" s="18"/>
      <c r="N7" s="18"/>
    </row>
    <row r="8" customFormat="false" ht="12.75" hidden="false" customHeight="false" outlineLevel="0" collapsed="false">
      <c r="A8" s="17" t="s">
        <v>84</v>
      </c>
      <c r="C8" s="21" t="n">
        <v>0.0228</v>
      </c>
      <c r="E8" s="18"/>
      <c r="F8" s="18"/>
      <c r="G8" s="18"/>
      <c r="H8" s="18"/>
      <c r="I8" s="18"/>
      <c r="J8" s="18"/>
      <c r="K8" s="18"/>
      <c r="L8" s="18"/>
      <c r="M8" s="18"/>
      <c r="N8" s="18"/>
    </row>
    <row r="9" customFormat="false" ht="12.75" hidden="false" customHeight="false" outlineLevel="0" collapsed="false">
      <c r="A9" s="17" t="s">
        <v>85</v>
      </c>
      <c r="C9" s="22" t="n">
        <f aca="false">ROUND((+C4+C5)/(1-C8)+(C6+C7),4)-C4-C5</f>
        <v>0.159500000000001</v>
      </c>
      <c r="E9" s="18"/>
      <c r="F9" s="18"/>
      <c r="G9" s="18"/>
      <c r="H9" s="18"/>
      <c r="I9" s="18"/>
      <c r="J9" s="18"/>
      <c r="K9" s="18"/>
      <c r="L9" s="18"/>
      <c r="M9" s="18"/>
      <c r="N9" s="18"/>
    </row>
    <row r="10" customFormat="false" ht="12.75" hidden="false" customHeight="false" outlineLevel="0" collapsed="false">
      <c r="A10" s="17" t="s">
        <v>86</v>
      </c>
      <c r="C10" s="23" t="n">
        <v>0.02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customFormat="false" ht="13.5" hidden="false" customHeight="false" outlineLevel="0" collapsed="false">
      <c r="C11" s="24" t="n">
        <f aca="false">SUM(C4:C5,C9,C10)</f>
        <v>5.037</v>
      </c>
      <c r="D11" s="17" t="s">
        <v>87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customFormat="false" ht="13.5" hidden="false" customHeight="false" outlineLevel="0" collapsed="false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customFormat="false" ht="12.75" hidden="false" customHeight="false" outlineLevel="0" collapsed="false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customFormat="false" ht="12.75" hidden="false" customHeight="false" outlineLevel="0" collapsed="false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customFormat="false" ht="12.75" hidden="false" customHeight="false" outlineLevel="0" collapsed="false">
      <c r="A15" s="19" t="s">
        <v>37</v>
      </c>
      <c r="C15" s="17" t="s">
        <v>88</v>
      </c>
      <c r="E15" s="17" t="s">
        <v>89</v>
      </c>
      <c r="F15" s="18"/>
      <c r="G15" s="18"/>
      <c r="H15" s="18"/>
      <c r="I15" s="18"/>
      <c r="J15" s="18"/>
      <c r="K15" s="18"/>
      <c r="L15" s="18"/>
      <c r="M15" s="18"/>
      <c r="N15" s="18"/>
    </row>
    <row r="16" customFormat="false" ht="12.75" hidden="false" customHeight="false" outlineLevel="0" collapsed="false">
      <c r="A16" s="17" t="s">
        <v>80</v>
      </c>
      <c r="B16" s="17" t="s">
        <v>37</v>
      </c>
      <c r="C16" s="20" t="n">
        <v>5.55</v>
      </c>
      <c r="E16" s="20" t="n">
        <v>4.81</v>
      </c>
      <c r="F16" s="18"/>
      <c r="G16" s="18" t="s">
        <v>90</v>
      </c>
      <c r="H16" s="18"/>
      <c r="I16" s="20" t="n">
        <f aca="false">+C22</f>
        <v>5.7041</v>
      </c>
      <c r="J16" s="18"/>
      <c r="K16" s="18"/>
      <c r="L16" s="18"/>
      <c r="M16" s="18"/>
      <c r="N16" s="18"/>
    </row>
    <row r="17" customFormat="false" ht="12.75" hidden="false" customHeight="false" outlineLevel="0" collapsed="false">
      <c r="A17" s="17" t="s">
        <v>81</v>
      </c>
      <c r="C17" s="20" t="n">
        <v>0.0075</v>
      </c>
      <c r="E17" s="20" t="n">
        <v>0.0075</v>
      </c>
      <c r="F17" s="18"/>
      <c r="G17" s="18"/>
      <c r="H17" s="18"/>
      <c r="I17" s="20" t="n">
        <v>0</v>
      </c>
      <c r="J17" s="18"/>
      <c r="K17" s="18"/>
      <c r="L17" s="18"/>
      <c r="M17" s="18"/>
      <c r="N17" s="18"/>
    </row>
    <row r="18" customFormat="false" ht="12.75" hidden="false" customHeight="false" outlineLevel="0" collapsed="false">
      <c r="A18" s="17" t="s">
        <v>82</v>
      </c>
      <c r="C18" s="20" t="n">
        <v>0.0133</v>
      </c>
      <c r="E18" s="20" t="n">
        <v>0.0133</v>
      </c>
      <c r="F18" s="18"/>
      <c r="G18" s="18" t="s">
        <v>91</v>
      </c>
      <c r="H18" s="18"/>
      <c r="I18" s="20" t="n">
        <v>0.0153</v>
      </c>
      <c r="J18" s="18"/>
      <c r="K18" s="18"/>
      <c r="L18" s="18"/>
      <c r="M18" s="18"/>
      <c r="N18" s="18"/>
    </row>
    <row r="19" customFormat="false" ht="12.75" hidden="false" customHeight="false" outlineLevel="0" collapsed="false">
      <c r="A19" s="17" t="s">
        <v>83</v>
      </c>
      <c r="C19" s="20" t="n">
        <v>0.0094</v>
      </c>
      <c r="E19" s="20" t="n">
        <v>0.0094</v>
      </c>
      <c r="F19" s="18"/>
      <c r="G19" s="18" t="s">
        <v>84</v>
      </c>
      <c r="H19" s="18"/>
      <c r="I19" s="21" t="n">
        <v>0.0017</v>
      </c>
      <c r="J19" s="18"/>
      <c r="K19" s="18"/>
      <c r="L19" s="18"/>
      <c r="M19" s="18"/>
      <c r="N19" s="18"/>
    </row>
    <row r="20" customFormat="false" ht="12.75" hidden="false" customHeight="false" outlineLevel="0" collapsed="false">
      <c r="A20" s="17" t="s">
        <v>84</v>
      </c>
      <c r="C20" s="21" t="n">
        <v>0.02184</v>
      </c>
      <c r="E20" s="21" t="n">
        <v>0.02184</v>
      </c>
      <c r="F20" s="18"/>
      <c r="G20" s="18"/>
      <c r="H20" s="18"/>
      <c r="I20" s="22" t="n">
        <f aca="false">ROUND(+I16/(1-I19)+I18,4)-I16</f>
        <v>0.0249999999999995</v>
      </c>
      <c r="J20" s="18"/>
      <c r="K20" s="18"/>
      <c r="L20" s="18"/>
      <c r="M20" s="18"/>
      <c r="N20" s="18"/>
    </row>
    <row r="21" customFormat="false" ht="13.5" hidden="false" customHeight="false" outlineLevel="0" collapsed="false">
      <c r="A21" s="17" t="s">
        <v>85</v>
      </c>
      <c r="C21" s="22" t="n">
        <f aca="false">ROUND(+C16/(1-C20)+(C18+C19),4)-C16</f>
        <v>0.1466</v>
      </c>
      <c r="E21" s="22" t="n">
        <f aca="false">ROUND(+E16/(1-E20)+(E18+E19),4)-E16</f>
        <v>0.130100000000001</v>
      </c>
      <c r="F21" s="18"/>
      <c r="G21" s="18"/>
      <c r="H21" s="18"/>
      <c r="I21" s="24" t="n">
        <f aca="false">I16+I20</f>
        <v>5.7291</v>
      </c>
      <c r="J21" s="18" t="s">
        <v>92</v>
      </c>
      <c r="K21" s="18"/>
      <c r="L21" s="25"/>
      <c r="M21" s="18"/>
      <c r="N21" s="18"/>
    </row>
    <row r="22" customFormat="false" ht="14.25" hidden="false" customHeight="false" outlineLevel="0" collapsed="false">
      <c r="C22" s="24" t="n">
        <f aca="false">SUM(C16,C17,C21)</f>
        <v>5.7041</v>
      </c>
      <c r="D22" s="17" t="s">
        <v>93</v>
      </c>
      <c r="E22" s="22" t="n">
        <v>0.02</v>
      </c>
      <c r="F22" s="18"/>
      <c r="G22" s="18"/>
      <c r="H22" s="18"/>
      <c r="I22" s="26"/>
      <c r="J22" s="18"/>
      <c r="K22" s="18"/>
      <c r="L22" s="25"/>
      <c r="M22" s="18"/>
      <c r="N22" s="18"/>
    </row>
    <row r="23" customFormat="false" ht="14.25" hidden="false" customHeight="false" outlineLevel="0" collapsed="false">
      <c r="E23" s="24" t="n">
        <f aca="false">+E22+E21+E16</f>
        <v>4.9601</v>
      </c>
      <c r="F23" s="17" t="s">
        <v>94</v>
      </c>
      <c r="H23" s="18"/>
      <c r="I23" s="27"/>
      <c r="J23" s="18"/>
      <c r="K23" s="18"/>
      <c r="L23" s="25"/>
      <c r="M23" s="18"/>
      <c r="N23" s="18"/>
    </row>
    <row r="24" customFormat="false" ht="13.5" hidden="false" customHeight="false" outlineLevel="0" collapsed="false">
      <c r="C24" s="28"/>
      <c r="E24" s="28"/>
      <c r="H24" s="18"/>
      <c r="I24" s="27"/>
      <c r="J24" s="18"/>
      <c r="K24" s="18"/>
      <c r="L24" s="25"/>
      <c r="M24" s="18"/>
      <c r="N24" s="18"/>
    </row>
    <row r="25" customFormat="false" ht="12.75" hidden="false" customHeight="false" outlineLevel="0" collapsed="false">
      <c r="A25" s="17" t="s">
        <v>95</v>
      </c>
      <c r="C25" s="28"/>
      <c r="E25" s="28"/>
      <c r="H25" s="18"/>
      <c r="I25" s="27"/>
      <c r="J25" s="18"/>
      <c r="K25" s="18"/>
      <c r="L25" s="25"/>
      <c r="M25" s="18"/>
      <c r="N25" s="18"/>
    </row>
    <row r="26" customFormat="false" ht="12.75" hidden="false" customHeight="false" outlineLevel="0" collapsed="false">
      <c r="B26" s="17" t="s">
        <v>96</v>
      </c>
      <c r="C26" s="28"/>
      <c r="E26" s="28"/>
      <c r="H26" s="18"/>
      <c r="I26" s="27"/>
      <c r="J26" s="18"/>
      <c r="K26" s="18"/>
      <c r="L26" s="25"/>
      <c r="M26" s="18"/>
      <c r="N26" s="18"/>
    </row>
    <row r="27" customFormat="false" ht="12.75" hidden="false" customHeight="false" outlineLevel="0" collapsed="false">
      <c r="C27" s="28" t="s">
        <v>97</v>
      </c>
      <c r="E27" s="28"/>
      <c r="H27" s="18"/>
      <c r="I27" s="27"/>
      <c r="J27" s="18"/>
      <c r="K27" s="18"/>
      <c r="L27" s="25"/>
      <c r="M27" s="18"/>
      <c r="N27" s="18"/>
    </row>
    <row r="28" customFormat="false" ht="12.75" hidden="false" customHeight="false" outlineLevel="0" collapsed="false">
      <c r="C28" s="28"/>
      <c r="E28" s="28"/>
      <c r="H28" s="18"/>
      <c r="I28" s="27"/>
      <c r="J28" s="18"/>
      <c r="K28" s="18"/>
      <c r="L28" s="25"/>
      <c r="M28" s="18"/>
      <c r="N28" s="18"/>
    </row>
    <row r="29" customFormat="false" ht="12.75" hidden="false" customHeight="false" outlineLevel="0" collapsed="false">
      <c r="B29" s="17" t="s">
        <v>98</v>
      </c>
      <c r="C29" s="28"/>
      <c r="E29" s="28"/>
      <c r="H29" s="18"/>
      <c r="I29" s="27"/>
      <c r="J29" s="18"/>
      <c r="K29" s="18"/>
      <c r="L29" s="25"/>
      <c r="M29" s="18"/>
      <c r="N29" s="18"/>
    </row>
    <row r="30" customFormat="false" ht="12.75" hidden="false" customHeight="false" outlineLevel="0" collapsed="false">
      <c r="C30" s="28" t="s">
        <v>99</v>
      </c>
      <c r="E30" s="28"/>
      <c r="H30" s="18"/>
      <c r="I30" s="27"/>
      <c r="J30" s="18"/>
      <c r="K30" s="18"/>
      <c r="L30" s="25"/>
      <c r="M30" s="18"/>
      <c r="N30" s="18"/>
    </row>
    <row r="31" customFormat="false" ht="12.75" hidden="false" customHeight="false" outlineLevel="0" collapsed="false">
      <c r="C31" s="28"/>
      <c r="E31" s="28"/>
      <c r="H31" s="18"/>
      <c r="I31" s="27"/>
      <c r="J31" s="18"/>
      <c r="K31" s="18"/>
      <c r="L31" s="25"/>
      <c r="M31" s="18"/>
      <c r="N31" s="18"/>
    </row>
    <row r="32" customFormat="false" ht="12.75" hidden="false" customHeight="false" outlineLevel="0" collapsed="false">
      <c r="B32" s="17" t="s">
        <v>100</v>
      </c>
      <c r="C32" s="28"/>
      <c r="E32" s="28"/>
      <c r="H32" s="18"/>
      <c r="I32" s="27"/>
      <c r="J32" s="18"/>
      <c r="K32" s="18"/>
      <c r="L32" s="25"/>
      <c r="M32" s="18"/>
      <c r="N32" s="18"/>
    </row>
    <row r="33" customFormat="false" ht="12.75" hidden="false" customHeight="false" outlineLevel="0" collapsed="false">
      <c r="C33" s="28" t="s">
        <v>99</v>
      </c>
      <c r="E33" s="28"/>
      <c r="H33" s="18"/>
      <c r="I33" s="27"/>
      <c r="J33" s="18"/>
      <c r="K33" s="18"/>
      <c r="L33" s="25"/>
      <c r="M33" s="18"/>
      <c r="N33" s="18"/>
    </row>
    <row r="34" customFormat="false" ht="12.75" hidden="false" customHeight="false" outlineLevel="0" collapsed="false">
      <c r="C34" s="28"/>
      <c r="E34" s="28"/>
      <c r="H34" s="18"/>
      <c r="I34" s="27"/>
      <c r="J34" s="18"/>
      <c r="K34" s="18"/>
      <c r="L34" s="25"/>
      <c r="M34" s="18"/>
      <c r="N34" s="18"/>
    </row>
    <row r="35" customFormat="false" ht="12.75" hidden="false" customHeight="false" outlineLevel="0" collapsed="false">
      <c r="C35" s="29"/>
      <c r="E35" s="29"/>
      <c r="H35" s="18"/>
      <c r="I35" s="18"/>
      <c r="J35" s="18"/>
      <c r="K35" s="18"/>
      <c r="L35" s="25"/>
      <c r="M35" s="18"/>
      <c r="N35" s="18"/>
    </row>
    <row r="36" customFormat="false" ht="12.75" hidden="false" customHeight="false" outlineLevel="0" collapsed="false">
      <c r="C36" s="29"/>
      <c r="E36" s="29"/>
      <c r="H36" s="18"/>
      <c r="I36" s="18"/>
      <c r="J36" s="18"/>
      <c r="K36" s="18"/>
      <c r="L36" s="25"/>
      <c r="M36" s="18"/>
      <c r="N36" s="18"/>
    </row>
    <row r="37" customFormat="false" ht="12.75" hidden="false" customHeight="false" outlineLevel="0" collapsed="false">
      <c r="C37" s="29"/>
      <c r="E37" s="29"/>
      <c r="H37" s="18"/>
      <c r="I37" s="18"/>
      <c r="J37" s="18"/>
      <c r="K37" s="18"/>
      <c r="L37" s="25"/>
      <c r="M37" s="18"/>
      <c r="N37" s="18"/>
    </row>
    <row r="38" customFormat="false" ht="12.75" hidden="false" customHeight="false" outlineLevel="0" collapsed="false">
      <c r="A38" s="19" t="s">
        <v>101</v>
      </c>
      <c r="C38" s="17" t="s">
        <v>102</v>
      </c>
      <c r="D38" s="30" t="s">
        <v>103</v>
      </c>
      <c r="E38" s="30"/>
      <c r="F38" s="31"/>
      <c r="G38" s="31"/>
      <c r="H38" s="31"/>
      <c r="I38" s="31"/>
      <c r="J38" s="18"/>
      <c r="K38" s="18"/>
      <c r="L38" s="18"/>
      <c r="M38" s="18"/>
      <c r="N38" s="18"/>
    </row>
    <row r="39" customFormat="false" ht="12.75" hidden="false" customHeight="false" outlineLevel="0" collapsed="false">
      <c r="A39" s="17" t="s">
        <v>80</v>
      </c>
      <c r="B39" s="17" t="s">
        <v>101</v>
      </c>
      <c r="C39" s="20" t="n">
        <v>4.59</v>
      </c>
      <c r="D39" s="32" t="n">
        <v>1142</v>
      </c>
      <c r="E39" s="30" t="s">
        <v>104</v>
      </c>
      <c r="F39" s="31"/>
      <c r="G39" s="31"/>
      <c r="H39" s="31"/>
      <c r="I39" s="26"/>
      <c r="J39" s="18"/>
      <c r="K39" s="18"/>
      <c r="L39" s="18"/>
      <c r="M39" s="18"/>
      <c r="N39" s="18"/>
    </row>
    <row r="40" customFormat="false" ht="12.75" hidden="false" customHeight="false" outlineLevel="0" collapsed="false">
      <c r="A40" s="17" t="s">
        <v>81</v>
      </c>
      <c r="C40" s="20" t="n">
        <v>0.05</v>
      </c>
      <c r="D40" s="30"/>
      <c r="E40" s="26"/>
      <c r="F40" s="31"/>
      <c r="G40" s="31"/>
      <c r="H40" s="31"/>
      <c r="I40" s="26"/>
      <c r="J40" s="18"/>
      <c r="K40" s="18"/>
      <c r="L40" s="18"/>
      <c r="M40" s="18"/>
      <c r="N40" s="18"/>
    </row>
    <row r="41" customFormat="false" ht="12.75" hidden="false" customHeight="false" outlineLevel="0" collapsed="false">
      <c r="A41" s="17" t="s">
        <v>82</v>
      </c>
      <c r="C41" s="20" t="n">
        <v>0.017</v>
      </c>
      <c r="D41" s="30"/>
      <c r="E41" s="26"/>
      <c r="F41" s="31"/>
      <c r="G41" s="31"/>
      <c r="H41" s="31"/>
      <c r="I41" s="26"/>
      <c r="J41" s="18"/>
      <c r="K41" s="18"/>
      <c r="L41" s="18"/>
      <c r="M41" s="18"/>
      <c r="N41" s="18"/>
    </row>
    <row r="42" customFormat="false" ht="12.75" hidden="false" customHeight="false" outlineLevel="0" collapsed="false">
      <c r="A42" s="17" t="s">
        <v>83</v>
      </c>
      <c r="C42" s="20" t="n">
        <v>0.0022</v>
      </c>
      <c r="D42" s="30"/>
      <c r="E42" s="26"/>
      <c r="F42" s="31"/>
      <c r="G42" s="31"/>
      <c r="H42" s="31"/>
      <c r="I42" s="21"/>
      <c r="J42" s="18"/>
      <c r="K42" s="18"/>
      <c r="L42" s="18"/>
      <c r="M42" s="18"/>
      <c r="N42" s="18"/>
    </row>
    <row r="43" customFormat="false" ht="12.75" hidden="false" customHeight="false" outlineLevel="0" collapsed="false">
      <c r="A43" s="17" t="s">
        <v>84</v>
      </c>
      <c r="C43" s="21" t="n">
        <v>0.0282</v>
      </c>
      <c r="D43" s="30" t="n">
        <f aca="false">ROUND(+D39*(1-C43),0)</f>
        <v>1110</v>
      </c>
      <c r="E43" s="21" t="s">
        <v>105</v>
      </c>
      <c r="F43" s="31"/>
      <c r="G43" s="31"/>
      <c r="H43" s="31"/>
      <c r="I43" s="26"/>
      <c r="J43" s="18"/>
      <c r="K43" s="18"/>
      <c r="L43" s="18"/>
      <c r="M43" s="18"/>
      <c r="N43" s="18"/>
    </row>
    <row r="44" customFormat="false" ht="12.75" hidden="false" customHeight="false" outlineLevel="0" collapsed="false">
      <c r="A44" s="17" t="s">
        <v>85</v>
      </c>
      <c r="C44" s="22" t="n">
        <f aca="false">ROUND((+C39+C40)/(1-C43)+(C41+C42),4)-C39-C40</f>
        <v>0.1538</v>
      </c>
      <c r="D44" s="30"/>
      <c r="E44" s="26"/>
      <c r="F44" s="31"/>
      <c r="G44" s="31"/>
      <c r="H44" s="31"/>
      <c r="I44" s="26"/>
      <c r="J44" s="18"/>
      <c r="K44" s="18"/>
      <c r="L44" s="25"/>
      <c r="M44" s="18"/>
      <c r="N44" s="18"/>
    </row>
    <row r="45" customFormat="false" ht="13.5" hidden="false" customHeight="false" outlineLevel="0" collapsed="false">
      <c r="C45" s="24" t="n">
        <f aca="false">SUM(C39,C40,C44)</f>
        <v>4.7938</v>
      </c>
      <c r="D45" s="30"/>
      <c r="E45" s="26"/>
      <c r="F45" s="31"/>
      <c r="G45" s="31"/>
      <c r="H45" s="31"/>
      <c r="I45" s="26"/>
      <c r="J45" s="18"/>
      <c r="K45" s="18"/>
      <c r="L45" s="25"/>
      <c r="M45" s="18"/>
      <c r="N45" s="18"/>
    </row>
    <row r="46" customFormat="false" ht="13.5" hidden="false" customHeight="false" outlineLevel="0" collapsed="false">
      <c r="A46" s="17" t="s">
        <v>106</v>
      </c>
      <c r="D46" s="30"/>
      <c r="E46" s="26"/>
      <c r="F46" s="30"/>
      <c r="G46" s="30"/>
      <c r="H46" s="31"/>
      <c r="I46" s="31"/>
      <c r="J46" s="18"/>
      <c r="K46" s="18"/>
      <c r="L46" s="25"/>
      <c r="M46" s="18"/>
      <c r="N46" s="18"/>
    </row>
    <row r="47" customFormat="false" ht="12.75" hidden="false" customHeight="false" outlineLevel="0" collapsed="false">
      <c r="C47" s="28"/>
      <c r="E47" s="28"/>
      <c r="H47" s="18"/>
      <c r="I47" s="18"/>
      <c r="J47" s="18"/>
      <c r="K47" s="18"/>
      <c r="L47" s="25"/>
      <c r="M47" s="18"/>
      <c r="N47" s="18"/>
    </row>
    <row r="48" customFormat="false" ht="12.75" hidden="false" customHeight="false" outlineLevel="0" collapsed="false">
      <c r="A48" s="17" t="s">
        <v>107</v>
      </c>
      <c r="C48" s="29"/>
      <c r="E48" s="29"/>
      <c r="H48" s="18"/>
      <c r="I48" s="18"/>
      <c r="J48" s="18"/>
      <c r="K48" s="18"/>
      <c r="L48" s="25"/>
      <c r="M48" s="18"/>
      <c r="N48" s="18"/>
    </row>
    <row r="49" customFormat="false" ht="12.75" hidden="false" customHeight="false" outlineLevel="0" collapsed="false">
      <c r="B49" s="17" t="s">
        <v>108</v>
      </c>
      <c r="C49" s="20"/>
      <c r="H49" s="18"/>
      <c r="I49" s="18"/>
      <c r="J49" s="18"/>
      <c r="K49" s="18"/>
      <c r="L49" s="25"/>
      <c r="M49" s="18"/>
      <c r="N49" s="18"/>
    </row>
    <row r="50" customFormat="false" ht="12.75" hidden="false" customHeight="false" outlineLevel="0" collapsed="false">
      <c r="A50" s="18"/>
      <c r="B50" s="18" t="s">
        <v>109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customFormat="false" ht="12.75" hidden="false" customHeight="false" outlineLevel="0" collapsed="false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customFormat="false" ht="12.75" hidden="false" customHeight="false" outlineLevel="0" collapsed="false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customFormat="false" ht="12.75" hidden="false" customHeight="false" outlineLevel="0" collapsed="false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customFormat="false" ht="12.75" hidden="false" customHeight="false" outlineLevel="0" collapsed="false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customFormat="false" ht="12.75" hidden="false" customHeight="false" outlineLevel="0" collapsed="false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customFormat="false" ht="12.75" hidden="false" customHeight="false" outlineLevel="0" collapsed="false">
      <c r="A56" s="19" t="s">
        <v>60</v>
      </c>
      <c r="C56" s="33" t="s">
        <v>88</v>
      </c>
      <c r="E56" s="33" t="s">
        <v>110</v>
      </c>
      <c r="G56" s="18"/>
      <c r="H56" s="18"/>
      <c r="I56" s="18"/>
      <c r="J56" s="18"/>
      <c r="K56" s="18"/>
      <c r="L56" s="18"/>
      <c r="M56" s="18"/>
      <c r="N56" s="18"/>
    </row>
    <row r="57" customFormat="false" ht="12.75" hidden="false" customHeight="false" outlineLevel="0" collapsed="false">
      <c r="A57" s="17" t="s">
        <v>80</v>
      </c>
      <c r="B57" s="17" t="s">
        <v>78</v>
      </c>
      <c r="C57" s="20" t="n">
        <v>4.56</v>
      </c>
      <c r="E57" s="20" t="n">
        <v>4.56</v>
      </c>
      <c r="G57" s="18"/>
      <c r="H57" s="18"/>
      <c r="I57" s="18"/>
      <c r="J57" s="18"/>
      <c r="K57" s="18"/>
      <c r="L57" s="18"/>
      <c r="M57" s="18"/>
      <c r="N57" s="18"/>
    </row>
    <row r="58" customFormat="false" ht="12.75" hidden="false" customHeight="false" outlineLevel="0" collapsed="false">
      <c r="A58" s="17" t="s">
        <v>81</v>
      </c>
      <c r="C58" s="20" t="n">
        <v>0.0275</v>
      </c>
      <c r="E58" s="20" t="n">
        <v>0.0275</v>
      </c>
      <c r="G58" s="18"/>
      <c r="H58" s="18"/>
      <c r="I58" s="18"/>
      <c r="J58" s="18"/>
      <c r="K58" s="18"/>
      <c r="L58" s="18"/>
      <c r="M58" s="18"/>
      <c r="N58" s="18"/>
    </row>
    <row r="59" customFormat="false" ht="12.75" hidden="false" customHeight="false" outlineLevel="0" collapsed="false">
      <c r="A59" s="17" t="s">
        <v>82</v>
      </c>
      <c r="C59" s="20" t="n">
        <v>0.0092</v>
      </c>
      <c r="E59" s="20" t="n">
        <v>0.2127</v>
      </c>
      <c r="G59" s="18"/>
      <c r="H59" s="18"/>
      <c r="I59" s="18"/>
      <c r="J59" s="18"/>
      <c r="K59" s="18"/>
      <c r="L59" s="18"/>
      <c r="M59" s="18"/>
      <c r="N59" s="18"/>
    </row>
    <row r="60" customFormat="false" ht="12.75" hidden="false" customHeight="false" outlineLevel="0" collapsed="false">
      <c r="A60" s="17" t="s">
        <v>83</v>
      </c>
      <c r="C60" s="20" t="n">
        <v>0.0094</v>
      </c>
      <c r="E60" s="20" t="n">
        <v>0.0094</v>
      </c>
      <c r="F60" s="18"/>
      <c r="G60" s="18"/>
      <c r="H60" s="18"/>
      <c r="I60" s="18"/>
      <c r="J60" s="18"/>
      <c r="K60" s="18"/>
      <c r="L60" s="18"/>
      <c r="M60" s="18"/>
      <c r="N60" s="18"/>
    </row>
    <row r="61" customFormat="false" ht="12.75" hidden="false" customHeight="false" outlineLevel="0" collapsed="false">
      <c r="A61" s="17" t="s">
        <v>84</v>
      </c>
      <c r="C61" s="34" t="n">
        <v>0.03</v>
      </c>
      <c r="E61" s="34" t="n">
        <v>0.03</v>
      </c>
      <c r="F61" s="18"/>
      <c r="G61" s="18"/>
      <c r="H61" s="18"/>
      <c r="I61" s="18"/>
      <c r="J61" s="18"/>
      <c r="K61" s="18"/>
      <c r="L61" s="18"/>
      <c r="M61" s="18"/>
      <c r="N61" s="18"/>
    </row>
    <row r="62" customFormat="false" ht="12.75" hidden="false" customHeight="false" outlineLevel="0" collapsed="false">
      <c r="A62" s="17" t="s">
        <v>85</v>
      </c>
      <c r="C62" s="22" t="n">
        <f aca="false">ROUND((+C57+C58)/(1-C61)-(C57+C58)+C59+C60,4)</f>
        <v>0.1605</v>
      </c>
      <c r="E62" s="22" t="n">
        <f aca="false">ROUND((+E57+E58)/(1-E61)-(E57+E58)+E59+E60,4)</f>
        <v>0.364</v>
      </c>
      <c r="F62" s="18"/>
      <c r="G62" s="18"/>
      <c r="H62" s="18"/>
      <c r="I62" s="18"/>
      <c r="J62" s="18"/>
      <c r="K62" s="18"/>
      <c r="L62" s="18"/>
      <c r="M62" s="18"/>
      <c r="N62" s="18"/>
    </row>
    <row r="63" customFormat="false" ht="13.5" hidden="false" customHeight="false" outlineLevel="0" collapsed="false">
      <c r="A63" s="17" t="s">
        <v>111</v>
      </c>
      <c r="C63" s="24" t="n">
        <f aca="false">SUM(C62,C57:C58)</f>
        <v>4.748</v>
      </c>
      <c r="E63" s="24" t="n">
        <f aca="false">SUM(E62,E57:E58)</f>
        <v>4.9515</v>
      </c>
      <c r="F63" s="18"/>
      <c r="G63" s="18"/>
      <c r="H63" s="18"/>
      <c r="I63" s="18"/>
      <c r="J63" s="18"/>
      <c r="K63" s="18"/>
      <c r="L63" s="18"/>
      <c r="M63" s="18"/>
      <c r="N63" s="18"/>
    </row>
    <row r="64" customFormat="false" ht="13.5" hidden="false" customHeight="false" outlineLevel="0" collapsed="false">
      <c r="F64" s="18"/>
      <c r="G64" s="18"/>
      <c r="H64" s="18"/>
      <c r="I64" s="18"/>
      <c r="J64" s="18"/>
      <c r="K64" s="18"/>
      <c r="L64" s="18"/>
      <c r="M64" s="18"/>
      <c r="N64" s="18"/>
    </row>
    <row r="65" customFormat="false" ht="12.75" hidden="false" customHeight="false" outlineLevel="0" collapsed="false">
      <c r="A65" s="17" t="s">
        <v>112</v>
      </c>
      <c r="F65" s="18"/>
      <c r="G65" s="18"/>
      <c r="H65" s="18"/>
      <c r="I65" s="18"/>
      <c r="J65" s="18"/>
      <c r="K65" s="18"/>
      <c r="L65" s="18"/>
      <c r="M65" s="18"/>
      <c r="N65" s="18"/>
    </row>
    <row r="66" customFormat="false" ht="12.75" hidden="false" customHeight="false" outlineLevel="0" collapsed="false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customFormat="false" ht="12.75" hidden="false" customHeight="false" outlineLevel="0" collapsed="false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customFormat="false" ht="12.75" hidden="false" customHeight="false" outlineLevel="0" collapsed="false">
      <c r="A68" s="19" t="s">
        <v>113</v>
      </c>
      <c r="F68" s="18"/>
      <c r="G68" s="18"/>
      <c r="H68" s="18"/>
      <c r="I68" s="18"/>
      <c r="J68" s="18"/>
      <c r="K68" s="18"/>
      <c r="L68" s="18"/>
      <c r="M68" s="18"/>
      <c r="N68" s="18"/>
    </row>
    <row r="69" customFormat="false" ht="12.75" hidden="false" customHeight="false" outlineLevel="0" collapsed="false">
      <c r="A69" s="17" t="s">
        <v>80</v>
      </c>
      <c r="B69" s="17" t="s">
        <v>114</v>
      </c>
      <c r="C69" s="20" t="n">
        <v>4.29</v>
      </c>
      <c r="F69" s="18"/>
      <c r="G69" s="18"/>
      <c r="H69" s="18"/>
      <c r="I69" s="18"/>
      <c r="J69" s="18"/>
      <c r="K69" s="18"/>
      <c r="L69" s="18"/>
      <c r="M69" s="18"/>
      <c r="N69" s="18"/>
    </row>
    <row r="70" customFormat="false" ht="12.75" hidden="false" customHeight="false" outlineLevel="0" collapsed="false">
      <c r="A70" s="17" t="s">
        <v>81</v>
      </c>
      <c r="C70" s="20" t="n">
        <v>0.01</v>
      </c>
      <c r="F70" s="18"/>
      <c r="G70" s="18"/>
      <c r="H70" s="18"/>
      <c r="I70" s="18"/>
      <c r="J70" s="18"/>
      <c r="K70" s="18"/>
      <c r="L70" s="18"/>
      <c r="M70" s="18"/>
      <c r="N70" s="18"/>
    </row>
    <row r="71" customFormat="false" ht="12.75" hidden="false" customHeight="false" outlineLevel="0" collapsed="false">
      <c r="A71" s="17" t="s">
        <v>82</v>
      </c>
      <c r="C71" s="20" t="n">
        <v>0.1126</v>
      </c>
      <c r="F71" s="18"/>
      <c r="G71" s="18"/>
      <c r="H71" s="18"/>
      <c r="I71" s="18"/>
      <c r="J71" s="18"/>
      <c r="K71" s="18"/>
      <c r="L71" s="18"/>
      <c r="M71" s="18"/>
      <c r="N71" s="18"/>
    </row>
    <row r="72" customFormat="false" ht="12.75" hidden="false" customHeight="false" outlineLevel="0" collapsed="false">
      <c r="A72" s="17" t="s">
        <v>83</v>
      </c>
      <c r="C72" s="20" t="n">
        <v>0.0094</v>
      </c>
      <c r="F72" s="18"/>
      <c r="G72" s="18"/>
      <c r="H72" s="18"/>
      <c r="I72" s="18"/>
      <c r="J72" s="18"/>
      <c r="K72" s="18"/>
      <c r="L72" s="18"/>
      <c r="M72" s="18"/>
      <c r="N72" s="18"/>
    </row>
    <row r="73" customFormat="false" ht="12.75" hidden="false" customHeight="false" outlineLevel="0" collapsed="false">
      <c r="A73" s="17" t="s">
        <v>84</v>
      </c>
      <c r="C73" s="34" t="n">
        <v>0.0597</v>
      </c>
      <c r="F73" s="18"/>
      <c r="G73" s="18"/>
      <c r="H73" s="18"/>
      <c r="I73" s="18"/>
      <c r="J73" s="18"/>
      <c r="K73" s="18"/>
      <c r="L73" s="18"/>
      <c r="M73" s="18"/>
      <c r="N73" s="18"/>
    </row>
    <row r="74" customFormat="false" ht="12.75" hidden="false" customHeight="false" outlineLevel="0" collapsed="false">
      <c r="A74" s="17" t="s">
        <v>85</v>
      </c>
      <c r="C74" s="22" t="n">
        <f aca="false">ROUND((+C69+C70)/(1-C73)-(C69+C70)+C71+C72,4)</f>
        <v>0.395</v>
      </c>
      <c r="F74" s="18"/>
      <c r="G74" s="18"/>
      <c r="H74" s="18"/>
      <c r="I74" s="18"/>
      <c r="J74" s="18"/>
      <c r="K74" s="18"/>
      <c r="L74" s="18"/>
      <c r="M74" s="18"/>
      <c r="N74" s="18"/>
    </row>
    <row r="75" customFormat="false" ht="13.5" hidden="false" customHeight="false" outlineLevel="0" collapsed="false">
      <c r="C75" s="24" t="n">
        <f aca="false">SUM(C74,C69:C70)</f>
        <v>4.695</v>
      </c>
      <c r="D75" s="17" t="s">
        <v>115</v>
      </c>
      <c r="F75" s="18"/>
      <c r="G75" s="18"/>
      <c r="H75" s="18"/>
      <c r="I75" s="18"/>
      <c r="J75" s="18"/>
      <c r="K75" s="18"/>
      <c r="L75" s="18"/>
      <c r="M75" s="18"/>
      <c r="N75" s="18"/>
    </row>
    <row r="76" customFormat="false" ht="13.5" hidden="false" customHeight="false" outlineLevel="0" collapsed="false"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customFormat="false" ht="12.75" hidden="false" customHeight="false" outlineLevel="0" collapsed="false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customFormat="false" ht="12.75" hidden="false" customHeight="false" outlineLevel="0" collapsed="false">
      <c r="A78" s="19" t="s">
        <v>44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customFormat="false" ht="12.75" hidden="false" customHeight="false" outlineLevel="0" collapsed="false">
      <c r="A79" s="17" t="s">
        <v>80</v>
      </c>
      <c r="B79" s="17" t="s">
        <v>116</v>
      </c>
      <c r="C79" s="20" t="n">
        <v>4.3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customFormat="false" ht="12.75" hidden="false" customHeight="false" outlineLevel="0" collapsed="false">
      <c r="A80" s="17" t="s">
        <v>81</v>
      </c>
      <c r="C80" s="20" t="n">
        <v>0.01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customFormat="false" ht="12.75" hidden="false" customHeight="false" outlineLevel="0" collapsed="false">
      <c r="A81" s="17" t="s">
        <v>82</v>
      </c>
      <c r="C81" s="20" t="n">
        <v>0.1012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customFormat="false" ht="12.75" hidden="false" customHeight="false" outlineLevel="0" collapsed="false">
      <c r="A82" s="17" t="s">
        <v>83</v>
      </c>
      <c r="C82" s="20" t="n">
        <v>0.0094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customFormat="false" ht="12.75" hidden="false" customHeight="false" outlineLevel="0" collapsed="false">
      <c r="A83" s="17" t="s">
        <v>84</v>
      </c>
      <c r="C83" s="34" t="n">
        <v>0.0705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customFormat="false" ht="12.75" hidden="false" customHeight="false" outlineLevel="0" collapsed="false">
      <c r="A84" s="17" t="s">
        <v>85</v>
      </c>
      <c r="C84" s="22" t="n">
        <f aca="false">ROUND((+C79+C80)/(1-C83)-(C79+C80)+C81+C82,4)</f>
        <v>0.4375</v>
      </c>
      <c r="D84" s="17" t="s">
        <v>117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customFormat="false" ht="13.5" hidden="false" customHeight="false" outlineLevel="0" collapsed="false">
      <c r="C85" s="24" t="n">
        <f aca="false">SUM(C84,C79:C80)</f>
        <v>4.7475</v>
      </c>
      <c r="D85" s="17" t="s">
        <v>118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customFormat="false" ht="13.5" hidden="false" customHeight="false" outlineLevel="0" collapsed="false"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customFormat="false" ht="12.75" hidden="false" customHeight="false" outlineLevel="0" collapsed="false">
      <c r="A87" s="17" t="s">
        <v>119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customFormat="false" ht="12.75" hidden="false" customHeight="false" outlineLevel="0" collapsed="false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customFormat="false" ht="12.75" hidden="false" customHeight="false" outlineLevel="0" collapsed="false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customFormat="false" ht="12.75" hidden="false" customHeight="false" outlineLevel="0" collapsed="false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customFormat="false" ht="12.75" hidden="false" customHeight="false" outlineLevel="0" collapsed="false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customFormat="false" ht="12.75" hidden="false" customHeight="false" outlineLevel="0" collapsed="false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customFormat="false" ht="12.75" hidden="false" customHeight="false" outlineLevel="0" collapsed="false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customFormat="false" ht="12.75" hidden="false" customHeight="false" outlineLevel="0" collapsed="false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customFormat="false" ht="12.75" hidden="false" customHeight="false" outlineLevel="0" collapsed="false">
      <c r="A95" s="35" t="s">
        <v>62</v>
      </c>
      <c r="G95" s="36"/>
      <c r="H95" s="36"/>
    </row>
    <row r="96" customFormat="false" ht="12.75" hidden="false" customHeight="false" outlineLevel="0" collapsed="false">
      <c r="D96" s="37"/>
      <c r="F96" s="32"/>
      <c r="G96" s="36"/>
    </row>
    <row r="97" customFormat="false" ht="12" hidden="false" customHeight="false" outlineLevel="0" collapsed="false">
      <c r="A97" s="17" t="s">
        <v>120</v>
      </c>
      <c r="E97" s="30"/>
      <c r="F97" s="30"/>
      <c r="G97" s="30"/>
      <c r="H97" s="30"/>
      <c r="I97" s="30"/>
      <c r="J97" s="30"/>
      <c r="K97" s="30"/>
      <c r="L97" s="30"/>
    </row>
    <row r="98" customFormat="false" ht="12.75" hidden="false" customHeight="false" outlineLevel="0" collapsed="false">
      <c r="A98" s="17" t="s">
        <v>80</v>
      </c>
      <c r="B98" s="17" t="s">
        <v>121</v>
      </c>
      <c r="C98" s="20" t="n">
        <v>4.36</v>
      </c>
      <c r="E98" s="30"/>
      <c r="F98" s="30"/>
      <c r="G98" s="26"/>
      <c r="H98" s="30"/>
      <c r="I98" s="30"/>
      <c r="J98" s="30"/>
      <c r="K98" s="26"/>
      <c r="L98" s="38"/>
    </row>
    <row r="99" customFormat="false" ht="12.75" hidden="false" customHeight="false" outlineLevel="0" collapsed="false">
      <c r="C99" s="20" t="n">
        <v>0.0075</v>
      </c>
      <c r="E99" s="30"/>
      <c r="F99" s="30"/>
      <c r="G99" s="26"/>
      <c r="H99" s="30"/>
      <c r="I99" s="30"/>
      <c r="J99" s="30"/>
      <c r="K99" s="26"/>
      <c r="L99" s="38"/>
    </row>
    <row r="100" customFormat="false" ht="12.75" hidden="false" customHeight="false" outlineLevel="0" collapsed="false">
      <c r="A100" s="17" t="s">
        <v>82</v>
      </c>
      <c r="B100" s="36"/>
      <c r="C100" s="20" t="n">
        <v>0.0274</v>
      </c>
      <c r="E100" s="30"/>
      <c r="F100" s="38"/>
      <c r="G100" s="26"/>
      <c r="H100" s="30"/>
      <c r="I100" s="30"/>
      <c r="J100" s="38"/>
      <c r="K100" s="26"/>
      <c r="L100" s="38"/>
    </row>
    <row r="101" customFormat="false" ht="12.75" hidden="false" customHeight="false" outlineLevel="0" collapsed="false">
      <c r="A101" s="17" t="s">
        <v>83</v>
      </c>
      <c r="B101" s="36"/>
      <c r="C101" s="20" t="n">
        <v>0.0225</v>
      </c>
      <c r="E101" s="30"/>
      <c r="F101" s="38"/>
      <c r="G101" s="26"/>
      <c r="H101" s="30"/>
      <c r="I101" s="30"/>
      <c r="J101" s="38"/>
      <c r="K101" s="26"/>
      <c r="L101" s="38"/>
    </row>
    <row r="102" customFormat="false" ht="12.75" hidden="false" customHeight="false" outlineLevel="0" collapsed="false">
      <c r="A102" s="17" t="s">
        <v>84</v>
      </c>
      <c r="B102" s="39"/>
      <c r="C102" s="34" t="n">
        <v>0.0472</v>
      </c>
      <c r="E102" s="30"/>
      <c r="F102" s="39"/>
      <c r="G102" s="34"/>
      <c r="H102" s="30"/>
      <c r="I102" s="30"/>
      <c r="J102" s="39"/>
      <c r="K102" s="34"/>
      <c r="L102" s="38"/>
    </row>
    <row r="103" customFormat="false" ht="12.75" hidden="false" customHeight="false" outlineLevel="0" collapsed="false">
      <c r="A103" s="17" t="s">
        <v>85</v>
      </c>
      <c r="C103" s="22" t="n">
        <f aca="false">ROUND((+C98+C99)/(1-C102)+(C100+C101),4)-C98-C99</f>
        <v>0.2663</v>
      </c>
      <c r="E103" s="30"/>
      <c r="F103" s="30"/>
      <c r="G103" s="26"/>
      <c r="H103" s="30"/>
      <c r="I103" s="30"/>
      <c r="J103" s="30"/>
      <c r="K103" s="26"/>
      <c r="L103" s="38"/>
    </row>
    <row r="104" customFormat="false" ht="13.5" hidden="false" customHeight="false" outlineLevel="0" collapsed="false">
      <c r="C104" s="24" t="n">
        <f aca="false">SUM(C103,C98:C99)</f>
        <v>4.6338</v>
      </c>
      <c r="D104" s="17" t="s">
        <v>122</v>
      </c>
      <c r="E104" s="30"/>
      <c r="F104" s="30"/>
      <c r="G104" s="30"/>
      <c r="H104" s="30"/>
      <c r="I104" s="30"/>
      <c r="J104" s="30"/>
      <c r="K104" s="30"/>
      <c r="L104" s="38"/>
      <c r="M104" s="32"/>
      <c r="N104" s="20"/>
    </row>
    <row r="105" customFormat="false" ht="13.5" hidden="false" customHeight="false" outlineLevel="0" collapsed="false">
      <c r="B105" s="36"/>
      <c r="C105" s="20"/>
      <c r="G105" s="32"/>
      <c r="H105" s="40"/>
    </row>
    <row r="106" customFormat="false" ht="12.75" hidden="false" customHeight="false" outlineLevel="0" collapsed="false">
      <c r="K106" s="36"/>
      <c r="L106" s="20"/>
    </row>
    <row r="107" customFormat="false" ht="12.75" hidden="false" customHeight="false" outlineLevel="0" collapsed="false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customFormat="false" ht="12" hidden="false" customHeight="false" outlineLevel="0" collapsed="false">
      <c r="A108" s="17" t="s">
        <v>123</v>
      </c>
      <c r="E108" s="30"/>
      <c r="F108" s="30"/>
      <c r="G108" s="30"/>
      <c r="H108" s="30"/>
      <c r="I108" s="30"/>
      <c r="J108" s="30"/>
      <c r="K108" s="30"/>
      <c r="L108" s="30"/>
    </row>
    <row r="109" customFormat="false" ht="12.75" hidden="false" customHeight="false" outlineLevel="0" collapsed="false">
      <c r="A109" s="17" t="s">
        <v>80</v>
      </c>
      <c r="B109" s="17" t="s">
        <v>121</v>
      </c>
      <c r="C109" s="20" t="n">
        <v>4.36</v>
      </c>
      <c r="E109" s="30"/>
      <c r="F109" s="30"/>
      <c r="G109" s="26"/>
      <c r="H109" s="30"/>
      <c r="I109" s="30"/>
      <c r="J109" s="30"/>
      <c r="K109" s="26"/>
      <c r="L109" s="38"/>
    </row>
    <row r="110" customFormat="false" ht="12.75" hidden="false" customHeight="false" outlineLevel="0" collapsed="false">
      <c r="C110" s="20" t="n">
        <v>0.0075</v>
      </c>
      <c r="E110" s="30"/>
      <c r="F110" s="30"/>
      <c r="G110" s="26"/>
      <c r="H110" s="30"/>
      <c r="I110" s="30"/>
      <c r="J110" s="30"/>
      <c r="K110" s="26"/>
      <c r="L110" s="38"/>
    </row>
    <row r="111" customFormat="false" ht="12.75" hidden="false" customHeight="false" outlineLevel="0" collapsed="false">
      <c r="A111" s="17" t="s">
        <v>82</v>
      </c>
      <c r="B111" s="36"/>
      <c r="C111" s="20" t="n">
        <v>0.014</v>
      </c>
      <c r="E111" s="30"/>
      <c r="F111" s="38"/>
      <c r="G111" s="26"/>
      <c r="H111" s="30"/>
      <c r="I111" s="30"/>
      <c r="J111" s="38"/>
      <c r="K111" s="26"/>
      <c r="L111" s="38"/>
    </row>
    <row r="112" customFormat="false" ht="12.75" hidden="false" customHeight="false" outlineLevel="0" collapsed="false">
      <c r="A112" s="17" t="s">
        <v>83</v>
      </c>
      <c r="B112" s="36"/>
      <c r="C112" s="20" t="n">
        <v>0.0225</v>
      </c>
      <c r="E112" s="30"/>
      <c r="F112" s="38"/>
      <c r="G112" s="26"/>
      <c r="H112" s="30"/>
      <c r="I112" s="30"/>
      <c r="J112" s="38"/>
      <c r="K112" s="26"/>
      <c r="L112" s="38"/>
    </row>
    <row r="113" customFormat="false" ht="12.75" hidden="false" customHeight="false" outlineLevel="0" collapsed="false">
      <c r="A113" s="17" t="s">
        <v>84</v>
      </c>
      <c r="B113" s="39"/>
      <c r="C113" s="34" t="n">
        <v>0.0235</v>
      </c>
      <c r="E113" s="30"/>
      <c r="F113" s="39"/>
      <c r="G113" s="34"/>
      <c r="H113" s="30"/>
      <c r="I113" s="30"/>
      <c r="J113" s="39"/>
      <c r="K113" s="34"/>
      <c r="L113" s="38"/>
    </row>
    <row r="114" customFormat="false" ht="12.75" hidden="false" customHeight="false" outlineLevel="0" collapsed="false">
      <c r="A114" s="17" t="s">
        <v>85</v>
      </c>
      <c r="C114" s="22" t="n">
        <f aca="false">ROUND((+C109+C110)/(1-C113)+(C111+C112),4)-C109-C110</f>
        <v>0.1416</v>
      </c>
      <c r="E114" s="30"/>
      <c r="F114" s="30"/>
      <c r="G114" s="26"/>
      <c r="H114" s="30"/>
      <c r="I114" s="30"/>
      <c r="J114" s="30"/>
      <c r="K114" s="26"/>
      <c r="L114" s="38"/>
    </row>
    <row r="115" customFormat="false" ht="13.5" hidden="false" customHeight="false" outlineLevel="0" collapsed="false">
      <c r="C115" s="24" t="n">
        <f aca="false">SUM(C114,C109:C110)</f>
        <v>4.5091</v>
      </c>
      <c r="D115" s="17" t="s">
        <v>124</v>
      </c>
      <c r="E115" s="30"/>
      <c r="F115" s="30"/>
      <c r="G115" s="30"/>
      <c r="H115" s="30"/>
      <c r="I115" s="30"/>
      <c r="J115" s="30"/>
      <c r="K115" s="30"/>
      <c r="L115" s="38"/>
      <c r="M115" s="32"/>
      <c r="N115" s="20"/>
    </row>
    <row r="116" customFormat="false" ht="13.5" hidden="false" customHeight="false" outlineLevel="0" collapsed="false">
      <c r="B116" s="36"/>
      <c r="C116" s="20"/>
      <c r="G116" s="32"/>
      <c r="H116" s="40"/>
    </row>
    <row r="117" customFormat="false" ht="12.75" hidden="false" customHeight="false" outlineLevel="0" collapsed="false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customFormat="false" ht="12.75" hidden="false" customHeight="false" outlineLevel="0" collapsed="false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customFormat="false" ht="12" hidden="false" customHeight="false" outlineLevel="0" collapsed="false">
      <c r="A119" s="17" t="s">
        <v>125</v>
      </c>
      <c r="I119" s="17" t="s">
        <v>126</v>
      </c>
    </row>
    <row r="120" customFormat="false" ht="12.75" hidden="false" customHeight="false" outlineLevel="0" collapsed="false">
      <c r="A120" s="17" t="s">
        <v>80</v>
      </c>
      <c r="B120" s="17" t="s">
        <v>127</v>
      </c>
      <c r="C120" s="20" t="n">
        <v>4.37</v>
      </c>
      <c r="I120" s="17" t="s">
        <v>80</v>
      </c>
      <c r="J120" s="17" t="s">
        <v>127</v>
      </c>
      <c r="K120" s="20" t="n">
        <v>4.37</v>
      </c>
      <c r="L120" s="36"/>
    </row>
    <row r="121" customFormat="false" ht="12.75" hidden="false" customHeight="false" outlineLevel="0" collapsed="false">
      <c r="A121" s="17" t="s">
        <v>81</v>
      </c>
      <c r="C121" s="20" t="n">
        <v>0.0175</v>
      </c>
      <c r="K121" s="20" t="n">
        <v>0.0175</v>
      </c>
      <c r="L121" s="36"/>
    </row>
    <row r="122" customFormat="false" ht="12.75" hidden="false" customHeight="false" outlineLevel="0" collapsed="false">
      <c r="A122" s="17" t="s">
        <v>82</v>
      </c>
      <c r="B122" s="36"/>
      <c r="C122" s="20" t="n">
        <v>0.0115</v>
      </c>
      <c r="I122" s="17" t="s">
        <v>82</v>
      </c>
      <c r="J122" s="36"/>
      <c r="K122" s="20" t="n">
        <v>0.0023</v>
      </c>
      <c r="L122" s="36"/>
    </row>
    <row r="123" customFormat="false" ht="12.75" hidden="false" customHeight="false" outlineLevel="0" collapsed="false">
      <c r="A123" s="17" t="s">
        <v>83</v>
      </c>
      <c r="B123" s="36"/>
      <c r="C123" s="20" t="n">
        <v>0.0094</v>
      </c>
      <c r="D123" s="17" t="s">
        <v>128</v>
      </c>
      <c r="I123" s="17" t="s">
        <v>83</v>
      </c>
      <c r="J123" s="36"/>
      <c r="K123" s="20" t="n">
        <v>0.0094</v>
      </c>
      <c r="L123" s="17" t="s">
        <v>128</v>
      </c>
    </row>
    <row r="124" customFormat="false" ht="12.75" hidden="false" customHeight="false" outlineLevel="0" collapsed="false">
      <c r="A124" s="17" t="s">
        <v>84</v>
      </c>
      <c r="B124" s="39"/>
      <c r="C124" s="34" t="n">
        <v>0.019</v>
      </c>
      <c r="I124" s="17" t="s">
        <v>84</v>
      </c>
      <c r="J124" s="39"/>
      <c r="K124" s="34" t="n">
        <v>0.019</v>
      </c>
      <c r="L124" s="36"/>
    </row>
    <row r="125" customFormat="false" ht="12.75" hidden="false" customHeight="false" outlineLevel="0" collapsed="false">
      <c r="A125" s="17" t="s">
        <v>85</v>
      </c>
      <c r="C125" s="22" t="n">
        <f aca="false">ROUND((+C120+C121)/(1-C124)+(C122+C123),4)-C120-C121</f>
        <v>0.1059</v>
      </c>
      <c r="I125" s="17" t="s">
        <v>85</v>
      </c>
      <c r="K125" s="22" t="n">
        <f aca="false">ROUND((+K120+K121)/(1-K124)+(K122+K123),4)-K120-K121</f>
        <v>0.0967000000000003</v>
      </c>
      <c r="L125" s="36"/>
    </row>
    <row r="126" customFormat="false" ht="13.5" hidden="false" customHeight="false" outlineLevel="0" collapsed="false">
      <c r="A126" s="17" t="s">
        <v>111</v>
      </c>
      <c r="C126" s="24" t="n">
        <f aca="false">SUM(C125,C120:C121)</f>
        <v>4.4934</v>
      </c>
      <c r="D126" s="17" t="s">
        <v>129</v>
      </c>
      <c r="I126" s="30" t="s">
        <v>111</v>
      </c>
      <c r="J126" s="30"/>
      <c r="K126" s="24" t="n">
        <f aca="false">SUM(K125,K120:K121)</f>
        <v>4.4842</v>
      </c>
      <c r="L126" s="36" t="s">
        <v>130</v>
      </c>
      <c r="M126" s="32"/>
      <c r="N126" s="20"/>
    </row>
    <row r="127" customFormat="false" ht="13.5" hidden="false" customHeight="false" outlineLevel="0" collapsed="false">
      <c r="B127" s="36"/>
      <c r="C127" s="20"/>
      <c r="G127" s="32"/>
      <c r="H127" s="40"/>
    </row>
    <row r="128" customFormat="false" ht="12.75" hidden="false" customHeight="false" outlineLevel="0" collapsed="false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customFormat="false" ht="12" hidden="false" customHeight="false" outlineLevel="0" collapsed="false">
      <c r="A129" s="17" t="s">
        <v>131</v>
      </c>
    </row>
    <row r="130" customFormat="false" ht="12" hidden="false" customHeight="false" outlineLevel="0" collapsed="false">
      <c r="A130" s="17" t="s">
        <v>80</v>
      </c>
      <c r="B130" s="17" t="s">
        <v>127</v>
      </c>
      <c r="C130" s="20" t="n">
        <v>4.37</v>
      </c>
      <c r="D130" s="17" t="s">
        <v>132</v>
      </c>
    </row>
    <row r="131" customFormat="false" ht="12.75" hidden="false" customHeight="false" outlineLevel="0" collapsed="false">
      <c r="A131" s="17" t="s">
        <v>82</v>
      </c>
      <c r="B131" s="36"/>
      <c r="C131" s="20" t="n">
        <v>0.0203</v>
      </c>
    </row>
    <row r="132" customFormat="false" ht="12.75" hidden="false" customHeight="false" outlineLevel="0" collapsed="false">
      <c r="A132" s="17" t="s">
        <v>83</v>
      </c>
      <c r="B132" s="36"/>
      <c r="C132" s="20" t="n">
        <v>0.0225</v>
      </c>
    </row>
    <row r="133" customFormat="false" ht="12" hidden="false" customHeight="false" outlineLevel="0" collapsed="false">
      <c r="A133" s="17" t="s">
        <v>84</v>
      </c>
      <c r="B133" s="39"/>
      <c r="C133" s="34" t="n">
        <v>0.0343</v>
      </c>
    </row>
    <row r="134" customFormat="false" ht="12" hidden="false" customHeight="false" outlineLevel="0" collapsed="false">
      <c r="A134" s="17" t="s">
        <v>85</v>
      </c>
      <c r="C134" s="22" t="n">
        <v>0.1428</v>
      </c>
    </row>
    <row r="135" customFormat="false" ht="12" hidden="false" customHeight="false" outlineLevel="0" collapsed="false">
      <c r="A135" s="17" t="s">
        <v>133</v>
      </c>
      <c r="C135" s="23" t="n">
        <v>0.27</v>
      </c>
    </row>
    <row r="136" customFormat="false" ht="12.75" hidden="false" customHeight="false" outlineLevel="0" collapsed="false">
      <c r="A136" s="17" t="s">
        <v>111</v>
      </c>
      <c r="C136" s="24" t="n">
        <v>3.0428</v>
      </c>
      <c r="D136" s="17" t="s">
        <v>134</v>
      </c>
    </row>
    <row r="137" customFormat="false" ht="12.75" hidden="false" customHeight="false" outlineLevel="0" collapsed="false">
      <c r="D137" s="17" t="s">
        <v>135</v>
      </c>
    </row>
    <row r="138" customFormat="false" ht="12" hidden="false" customHeight="false" outlineLevel="0" collapsed="false">
      <c r="D138" s="17" t="s">
        <v>136</v>
      </c>
    </row>
    <row r="142" customFormat="false" ht="12" hidden="false" customHeight="false" outlineLevel="0" collapsed="false">
      <c r="A142" s="17" t="s">
        <v>137</v>
      </c>
    </row>
    <row r="143" customFormat="false" ht="12" hidden="false" customHeight="false" outlineLevel="0" collapsed="false">
      <c r="A143" s="17" t="s">
        <v>80</v>
      </c>
      <c r="B143" s="17" t="s">
        <v>121</v>
      </c>
      <c r="C143" s="20" t="n">
        <v>4.36</v>
      </c>
    </row>
    <row r="144" customFormat="false" ht="12" hidden="false" customHeight="false" outlineLevel="0" collapsed="false">
      <c r="C144" s="20" t="n">
        <v>0.0075</v>
      </c>
    </row>
    <row r="145" customFormat="false" ht="12.75" hidden="false" customHeight="false" outlineLevel="0" collapsed="false">
      <c r="A145" s="17" t="s">
        <v>82</v>
      </c>
      <c r="B145" s="36"/>
      <c r="C145" s="20" t="n">
        <v>0.0228</v>
      </c>
    </row>
    <row r="146" customFormat="false" ht="12.75" hidden="false" customHeight="false" outlineLevel="0" collapsed="false">
      <c r="A146" s="17" t="s">
        <v>83</v>
      </c>
      <c r="B146" s="36"/>
      <c r="C146" s="20" t="n">
        <v>0.0225</v>
      </c>
    </row>
    <row r="147" customFormat="false" ht="12" hidden="false" customHeight="false" outlineLevel="0" collapsed="false">
      <c r="A147" s="17" t="s">
        <v>84</v>
      </c>
      <c r="B147" s="39"/>
      <c r="C147" s="34" t="n">
        <v>0.0388</v>
      </c>
    </row>
    <row r="148" customFormat="false" ht="12" hidden="false" customHeight="false" outlineLevel="0" collapsed="false">
      <c r="A148" s="17" t="s">
        <v>85</v>
      </c>
      <c r="C148" s="22" t="n">
        <f aca="false">ROUND((+C143+C144)/(1-C147)+(C145+C146),4)-C143-C144</f>
        <v>0.2216</v>
      </c>
    </row>
    <row r="149" customFormat="false" ht="12.75" hidden="false" customHeight="false" outlineLevel="0" collapsed="false">
      <c r="A149" s="17" t="s">
        <v>111</v>
      </c>
      <c r="C149" s="24" t="n">
        <f aca="false">SUM(C148,C143:C144)</f>
        <v>4.5891</v>
      </c>
      <c r="D149" s="17" t="s">
        <v>138</v>
      </c>
    </row>
    <row r="150" customFormat="false" ht="12.75" hidden="false" customHeight="false" outlineLevel="0" collapsed="false"/>
    <row r="156" customFormat="false" ht="12" hidden="false" customHeight="false" outlineLevel="0" collapsed="false">
      <c r="A156" s="19" t="s">
        <v>139</v>
      </c>
    </row>
    <row r="157" customFormat="false" ht="12" hidden="false" customHeight="false" outlineLevel="0" collapsed="false">
      <c r="A157" s="17" t="s">
        <v>80</v>
      </c>
      <c r="B157" s="17" t="s">
        <v>140</v>
      </c>
      <c r="C157" s="20" t="n">
        <v>4.33</v>
      </c>
    </row>
    <row r="158" customFormat="false" ht="12" hidden="false" customHeight="false" outlineLevel="0" collapsed="false">
      <c r="A158" s="17" t="s">
        <v>81</v>
      </c>
      <c r="C158" s="20" t="n">
        <v>-0.01</v>
      </c>
    </row>
    <row r="159" customFormat="false" ht="12" hidden="false" customHeight="false" outlineLevel="0" collapsed="false">
      <c r="A159" s="17" t="s">
        <v>82</v>
      </c>
      <c r="C159" s="20" t="n">
        <v>0.0323</v>
      </c>
    </row>
    <row r="160" customFormat="false" ht="12" hidden="false" customHeight="false" outlineLevel="0" collapsed="false">
      <c r="A160" s="17" t="s">
        <v>83</v>
      </c>
      <c r="C160" s="20" t="n">
        <v>0.0094</v>
      </c>
    </row>
    <row r="161" customFormat="false" ht="12" hidden="false" customHeight="false" outlineLevel="0" collapsed="false">
      <c r="A161" s="17" t="s">
        <v>84</v>
      </c>
      <c r="C161" s="34" t="n">
        <v>0.0268</v>
      </c>
    </row>
    <row r="162" customFormat="false" ht="12" hidden="false" customHeight="false" outlineLevel="0" collapsed="false">
      <c r="A162" s="17" t="s">
        <v>85</v>
      </c>
      <c r="C162" s="22" t="n">
        <f aca="false">ROUND((+C157+C158)/(1-C161)+(C159+C160),4)-C157-C158</f>
        <v>0.1607</v>
      </c>
    </row>
    <row r="163" customFormat="false" ht="12.75" hidden="false" customHeight="false" outlineLevel="0" collapsed="false">
      <c r="A163" s="17" t="s">
        <v>111</v>
      </c>
      <c r="C163" s="24" t="n">
        <f aca="false">SUM(C162,C157:C158)</f>
        <v>4.4807</v>
      </c>
      <c r="D163" s="17" t="s">
        <v>141</v>
      </c>
    </row>
    <row r="164" customFormat="false" ht="12.75" hidden="false" customHeight="false" outlineLevel="0" collapsed="false"/>
    <row r="166" customFormat="false" ht="12" hidden="false" customHeight="false" outlineLevel="0" collapsed="false">
      <c r="A166" s="19" t="s">
        <v>63</v>
      </c>
    </row>
    <row r="167" customFormat="false" ht="12" hidden="false" customHeight="false" outlineLevel="0" collapsed="false">
      <c r="A167" s="17" t="s">
        <v>80</v>
      </c>
      <c r="B167" s="17" t="s">
        <v>142</v>
      </c>
      <c r="C167" s="20" t="n">
        <v>4.35</v>
      </c>
    </row>
    <row r="168" customFormat="false" ht="12" hidden="false" customHeight="false" outlineLevel="0" collapsed="false">
      <c r="A168" s="17" t="s">
        <v>81</v>
      </c>
      <c r="C168" s="20" t="n">
        <v>0.0075</v>
      </c>
    </row>
    <row r="169" customFormat="false" ht="12" hidden="false" customHeight="false" outlineLevel="0" collapsed="false">
      <c r="A169" s="17" t="s">
        <v>82</v>
      </c>
      <c r="C169" s="20" t="n">
        <v>0.021</v>
      </c>
    </row>
    <row r="170" customFormat="false" ht="12" hidden="false" customHeight="false" outlineLevel="0" collapsed="false">
      <c r="A170" s="17" t="s">
        <v>83</v>
      </c>
      <c r="C170" s="20" t="n">
        <f aca="false">0.0022+0.0072</f>
        <v>0.0094</v>
      </c>
    </row>
    <row r="171" customFormat="false" ht="12" hidden="false" customHeight="false" outlineLevel="0" collapsed="false">
      <c r="A171" s="17" t="s">
        <v>84</v>
      </c>
      <c r="C171" s="34" t="n">
        <v>0.026</v>
      </c>
    </row>
    <row r="172" customFormat="false" ht="12" hidden="false" customHeight="false" outlineLevel="0" collapsed="false">
      <c r="A172" s="17" t="s">
        <v>85</v>
      </c>
      <c r="C172" s="22" t="n">
        <f aca="false">ROUND((+C167+C168)/(1-C171)-(C167+C168)+C169+C170,4)</f>
        <v>0.1467</v>
      </c>
    </row>
    <row r="173" customFormat="false" ht="12.75" hidden="false" customHeight="false" outlineLevel="0" collapsed="false">
      <c r="A173" s="17" t="s">
        <v>111</v>
      </c>
      <c r="C173" s="24" t="n">
        <f aca="false">SUM(C172,C167:C168)</f>
        <v>4.5042</v>
      </c>
      <c r="D173" s="17" t="s">
        <v>143</v>
      </c>
    </row>
    <row r="174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F83" colorId="64" zoomScale="100" zoomScaleNormal="100" zoomScalePageLayoutView="100" workbookViewId="0">
      <selection pane="topLeft" activeCell="U90" activeCellId="0" sqref="U9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6" width="9.99"/>
    <col collapsed="false" customWidth="false" hidden="false" outlineLevel="0" max="3" min="3" style="36" width="9.14"/>
    <col collapsed="false" customWidth="true" hidden="false" outlineLevel="0" max="4" min="4" style="36" width="10.56"/>
    <col collapsed="false" customWidth="true" hidden="false" outlineLevel="0" max="5" min="5" style="36" width="9.28"/>
    <col collapsed="false" customWidth="true" hidden="false" outlineLevel="0" max="6" min="6" style="36" width="9.56"/>
    <col collapsed="false" customWidth="true" hidden="false" outlineLevel="0" max="7" min="7" style="41" width="12.42"/>
    <col collapsed="false" customWidth="true" hidden="false" outlineLevel="0" max="8" min="8" style="41" width="13.99"/>
    <col collapsed="false" customWidth="true" hidden="false" outlineLevel="0" max="9" min="9" style="36" width="10.71"/>
    <col collapsed="false" customWidth="true" hidden="false" outlineLevel="0" max="10" min="10" style="36" width="7.7"/>
    <col collapsed="false" customWidth="true" hidden="true" outlineLevel="0" max="14" min="11" style="36" width="9.06"/>
    <col collapsed="false" customWidth="true" hidden="true" outlineLevel="0" max="15" min="15" style="42" width="9.06"/>
    <col collapsed="false" customWidth="true" hidden="true" outlineLevel="0" max="16" min="16" style="36" width="9.06"/>
    <col collapsed="false" customWidth="true" hidden="false" outlineLevel="0" max="17" min="17" style="36" width="11.7"/>
    <col collapsed="false" customWidth="true" hidden="false" outlineLevel="0" max="18" min="18" style="36" width="9.41"/>
    <col collapsed="false" customWidth="true" hidden="false" outlineLevel="0" max="19" min="19" style="36" width="12.28"/>
    <col collapsed="false" customWidth="true" hidden="false" outlineLevel="0" max="20" min="20" style="36" width="10.71"/>
    <col collapsed="false" customWidth="true" hidden="false" outlineLevel="0" max="21" min="21" style="36" width="11.85"/>
    <col collapsed="false" customWidth="true" hidden="false" outlineLevel="0" max="22" min="22" style="43" width="14.85"/>
    <col collapsed="false" customWidth="true" hidden="false" outlineLevel="0" max="23" min="23" style="41" width="42.28"/>
    <col collapsed="false" customWidth="false" hidden="false" outlineLevel="0" max="25" min="24" style="43" width="9.14"/>
    <col collapsed="false" customWidth="true" hidden="false" outlineLevel="0" max="26" min="26" style="36" width="12.42"/>
    <col collapsed="false" customWidth="false" hidden="false" outlineLevel="0" max="257" min="27" style="36" width="9.14"/>
  </cols>
  <sheetData>
    <row r="1" customFormat="false" ht="12.75" hidden="false" customHeight="false" outlineLevel="0" collapsed="false">
      <c r="B1" s="44" t="s">
        <v>144</v>
      </c>
      <c r="C1" s="45"/>
      <c r="D1" s="45"/>
      <c r="E1" s="46"/>
      <c r="F1" s="46"/>
      <c r="G1" s="47"/>
      <c r="H1" s="47"/>
      <c r="I1" s="45" t="s">
        <v>145</v>
      </c>
      <c r="J1" s="48" t="n">
        <v>31</v>
      </c>
      <c r="K1" s="49" t="s">
        <v>146</v>
      </c>
      <c r="L1" s="50"/>
      <c r="M1" s="50"/>
      <c r="N1" s="50"/>
      <c r="O1" s="51"/>
      <c r="P1" s="50"/>
      <c r="Q1" s="52"/>
      <c r="R1" s="53"/>
      <c r="S1" s="54"/>
      <c r="T1" s="54"/>
      <c r="U1" s="54"/>
      <c r="V1" s="55"/>
      <c r="W1" s="56"/>
      <c r="X1" s="57"/>
      <c r="Y1" s="57"/>
    </row>
    <row r="2" customFormat="false" ht="12.75" hidden="false" customHeight="false" outlineLevel="0" collapsed="false">
      <c r="B2" s="47" t="s">
        <v>147</v>
      </c>
      <c r="C2" s="47"/>
      <c r="D2" s="47"/>
      <c r="E2" s="46"/>
      <c r="F2" s="46"/>
      <c r="G2" s="47"/>
      <c r="H2" s="47"/>
      <c r="I2" s="45"/>
      <c r="J2" s="48"/>
      <c r="K2" s="49" t="s">
        <v>148</v>
      </c>
      <c r="L2" s="50"/>
      <c r="M2" s="50"/>
      <c r="N2" s="50"/>
      <c r="O2" s="51"/>
      <c r="P2" s="50"/>
      <c r="Q2" s="52"/>
      <c r="R2" s="53"/>
      <c r="S2" s="54"/>
      <c r="T2" s="54"/>
      <c r="U2" s="54"/>
      <c r="V2" s="55"/>
      <c r="W2" s="56"/>
      <c r="X2" s="57"/>
      <c r="Y2" s="57"/>
    </row>
    <row r="3" customFormat="false" ht="12.75" hidden="false" customHeight="false" outlineLevel="0" collapsed="false">
      <c r="B3" s="47" t="s">
        <v>149</v>
      </c>
      <c r="C3" s="47"/>
      <c r="D3" s="47"/>
      <c r="E3" s="46"/>
      <c r="F3" s="46"/>
      <c r="G3" s="58" t="s">
        <v>141</v>
      </c>
      <c r="H3" s="47" t="s">
        <v>141</v>
      </c>
      <c r="I3" s="53" t="s">
        <v>141</v>
      </c>
      <c r="J3" s="59"/>
      <c r="K3" s="60" t="s">
        <v>141</v>
      </c>
      <c r="L3" s="50"/>
      <c r="M3" s="60" t="s">
        <v>141</v>
      </c>
      <c r="N3" s="50"/>
      <c r="O3" s="51"/>
      <c r="P3" s="60" t="s">
        <v>141</v>
      </c>
      <c r="Q3" s="52"/>
      <c r="R3" s="53"/>
      <c r="S3" s="54"/>
      <c r="T3" s="54"/>
      <c r="U3" s="54"/>
      <c r="V3" s="55"/>
      <c r="W3" s="56"/>
      <c r="X3" s="57"/>
      <c r="Y3" s="57"/>
    </row>
    <row r="4" customFormat="false" ht="12.75" hidden="false" customHeight="false" outlineLevel="0" collapsed="false">
      <c r="B4" s="47"/>
      <c r="C4" s="45"/>
      <c r="D4" s="45"/>
      <c r="E4" s="46"/>
      <c r="F4" s="46"/>
      <c r="G4" s="61"/>
      <c r="H4" s="47"/>
      <c r="I4" s="61"/>
      <c r="J4" s="59"/>
      <c r="K4" s="61"/>
      <c r="L4" s="50"/>
      <c r="M4" s="61"/>
      <c r="N4" s="53"/>
      <c r="O4" s="51"/>
      <c r="P4" s="53"/>
      <c r="Q4" s="52"/>
      <c r="R4" s="53"/>
      <c r="S4" s="54"/>
      <c r="T4" s="62"/>
      <c r="U4" s="62"/>
      <c r="V4" s="63"/>
      <c r="W4" s="56"/>
      <c r="X4" s="57"/>
      <c r="Y4" s="57"/>
    </row>
    <row r="5" customFormat="false" ht="12.75" hidden="false" customHeight="false" outlineLevel="0" collapsed="false">
      <c r="B5" s="47" t="s">
        <v>150</v>
      </c>
      <c r="C5" s="45"/>
      <c r="D5" s="47"/>
      <c r="E5" s="46"/>
      <c r="F5" s="46"/>
      <c r="G5" s="61"/>
      <c r="H5" s="47"/>
      <c r="I5" s="61"/>
      <c r="J5" s="59"/>
      <c r="K5" s="61"/>
      <c r="L5" s="50"/>
      <c r="M5" s="61"/>
      <c r="N5" s="53"/>
      <c r="O5" s="51"/>
      <c r="P5" s="53"/>
      <c r="Q5" s="52"/>
      <c r="R5" s="53"/>
      <c r="S5" s="54"/>
      <c r="T5" s="62"/>
      <c r="U5" s="62"/>
      <c r="V5" s="63"/>
      <c r="W5" s="56"/>
      <c r="X5" s="57"/>
      <c r="Y5" s="57"/>
    </row>
    <row r="6" customFormat="false" ht="12.75" hidden="false" customHeight="false" outlineLevel="0" collapsed="false">
      <c r="B6" s="47"/>
      <c r="C6" s="45" t="s">
        <v>151</v>
      </c>
      <c r="D6" s="45"/>
      <c r="E6" s="46"/>
      <c r="F6" s="46"/>
      <c r="G6" s="61"/>
      <c r="H6" s="47"/>
      <c r="I6" s="61"/>
      <c r="J6" s="59"/>
      <c r="K6" s="61"/>
      <c r="L6" s="50"/>
      <c r="M6" s="61"/>
      <c r="N6" s="53"/>
      <c r="O6" s="51"/>
      <c r="P6" s="53"/>
      <c r="Q6" s="52"/>
      <c r="R6" s="53"/>
      <c r="S6" s="54"/>
      <c r="T6" s="62"/>
      <c r="U6" s="62"/>
      <c r="V6" s="63"/>
      <c r="W6" s="56"/>
      <c r="X6" s="57"/>
      <c r="Y6" s="57"/>
    </row>
    <row r="7" customFormat="false" ht="12.75" hidden="false" customHeight="false" outlineLevel="0" collapsed="false">
      <c r="B7" s="47"/>
      <c r="C7" s="45"/>
      <c r="D7" s="45"/>
      <c r="E7" s="46"/>
      <c r="F7" s="46"/>
      <c r="G7" s="61"/>
      <c r="H7" s="47"/>
      <c r="I7" s="61"/>
      <c r="J7" s="59"/>
      <c r="K7" s="61"/>
      <c r="L7" s="50"/>
      <c r="M7" s="61"/>
      <c r="N7" s="53"/>
      <c r="O7" s="51"/>
      <c r="P7" s="53"/>
      <c r="Q7" s="52"/>
      <c r="R7" s="53"/>
      <c r="S7" s="54"/>
      <c r="T7" s="62"/>
      <c r="U7" s="62"/>
      <c r="V7" s="63"/>
      <c r="W7" s="56"/>
      <c r="X7" s="57"/>
      <c r="Y7" s="57"/>
    </row>
    <row r="8" customFormat="false" ht="12.75" hidden="false" customHeight="false" outlineLevel="0" collapsed="false">
      <c r="B8" s="47"/>
      <c r="C8" s="45"/>
      <c r="D8" s="45"/>
      <c r="E8" s="46"/>
      <c r="F8" s="46"/>
      <c r="G8" s="61"/>
      <c r="H8" s="47"/>
      <c r="I8" s="61"/>
      <c r="J8" s="59"/>
      <c r="K8" s="61"/>
      <c r="L8" s="50"/>
      <c r="M8" s="61"/>
      <c r="N8" s="53"/>
      <c r="O8" s="51"/>
      <c r="P8" s="53"/>
      <c r="Q8" s="52"/>
      <c r="R8" s="53"/>
      <c r="S8" s="54"/>
      <c r="T8" s="62"/>
      <c r="U8" s="62"/>
      <c r="V8" s="63"/>
      <c r="W8" s="56"/>
      <c r="X8" s="57"/>
      <c r="Y8" s="57"/>
    </row>
    <row r="9" customFormat="false" ht="12.75" hidden="false" customHeight="false" outlineLevel="0" collapsed="false">
      <c r="B9" s="47"/>
      <c r="C9" s="45"/>
      <c r="D9" s="45"/>
      <c r="E9" s="46"/>
      <c r="F9" s="46"/>
      <c r="G9" s="61"/>
      <c r="H9" s="47"/>
      <c r="I9" s="61"/>
      <c r="J9" s="59"/>
      <c r="K9" s="61"/>
      <c r="L9" s="50"/>
      <c r="M9" s="61"/>
      <c r="N9" s="53"/>
      <c r="O9" s="51"/>
      <c r="P9" s="53"/>
      <c r="Q9" s="52"/>
      <c r="R9" s="53"/>
      <c r="S9" s="54"/>
      <c r="T9" s="62"/>
      <c r="U9" s="62"/>
      <c r="V9" s="63"/>
      <c r="W9" s="56"/>
      <c r="X9" s="57"/>
      <c r="Y9" s="57"/>
    </row>
    <row r="10" customFormat="false" ht="12.75" hidden="false" customHeight="false" outlineLevel="0" collapsed="false">
      <c r="B10" s="47"/>
      <c r="C10" s="45"/>
      <c r="D10" s="45"/>
      <c r="E10" s="46"/>
      <c r="F10" s="46"/>
      <c r="G10" s="61"/>
      <c r="H10" s="47"/>
      <c r="I10" s="61"/>
      <c r="J10" s="59"/>
      <c r="K10" s="61"/>
      <c r="L10" s="50"/>
      <c r="M10" s="61"/>
      <c r="N10" s="53"/>
      <c r="O10" s="51"/>
      <c r="P10" s="53"/>
      <c r="Q10" s="52"/>
      <c r="R10" s="53"/>
      <c r="S10" s="54"/>
      <c r="T10" s="62"/>
      <c r="U10" s="62"/>
      <c r="V10" s="63"/>
      <c r="W10" s="56"/>
      <c r="X10" s="57"/>
      <c r="Y10" s="57"/>
    </row>
    <row r="11" customFormat="false" ht="12.75" hidden="false" customHeight="false" outlineLevel="0" collapsed="false">
      <c r="B11" s="64" t="s">
        <v>152</v>
      </c>
      <c r="C11" s="65" t="s">
        <v>153</v>
      </c>
      <c r="D11" s="65" t="s">
        <v>154</v>
      </c>
      <c r="E11" s="66" t="s">
        <v>155</v>
      </c>
      <c r="F11" s="66"/>
      <c r="G11" s="64" t="s">
        <v>156</v>
      </c>
      <c r="H11" s="64" t="s">
        <v>157</v>
      </c>
      <c r="I11" s="65" t="s">
        <v>158</v>
      </c>
      <c r="J11" s="67" t="s">
        <v>159</v>
      </c>
      <c r="K11" s="65" t="s">
        <v>160</v>
      </c>
      <c r="L11" s="65" t="s">
        <v>161</v>
      </c>
      <c r="M11" s="65" t="s">
        <v>162</v>
      </c>
      <c r="N11" s="65" t="s">
        <v>163</v>
      </c>
      <c r="O11" s="68" t="s">
        <v>164</v>
      </c>
      <c r="P11" s="65" t="s">
        <v>165</v>
      </c>
      <c r="Q11" s="69" t="s">
        <v>166</v>
      </c>
      <c r="R11" s="65" t="s">
        <v>167</v>
      </c>
      <c r="S11" s="64" t="s">
        <v>168</v>
      </c>
      <c r="T11" s="70" t="s">
        <v>169</v>
      </c>
      <c r="U11" s="70" t="s">
        <v>170</v>
      </c>
      <c r="V11" s="71" t="s">
        <v>171</v>
      </c>
      <c r="W11" s="72" t="e">
        <f aca="false">+#REF!</f>
        <v>#REF!</v>
      </c>
      <c r="X11" s="73"/>
      <c r="Y11" s="73"/>
    </row>
    <row r="12" customFormat="false" ht="12.75" hidden="false" customHeight="false" outlineLevel="0" collapsed="false">
      <c r="A12" s="74"/>
      <c r="B12" s="75" t="s">
        <v>172</v>
      </c>
      <c r="C12" s="76" t="s">
        <v>173</v>
      </c>
      <c r="D12" s="76" t="s">
        <v>174</v>
      </c>
      <c r="E12" s="77" t="n">
        <v>36678</v>
      </c>
      <c r="F12" s="77" t="n">
        <v>37042</v>
      </c>
      <c r="G12" s="75" t="s">
        <v>175</v>
      </c>
      <c r="H12" s="75" t="s">
        <v>176</v>
      </c>
      <c r="I12" s="76" t="s">
        <v>177</v>
      </c>
      <c r="J12" s="78" t="n">
        <f aca="false">3.145/J$1</f>
        <v>0.101451612903226</v>
      </c>
      <c r="K12" s="79" t="n">
        <v>0.0132</v>
      </c>
      <c r="L12" s="79" t="n">
        <v>0.0022</v>
      </c>
      <c r="M12" s="79" t="n">
        <v>0</v>
      </c>
      <c r="N12" s="79" t="n">
        <v>0</v>
      </c>
      <c r="O12" s="80" t="n">
        <v>0.02116</v>
      </c>
      <c r="P12" s="79" t="n">
        <f aca="false">SUM(J12:N12)</f>
        <v>0.116851612903226</v>
      </c>
      <c r="Q12" s="81" t="n">
        <v>68360</v>
      </c>
      <c r="R12" s="76" t="n">
        <v>291</v>
      </c>
      <c r="S12" s="75"/>
      <c r="T12" s="82" t="n">
        <f aca="false">J12*J$1*R12</f>
        <v>915.195</v>
      </c>
      <c r="U12" s="82"/>
      <c r="V12" s="83" t="n">
        <v>271311</v>
      </c>
      <c r="W12" s="75"/>
      <c r="X12" s="84"/>
      <c r="Y12" s="8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</row>
    <row r="13" customFormat="false" ht="12.75" hidden="false" customHeight="false" outlineLevel="0" collapsed="false">
      <c r="A13" s="74"/>
      <c r="B13" s="75" t="s">
        <v>172</v>
      </c>
      <c r="C13" s="76" t="s">
        <v>173</v>
      </c>
      <c r="D13" s="76" t="s">
        <v>178</v>
      </c>
      <c r="E13" s="77" t="n">
        <v>36678</v>
      </c>
      <c r="F13" s="77" t="n">
        <v>37042</v>
      </c>
      <c r="G13" s="75" t="s">
        <v>175</v>
      </c>
      <c r="H13" s="75" t="s">
        <v>176</v>
      </c>
      <c r="I13" s="76" t="s">
        <v>177</v>
      </c>
      <c r="J13" s="78" t="n">
        <f aca="false">3.145/J$1</f>
        <v>0.101451612903226</v>
      </c>
      <c r="K13" s="79" t="n">
        <v>0.0132</v>
      </c>
      <c r="L13" s="79" t="n">
        <v>0.0022</v>
      </c>
      <c r="M13" s="79" t="n">
        <v>0</v>
      </c>
      <c r="N13" s="79" t="n">
        <v>0</v>
      </c>
      <c r="O13" s="80" t="n">
        <v>0.02116</v>
      </c>
      <c r="P13" s="79" t="n">
        <f aca="false">SUM(J13:N13)</f>
        <v>0.116851612903226</v>
      </c>
      <c r="Q13" s="81" t="n">
        <v>68385</v>
      </c>
      <c r="R13" s="76" t="n">
        <v>223</v>
      </c>
      <c r="S13" s="75"/>
      <c r="T13" s="82" t="n">
        <f aca="false">J13*J$1*R13</f>
        <v>701.335</v>
      </c>
      <c r="U13" s="82"/>
      <c r="V13" s="83" t="n">
        <v>280550</v>
      </c>
      <c r="W13" s="75"/>
      <c r="X13" s="84"/>
      <c r="Y13" s="8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</row>
    <row r="14" customFormat="false" ht="12.75" hidden="false" customHeight="false" outlineLevel="0" collapsed="false">
      <c r="A14" s="74"/>
      <c r="B14" s="75" t="s">
        <v>172</v>
      </c>
      <c r="C14" s="76" t="s">
        <v>173</v>
      </c>
      <c r="D14" s="76" t="s">
        <v>174</v>
      </c>
      <c r="E14" s="77" t="n">
        <v>36708</v>
      </c>
      <c r="F14" s="77" t="n">
        <v>37072</v>
      </c>
      <c r="G14" s="75" t="s">
        <v>175</v>
      </c>
      <c r="H14" s="75" t="s">
        <v>176</v>
      </c>
      <c r="I14" s="76" t="s">
        <v>177</v>
      </c>
      <c r="J14" s="78" t="n">
        <f aca="false">3.145/J$1</f>
        <v>0.101451612903226</v>
      </c>
      <c r="K14" s="79" t="n">
        <v>0.0132</v>
      </c>
      <c r="L14" s="79" t="n">
        <v>0.0022</v>
      </c>
      <c r="M14" s="79" t="n">
        <v>0</v>
      </c>
      <c r="N14" s="79" t="n">
        <v>0</v>
      </c>
      <c r="O14" s="80" t="n">
        <v>0.02116</v>
      </c>
      <c r="P14" s="79" t="n">
        <f aca="false">SUM(J14:N14)</f>
        <v>0.116851612903226</v>
      </c>
      <c r="Q14" s="81" t="n">
        <v>68615</v>
      </c>
      <c r="R14" s="76" t="n">
        <v>920</v>
      </c>
      <c r="S14" s="75"/>
      <c r="T14" s="82" t="n">
        <f aca="false">J14*J$1*R14</f>
        <v>2893.4</v>
      </c>
      <c r="U14" s="82"/>
      <c r="V14" s="83" t="n">
        <v>309873</v>
      </c>
      <c r="W14" s="75"/>
      <c r="X14" s="84"/>
      <c r="Y14" s="8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</row>
    <row r="15" customFormat="false" ht="12.75" hidden="false" customHeight="false" outlineLevel="0" collapsed="false">
      <c r="A15" s="74"/>
      <c r="B15" s="75" t="s">
        <v>172</v>
      </c>
      <c r="C15" s="76" t="s">
        <v>173</v>
      </c>
      <c r="D15" s="76" t="s">
        <v>178</v>
      </c>
      <c r="E15" s="77" t="n">
        <v>36465</v>
      </c>
      <c r="F15" s="77" t="n">
        <v>36830</v>
      </c>
      <c r="G15" s="75" t="s">
        <v>175</v>
      </c>
      <c r="H15" s="75" t="s">
        <v>176</v>
      </c>
      <c r="I15" s="76" t="s">
        <v>177</v>
      </c>
      <c r="J15" s="78" t="n">
        <f aca="false">3.145/J$1</f>
        <v>0.101451612903226</v>
      </c>
      <c r="K15" s="79" t="n">
        <v>0.0132</v>
      </c>
      <c r="L15" s="79" t="n">
        <v>0.0022</v>
      </c>
      <c r="M15" s="79" t="n">
        <v>0</v>
      </c>
      <c r="N15" s="79" t="n">
        <v>0</v>
      </c>
      <c r="O15" s="80" t="n">
        <v>0.02116</v>
      </c>
      <c r="P15" s="79" t="n">
        <f aca="false">SUM(J15:N15)</f>
        <v>0.116851612903226</v>
      </c>
      <c r="Q15" s="81" t="n">
        <v>65027</v>
      </c>
      <c r="R15" s="76" t="n">
        <v>131</v>
      </c>
      <c r="S15" s="75" t="s">
        <v>179</v>
      </c>
      <c r="T15" s="82" t="n">
        <f aca="false">J15*J$1*R15</f>
        <v>411.995</v>
      </c>
      <c r="U15" s="82"/>
      <c r="V15" s="83" t="n">
        <v>156666</v>
      </c>
      <c r="W15" s="75" t="s">
        <v>180</v>
      </c>
      <c r="X15" s="84"/>
      <c r="Y15" s="8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</row>
    <row r="16" customFormat="false" ht="12.75" hidden="false" customHeight="false" outlineLevel="0" collapsed="false">
      <c r="A16" s="74"/>
      <c r="B16" s="75" t="s">
        <v>172</v>
      </c>
      <c r="C16" s="76" t="s">
        <v>173</v>
      </c>
      <c r="D16" s="76" t="s">
        <v>178</v>
      </c>
      <c r="E16" s="77" t="n">
        <v>36495</v>
      </c>
      <c r="F16" s="77" t="n">
        <v>36860</v>
      </c>
      <c r="G16" s="75" t="s">
        <v>175</v>
      </c>
      <c r="H16" s="75" t="s">
        <v>176</v>
      </c>
      <c r="I16" s="76" t="s">
        <v>177</v>
      </c>
      <c r="J16" s="78" t="n">
        <f aca="false">3.145/J$1</f>
        <v>0.101451612903226</v>
      </c>
      <c r="K16" s="79" t="n">
        <v>0.0132</v>
      </c>
      <c r="L16" s="79" t="n">
        <v>0.0022</v>
      </c>
      <c r="M16" s="79" t="n">
        <v>0</v>
      </c>
      <c r="N16" s="79" t="n">
        <v>0</v>
      </c>
      <c r="O16" s="80" t="n">
        <v>0.02116</v>
      </c>
      <c r="P16" s="79" t="n">
        <f aca="false">SUM(J16:N16)</f>
        <v>0.116851612903226</v>
      </c>
      <c r="Q16" s="81" t="n">
        <v>65557</v>
      </c>
      <c r="R16" s="76" t="n">
        <v>3</v>
      </c>
      <c r="S16" s="75" t="s">
        <v>181</v>
      </c>
      <c r="T16" s="82" t="n">
        <f aca="false">J16*J$1*R16</f>
        <v>9.435</v>
      </c>
      <c r="U16" s="82"/>
      <c r="V16" s="83" t="n">
        <v>156669</v>
      </c>
      <c r="W16" s="75"/>
      <c r="X16" s="84"/>
      <c r="Y16" s="8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  <c r="IW16" s="74"/>
    </row>
    <row r="17" customFormat="false" ht="12.75" hidden="false" customHeight="false" outlineLevel="0" collapsed="false">
      <c r="A17" s="74"/>
      <c r="B17" s="75" t="s">
        <v>172</v>
      </c>
      <c r="C17" s="76" t="s">
        <v>173</v>
      </c>
      <c r="D17" s="76" t="s">
        <v>174</v>
      </c>
      <c r="E17" s="77" t="n">
        <v>36708</v>
      </c>
      <c r="F17" s="77" t="s">
        <v>182</v>
      </c>
      <c r="G17" s="75" t="s">
        <v>175</v>
      </c>
      <c r="H17" s="75" t="s">
        <v>176</v>
      </c>
      <c r="I17" s="76" t="s">
        <v>177</v>
      </c>
      <c r="J17" s="78" t="n">
        <f aca="false">3.145/J$1</f>
        <v>0.101451612903226</v>
      </c>
      <c r="K17" s="79"/>
      <c r="L17" s="79"/>
      <c r="M17" s="79"/>
      <c r="N17" s="79"/>
      <c r="O17" s="80"/>
      <c r="P17" s="79"/>
      <c r="Q17" s="81" t="n">
        <v>68634</v>
      </c>
      <c r="R17" s="76" t="n">
        <v>1</v>
      </c>
      <c r="S17" s="75"/>
      <c r="T17" s="82" t="n">
        <f aca="false">J17*J$1*R17</f>
        <v>3.145</v>
      </c>
      <c r="U17" s="82"/>
      <c r="V17" s="83" t="n">
        <v>312338</v>
      </c>
      <c r="W17" s="75"/>
      <c r="X17" s="84"/>
      <c r="Y17" s="8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</row>
    <row r="18" customFormat="false" ht="12.75" hidden="false" customHeight="false" outlineLevel="0" collapsed="false">
      <c r="A18" s="74"/>
      <c r="B18" s="75" t="s">
        <v>172</v>
      </c>
      <c r="C18" s="76" t="s">
        <v>173</v>
      </c>
      <c r="D18" s="76" t="s">
        <v>178</v>
      </c>
      <c r="E18" s="77" t="n">
        <v>36557</v>
      </c>
      <c r="F18" s="77" t="n">
        <v>36922</v>
      </c>
      <c r="G18" s="75" t="s">
        <v>175</v>
      </c>
      <c r="H18" s="75" t="s">
        <v>176</v>
      </c>
      <c r="I18" s="76" t="s">
        <v>177</v>
      </c>
      <c r="J18" s="78" t="n">
        <f aca="false">3.145/J$1</f>
        <v>0.101451612903226</v>
      </c>
      <c r="K18" s="79"/>
      <c r="L18" s="79"/>
      <c r="M18" s="79"/>
      <c r="N18" s="79"/>
      <c r="O18" s="80"/>
      <c r="P18" s="79"/>
      <c r="Q18" s="81" t="n">
        <v>66283</v>
      </c>
      <c r="R18" s="76" t="n">
        <v>5</v>
      </c>
      <c r="S18" s="75" t="s">
        <v>183</v>
      </c>
      <c r="T18" s="85" t="n">
        <f aca="false">+J18*R18*31</f>
        <v>15.725</v>
      </c>
      <c r="U18" s="82"/>
      <c r="V18" s="83" t="n">
        <v>156674</v>
      </c>
      <c r="W18" s="75"/>
      <c r="X18" s="84"/>
      <c r="Y18" s="8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</row>
    <row r="19" customFormat="false" ht="12.75" hidden="false" customHeight="false" outlineLevel="0" collapsed="false">
      <c r="A19" s="74"/>
      <c r="B19" s="75" t="s">
        <v>172</v>
      </c>
      <c r="C19" s="76" t="s">
        <v>173</v>
      </c>
      <c r="D19" s="76" t="s">
        <v>178</v>
      </c>
      <c r="E19" s="77" t="n">
        <v>36617</v>
      </c>
      <c r="F19" s="77" t="n">
        <v>36981</v>
      </c>
      <c r="G19" s="75" t="s">
        <v>175</v>
      </c>
      <c r="H19" s="75" t="s">
        <v>176</v>
      </c>
      <c r="I19" s="76" t="s">
        <v>177</v>
      </c>
      <c r="J19" s="78" t="n">
        <f aca="false">3.145/J$1</f>
        <v>0.101451612903226</v>
      </c>
      <c r="K19" s="79"/>
      <c r="L19" s="79"/>
      <c r="M19" s="79"/>
      <c r="N19" s="79"/>
      <c r="O19" s="80"/>
      <c r="P19" s="79"/>
      <c r="Q19" s="81" t="n">
        <v>66941</v>
      </c>
      <c r="R19" s="76" t="n">
        <v>53</v>
      </c>
      <c r="S19" s="75" t="s">
        <v>184</v>
      </c>
      <c r="T19" s="85" t="n">
        <f aca="false">+J19*R19*31</f>
        <v>166.685</v>
      </c>
      <c r="U19" s="82"/>
      <c r="V19" s="83" t="n">
        <v>228122</v>
      </c>
      <c r="W19" s="75"/>
      <c r="X19" s="84"/>
      <c r="Y19" s="8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</row>
    <row r="20" customFormat="false" ht="12.75" hidden="false" customHeight="false" outlineLevel="0" collapsed="false">
      <c r="A20" s="74"/>
      <c r="B20" s="75" t="s">
        <v>172</v>
      </c>
      <c r="C20" s="76" t="s">
        <v>173</v>
      </c>
      <c r="D20" s="76" t="s">
        <v>178</v>
      </c>
      <c r="E20" s="77" t="n">
        <v>36656</v>
      </c>
      <c r="F20" s="77" t="n">
        <v>36950</v>
      </c>
      <c r="G20" s="75" t="s">
        <v>175</v>
      </c>
      <c r="H20" s="75" t="s">
        <v>176</v>
      </c>
      <c r="I20" s="76" t="s">
        <v>177</v>
      </c>
      <c r="J20" s="78" t="n">
        <f aca="false">3.145/J$1</f>
        <v>0.101451612903226</v>
      </c>
      <c r="K20" s="79"/>
      <c r="L20" s="79"/>
      <c r="M20" s="79"/>
      <c r="N20" s="79"/>
      <c r="O20" s="80"/>
      <c r="P20" s="79"/>
      <c r="Q20" s="81" t="n">
        <v>68309</v>
      </c>
      <c r="R20" s="76" t="n">
        <v>9</v>
      </c>
      <c r="S20" s="75"/>
      <c r="T20" s="82" t="n">
        <f aca="false">+R20*J20*$J$1</f>
        <v>28.305</v>
      </c>
      <c r="U20" s="82"/>
      <c r="V20" s="83" t="n">
        <v>262090</v>
      </c>
      <c r="W20" s="75" t="s">
        <v>185</v>
      </c>
      <c r="X20" s="84"/>
      <c r="Y20" s="8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</row>
    <row r="21" customFormat="false" ht="12.75" hidden="false" customHeight="false" outlineLevel="0" collapsed="false">
      <c r="A21" s="74"/>
      <c r="B21" s="75" t="s">
        <v>172</v>
      </c>
      <c r="C21" s="76" t="s">
        <v>173</v>
      </c>
      <c r="D21" s="76" t="s">
        <v>178</v>
      </c>
      <c r="E21" s="77" t="n">
        <v>36739</v>
      </c>
      <c r="F21" s="77" t="n">
        <v>37103</v>
      </c>
      <c r="G21" s="75" t="s">
        <v>175</v>
      </c>
      <c r="H21" s="75" t="s">
        <v>176</v>
      </c>
      <c r="I21" s="76" t="s">
        <v>177</v>
      </c>
      <c r="J21" s="78" t="n">
        <f aca="false">3.145/J$1</f>
        <v>0.101451612903226</v>
      </c>
      <c r="K21" s="79"/>
      <c r="L21" s="79"/>
      <c r="M21" s="79"/>
      <c r="N21" s="79"/>
      <c r="O21" s="80"/>
      <c r="P21" s="79"/>
      <c r="Q21" s="81" t="n">
        <v>68929</v>
      </c>
      <c r="R21" s="76" t="n">
        <v>48</v>
      </c>
      <c r="S21" s="75" t="s">
        <v>186</v>
      </c>
      <c r="T21" s="82" t="n">
        <f aca="false">+R21*J21*$J$1</f>
        <v>150.96</v>
      </c>
      <c r="U21" s="82"/>
      <c r="V21" s="83" t="n">
        <v>345091</v>
      </c>
      <c r="W21" s="75"/>
      <c r="X21" s="84"/>
      <c r="Y21" s="8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</row>
    <row r="22" customFormat="false" ht="12.75" hidden="false" customHeight="false" outlineLevel="0" collapsed="false">
      <c r="A22" s="74"/>
      <c r="B22" s="75" t="s">
        <v>172</v>
      </c>
      <c r="C22" s="76" t="s">
        <v>173</v>
      </c>
      <c r="D22" s="76" t="s">
        <v>178</v>
      </c>
      <c r="E22" s="77" t="n">
        <v>36739</v>
      </c>
      <c r="F22" s="77" t="n">
        <v>37103</v>
      </c>
      <c r="G22" s="75" t="s">
        <v>175</v>
      </c>
      <c r="H22" s="75" t="s">
        <v>176</v>
      </c>
      <c r="I22" s="76" t="s">
        <v>177</v>
      </c>
      <c r="J22" s="78" t="n">
        <f aca="false">3.145/J$1</f>
        <v>0.101451612903226</v>
      </c>
      <c r="K22" s="79"/>
      <c r="L22" s="79"/>
      <c r="M22" s="79"/>
      <c r="N22" s="79"/>
      <c r="O22" s="80"/>
      <c r="P22" s="79"/>
      <c r="Q22" s="81" t="n">
        <v>68927</v>
      </c>
      <c r="R22" s="76" t="n">
        <v>4</v>
      </c>
      <c r="S22" s="75" t="s">
        <v>187</v>
      </c>
      <c r="T22" s="82" t="n">
        <f aca="false">+R22*J22*$J$1</f>
        <v>12.58</v>
      </c>
      <c r="U22" s="82"/>
      <c r="V22" s="83" t="n">
        <v>345112</v>
      </c>
      <c r="W22" s="75"/>
      <c r="X22" s="84"/>
      <c r="Y22" s="8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</row>
    <row r="23" customFormat="false" ht="12.75" hidden="false" customHeight="false" outlineLevel="0" collapsed="false">
      <c r="A23" s="74"/>
      <c r="B23" s="75" t="s">
        <v>172</v>
      </c>
      <c r="C23" s="76" t="s">
        <v>173</v>
      </c>
      <c r="D23" s="76" t="s">
        <v>178</v>
      </c>
      <c r="E23" s="77" t="n">
        <v>36770</v>
      </c>
      <c r="F23" s="77" t="n">
        <v>37104</v>
      </c>
      <c r="G23" s="75" t="s">
        <v>175</v>
      </c>
      <c r="H23" s="75" t="s">
        <v>176</v>
      </c>
      <c r="I23" s="76" t="s">
        <v>177</v>
      </c>
      <c r="J23" s="78" t="n">
        <f aca="false">3.145/J$1</f>
        <v>0.101451612903226</v>
      </c>
      <c r="K23" s="79"/>
      <c r="L23" s="79"/>
      <c r="M23" s="79"/>
      <c r="N23" s="79"/>
      <c r="O23" s="80"/>
      <c r="P23" s="79"/>
      <c r="Q23" s="81" t="n">
        <v>69145</v>
      </c>
      <c r="R23" s="76" t="n">
        <v>63</v>
      </c>
      <c r="S23" s="75" t="s">
        <v>188</v>
      </c>
      <c r="T23" s="82" t="n">
        <f aca="false">+R23*J23*J1</f>
        <v>198.135</v>
      </c>
      <c r="U23" s="82"/>
      <c r="V23" s="83" t="n">
        <v>372169</v>
      </c>
      <c r="W23" s="75"/>
      <c r="X23" s="84"/>
      <c r="Y23" s="8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  <c r="IW23" s="74"/>
    </row>
    <row r="24" customFormat="false" ht="12.75" hidden="false" customHeight="false" outlineLevel="0" collapsed="false">
      <c r="A24" s="74"/>
      <c r="B24" s="75" t="s">
        <v>172</v>
      </c>
      <c r="C24" s="76" t="s">
        <v>173</v>
      </c>
      <c r="D24" s="76" t="s">
        <v>178</v>
      </c>
      <c r="E24" s="77" t="n">
        <v>36800</v>
      </c>
      <c r="F24" s="77" t="n">
        <v>37164</v>
      </c>
      <c r="G24" s="75" t="s">
        <v>175</v>
      </c>
      <c r="H24" s="75" t="s">
        <v>176</v>
      </c>
      <c r="I24" s="76" t="s">
        <v>177</v>
      </c>
      <c r="J24" s="78" t="n">
        <f aca="false">3.145/J$1</f>
        <v>0.101451612903226</v>
      </c>
      <c r="K24" s="79"/>
      <c r="L24" s="79"/>
      <c r="M24" s="79"/>
      <c r="N24" s="79"/>
      <c r="O24" s="80"/>
      <c r="P24" s="79"/>
      <c r="Q24" s="81" t="n">
        <v>69357</v>
      </c>
      <c r="R24" s="76" t="n">
        <v>13</v>
      </c>
      <c r="S24" s="75" t="s">
        <v>189</v>
      </c>
      <c r="T24" s="82" t="n">
        <f aca="false">+R24*J24*J1</f>
        <v>40.885</v>
      </c>
      <c r="U24" s="82"/>
      <c r="V24" s="83" t="n">
        <v>418249</v>
      </c>
      <c r="W24" s="75"/>
      <c r="X24" s="84"/>
      <c r="Y24" s="8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  <c r="IW24" s="74"/>
    </row>
    <row r="25" customFormat="false" ht="12.75" hidden="false" customHeight="false" outlineLevel="0" collapsed="false">
      <c r="A25" s="74"/>
      <c r="B25" s="75" t="s">
        <v>172</v>
      </c>
      <c r="C25" s="76" t="s">
        <v>173</v>
      </c>
      <c r="D25" s="76" t="s">
        <v>174</v>
      </c>
      <c r="E25" s="77" t="n">
        <v>36647</v>
      </c>
      <c r="F25" s="77" t="n">
        <v>37011</v>
      </c>
      <c r="G25" s="75" t="s">
        <v>175</v>
      </c>
      <c r="H25" s="75" t="s">
        <v>176</v>
      </c>
      <c r="I25" s="76" t="s">
        <v>177</v>
      </c>
      <c r="J25" s="78" t="n">
        <f aca="false">3.145/J$1</f>
        <v>0.101451612903226</v>
      </c>
      <c r="K25" s="79"/>
      <c r="L25" s="79"/>
      <c r="M25" s="79"/>
      <c r="N25" s="79"/>
      <c r="O25" s="80"/>
      <c r="P25" s="79"/>
      <c r="Q25" s="81" t="n">
        <v>68281</v>
      </c>
      <c r="R25" s="76" t="n">
        <v>21</v>
      </c>
      <c r="S25" s="75" t="s">
        <v>190</v>
      </c>
      <c r="T25" s="82" t="n">
        <f aca="false">+R25*J25*$J$1</f>
        <v>66.045</v>
      </c>
      <c r="U25" s="82"/>
      <c r="V25" s="83" t="n">
        <v>256413</v>
      </c>
      <c r="W25" s="75"/>
      <c r="X25" s="84"/>
      <c r="Y25" s="8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  <c r="IW25" s="74"/>
    </row>
    <row r="27" customFormat="false" ht="12.75" hidden="false" customHeight="false" outlineLevel="0" collapsed="false">
      <c r="A27" s="86"/>
      <c r="B27" s="47"/>
      <c r="C27" s="45"/>
      <c r="D27" s="45"/>
      <c r="E27" s="46"/>
      <c r="F27" s="46"/>
      <c r="G27" s="47"/>
      <c r="H27" s="47"/>
      <c r="I27" s="45"/>
      <c r="J27" s="59"/>
      <c r="K27" s="50"/>
      <c r="L27" s="50"/>
      <c r="M27" s="50"/>
      <c r="N27" s="50"/>
      <c r="O27" s="51"/>
      <c r="P27" s="50"/>
      <c r="Q27" s="52"/>
      <c r="R27" s="45"/>
      <c r="S27" s="47"/>
      <c r="T27" s="87"/>
      <c r="U27" s="87"/>
      <c r="V27" s="88"/>
      <c r="W27" s="47"/>
      <c r="X27" s="73"/>
      <c r="Y27" s="73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</row>
    <row r="28" customFormat="false" ht="12.75" hidden="false" customHeight="false" outlineLevel="0" collapsed="false">
      <c r="B28" s="47"/>
      <c r="C28" s="45"/>
      <c r="D28" s="45"/>
      <c r="E28" s="46"/>
      <c r="F28" s="46"/>
      <c r="G28" s="47"/>
      <c r="H28" s="47"/>
      <c r="I28" s="45"/>
      <c r="J28" s="59"/>
      <c r="K28" s="50"/>
      <c r="L28" s="89"/>
      <c r="M28" s="50"/>
      <c r="N28" s="50"/>
      <c r="O28" s="51"/>
      <c r="P28" s="50"/>
      <c r="Q28" s="52"/>
      <c r="R28" s="53" t="n">
        <f aca="false">SUM(R12:R26)</f>
        <v>1785</v>
      </c>
      <c r="S28" s="45"/>
      <c r="T28" s="87" t="n">
        <f aca="false">SUM(T12:T27)</f>
        <v>5613.825</v>
      </c>
      <c r="U28" s="87"/>
      <c r="V28" s="88"/>
      <c r="W28" s="47"/>
      <c r="X28" s="73"/>
      <c r="Y28" s="73"/>
    </row>
    <row r="29" customFormat="false" ht="12.75" hidden="false" customHeight="false" outlineLevel="0" collapsed="false">
      <c r="B29" s="64" t="s">
        <v>152</v>
      </c>
      <c r="C29" s="65" t="s">
        <v>153</v>
      </c>
      <c r="D29" s="65" t="s">
        <v>154</v>
      </c>
      <c r="E29" s="66" t="s">
        <v>155</v>
      </c>
      <c r="F29" s="66"/>
      <c r="G29" s="64" t="s">
        <v>156</v>
      </c>
      <c r="H29" s="64" t="s">
        <v>157</v>
      </c>
      <c r="I29" s="65" t="s">
        <v>158</v>
      </c>
      <c r="J29" s="67" t="s">
        <v>159</v>
      </c>
      <c r="K29" s="65" t="s">
        <v>160</v>
      </c>
      <c r="L29" s="65" t="s">
        <v>161</v>
      </c>
      <c r="M29" s="65" t="s">
        <v>162</v>
      </c>
      <c r="N29" s="65" t="s">
        <v>163</v>
      </c>
      <c r="O29" s="68" t="s">
        <v>164</v>
      </c>
      <c r="P29" s="65" t="s">
        <v>165</v>
      </c>
      <c r="Q29" s="69" t="s">
        <v>166</v>
      </c>
      <c r="R29" s="65" t="s">
        <v>167</v>
      </c>
      <c r="S29" s="64" t="s">
        <v>168</v>
      </c>
      <c r="T29" s="70" t="s">
        <v>169</v>
      </c>
      <c r="U29" s="70" t="s">
        <v>170</v>
      </c>
      <c r="V29" s="71" t="s">
        <v>171</v>
      </c>
      <c r="W29" s="72" t="e">
        <f aca="false">+#REF!</f>
        <v>#REF!</v>
      </c>
      <c r="X29" s="73"/>
      <c r="Y29" s="73"/>
    </row>
    <row r="30" customFormat="false" ht="12" hidden="false" customHeight="true" outlineLevel="0" collapsed="false">
      <c r="A30" s="90"/>
      <c r="B30" s="91" t="s">
        <v>172</v>
      </c>
      <c r="C30" s="92" t="s">
        <v>191</v>
      </c>
      <c r="D30" s="92" t="s">
        <v>192</v>
      </c>
      <c r="E30" s="93" t="n">
        <v>36800</v>
      </c>
      <c r="F30" s="93" t="n">
        <v>36830</v>
      </c>
      <c r="G30" s="91"/>
      <c r="H30" s="91"/>
      <c r="I30" s="92" t="s">
        <v>193</v>
      </c>
      <c r="J30" s="94" t="n">
        <v>0.02834</v>
      </c>
      <c r="K30" s="95" t="n">
        <v>0</v>
      </c>
      <c r="L30" s="95" t="n">
        <v>0.0022</v>
      </c>
      <c r="M30" s="95" t="n">
        <v>0.0072</v>
      </c>
      <c r="N30" s="95" t="n">
        <v>0</v>
      </c>
      <c r="O30" s="96" t="n">
        <v>0</v>
      </c>
      <c r="P30" s="95" t="n">
        <f aca="false">SUM(J30:N30)</f>
        <v>0.03774</v>
      </c>
      <c r="Q30" s="97" t="s">
        <v>194</v>
      </c>
      <c r="R30" s="92" t="n">
        <v>250697</v>
      </c>
      <c r="S30" s="91" t="s">
        <v>195</v>
      </c>
      <c r="T30" s="98" t="n">
        <f aca="false">+J30*R30</f>
        <v>7104.75298</v>
      </c>
      <c r="U30" s="98"/>
      <c r="V30" s="99" t="n">
        <v>418306</v>
      </c>
      <c r="W30" s="100" t="s">
        <v>196</v>
      </c>
      <c r="X30" s="101"/>
      <c r="Y30" s="101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  <c r="IW30" s="90"/>
    </row>
    <row r="31" customFormat="false" ht="12" hidden="false" customHeight="true" outlineLevel="0" collapsed="false">
      <c r="A31" s="90"/>
      <c r="B31" s="91" t="s">
        <v>172</v>
      </c>
      <c r="C31" s="92" t="s">
        <v>191</v>
      </c>
      <c r="D31" s="92" t="s">
        <v>192</v>
      </c>
      <c r="E31" s="93" t="n">
        <v>36800</v>
      </c>
      <c r="F31" s="93" t="n">
        <v>36830</v>
      </c>
      <c r="G31" s="91"/>
      <c r="H31" s="91"/>
      <c r="I31" s="92" t="s">
        <v>193</v>
      </c>
      <c r="J31" s="94" t="n">
        <f aca="false">1.544/J1</f>
        <v>0.0498064516129032</v>
      </c>
      <c r="K31" s="95" t="n">
        <v>0</v>
      </c>
      <c r="L31" s="95" t="n">
        <v>0.0022</v>
      </c>
      <c r="M31" s="95" t="n">
        <v>0.0072</v>
      </c>
      <c r="N31" s="95" t="n">
        <v>0</v>
      </c>
      <c r="O31" s="96" t="n">
        <v>0</v>
      </c>
      <c r="P31" s="95" t="n">
        <f aca="false">SUM(J31:N31)</f>
        <v>0.0592064516129032</v>
      </c>
      <c r="Q31" s="97" t="s">
        <v>194</v>
      </c>
      <c r="R31" s="92" t="n">
        <v>5061</v>
      </c>
      <c r="S31" s="91" t="s">
        <v>197</v>
      </c>
      <c r="T31" s="98" t="n">
        <f aca="false">+J31*R31*30</f>
        <v>7562.1135483871</v>
      </c>
      <c r="U31" s="98"/>
      <c r="V31" s="99" t="n">
        <v>418306</v>
      </c>
      <c r="W31" s="100" t="s">
        <v>196</v>
      </c>
      <c r="X31" s="101"/>
      <c r="Y31" s="101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  <c r="IW31" s="90"/>
    </row>
    <row r="32" customFormat="false" ht="12" hidden="false" customHeight="true" outlineLevel="0" collapsed="false">
      <c r="A32" s="90"/>
      <c r="B32" s="91" t="s">
        <v>172</v>
      </c>
      <c r="C32" s="92" t="s">
        <v>191</v>
      </c>
      <c r="D32" s="92" t="s">
        <v>192</v>
      </c>
      <c r="E32" s="93" t="n">
        <v>36800</v>
      </c>
      <c r="F32" s="93" t="n">
        <v>36830</v>
      </c>
      <c r="G32" s="91"/>
      <c r="H32" s="91"/>
      <c r="I32" s="92" t="s">
        <v>193</v>
      </c>
      <c r="J32" s="94" t="n">
        <v>0.02834</v>
      </c>
      <c r="K32" s="95" t="n">
        <v>0</v>
      </c>
      <c r="L32" s="95" t="n">
        <v>0.0022</v>
      </c>
      <c r="M32" s="95" t="n">
        <v>0.0072</v>
      </c>
      <c r="N32" s="95" t="n">
        <v>0</v>
      </c>
      <c r="O32" s="96" t="n">
        <v>0</v>
      </c>
      <c r="P32" s="95" t="n">
        <f aca="false">SUM(J32:N32)</f>
        <v>0.03774</v>
      </c>
      <c r="Q32" s="97" t="s">
        <v>194</v>
      </c>
      <c r="R32" s="92" t="n">
        <v>3819</v>
      </c>
      <c r="S32" s="91" t="s">
        <v>195</v>
      </c>
      <c r="T32" s="98" t="n">
        <f aca="false">+J32*R32</f>
        <v>108.23046</v>
      </c>
      <c r="U32" s="98"/>
      <c r="V32" s="99" t="n">
        <v>418314</v>
      </c>
      <c r="W32" s="100" t="s">
        <v>198</v>
      </c>
      <c r="X32" s="101"/>
      <c r="Y32" s="101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  <c r="IW32" s="90"/>
    </row>
    <row r="33" customFormat="false" ht="12" hidden="false" customHeight="true" outlineLevel="0" collapsed="false">
      <c r="A33" s="90"/>
      <c r="B33" s="91" t="s">
        <v>172</v>
      </c>
      <c r="C33" s="92" t="s">
        <v>191</v>
      </c>
      <c r="D33" s="92" t="s">
        <v>192</v>
      </c>
      <c r="E33" s="93" t="n">
        <v>36800</v>
      </c>
      <c r="F33" s="93" t="n">
        <v>36830</v>
      </c>
      <c r="G33" s="91"/>
      <c r="H33" s="91"/>
      <c r="I33" s="92" t="s">
        <v>193</v>
      </c>
      <c r="J33" s="94" t="n">
        <f aca="false">1.544/J1</f>
        <v>0.0498064516129032</v>
      </c>
      <c r="K33" s="95" t="n">
        <v>0</v>
      </c>
      <c r="L33" s="95" t="n">
        <v>0.0022</v>
      </c>
      <c r="M33" s="95" t="n">
        <v>0.0072</v>
      </c>
      <c r="N33" s="95" t="n">
        <v>0</v>
      </c>
      <c r="O33" s="96" t="n">
        <v>0</v>
      </c>
      <c r="P33" s="95" t="n">
        <f aca="false">SUM(J33:N33)</f>
        <v>0.0592064516129032</v>
      </c>
      <c r="Q33" s="97" t="s">
        <v>194</v>
      </c>
      <c r="R33" s="92" t="n">
        <v>78</v>
      </c>
      <c r="S33" s="91" t="s">
        <v>197</v>
      </c>
      <c r="T33" s="98" t="n">
        <f aca="false">+J33*R33*30</f>
        <v>116.547096774194</v>
      </c>
      <c r="U33" s="98"/>
      <c r="V33" s="99" t="n">
        <v>418314</v>
      </c>
      <c r="W33" s="100" t="s">
        <v>198</v>
      </c>
      <c r="X33" s="101"/>
      <c r="Y33" s="101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  <c r="IW33" s="90"/>
    </row>
    <row r="34" customFormat="false" ht="12" hidden="false" customHeight="true" outlineLevel="0" collapsed="false">
      <c r="A34" s="90"/>
      <c r="B34" s="91" t="s">
        <v>172</v>
      </c>
      <c r="C34" s="92" t="s">
        <v>191</v>
      </c>
      <c r="D34" s="92" t="s">
        <v>192</v>
      </c>
      <c r="E34" s="93" t="n">
        <v>36770</v>
      </c>
      <c r="F34" s="93" t="n">
        <v>37864</v>
      </c>
      <c r="G34" s="91"/>
      <c r="H34" s="91"/>
      <c r="I34" s="92" t="s">
        <v>193</v>
      </c>
      <c r="J34" s="94" t="n">
        <v>0.02834</v>
      </c>
      <c r="K34" s="95" t="n">
        <v>0</v>
      </c>
      <c r="L34" s="95" t="n">
        <v>0.0022</v>
      </c>
      <c r="M34" s="95" t="n">
        <v>0.0072</v>
      </c>
      <c r="N34" s="95" t="n">
        <v>0</v>
      </c>
      <c r="O34" s="96" t="n">
        <v>0</v>
      </c>
      <c r="P34" s="95" t="n">
        <f aca="false">SUM(J34:N34)</f>
        <v>0.03774</v>
      </c>
      <c r="Q34" s="97" t="s">
        <v>194</v>
      </c>
      <c r="R34" s="92" t="n">
        <f aca="false">+(33135+524690)*1.02</f>
        <v>568981.5</v>
      </c>
      <c r="S34" s="91" t="s">
        <v>195</v>
      </c>
      <c r="T34" s="98" t="n">
        <f aca="false">+J34*R34</f>
        <v>16124.93571</v>
      </c>
      <c r="U34" s="98"/>
      <c r="V34" s="99" t="n">
        <v>380799</v>
      </c>
      <c r="W34" s="91"/>
      <c r="X34" s="101"/>
      <c r="Y34" s="101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  <c r="IW34" s="90"/>
    </row>
    <row r="35" customFormat="false" ht="12" hidden="false" customHeight="true" outlineLevel="0" collapsed="false">
      <c r="A35" s="90"/>
      <c r="B35" s="91" t="s">
        <v>172</v>
      </c>
      <c r="C35" s="92" t="s">
        <v>191</v>
      </c>
      <c r="D35" s="92" t="s">
        <v>192</v>
      </c>
      <c r="E35" s="93" t="n">
        <v>36770</v>
      </c>
      <c r="F35" s="93" t="n">
        <v>37864</v>
      </c>
      <c r="G35" s="91"/>
      <c r="H35" s="91"/>
      <c r="I35" s="92" t="s">
        <v>193</v>
      </c>
      <c r="J35" s="94" t="n">
        <f aca="false">1.544/31</f>
        <v>0.0498064516129032</v>
      </c>
      <c r="K35" s="95" t="n">
        <v>0</v>
      </c>
      <c r="L35" s="95" t="n">
        <v>0.0022</v>
      </c>
      <c r="M35" s="95" t="n">
        <v>0.0072</v>
      </c>
      <c r="N35" s="95" t="n">
        <v>0</v>
      </c>
      <c r="O35" s="96" t="n">
        <v>0</v>
      </c>
      <c r="P35" s="95" t="n">
        <f aca="false">SUM(J35:N35)</f>
        <v>0.0592064516129032</v>
      </c>
      <c r="Q35" s="97" t="s">
        <v>194</v>
      </c>
      <c r="R35" s="92" t="n">
        <f aca="false">(669+10594)*1.02</f>
        <v>11488.26</v>
      </c>
      <c r="S35" s="91" t="s">
        <v>197</v>
      </c>
      <c r="T35" s="98" t="n">
        <f aca="false">+J35*R35*30</f>
        <v>17165.6839741936</v>
      </c>
      <c r="U35" s="98"/>
      <c r="V35" s="99" t="n">
        <v>380799</v>
      </c>
      <c r="W35" s="91"/>
      <c r="X35" s="101"/>
      <c r="Y35" s="101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  <c r="IW35" s="90"/>
    </row>
    <row r="36" customFormat="false" ht="12" hidden="false" customHeight="true" outlineLevel="0" collapsed="false">
      <c r="A36" s="90"/>
      <c r="B36" s="91" t="s">
        <v>172</v>
      </c>
      <c r="C36" s="92" t="s">
        <v>191</v>
      </c>
      <c r="D36" s="92" t="s">
        <v>192</v>
      </c>
      <c r="E36" s="93" t="n">
        <v>36770</v>
      </c>
      <c r="F36" s="93" t="n">
        <v>37864</v>
      </c>
      <c r="G36" s="91" t="s">
        <v>114</v>
      </c>
      <c r="H36" s="91" t="s">
        <v>199</v>
      </c>
      <c r="I36" s="92" t="s">
        <v>79</v>
      </c>
      <c r="J36" s="94" t="n">
        <f aca="false">10.913/J1</f>
        <v>0.352032258064516</v>
      </c>
      <c r="K36" s="95"/>
      <c r="L36" s="95"/>
      <c r="M36" s="95"/>
      <c r="N36" s="95"/>
      <c r="O36" s="96"/>
      <c r="P36" s="95"/>
      <c r="Q36" s="97" t="s">
        <v>200</v>
      </c>
      <c r="R36" s="92" t="n">
        <f aca="false">4477*1.02</f>
        <v>4566.54</v>
      </c>
      <c r="S36" s="102" t="n">
        <v>2000001592</v>
      </c>
      <c r="T36" s="98" t="n">
        <f aca="false">+J36*R36*30</f>
        <v>48227.0816322581</v>
      </c>
      <c r="U36" s="98"/>
      <c r="V36" s="99" t="n">
        <v>380785</v>
      </c>
      <c r="W36" s="91"/>
      <c r="X36" s="101"/>
      <c r="Y36" s="101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  <c r="IW36" s="90"/>
    </row>
    <row r="37" customFormat="false" ht="12" hidden="false" customHeight="true" outlineLevel="0" collapsed="false">
      <c r="A37" s="90"/>
      <c r="B37" s="91" t="s">
        <v>172</v>
      </c>
      <c r="C37" s="92" t="s">
        <v>191</v>
      </c>
      <c r="D37" s="92" t="s">
        <v>192</v>
      </c>
      <c r="E37" s="93" t="n">
        <v>36800</v>
      </c>
      <c r="F37" s="93" t="n">
        <v>36830</v>
      </c>
      <c r="G37" s="91" t="s">
        <v>114</v>
      </c>
      <c r="H37" s="91" t="s">
        <v>199</v>
      </c>
      <c r="I37" s="92" t="s">
        <v>79</v>
      </c>
      <c r="J37" s="94" t="n">
        <f aca="false">10.913/J1</f>
        <v>0.352032258064516</v>
      </c>
      <c r="K37" s="95"/>
      <c r="L37" s="95"/>
      <c r="M37" s="95"/>
      <c r="N37" s="95"/>
      <c r="O37" s="96"/>
      <c r="P37" s="95"/>
      <c r="Q37" s="97" t="s">
        <v>200</v>
      </c>
      <c r="R37" s="92" t="n">
        <v>9090</v>
      </c>
      <c r="S37" s="100" t="s">
        <v>201</v>
      </c>
      <c r="T37" s="98" t="n">
        <f aca="false">+R37*J37*30</f>
        <v>95999.1967741936</v>
      </c>
      <c r="U37" s="98"/>
      <c r="V37" s="99" t="n">
        <v>418602</v>
      </c>
      <c r="W37" s="91"/>
      <c r="X37" s="101"/>
      <c r="Y37" s="101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90"/>
      <c r="GE37" s="90"/>
      <c r="GF37" s="90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  <c r="IW37" s="90"/>
    </row>
    <row r="38" customFormat="false" ht="12" hidden="false" customHeight="true" outlineLevel="0" collapsed="false">
      <c r="A38" s="90"/>
      <c r="B38" s="91" t="s">
        <v>172</v>
      </c>
      <c r="C38" s="92" t="s">
        <v>191</v>
      </c>
      <c r="D38" s="92" t="s">
        <v>192</v>
      </c>
      <c r="E38" s="93" t="n">
        <v>36770</v>
      </c>
      <c r="F38" s="93" t="n">
        <v>37864</v>
      </c>
      <c r="G38" s="91" t="s">
        <v>114</v>
      </c>
      <c r="H38" s="91" t="s">
        <v>199</v>
      </c>
      <c r="I38" s="92" t="s">
        <v>79</v>
      </c>
      <c r="J38" s="94" t="n">
        <f aca="false">10.913/J1</f>
        <v>0.352032258064516</v>
      </c>
      <c r="K38" s="95"/>
      <c r="L38" s="95"/>
      <c r="M38" s="95"/>
      <c r="N38" s="95"/>
      <c r="O38" s="96"/>
      <c r="P38" s="95"/>
      <c r="Q38" s="97" t="s">
        <v>200</v>
      </c>
      <c r="R38" s="92" t="n">
        <f aca="false">(16156+4118)*1.021</f>
        <v>20699.754</v>
      </c>
      <c r="S38" s="100" t="s">
        <v>202</v>
      </c>
      <c r="T38" s="98" t="n">
        <f aca="false">+R38*J38*30</f>
        <v>218609.43426</v>
      </c>
      <c r="U38" s="98"/>
      <c r="V38" s="99" t="n">
        <v>380770</v>
      </c>
      <c r="W38" s="91"/>
      <c r="X38" s="101"/>
      <c r="Y38" s="101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0"/>
      <c r="FY38" s="90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0"/>
      <c r="GK38" s="90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0"/>
      <c r="GW38" s="90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0"/>
      <c r="HI38" s="90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0"/>
      <c r="HU38" s="90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0"/>
      <c r="IG38" s="90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0"/>
      <c r="IS38" s="90"/>
      <c r="IT38" s="90"/>
      <c r="IU38" s="90"/>
      <c r="IV38" s="90"/>
      <c r="IW38" s="90"/>
    </row>
    <row r="39" customFormat="false" ht="12" hidden="false" customHeight="true" outlineLevel="0" collapsed="false">
      <c r="A39" s="90"/>
      <c r="B39" s="91" t="s">
        <v>172</v>
      </c>
      <c r="C39" s="92" t="s">
        <v>191</v>
      </c>
      <c r="D39" s="92" t="s">
        <v>192</v>
      </c>
      <c r="E39" s="93" t="n">
        <v>36770</v>
      </c>
      <c r="F39" s="93" t="n">
        <v>37864</v>
      </c>
      <c r="G39" s="91" t="s">
        <v>114</v>
      </c>
      <c r="H39" s="91" t="s">
        <v>203</v>
      </c>
      <c r="I39" s="92" t="s">
        <v>79</v>
      </c>
      <c r="J39" s="94" t="n">
        <f aca="false">8.223/J1</f>
        <v>0.265258064516129</v>
      </c>
      <c r="K39" s="95"/>
      <c r="L39" s="95"/>
      <c r="M39" s="95"/>
      <c r="N39" s="95"/>
      <c r="O39" s="96"/>
      <c r="P39" s="95"/>
      <c r="Q39" s="97" t="s">
        <v>200</v>
      </c>
      <c r="R39" s="92" t="n">
        <f aca="false">340*1.02</f>
        <v>346.8</v>
      </c>
      <c r="S39" s="103" t="n">
        <v>2000001604</v>
      </c>
      <c r="T39" s="98" t="n">
        <f aca="false">+R39*J39*30</f>
        <v>2759.74490322581</v>
      </c>
      <c r="U39" s="98"/>
      <c r="V39" s="99" t="n">
        <v>380777</v>
      </c>
      <c r="W39" s="91"/>
      <c r="X39" s="101"/>
      <c r="Y39" s="101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  <c r="HP39" s="90"/>
      <c r="HQ39" s="90"/>
      <c r="HR39" s="90"/>
      <c r="HS39" s="90"/>
      <c r="HT39" s="90"/>
      <c r="HU39" s="90"/>
      <c r="HV39" s="90"/>
      <c r="HW39" s="90"/>
      <c r="HX39" s="90"/>
      <c r="HY39" s="90"/>
      <c r="HZ39" s="90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0"/>
      <c r="IM39" s="90"/>
      <c r="IN39" s="90"/>
      <c r="IO39" s="90"/>
      <c r="IP39" s="90"/>
      <c r="IQ39" s="90"/>
      <c r="IR39" s="90"/>
      <c r="IS39" s="90"/>
      <c r="IT39" s="90"/>
      <c r="IU39" s="90"/>
      <c r="IV39" s="90"/>
      <c r="IW39" s="90"/>
    </row>
    <row r="40" customFormat="false" ht="12" hidden="false" customHeight="true" outlineLevel="0" collapsed="false">
      <c r="A40" s="90"/>
      <c r="B40" s="91" t="s">
        <v>172</v>
      </c>
      <c r="C40" s="92" t="s">
        <v>191</v>
      </c>
      <c r="D40" s="92" t="s">
        <v>192</v>
      </c>
      <c r="E40" s="93" t="n">
        <v>36770</v>
      </c>
      <c r="F40" s="93" t="n">
        <v>36830</v>
      </c>
      <c r="G40" s="91" t="s">
        <v>114</v>
      </c>
      <c r="H40" s="91" t="s">
        <v>204</v>
      </c>
      <c r="I40" s="92" t="s">
        <v>79</v>
      </c>
      <c r="J40" s="94" t="n">
        <f aca="false">10.913/J1</f>
        <v>0.352032258064516</v>
      </c>
      <c r="K40" s="95"/>
      <c r="L40" s="95"/>
      <c r="M40" s="95"/>
      <c r="N40" s="95"/>
      <c r="O40" s="96"/>
      <c r="P40" s="95"/>
      <c r="Q40" s="97" t="s">
        <v>200</v>
      </c>
      <c r="R40" s="92" t="n">
        <f aca="false">457*1.02</f>
        <v>466.14</v>
      </c>
      <c r="S40" s="103" t="n">
        <v>2000001640</v>
      </c>
      <c r="T40" s="98" t="n">
        <f aca="false">+R40*J40*30</f>
        <v>4922.88950322581</v>
      </c>
      <c r="U40" s="98"/>
      <c r="V40" s="99" t="n">
        <v>380789</v>
      </c>
      <c r="W40" s="91"/>
      <c r="X40" s="101"/>
      <c r="Y40" s="101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  <c r="FY40" s="90"/>
      <c r="FZ40" s="90"/>
      <c r="GA40" s="90"/>
      <c r="GB40" s="90"/>
      <c r="GC40" s="90"/>
      <c r="GD40" s="90"/>
      <c r="GE40" s="90"/>
      <c r="GF40" s="90"/>
      <c r="GG40" s="90"/>
      <c r="GH40" s="90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0"/>
      <c r="HL40" s="90"/>
      <c r="HM40" s="90"/>
      <c r="HN40" s="90"/>
      <c r="HO40" s="90"/>
      <c r="HP40" s="90"/>
      <c r="HQ40" s="90"/>
      <c r="HR40" s="90"/>
      <c r="HS40" s="90"/>
      <c r="HT40" s="90"/>
      <c r="HU40" s="90"/>
      <c r="HV40" s="90"/>
      <c r="HW40" s="90"/>
      <c r="HX40" s="90"/>
      <c r="HY40" s="90"/>
      <c r="HZ40" s="90"/>
      <c r="IA40" s="90"/>
      <c r="IB40" s="90"/>
      <c r="IC40" s="90"/>
      <c r="ID40" s="90"/>
      <c r="IE40" s="90"/>
      <c r="IF40" s="90"/>
      <c r="IG40" s="90"/>
      <c r="IH40" s="90"/>
      <c r="II40" s="90"/>
      <c r="IJ40" s="90"/>
      <c r="IK40" s="90"/>
      <c r="IL40" s="90"/>
      <c r="IM40" s="90"/>
      <c r="IN40" s="90"/>
      <c r="IO40" s="90"/>
      <c r="IP40" s="90"/>
      <c r="IQ40" s="90"/>
      <c r="IR40" s="90"/>
      <c r="IS40" s="90"/>
      <c r="IT40" s="90"/>
      <c r="IU40" s="90"/>
      <c r="IV40" s="90"/>
      <c r="IW40" s="90"/>
    </row>
    <row r="41" customFormat="false" ht="12" hidden="false" customHeight="true" outlineLevel="0" collapsed="false">
      <c r="A41" s="90"/>
      <c r="B41" s="91" t="s">
        <v>172</v>
      </c>
      <c r="C41" s="92" t="s">
        <v>191</v>
      </c>
      <c r="D41" s="92" t="s">
        <v>192</v>
      </c>
      <c r="E41" s="93" t="n">
        <v>36800</v>
      </c>
      <c r="F41" s="93" t="n">
        <v>36830</v>
      </c>
      <c r="G41" s="91"/>
      <c r="H41" s="91"/>
      <c r="I41" s="92" t="s">
        <v>79</v>
      </c>
      <c r="J41" s="94" t="n">
        <f aca="false">10.913/J1</f>
        <v>0.352032258064516</v>
      </c>
      <c r="K41" s="95"/>
      <c r="L41" s="95"/>
      <c r="M41" s="95"/>
      <c r="N41" s="95"/>
      <c r="O41" s="96"/>
      <c r="P41" s="95"/>
      <c r="Q41" s="97" t="s">
        <v>200</v>
      </c>
      <c r="R41" s="92" t="n">
        <v>201</v>
      </c>
      <c r="S41" s="91" t="s">
        <v>205</v>
      </c>
      <c r="T41" s="98" t="n">
        <f aca="false">J41*J$1*R41</f>
        <v>2193.513</v>
      </c>
      <c r="U41" s="98"/>
      <c r="V41" s="99" t="n">
        <v>418558</v>
      </c>
      <c r="W41" s="91"/>
      <c r="X41" s="101"/>
      <c r="Y41" s="101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  <c r="IW41" s="90"/>
    </row>
    <row r="42" customFormat="false" ht="12" hidden="false" customHeight="true" outlineLevel="0" collapsed="false">
      <c r="A42" s="90"/>
      <c r="B42" s="91" t="s">
        <v>172</v>
      </c>
      <c r="C42" s="92" t="s">
        <v>191</v>
      </c>
      <c r="D42" s="92" t="s">
        <v>192</v>
      </c>
      <c r="E42" s="93" t="n">
        <v>36800</v>
      </c>
      <c r="F42" s="93" t="n">
        <v>36830</v>
      </c>
      <c r="G42" s="91"/>
      <c r="H42" s="91"/>
      <c r="I42" s="92" t="s">
        <v>79</v>
      </c>
      <c r="J42" s="94" t="n">
        <f aca="false">10.913/31</f>
        <v>0.352032258064516</v>
      </c>
      <c r="K42" s="95"/>
      <c r="L42" s="95"/>
      <c r="M42" s="95"/>
      <c r="N42" s="95"/>
      <c r="O42" s="96"/>
      <c r="P42" s="95"/>
      <c r="Q42" s="97" t="s">
        <v>200</v>
      </c>
      <c r="R42" s="92" t="n">
        <v>1979</v>
      </c>
      <c r="S42" s="91" t="s">
        <v>206</v>
      </c>
      <c r="T42" s="98" t="n">
        <f aca="false">J42*J$1*R42</f>
        <v>21596.827</v>
      </c>
      <c r="U42" s="98"/>
      <c r="V42" s="99" t="n">
        <v>418286</v>
      </c>
      <c r="W42" s="91"/>
      <c r="X42" s="101"/>
      <c r="Y42" s="101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  <c r="IW42" s="90"/>
    </row>
    <row r="43" customFormat="false" ht="12" hidden="false" customHeight="true" outlineLevel="0" collapsed="false">
      <c r="A43" s="90"/>
      <c r="B43" s="91" t="s">
        <v>172</v>
      </c>
      <c r="C43" s="92" t="s">
        <v>191</v>
      </c>
      <c r="D43" s="92" t="s">
        <v>192</v>
      </c>
      <c r="E43" s="93" t="n">
        <v>36800</v>
      </c>
      <c r="F43" s="93" t="n">
        <v>36830</v>
      </c>
      <c r="G43" s="91"/>
      <c r="H43" s="91"/>
      <c r="I43" s="92" t="s">
        <v>79</v>
      </c>
      <c r="J43" s="94" t="n">
        <f aca="false">8.223/J1</f>
        <v>0.265258064516129</v>
      </c>
      <c r="K43" s="95"/>
      <c r="L43" s="95"/>
      <c r="M43" s="95"/>
      <c r="N43" s="95"/>
      <c r="O43" s="96"/>
      <c r="P43" s="95"/>
      <c r="Q43" s="97" t="s">
        <v>200</v>
      </c>
      <c r="R43" s="92" t="n">
        <v>54</v>
      </c>
      <c r="S43" s="100" t="s">
        <v>207</v>
      </c>
      <c r="T43" s="98" t="n">
        <f aca="false">J43*J$1*R43</f>
        <v>444.042</v>
      </c>
      <c r="U43" s="98"/>
      <c r="V43" s="99" t="n">
        <v>418279</v>
      </c>
      <c r="W43" s="91"/>
      <c r="X43" s="101"/>
      <c r="Y43" s="101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  <c r="IV43" s="90"/>
      <c r="IW43" s="90"/>
    </row>
    <row r="44" customFormat="false" ht="12" hidden="false" customHeight="true" outlineLevel="0" collapsed="false">
      <c r="A44" s="90"/>
      <c r="B44" s="91" t="s">
        <v>172</v>
      </c>
      <c r="C44" s="92" t="s">
        <v>208</v>
      </c>
      <c r="D44" s="92" t="s">
        <v>192</v>
      </c>
      <c r="E44" s="93" t="n">
        <v>36804</v>
      </c>
      <c r="F44" s="93" t="n">
        <v>36830</v>
      </c>
      <c r="G44" s="91" t="s">
        <v>114</v>
      </c>
      <c r="H44" s="91" t="s">
        <v>114</v>
      </c>
      <c r="I44" s="92" t="s">
        <v>79</v>
      </c>
      <c r="J44" s="94" t="n">
        <f aca="false">4.75/J1</f>
        <v>0.153225806451613</v>
      </c>
      <c r="K44" s="95"/>
      <c r="L44" s="95"/>
      <c r="M44" s="95"/>
      <c r="N44" s="95"/>
      <c r="O44" s="96"/>
      <c r="P44" s="95"/>
      <c r="Q44" s="97" t="s">
        <v>209</v>
      </c>
      <c r="R44" s="92" t="n">
        <v>70</v>
      </c>
      <c r="S44" s="100" t="s">
        <v>210</v>
      </c>
      <c r="T44" s="98" t="n">
        <f aca="false">J44*J$1*R44</f>
        <v>332.5</v>
      </c>
      <c r="U44" s="98"/>
      <c r="V44" s="99" t="n">
        <v>425333</v>
      </c>
      <c r="W44" s="91"/>
      <c r="X44" s="101"/>
      <c r="Y44" s="101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/>
      <c r="FO44" s="90"/>
      <c r="FP44" s="90"/>
      <c r="FQ44" s="90"/>
      <c r="FR44" s="90"/>
      <c r="FS44" s="90"/>
      <c r="FT44" s="90"/>
      <c r="FU44" s="90"/>
      <c r="FV44" s="90"/>
      <c r="FW44" s="90"/>
      <c r="FX44" s="90"/>
      <c r="FY44" s="90"/>
      <c r="FZ44" s="90"/>
      <c r="GA44" s="90"/>
      <c r="GB44" s="90"/>
      <c r="GC44" s="90"/>
      <c r="GD44" s="90"/>
      <c r="GE44" s="90"/>
      <c r="GF44" s="90"/>
      <c r="GG44" s="90"/>
      <c r="GH44" s="90"/>
      <c r="GI44" s="90"/>
      <c r="GJ44" s="90"/>
      <c r="GK44" s="90"/>
      <c r="GL44" s="90"/>
      <c r="GM44" s="90"/>
      <c r="GN44" s="90"/>
      <c r="GO44" s="90"/>
      <c r="GP44" s="90"/>
      <c r="GQ44" s="90"/>
      <c r="GR44" s="90"/>
      <c r="GS44" s="90"/>
      <c r="GT44" s="90"/>
      <c r="GU44" s="90"/>
      <c r="GV44" s="90"/>
      <c r="GW44" s="90"/>
      <c r="GX44" s="90"/>
      <c r="GY44" s="90"/>
      <c r="GZ44" s="90"/>
      <c r="HA44" s="90"/>
      <c r="HB44" s="90"/>
      <c r="HC44" s="90"/>
      <c r="HD44" s="90"/>
      <c r="HE44" s="90"/>
      <c r="HF44" s="90"/>
      <c r="HG44" s="90"/>
      <c r="HH44" s="90"/>
      <c r="HI44" s="90"/>
      <c r="HJ44" s="90"/>
      <c r="HK44" s="90"/>
      <c r="HL44" s="90"/>
      <c r="HM44" s="90"/>
      <c r="HN44" s="90"/>
      <c r="HO44" s="90"/>
      <c r="HP44" s="90"/>
      <c r="HQ44" s="90"/>
      <c r="HR44" s="90"/>
      <c r="HS44" s="90"/>
      <c r="HT44" s="90"/>
      <c r="HU44" s="90"/>
      <c r="HV44" s="90"/>
      <c r="HW44" s="90"/>
      <c r="HX44" s="90"/>
      <c r="HY44" s="90"/>
      <c r="HZ44" s="90"/>
      <c r="IA44" s="90"/>
      <c r="IB44" s="90"/>
      <c r="IC44" s="90"/>
      <c r="ID44" s="90"/>
      <c r="IE44" s="90"/>
      <c r="IF44" s="90"/>
      <c r="IG44" s="90"/>
      <c r="IH44" s="90"/>
      <c r="II44" s="90"/>
      <c r="IJ44" s="90"/>
      <c r="IK44" s="90"/>
      <c r="IL44" s="90"/>
      <c r="IM44" s="90"/>
      <c r="IN44" s="90"/>
      <c r="IO44" s="90"/>
      <c r="IP44" s="90"/>
      <c r="IQ44" s="90"/>
      <c r="IR44" s="90"/>
      <c r="IS44" s="90"/>
      <c r="IT44" s="90"/>
      <c r="IU44" s="90"/>
      <c r="IV44" s="90"/>
      <c r="IW44" s="90"/>
    </row>
    <row r="45" customFormat="false" ht="12" hidden="false" customHeight="true" outlineLevel="0" collapsed="false">
      <c r="A45" s="90"/>
      <c r="B45" s="91" t="s">
        <v>172</v>
      </c>
      <c r="C45" s="92" t="s">
        <v>208</v>
      </c>
      <c r="D45" s="92" t="s">
        <v>192</v>
      </c>
      <c r="E45" s="93" t="n">
        <v>11597</v>
      </c>
      <c r="F45" s="93" t="n">
        <v>36830</v>
      </c>
      <c r="G45" s="91" t="s">
        <v>114</v>
      </c>
      <c r="H45" s="91" t="s">
        <v>114</v>
      </c>
      <c r="I45" s="92" t="s">
        <v>79</v>
      </c>
      <c r="J45" s="94" t="n">
        <f aca="false">4.75/31</f>
        <v>0.153225806451613</v>
      </c>
      <c r="K45" s="95"/>
      <c r="L45" s="95"/>
      <c r="M45" s="95"/>
      <c r="N45" s="95"/>
      <c r="O45" s="96"/>
      <c r="P45" s="95"/>
      <c r="Q45" s="97" t="s">
        <v>209</v>
      </c>
      <c r="R45" s="92" t="n">
        <v>154</v>
      </c>
      <c r="S45" s="100" t="s">
        <v>211</v>
      </c>
      <c r="T45" s="98" t="n">
        <f aca="false">+J45*R45*31</f>
        <v>731.5</v>
      </c>
      <c r="U45" s="98"/>
      <c r="V45" s="99" t="n">
        <v>418293</v>
      </c>
      <c r="W45" s="91"/>
      <c r="X45" s="101"/>
      <c r="Y45" s="101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  <c r="IV45" s="90"/>
      <c r="IW45" s="90"/>
    </row>
    <row r="46" customFormat="false" ht="12" hidden="false" customHeight="true" outlineLevel="0" collapsed="false">
      <c r="A46" s="104"/>
      <c r="B46" s="105" t="s">
        <v>172</v>
      </c>
      <c r="C46" s="106" t="s">
        <v>208</v>
      </c>
      <c r="D46" s="106" t="s">
        <v>192</v>
      </c>
      <c r="E46" s="107" t="n">
        <v>36739</v>
      </c>
      <c r="F46" s="107" t="n">
        <v>36769</v>
      </c>
      <c r="G46" s="105" t="s">
        <v>114</v>
      </c>
      <c r="H46" s="105" t="s">
        <v>114</v>
      </c>
      <c r="I46" s="106" t="s">
        <v>79</v>
      </c>
      <c r="J46" s="108" t="n">
        <f aca="false">10.913/31</f>
        <v>0.352032258064516</v>
      </c>
      <c r="K46" s="109"/>
      <c r="L46" s="109"/>
      <c r="M46" s="109"/>
      <c r="N46" s="109"/>
      <c r="O46" s="110"/>
      <c r="P46" s="109"/>
      <c r="Q46" s="111" t="s">
        <v>209</v>
      </c>
      <c r="R46" s="106" t="n">
        <f aca="false">431+67</f>
        <v>498</v>
      </c>
      <c r="S46" s="105"/>
      <c r="T46" s="112" t="n">
        <f aca="false">J46*J$1*R46</f>
        <v>5434.674</v>
      </c>
      <c r="U46" s="112"/>
      <c r="V46" s="113" t="n">
        <v>345006</v>
      </c>
      <c r="W46" s="105"/>
      <c r="X46" s="114"/>
      <c r="Y46" s="11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/>
      <c r="DX46" s="104"/>
      <c r="DY46" s="104"/>
      <c r="DZ46" s="104"/>
      <c r="EA46" s="104"/>
      <c r="EB46" s="104"/>
      <c r="EC46" s="104"/>
      <c r="ED46" s="104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4"/>
      <c r="IP46" s="104"/>
      <c r="IQ46" s="104"/>
      <c r="IR46" s="104"/>
      <c r="IS46" s="104"/>
      <c r="IT46" s="104"/>
      <c r="IU46" s="104"/>
      <c r="IV46" s="104"/>
      <c r="IW46" s="104"/>
    </row>
    <row r="47" customFormat="false" ht="12" hidden="false" customHeight="true" outlineLevel="0" collapsed="false">
      <c r="A47" s="86"/>
      <c r="B47" s="47"/>
      <c r="C47" s="45"/>
      <c r="D47" s="45"/>
      <c r="E47" s="46"/>
      <c r="F47" s="46"/>
      <c r="G47" s="47"/>
      <c r="H47" s="47"/>
      <c r="I47" s="45"/>
      <c r="J47" s="59"/>
      <c r="K47" s="50"/>
      <c r="L47" s="50"/>
      <c r="M47" s="50"/>
      <c r="N47" s="50"/>
      <c r="O47" s="51"/>
      <c r="P47" s="50"/>
      <c r="Q47" s="52"/>
      <c r="R47" s="45"/>
      <c r="S47" s="47"/>
      <c r="T47" s="87"/>
      <c r="U47" s="87"/>
      <c r="V47" s="88"/>
      <c r="W47" s="47"/>
      <c r="X47" s="73"/>
      <c r="Y47" s="73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</row>
    <row r="48" customFormat="false" ht="12.75" hidden="false" customHeight="false" outlineLevel="0" collapsed="false">
      <c r="A48" s="86"/>
      <c r="B48" s="47"/>
      <c r="C48" s="45"/>
      <c r="D48" s="45"/>
      <c r="E48" s="46"/>
      <c r="F48" s="46"/>
      <c r="G48" s="47"/>
      <c r="H48" s="47"/>
      <c r="I48" s="45"/>
      <c r="J48" s="59"/>
      <c r="K48" s="50"/>
      <c r="L48" s="50"/>
      <c r="M48" s="50"/>
      <c r="N48" s="50"/>
      <c r="O48" s="51"/>
      <c r="P48" s="50"/>
      <c r="Q48" s="52"/>
      <c r="R48" s="45"/>
      <c r="S48" s="47"/>
      <c r="T48" s="87" t="n">
        <f aca="false">SUM(T30:T47)</f>
        <v>449433.666842258</v>
      </c>
      <c r="U48" s="87"/>
      <c r="V48" s="88"/>
      <c r="W48" s="47"/>
      <c r="X48" s="73"/>
      <c r="Y48" s="73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  <c r="IW48" s="86"/>
    </row>
    <row r="49" customFormat="false" ht="12.75" hidden="false" customHeight="false" outlineLevel="0" collapsed="false">
      <c r="B49" s="64" t="s">
        <v>152</v>
      </c>
      <c r="C49" s="65" t="s">
        <v>153</v>
      </c>
      <c r="D49" s="65" t="s">
        <v>154</v>
      </c>
      <c r="E49" s="66" t="s">
        <v>155</v>
      </c>
      <c r="F49" s="66"/>
      <c r="G49" s="64" t="s">
        <v>156</v>
      </c>
      <c r="H49" s="64" t="s">
        <v>157</v>
      </c>
      <c r="I49" s="65" t="s">
        <v>158</v>
      </c>
      <c r="J49" s="67" t="s">
        <v>159</v>
      </c>
      <c r="K49" s="65" t="s">
        <v>160</v>
      </c>
      <c r="L49" s="65" t="s">
        <v>161</v>
      </c>
      <c r="M49" s="65" t="s">
        <v>162</v>
      </c>
      <c r="N49" s="65" t="s">
        <v>163</v>
      </c>
      <c r="O49" s="68" t="s">
        <v>164</v>
      </c>
      <c r="P49" s="65" t="s">
        <v>165</v>
      </c>
      <c r="Q49" s="69" t="s">
        <v>166</v>
      </c>
      <c r="R49" s="65" t="s">
        <v>167</v>
      </c>
      <c r="S49" s="64" t="s">
        <v>168</v>
      </c>
      <c r="T49" s="70" t="s">
        <v>169</v>
      </c>
      <c r="U49" s="70" t="s">
        <v>170</v>
      </c>
      <c r="V49" s="71" t="s">
        <v>171</v>
      </c>
      <c r="W49" s="72" t="e">
        <f aca="false">+#REF!</f>
        <v>#REF!</v>
      </c>
      <c r="X49" s="73"/>
      <c r="Y49" s="73"/>
    </row>
    <row r="50" customFormat="false" ht="12.75" hidden="false" customHeight="false" outlineLevel="0" collapsed="false">
      <c r="A50" s="74"/>
      <c r="B50" s="75" t="s">
        <v>172</v>
      </c>
      <c r="C50" s="76" t="s">
        <v>212</v>
      </c>
      <c r="D50" s="76" t="s">
        <v>213</v>
      </c>
      <c r="E50" s="77" t="n">
        <v>36800</v>
      </c>
      <c r="F50" s="77" t="s">
        <v>214</v>
      </c>
      <c r="G50" s="75" t="s">
        <v>215</v>
      </c>
      <c r="H50" s="75" t="s">
        <v>216</v>
      </c>
      <c r="I50" s="76" t="s">
        <v>217</v>
      </c>
      <c r="J50" s="78" t="n">
        <f aca="false">5.17/+J1</f>
        <v>0.166774193548387</v>
      </c>
      <c r="K50" s="79" t="n">
        <v>0.0763</v>
      </c>
      <c r="L50" s="79" t="n">
        <v>0.0022</v>
      </c>
      <c r="M50" s="79" t="n">
        <v>0.0072</v>
      </c>
      <c r="N50" s="79" t="n">
        <v>0</v>
      </c>
      <c r="O50" s="80" t="n">
        <v>0.0279</v>
      </c>
      <c r="P50" s="79" t="n">
        <f aca="false">SUM(J50:N50)</f>
        <v>0.252474193548387</v>
      </c>
      <c r="Q50" s="81" t="n">
        <v>34852</v>
      </c>
      <c r="R50" s="76" t="n">
        <v>1052</v>
      </c>
      <c r="S50" s="75" t="s">
        <v>218</v>
      </c>
      <c r="T50" s="82" t="n">
        <f aca="false">J50*J$1*R50</f>
        <v>5438.84</v>
      </c>
      <c r="U50" s="82"/>
      <c r="V50" s="83" t="n">
        <v>418340</v>
      </c>
      <c r="W50" s="75" t="s">
        <v>219</v>
      </c>
      <c r="X50" s="84"/>
      <c r="Y50" s="8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  <c r="IW50" s="74"/>
    </row>
    <row r="51" customFormat="false" ht="12.75" hidden="false" customHeight="false" outlineLevel="0" collapsed="false">
      <c r="A51" s="74"/>
      <c r="B51" s="75" t="s">
        <v>172</v>
      </c>
      <c r="C51" s="76" t="s">
        <v>212</v>
      </c>
      <c r="D51" s="76" t="s">
        <v>213</v>
      </c>
      <c r="E51" s="77" t="n">
        <v>36770</v>
      </c>
      <c r="F51" s="77" t="n">
        <v>36829</v>
      </c>
      <c r="G51" s="75" t="s">
        <v>215</v>
      </c>
      <c r="H51" s="75" t="s">
        <v>216</v>
      </c>
      <c r="I51" s="76" t="s">
        <v>217</v>
      </c>
      <c r="J51" s="78" t="n">
        <f aca="false">4.92/J1</f>
        <v>0.158709677419355</v>
      </c>
      <c r="K51" s="79" t="n">
        <v>0.0763</v>
      </c>
      <c r="L51" s="79" t="n">
        <v>0.0022</v>
      </c>
      <c r="M51" s="79" t="n">
        <v>0.0072</v>
      </c>
      <c r="N51" s="79" t="n">
        <v>0</v>
      </c>
      <c r="O51" s="80" t="n">
        <v>0.0279</v>
      </c>
      <c r="P51" s="79" t="n">
        <f aca="false">SUM(J51:N51)</f>
        <v>0.244409677419355</v>
      </c>
      <c r="Q51" s="81" t="n">
        <v>34608</v>
      </c>
      <c r="R51" s="76" t="n">
        <v>2455</v>
      </c>
      <c r="S51" s="75" t="s">
        <v>218</v>
      </c>
      <c r="T51" s="82" t="n">
        <f aca="false">J51*J$1*R51</f>
        <v>12078.6</v>
      </c>
      <c r="U51" s="82"/>
      <c r="V51" s="83" t="n">
        <v>379572</v>
      </c>
      <c r="W51" s="75"/>
      <c r="X51" s="84"/>
      <c r="Y51" s="8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  <c r="IW51" s="74"/>
    </row>
    <row r="52" customFormat="false" ht="12.75" hidden="false" customHeight="false" outlineLevel="0" collapsed="false">
      <c r="A52" s="74"/>
      <c r="B52" s="75" t="s">
        <v>172</v>
      </c>
      <c r="C52" s="76" t="s">
        <v>220</v>
      </c>
      <c r="D52" s="76" t="s">
        <v>213</v>
      </c>
      <c r="E52" s="77" t="n">
        <v>36800</v>
      </c>
      <c r="F52" s="77" t="n">
        <v>36830</v>
      </c>
      <c r="G52" s="75" t="s">
        <v>221</v>
      </c>
      <c r="H52" s="75" t="s">
        <v>213</v>
      </c>
      <c r="I52" s="76" t="s">
        <v>217</v>
      </c>
      <c r="J52" s="78" t="n">
        <f aca="false">11.95/J1</f>
        <v>0.385483870967742</v>
      </c>
      <c r="K52" s="79" t="n">
        <v>0</v>
      </c>
      <c r="L52" s="79" t="n">
        <v>0.0022</v>
      </c>
      <c r="M52" s="79" t="n">
        <v>0.0072</v>
      </c>
      <c r="N52" s="79" t="n">
        <v>0</v>
      </c>
      <c r="O52" s="80" t="n">
        <v>0.0222</v>
      </c>
      <c r="P52" s="79" t="n">
        <f aca="false">SUM(J52:N52)</f>
        <v>0.394883870967742</v>
      </c>
      <c r="Q52" s="81" t="n">
        <v>34862</v>
      </c>
      <c r="R52" s="76" t="n">
        <v>1187</v>
      </c>
      <c r="S52" s="75" t="s">
        <v>218</v>
      </c>
      <c r="T52" s="82" t="n">
        <f aca="false">J52*J$1*R52</f>
        <v>14184.65</v>
      </c>
      <c r="U52" s="82"/>
      <c r="V52" s="83" t="n">
        <v>418362</v>
      </c>
      <c r="W52" s="75" t="s">
        <v>219</v>
      </c>
      <c r="X52" s="84"/>
      <c r="Y52" s="8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  <c r="IW52" s="74"/>
    </row>
    <row r="53" customFormat="false" ht="12.75" hidden="false" customHeight="false" outlineLevel="0" collapsed="false">
      <c r="A53" s="74"/>
      <c r="B53" s="75" t="s">
        <v>172</v>
      </c>
      <c r="C53" s="76" t="s">
        <v>220</v>
      </c>
      <c r="D53" s="76" t="s">
        <v>213</v>
      </c>
      <c r="E53" s="77" t="n">
        <v>36770</v>
      </c>
      <c r="F53" s="77" t="n">
        <v>36829</v>
      </c>
      <c r="G53" s="75" t="s">
        <v>221</v>
      </c>
      <c r="H53" s="75" t="s">
        <v>213</v>
      </c>
      <c r="I53" s="76" t="s">
        <v>217</v>
      </c>
      <c r="J53" s="78" t="n">
        <f aca="false">7.36/J1</f>
        <v>0.23741935483871</v>
      </c>
      <c r="K53" s="79" t="n">
        <v>0</v>
      </c>
      <c r="L53" s="79" t="n">
        <v>0.0022</v>
      </c>
      <c r="M53" s="79" t="n">
        <v>0.0072</v>
      </c>
      <c r="N53" s="79" t="n">
        <v>0</v>
      </c>
      <c r="O53" s="80" t="n">
        <v>0.0222</v>
      </c>
      <c r="P53" s="79" t="n">
        <f aca="false">SUM(J53:N53)</f>
        <v>0.24681935483871</v>
      </c>
      <c r="Q53" s="81" t="n">
        <v>34594</v>
      </c>
      <c r="R53" s="76" t="n">
        <v>2738</v>
      </c>
      <c r="S53" s="75" t="s">
        <v>218</v>
      </c>
      <c r="T53" s="82" t="n">
        <f aca="false">J53*J$1*R53</f>
        <v>20151.68</v>
      </c>
      <c r="U53" s="82"/>
      <c r="V53" s="83" t="n">
        <v>379663</v>
      </c>
      <c r="W53" s="75"/>
      <c r="X53" s="84"/>
      <c r="Y53" s="8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  <c r="IW53" s="74"/>
    </row>
    <row r="54" customFormat="false" ht="12.75" hidden="false" customHeight="false" outlineLevel="0" collapsed="false">
      <c r="A54" s="74"/>
      <c r="B54" s="75" t="s">
        <v>172</v>
      </c>
      <c r="C54" s="76" t="s">
        <v>212</v>
      </c>
      <c r="D54" s="76" t="s">
        <v>213</v>
      </c>
      <c r="E54" s="77" t="n">
        <v>36770</v>
      </c>
      <c r="F54" s="77" t="n">
        <v>36830</v>
      </c>
      <c r="G54" s="75" t="s">
        <v>222</v>
      </c>
      <c r="H54" s="75"/>
      <c r="I54" s="76" t="s">
        <v>223</v>
      </c>
      <c r="J54" s="78" t="n">
        <v>0.0248</v>
      </c>
      <c r="K54" s="79"/>
      <c r="L54" s="79"/>
      <c r="M54" s="79"/>
      <c r="N54" s="79"/>
      <c r="O54" s="80"/>
      <c r="P54" s="79"/>
      <c r="Q54" s="81" t="n">
        <v>34614</v>
      </c>
      <c r="R54" s="76" t="n">
        <v>146488</v>
      </c>
      <c r="S54" s="75"/>
      <c r="T54" s="82" t="n">
        <f aca="false">J54*R54</f>
        <v>3632.9024</v>
      </c>
      <c r="U54" s="82"/>
      <c r="V54" s="83" t="n">
        <v>379889</v>
      </c>
      <c r="W54" s="75"/>
      <c r="X54" s="84"/>
      <c r="Y54" s="8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  <c r="IW54" s="74"/>
    </row>
    <row r="55" customFormat="false" ht="13.5" hidden="false" customHeight="true" outlineLevel="0" collapsed="false">
      <c r="A55" s="74"/>
      <c r="B55" s="75" t="s">
        <v>172</v>
      </c>
      <c r="C55" s="76" t="s">
        <v>212</v>
      </c>
      <c r="D55" s="76" t="s">
        <v>213</v>
      </c>
      <c r="E55" s="77" t="n">
        <v>36770</v>
      </c>
      <c r="F55" s="77" t="n">
        <v>36830</v>
      </c>
      <c r="G55" s="75" t="s">
        <v>222</v>
      </c>
      <c r="H55" s="75"/>
      <c r="I55" s="76" t="s">
        <v>223</v>
      </c>
      <c r="J55" s="78" t="n">
        <f aca="false">2.02/J1</f>
        <v>0.0651612903225806</v>
      </c>
      <c r="K55" s="79"/>
      <c r="L55" s="79"/>
      <c r="M55" s="79"/>
      <c r="N55" s="79"/>
      <c r="O55" s="80"/>
      <c r="P55" s="79"/>
      <c r="Q55" s="81" t="n">
        <v>34614</v>
      </c>
      <c r="R55" s="76" t="n">
        <v>979</v>
      </c>
      <c r="S55" s="75"/>
      <c r="T55" s="82" t="n">
        <f aca="false">J55*J$1*R55</f>
        <v>1977.58</v>
      </c>
      <c r="U55" s="82"/>
      <c r="V55" s="83" t="n">
        <v>379889</v>
      </c>
      <c r="W55" s="75"/>
      <c r="X55" s="84"/>
      <c r="Y55" s="8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  <c r="IW55" s="74"/>
    </row>
    <row r="56" customFormat="false" ht="12.75" hidden="false" customHeight="false" outlineLevel="0" collapsed="false">
      <c r="A56" s="74"/>
      <c r="B56" s="75" t="s">
        <v>172</v>
      </c>
      <c r="C56" s="76" t="s">
        <v>212</v>
      </c>
      <c r="D56" s="76" t="s">
        <v>213</v>
      </c>
      <c r="E56" s="77" t="n">
        <v>36800</v>
      </c>
      <c r="F56" s="77" t="n">
        <v>36830</v>
      </c>
      <c r="G56" s="75" t="s">
        <v>222</v>
      </c>
      <c r="H56" s="75"/>
      <c r="I56" s="76" t="s">
        <v>223</v>
      </c>
      <c r="J56" s="78" t="n">
        <v>0.0248</v>
      </c>
      <c r="K56" s="79"/>
      <c r="L56" s="79"/>
      <c r="M56" s="79"/>
      <c r="N56" s="79"/>
      <c r="O56" s="80"/>
      <c r="P56" s="79"/>
      <c r="Q56" s="81" t="n">
        <v>34889</v>
      </c>
      <c r="R56" s="76" t="n">
        <v>63495</v>
      </c>
      <c r="S56" s="75"/>
      <c r="T56" s="82" t="n">
        <f aca="false">J56*R56</f>
        <v>1574.676</v>
      </c>
      <c r="U56" s="82"/>
      <c r="V56" s="83" t="n">
        <v>441742</v>
      </c>
      <c r="W56" s="75" t="s">
        <v>219</v>
      </c>
      <c r="X56" s="84"/>
      <c r="Y56" s="8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  <c r="IW56" s="74"/>
    </row>
    <row r="57" customFormat="false" ht="12.75" hidden="false" customHeight="false" outlineLevel="0" collapsed="false">
      <c r="A57" s="74"/>
      <c r="B57" s="75" t="s">
        <v>172</v>
      </c>
      <c r="C57" s="76" t="s">
        <v>212</v>
      </c>
      <c r="D57" s="76" t="s">
        <v>213</v>
      </c>
      <c r="E57" s="77" t="n">
        <v>36800</v>
      </c>
      <c r="F57" s="77" t="n">
        <v>36830</v>
      </c>
      <c r="G57" s="75" t="s">
        <v>222</v>
      </c>
      <c r="H57" s="75"/>
      <c r="I57" s="76" t="s">
        <v>223</v>
      </c>
      <c r="J57" s="78" t="n">
        <f aca="false">2.02/J1</f>
        <v>0.0651612903225806</v>
      </c>
      <c r="K57" s="79"/>
      <c r="L57" s="79"/>
      <c r="M57" s="79"/>
      <c r="N57" s="79"/>
      <c r="O57" s="80"/>
      <c r="P57" s="79"/>
      <c r="Q57" s="81" t="n">
        <v>34889</v>
      </c>
      <c r="R57" s="76" t="n">
        <v>423</v>
      </c>
      <c r="S57" s="75"/>
      <c r="T57" s="82" t="n">
        <f aca="false">J57*J$1*R57</f>
        <v>854.46</v>
      </c>
      <c r="U57" s="82"/>
      <c r="V57" s="83" t="n">
        <v>441742</v>
      </c>
      <c r="W57" s="75" t="s">
        <v>219</v>
      </c>
      <c r="X57" s="84"/>
      <c r="Y57" s="8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4"/>
      <c r="FK57" s="74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  <c r="IW57" s="74"/>
    </row>
    <row r="58" customFormat="false" ht="12.75" hidden="false" customHeight="false" outlineLevel="0" collapsed="false">
      <c r="A58" s="74"/>
      <c r="B58" s="75" t="s">
        <v>172</v>
      </c>
      <c r="C58" s="76" t="s">
        <v>212</v>
      </c>
      <c r="D58" s="76" t="s">
        <v>213</v>
      </c>
      <c r="E58" s="77" t="n">
        <v>36800</v>
      </c>
      <c r="F58" s="77" t="n">
        <v>36830</v>
      </c>
      <c r="G58" s="75" t="s">
        <v>224</v>
      </c>
      <c r="H58" s="75"/>
      <c r="I58" s="76" t="s">
        <v>225</v>
      </c>
      <c r="J58" s="78" t="n">
        <v>0.0187</v>
      </c>
      <c r="K58" s="79"/>
      <c r="L58" s="79"/>
      <c r="M58" s="79"/>
      <c r="N58" s="79"/>
      <c r="O58" s="80"/>
      <c r="P58" s="79"/>
      <c r="Q58" s="81" t="n">
        <v>34871</v>
      </c>
      <c r="R58" s="76" t="n">
        <v>22787</v>
      </c>
      <c r="S58" s="75"/>
      <c r="T58" s="82" t="n">
        <f aca="false">+R58*J58</f>
        <v>426.1169</v>
      </c>
      <c r="U58" s="82"/>
      <c r="V58" s="83" t="n">
        <v>387950</v>
      </c>
      <c r="W58" s="75" t="s">
        <v>219</v>
      </c>
      <c r="X58" s="84"/>
      <c r="Y58" s="8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/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4"/>
      <c r="FK58" s="74"/>
      <c r="FL58" s="74"/>
      <c r="FM58" s="74"/>
      <c r="FN58" s="74"/>
      <c r="FO58" s="74"/>
      <c r="FP58" s="74"/>
      <c r="FQ58" s="74"/>
      <c r="FR58" s="74"/>
      <c r="FS58" s="74"/>
      <c r="FT58" s="74"/>
      <c r="FU58" s="74"/>
      <c r="FV58" s="74"/>
      <c r="FW58" s="74"/>
      <c r="FX58" s="74"/>
      <c r="FY58" s="74"/>
      <c r="FZ58" s="74"/>
      <c r="GA58" s="74"/>
      <c r="GB58" s="74"/>
      <c r="GC58" s="74"/>
      <c r="GD58" s="74"/>
      <c r="GE58" s="74"/>
      <c r="GF58" s="74"/>
      <c r="GG58" s="74"/>
      <c r="GH58" s="74"/>
      <c r="GI58" s="74"/>
      <c r="GJ58" s="74"/>
      <c r="GK58" s="74"/>
      <c r="GL58" s="74"/>
      <c r="GM58" s="74"/>
      <c r="GN58" s="74"/>
      <c r="GO58" s="74"/>
      <c r="GP58" s="74"/>
      <c r="GQ58" s="74"/>
      <c r="GR58" s="74"/>
      <c r="GS58" s="74"/>
      <c r="GT58" s="74"/>
      <c r="GU58" s="74"/>
      <c r="GV58" s="74"/>
      <c r="GW58" s="74"/>
      <c r="GX58" s="74"/>
      <c r="GY58" s="74"/>
      <c r="GZ58" s="74"/>
      <c r="HA58" s="74"/>
      <c r="HB58" s="74"/>
      <c r="HC58" s="74"/>
      <c r="HD58" s="74"/>
      <c r="HE58" s="74"/>
      <c r="HF58" s="74"/>
      <c r="HG58" s="74"/>
      <c r="HH58" s="74"/>
      <c r="HI58" s="74"/>
      <c r="HJ58" s="74"/>
      <c r="HK58" s="74"/>
      <c r="HL58" s="74"/>
      <c r="HM58" s="74"/>
      <c r="HN58" s="74"/>
      <c r="HO58" s="74"/>
      <c r="HP58" s="74"/>
      <c r="HQ58" s="74"/>
      <c r="HR58" s="74"/>
      <c r="HS58" s="74"/>
      <c r="HT58" s="74"/>
      <c r="HU58" s="74"/>
      <c r="HV58" s="74"/>
      <c r="HW58" s="74"/>
      <c r="HX58" s="74"/>
      <c r="HY58" s="74"/>
      <c r="HZ58" s="74"/>
      <c r="IA58" s="74"/>
      <c r="IB58" s="74"/>
      <c r="IC58" s="74"/>
      <c r="ID58" s="74"/>
      <c r="IE58" s="74"/>
      <c r="IF58" s="74"/>
      <c r="IG58" s="74"/>
      <c r="IH58" s="74"/>
      <c r="II58" s="74"/>
      <c r="IJ58" s="74"/>
      <c r="IK58" s="74"/>
      <c r="IL58" s="74"/>
      <c r="IM58" s="74"/>
      <c r="IN58" s="74"/>
      <c r="IO58" s="74"/>
      <c r="IP58" s="74"/>
      <c r="IQ58" s="74"/>
      <c r="IR58" s="74"/>
      <c r="IS58" s="74"/>
      <c r="IT58" s="74"/>
      <c r="IU58" s="74"/>
      <c r="IV58" s="74"/>
      <c r="IW58" s="74"/>
    </row>
    <row r="59" customFormat="false" ht="12.75" hidden="false" customHeight="false" outlineLevel="0" collapsed="false">
      <c r="A59" s="74"/>
      <c r="B59" s="75" t="s">
        <v>172</v>
      </c>
      <c r="C59" s="76" t="s">
        <v>212</v>
      </c>
      <c r="D59" s="76" t="s">
        <v>213</v>
      </c>
      <c r="E59" s="77" t="n">
        <v>36800</v>
      </c>
      <c r="F59" s="77" t="n">
        <v>36830</v>
      </c>
      <c r="G59" s="75" t="s">
        <v>224</v>
      </c>
      <c r="H59" s="75"/>
      <c r="I59" s="76" t="s">
        <v>225</v>
      </c>
      <c r="J59" s="78" t="n">
        <f aca="false">1.17/J1</f>
        <v>0.037741935483871</v>
      </c>
      <c r="K59" s="79"/>
      <c r="L59" s="79"/>
      <c r="M59" s="79"/>
      <c r="N59" s="79"/>
      <c r="O59" s="80"/>
      <c r="P59" s="79"/>
      <c r="Q59" s="81" t="n">
        <v>34871</v>
      </c>
      <c r="R59" s="76" t="n">
        <v>152</v>
      </c>
      <c r="S59" s="75"/>
      <c r="T59" s="82" t="n">
        <f aca="false">+R59*J59*31</f>
        <v>177.84</v>
      </c>
      <c r="U59" s="82"/>
      <c r="V59" s="83" t="n">
        <v>387950</v>
      </c>
      <c r="W59" s="75" t="s">
        <v>219</v>
      </c>
      <c r="X59" s="84"/>
      <c r="Y59" s="8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/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4"/>
      <c r="FK59" s="74"/>
      <c r="FL59" s="74"/>
      <c r="FM59" s="74"/>
      <c r="FN59" s="74"/>
      <c r="FO59" s="74"/>
      <c r="FP59" s="74"/>
      <c r="FQ59" s="74"/>
      <c r="FR59" s="74"/>
      <c r="FS59" s="74"/>
      <c r="FT59" s="74"/>
      <c r="FU59" s="74"/>
      <c r="FV59" s="74"/>
      <c r="FW59" s="74"/>
      <c r="FX59" s="74"/>
      <c r="FY59" s="74"/>
      <c r="FZ59" s="74"/>
      <c r="GA59" s="74"/>
      <c r="GB59" s="74"/>
      <c r="GC59" s="74"/>
      <c r="GD59" s="74"/>
      <c r="GE59" s="74"/>
      <c r="GF59" s="74"/>
      <c r="GG59" s="74"/>
      <c r="GH59" s="74"/>
      <c r="GI59" s="74"/>
      <c r="GJ59" s="74"/>
      <c r="GK59" s="74"/>
      <c r="GL59" s="74"/>
      <c r="GM59" s="74"/>
      <c r="GN59" s="74"/>
      <c r="GO59" s="74"/>
      <c r="GP59" s="74"/>
      <c r="GQ59" s="74"/>
      <c r="GR59" s="74"/>
      <c r="GS59" s="74"/>
      <c r="GT59" s="74"/>
      <c r="GU59" s="74"/>
      <c r="GV59" s="74"/>
      <c r="GW59" s="74"/>
      <c r="GX59" s="74"/>
      <c r="GY59" s="74"/>
      <c r="GZ59" s="74"/>
      <c r="HA59" s="74"/>
      <c r="HB59" s="74"/>
      <c r="HC59" s="74"/>
      <c r="HD59" s="74"/>
      <c r="HE59" s="74"/>
      <c r="HF59" s="74"/>
      <c r="HG59" s="74"/>
      <c r="HH59" s="74"/>
      <c r="HI59" s="74"/>
      <c r="HJ59" s="74"/>
      <c r="HK59" s="74"/>
      <c r="HL59" s="74"/>
      <c r="HM59" s="74"/>
      <c r="HN59" s="74"/>
      <c r="HO59" s="74"/>
      <c r="HP59" s="74"/>
      <c r="HQ59" s="74"/>
      <c r="HR59" s="74"/>
      <c r="HS59" s="74"/>
      <c r="HT59" s="74"/>
      <c r="HU59" s="74"/>
      <c r="HV59" s="74"/>
      <c r="HW59" s="74"/>
      <c r="HX59" s="74"/>
      <c r="HY59" s="74"/>
      <c r="HZ59" s="74"/>
      <c r="IA59" s="74"/>
      <c r="IB59" s="74"/>
      <c r="IC59" s="74"/>
      <c r="ID59" s="74"/>
      <c r="IE59" s="74"/>
      <c r="IF59" s="74"/>
      <c r="IG59" s="74"/>
      <c r="IH59" s="74"/>
      <c r="II59" s="74"/>
      <c r="IJ59" s="74"/>
      <c r="IK59" s="74"/>
      <c r="IL59" s="74"/>
      <c r="IM59" s="74"/>
      <c r="IN59" s="74"/>
      <c r="IO59" s="74"/>
      <c r="IP59" s="74"/>
      <c r="IQ59" s="74"/>
      <c r="IR59" s="74"/>
      <c r="IS59" s="74"/>
      <c r="IT59" s="74"/>
      <c r="IU59" s="74"/>
      <c r="IV59" s="74"/>
      <c r="IW59" s="74"/>
    </row>
    <row r="60" customFormat="false" ht="12.75" hidden="false" customHeight="false" outlineLevel="0" collapsed="false">
      <c r="A60" s="74"/>
      <c r="B60" s="75" t="s">
        <v>172</v>
      </c>
      <c r="C60" s="76" t="s">
        <v>212</v>
      </c>
      <c r="D60" s="76" t="s">
        <v>213</v>
      </c>
      <c r="E60" s="77" t="n">
        <v>36770</v>
      </c>
      <c r="F60" s="77" t="n">
        <v>36830</v>
      </c>
      <c r="G60" s="75" t="s">
        <v>224</v>
      </c>
      <c r="H60" s="75"/>
      <c r="I60" s="76" t="s">
        <v>225</v>
      </c>
      <c r="J60" s="78" t="n">
        <v>0.0187</v>
      </c>
      <c r="K60" s="79"/>
      <c r="L60" s="79"/>
      <c r="M60" s="79"/>
      <c r="N60" s="79"/>
      <c r="O60" s="80"/>
      <c r="P60" s="79"/>
      <c r="Q60" s="81" t="n">
        <v>34576</v>
      </c>
      <c r="R60" s="76" t="n">
        <v>52573</v>
      </c>
      <c r="S60" s="75"/>
      <c r="T60" s="82" t="n">
        <f aca="false">+R60*J60</f>
        <v>983.1151</v>
      </c>
      <c r="U60" s="82"/>
      <c r="V60" s="83" t="n">
        <v>379856</v>
      </c>
      <c r="W60" s="75"/>
      <c r="X60" s="84"/>
      <c r="Y60" s="8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4"/>
      <c r="FL60" s="74"/>
      <c r="FM60" s="74"/>
      <c r="FN60" s="74"/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74"/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  <c r="GM60" s="74"/>
      <c r="GN60" s="74"/>
      <c r="GO60" s="74"/>
      <c r="GP60" s="74"/>
      <c r="GQ60" s="74"/>
      <c r="GR60" s="74"/>
      <c r="GS60" s="74"/>
      <c r="GT60" s="74"/>
      <c r="GU60" s="74"/>
      <c r="GV60" s="74"/>
      <c r="GW60" s="74"/>
      <c r="GX60" s="74"/>
      <c r="GY60" s="74"/>
      <c r="GZ60" s="74"/>
      <c r="HA60" s="74"/>
      <c r="HB60" s="74"/>
      <c r="HC60" s="74"/>
      <c r="HD60" s="74"/>
      <c r="HE60" s="74"/>
      <c r="HF60" s="74"/>
      <c r="HG60" s="74"/>
      <c r="HH60" s="74"/>
      <c r="HI60" s="74"/>
      <c r="HJ60" s="74"/>
      <c r="HK60" s="74"/>
      <c r="HL60" s="74"/>
      <c r="HM60" s="74"/>
      <c r="HN60" s="74"/>
      <c r="HO60" s="74"/>
      <c r="HP60" s="74"/>
      <c r="HQ60" s="74"/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/>
      <c r="ID60" s="74"/>
      <c r="IE60" s="74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  <c r="IW60" s="74"/>
    </row>
    <row r="61" customFormat="false" ht="12.75" hidden="false" customHeight="false" outlineLevel="0" collapsed="false">
      <c r="A61" s="74"/>
      <c r="B61" s="75" t="s">
        <v>172</v>
      </c>
      <c r="C61" s="76" t="s">
        <v>212</v>
      </c>
      <c r="D61" s="76" t="s">
        <v>213</v>
      </c>
      <c r="E61" s="77" t="n">
        <v>36770</v>
      </c>
      <c r="F61" s="77" t="n">
        <v>36830</v>
      </c>
      <c r="G61" s="75" t="s">
        <v>224</v>
      </c>
      <c r="H61" s="75"/>
      <c r="I61" s="76" t="s">
        <v>225</v>
      </c>
      <c r="J61" s="78" t="n">
        <v>1.17</v>
      </c>
      <c r="K61" s="79"/>
      <c r="L61" s="79"/>
      <c r="M61" s="79"/>
      <c r="N61" s="79"/>
      <c r="O61" s="80"/>
      <c r="P61" s="79"/>
      <c r="Q61" s="81" t="n">
        <v>34576</v>
      </c>
      <c r="R61" s="76" t="n">
        <v>389</v>
      </c>
      <c r="S61" s="75"/>
      <c r="T61" s="82" t="n">
        <f aca="false">+R61*J61</f>
        <v>455.13</v>
      </c>
      <c r="U61" s="82"/>
      <c r="V61" s="83" t="n">
        <v>379856</v>
      </c>
      <c r="W61" s="75"/>
      <c r="X61" s="84"/>
      <c r="Y61" s="8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74"/>
      <c r="GB61" s="74"/>
      <c r="GC61" s="74"/>
      <c r="GD61" s="74"/>
      <c r="GE61" s="74"/>
      <c r="GF61" s="74"/>
      <c r="GG61" s="74"/>
      <c r="GH61" s="74"/>
      <c r="GI61" s="74"/>
      <c r="GJ61" s="74"/>
      <c r="GK61" s="74"/>
      <c r="GL61" s="74"/>
      <c r="GM61" s="74"/>
      <c r="GN61" s="74"/>
      <c r="GO61" s="74"/>
      <c r="GP61" s="74"/>
      <c r="GQ61" s="74"/>
      <c r="GR61" s="74"/>
      <c r="GS61" s="74"/>
      <c r="GT61" s="74"/>
      <c r="GU61" s="74"/>
      <c r="GV61" s="74"/>
      <c r="GW61" s="74"/>
      <c r="GX61" s="74"/>
      <c r="GY61" s="74"/>
      <c r="GZ61" s="74"/>
      <c r="HA61" s="74"/>
      <c r="HB61" s="74"/>
      <c r="HC61" s="74"/>
      <c r="HD61" s="74"/>
      <c r="HE61" s="74"/>
      <c r="HF61" s="74"/>
      <c r="HG61" s="74"/>
      <c r="HH61" s="74"/>
      <c r="HI61" s="74"/>
      <c r="HJ61" s="74"/>
      <c r="HK61" s="74"/>
      <c r="HL61" s="74"/>
      <c r="HM61" s="74"/>
      <c r="HN61" s="74"/>
      <c r="HO61" s="74"/>
      <c r="HP61" s="74"/>
      <c r="HQ61" s="74"/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/>
      <c r="ID61" s="74"/>
      <c r="IE61" s="74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  <c r="IV61" s="74"/>
      <c r="IW61" s="74"/>
    </row>
    <row r="62" customFormat="false" ht="12.75" hidden="false" customHeight="false" outlineLevel="0" collapsed="false">
      <c r="B62" s="47"/>
      <c r="C62" s="45"/>
      <c r="D62" s="45"/>
      <c r="E62" s="46"/>
      <c r="F62" s="46"/>
      <c r="G62" s="47"/>
      <c r="H62" s="47"/>
      <c r="I62" s="45"/>
      <c r="J62" s="59"/>
      <c r="K62" s="50"/>
      <c r="L62" s="89"/>
      <c r="M62" s="50"/>
      <c r="N62" s="50"/>
      <c r="O62" s="51"/>
      <c r="P62" s="50"/>
      <c r="Q62" s="52"/>
      <c r="R62" s="53"/>
      <c r="S62" s="45"/>
      <c r="T62" s="87"/>
      <c r="U62" s="87"/>
      <c r="V62" s="88"/>
      <c r="W62" s="47"/>
      <c r="X62" s="73"/>
      <c r="Y62" s="73"/>
    </row>
    <row r="63" customFormat="false" ht="12.75" hidden="false" customHeight="false" outlineLevel="0" collapsed="false">
      <c r="B63" s="47"/>
      <c r="C63" s="45"/>
      <c r="D63" s="45"/>
      <c r="E63" s="46"/>
      <c r="F63" s="46"/>
      <c r="G63" s="47"/>
      <c r="H63" s="47"/>
      <c r="I63" s="45"/>
      <c r="J63" s="59"/>
      <c r="K63" s="50"/>
      <c r="L63" s="89"/>
      <c r="M63" s="50"/>
      <c r="N63" s="50"/>
      <c r="O63" s="115"/>
      <c r="P63" s="50"/>
      <c r="Q63" s="52"/>
      <c r="R63" s="45"/>
      <c r="S63" s="45"/>
      <c r="T63" s="116" t="n">
        <f aca="false">SUM(T50:T62)</f>
        <v>61935.5904</v>
      </c>
      <c r="W63" s="47"/>
      <c r="X63" s="117"/>
      <c r="Y63" s="117"/>
    </row>
    <row r="64" customFormat="false" ht="11.25" hidden="false" customHeight="true" outlineLevel="0" collapsed="false">
      <c r="B64" s="64" t="s">
        <v>152</v>
      </c>
      <c r="C64" s="65" t="s">
        <v>153</v>
      </c>
      <c r="D64" s="65" t="s">
        <v>154</v>
      </c>
      <c r="E64" s="66" t="s">
        <v>155</v>
      </c>
      <c r="F64" s="66"/>
      <c r="G64" s="64" t="s">
        <v>156</v>
      </c>
      <c r="H64" s="64" t="s">
        <v>157</v>
      </c>
      <c r="I64" s="65" t="s">
        <v>158</v>
      </c>
      <c r="J64" s="67" t="s">
        <v>159</v>
      </c>
      <c r="K64" s="65" t="s">
        <v>160</v>
      </c>
      <c r="L64" s="65" t="s">
        <v>161</v>
      </c>
      <c r="M64" s="65" t="s">
        <v>162</v>
      </c>
      <c r="N64" s="65" t="s">
        <v>163</v>
      </c>
      <c r="O64" s="68" t="s">
        <v>164</v>
      </c>
      <c r="P64" s="65" t="s">
        <v>165</v>
      </c>
      <c r="Q64" s="69" t="s">
        <v>166</v>
      </c>
      <c r="R64" s="65" t="s">
        <v>167</v>
      </c>
      <c r="S64" s="64" t="s">
        <v>168</v>
      </c>
      <c r="T64" s="70" t="s">
        <v>169</v>
      </c>
      <c r="U64" s="70" t="s">
        <v>170</v>
      </c>
      <c r="V64" s="71" t="s">
        <v>171</v>
      </c>
      <c r="W64" s="72" t="e">
        <f aca="false">+#REF!</f>
        <v>#REF!</v>
      </c>
      <c r="X64" s="73"/>
      <c r="Y64" s="73"/>
    </row>
    <row r="65" customFormat="false" ht="12.75" hidden="false" customHeight="false" outlineLevel="0" collapsed="false">
      <c r="A65" s="90"/>
      <c r="B65" s="91" t="s">
        <v>172</v>
      </c>
      <c r="C65" s="92" t="s">
        <v>62</v>
      </c>
      <c r="D65" s="92" t="s">
        <v>213</v>
      </c>
      <c r="E65" s="93" t="n">
        <v>36770</v>
      </c>
      <c r="F65" s="93" t="n">
        <v>37894</v>
      </c>
      <c r="G65" s="91" t="s">
        <v>226</v>
      </c>
      <c r="H65" s="91" t="s">
        <v>227</v>
      </c>
      <c r="I65" s="92" t="s">
        <v>228</v>
      </c>
      <c r="J65" s="94" t="n">
        <f aca="false">7.5654/J$1</f>
        <v>0.244045161290323</v>
      </c>
      <c r="K65" s="95" t="n">
        <v>0</v>
      </c>
      <c r="L65" s="95" t="n">
        <v>0.0022</v>
      </c>
      <c r="M65" s="95" t="n">
        <v>0</v>
      </c>
      <c r="N65" s="95" t="n">
        <v>0</v>
      </c>
      <c r="O65" s="96" t="n">
        <v>0</v>
      </c>
      <c r="P65" s="95" t="n">
        <f aca="false">SUM(J65:N65)</f>
        <v>0.246245161290323</v>
      </c>
      <c r="Q65" s="118" t="n">
        <v>3.6673</v>
      </c>
      <c r="R65" s="92" t="n">
        <v>764</v>
      </c>
      <c r="S65" s="91" t="s">
        <v>229</v>
      </c>
      <c r="T65" s="98" t="n">
        <f aca="false">J65*J$1*R65</f>
        <v>5779.9656</v>
      </c>
      <c r="U65" s="98"/>
      <c r="V65" s="99" t="n">
        <v>375520</v>
      </c>
      <c r="W65" s="91"/>
      <c r="X65" s="101"/>
      <c r="Y65" s="101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  <c r="GJ65" s="90"/>
      <c r="GK65" s="90"/>
      <c r="GL65" s="90"/>
      <c r="GM65" s="90"/>
      <c r="GN65" s="90"/>
      <c r="GO65" s="90"/>
      <c r="GP65" s="90"/>
      <c r="GQ65" s="90"/>
      <c r="GR65" s="90"/>
      <c r="GS65" s="90"/>
      <c r="GT65" s="90"/>
      <c r="GU65" s="90"/>
      <c r="GV65" s="90"/>
      <c r="GW65" s="90"/>
      <c r="GX65" s="90"/>
      <c r="GY65" s="90"/>
      <c r="GZ65" s="90"/>
      <c r="HA65" s="90"/>
      <c r="HB65" s="90"/>
      <c r="HC65" s="90"/>
      <c r="HD65" s="90"/>
      <c r="HE65" s="90"/>
      <c r="HF65" s="90"/>
      <c r="HG65" s="90"/>
      <c r="HH65" s="90"/>
      <c r="HI65" s="90"/>
      <c r="HJ65" s="90"/>
      <c r="HK65" s="90"/>
      <c r="HL65" s="90"/>
      <c r="HM65" s="90"/>
      <c r="HN65" s="90"/>
      <c r="HO65" s="90"/>
      <c r="HP65" s="90"/>
      <c r="HQ65" s="90"/>
      <c r="HR65" s="90"/>
      <c r="HS65" s="90"/>
      <c r="HT65" s="90"/>
      <c r="HU65" s="90"/>
      <c r="HV65" s="90"/>
      <c r="HW65" s="90"/>
      <c r="HX65" s="90"/>
      <c r="HY65" s="90"/>
      <c r="HZ65" s="90"/>
      <c r="IA65" s="90"/>
      <c r="IB65" s="90"/>
      <c r="IC65" s="90"/>
      <c r="ID65" s="90"/>
      <c r="IE65" s="90"/>
      <c r="IF65" s="90"/>
      <c r="IG65" s="90"/>
      <c r="IH65" s="90"/>
      <c r="II65" s="90"/>
      <c r="IJ65" s="90"/>
      <c r="IK65" s="90"/>
      <c r="IL65" s="90"/>
      <c r="IM65" s="90"/>
      <c r="IN65" s="90"/>
      <c r="IO65" s="90"/>
      <c r="IP65" s="90"/>
      <c r="IQ65" s="90"/>
      <c r="IR65" s="90"/>
      <c r="IS65" s="90"/>
      <c r="IT65" s="90"/>
      <c r="IU65" s="90"/>
      <c r="IV65" s="90"/>
      <c r="IW65" s="90"/>
    </row>
    <row r="66" customFormat="false" ht="12.75" hidden="false" customHeight="false" outlineLevel="0" collapsed="false">
      <c r="A66" s="90"/>
      <c r="B66" s="91" t="s">
        <v>172</v>
      </c>
      <c r="C66" s="92" t="s">
        <v>62</v>
      </c>
      <c r="D66" s="92" t="s">
        <v>213</v>
      </c>
      <c r="E66" s="93" t="n">
        <v>36770</v>
      </c>
      <c r="F66" s="93" t="n">
        <v>37894</v>
      </c>
      <c r="G66" s="91" t="s">
        <v>230</v>
      </c>
      <c r="H66" s="91" t="s">
        <v>227</v>
      </c>
      <c r="I66" s="92" t="s">
        <v>228</v>
      </c>
      <c r="J66" s="94" t="n">
        <f aca="false">+J65</f>
        <v>0.244045161290323</v>
      </c>
      <c r="K66" s="95" t="n">
        <v>0</v>
      </c>
      <c r="L66" s="95" t="n">
        <v>0.0022</v>
      </c>
      <c r="M66" s="95" t="n">
        <v>0</v>
      </c>
      <c r="N66" s="95" t="n">
        <v>0</v>
      </c>
      <c r="O66" s="96" t="n">
        <v>0</v>
      </c>
      <c r="P66" s="95" t="n">
        <f aca="false">SUM(J66:N66)</f>
        <v>0.246245161290323</v>
      </c>
      <c r="Q66" s="118" t="n">
        <f aca="false">+Q65</f>
        <v>3.6673</v>
      </c>
      <c r="R66" s="92" t="n">
        <v>1123</v>
      </c>
      <c r="S66" s="91" t="str">
        <f aca="false">+S65</f>
        <v>#021351</v>
      </c>
      <c r="T66" s="98" t="n">
        <f aca="false">J66*J$1*R66</f>
        <v>8495.9442</v>
      </c>
      <c r="U66" s="98"/>
      <c r="V66" s="99" t="n">
        <f aca="false">+V65</f>
        <v>375520</v>
      </c>
      <c r="W66" s="91"/>
      <c r="X66" s="101"/>
      <c r="Y66" s="101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90"/>
      <c r="FU66" s="90"/>
      <c r="FV66" s="90"/>
      <c r="FW66" s="90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90"/>
      <c r="GI66" s="90"/>
      <c r="GJ66" s="90"/>
      <c r="GK66" s="90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90"/>
      <c r="GW66" s="90"/>
      <c r="GX66" s="90"/>
      <c r="GY66" s="90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90"/>
      <c r="HK66" s="90"/>
      <c r="HL66" s="90"/>
      <c r="HM66" s="90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90"/>
      <c r="HY66" s="90"/>
      <c r="HZ66" s="90"/>
      <c r="IA66" s="90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90"/>
      <c r="IM66" s="90"/>
      <c r="IN66" s="90"/>
      <c r="IO66" s="90"/>
      <c r="IP66" s="90"/>
      <c r="IQ66" s="90"/>
      <c r="IR66" s="90"/>
      <c r="IS66" s="90"/>
      <c r="IT66" s="90"/>
      <c r="IU66" s="90"/>
      <c r="IV66" s="90"/>
      <c r="IW66" s="90"/>
    </row>
    <row r="67" customFormat="false" ht="12.75" hidden="false" customHeight="false" outlineLevel="0" collapsed="false">
      <c r="A67" s="90"/>
      <c r="B67" s="91" t="s">
        <v>172</v>
      </c>
      <c r="C67" s="92" t="s">
        <v>62</v>
      </c>
      <c r="D67" s="92" t="s">
        <v>213</v>
      </c>
      <c r="E67" s="93" t="n">
        <v>36770</v>
      </c>
      <c r="F67" s="93" t="n">
        <v>37894</v>
      </c>
      <c r="G67" s="91" t="s">
        <v>199</v>
      </c>
      <c r="H67" s="91" t="s">
        <v>227</v>
      </c>
      <c r="I67" s="92" t="s">
        <v>228</v>
      </c>
      <c r="J67" s="94" t="n">
        <f aca="false">+J66</f>
        <v>0.244045161290323</v>
      </c>
      <c r="K67" s="95" t="n">
        <v>0</v>
      </c>
      <c r="L67" s="95" t="n">
        <v>0.0022</v>
      </c>
      <c r="M67" s="95" t="n">
        <v>0</v>
      </c>
      <c r="N67" s="95" t="n">
        <v>0</v>
      </c>
      <c r="O67" s="96" t="n">
        <v>0</v>
      </c>
      <c r="P67" s="95" t="n">
        <f aca="false">SUM(J67:N67)</f>
        <v>0.246245161290323</v>
      </c>
      <c r="Q67" s="118" t="n">
        <f aca="false">+Q66</f>
        <v>3.6673</v>
      </c>
      <c r="R67" s="92" t="n">
        <f aca="false">853+1752</f>
        <v>2605</v>
      </c>
      <c r="S67" s="91" t="str">
        <f aca="false">+S66</f>
        <v>#021351</v>
      </c>
      <c r="T67" s="98" t="n">
        <f aca="false">J67*J$1*R67</f>
        <v>19707.867</v>
      </c>
      <c r="U67" s="98"/>
      <c r="V67" s="99" t="n">
        <f aca="false">+V66</f>
        <v>375520</v>
      </c>
      <c r="W67" s="91"/>
      <c r="X67" s="101"/>
      <c r="Y67" s="101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90"/>
      <c r="FU67" s="90"/>
      <c r="FV67" s="90"/>
      <c r="FW67" s="90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90"/>
      <c r="GI67" s="90"/>
      <c r="GJ67" s="90"/>
      <c r="GK67" s="90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90"/>
      <c r="GW67" s="90"/>
      <c r="GX67" s="90"/>
      <c r="GY67" s="90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90"/>
      <c r="HK67" s="90"/>
      <c r="HL67" s="90"/>
      <c r="HM67" s="90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90"/>
      <c r="HY67" s="90"/>
      <c r="HZ67" s="90"/>
      <c r="IA67" s="90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90"/>
      <c r="IM67" s="90"/>
      <c r="IN67" s="90"/>
      <c r="IO67" s="90"/>
      <c r="IP67" s="90"/>
      <c r="IQ67" s="90"/>
      <c r="IR67" s="90"/>
      <c r="IS67" s="90"/>
      <c r="IT67" s="90"/>
      <c r="IU67" s="90"/>
      <c r="IV67" s="90"/>
      <c r="IW67" s="90"/>
    </row>
    <row r="68" customFormat="false" ht="12.75" hidden="false" customHeight="false" outlineLevel="0" collapsed="false">
      <c r="A68" s="90"/>
      <c r="B68" s="91" t="s">
        <v>172</v>
      </c>
      <c r="C68" s="92" t="s">
        <v>62</v>
      </c>
      <c r="D68" s="92" t="s">
        <v>213</v>
      </c>
      <c r="E68" s="93" t="n">
        <v>36800</v>
      </c>
      <c r="F68" s="93" t="n">
        <v>36830</v>
      </c>
      <c r="G68" s="91" t="s">
        <v>226</v>
      </c>
      <c r="H68" s="91" t="s">
        <v>227</v>
      </c>
      <c r="I68" s="92" t="s">
        <v>228</v>
      </c>
      <c r="J68" s="94" t="n">
        <f aca="false">7.5654/J$1</f>
        <v>0.244045161290323</v>
      </c>
      <c r="K68" s="95" t="n">
        <v>0</v>
      </c>
      <c r="L68" s="95" t="n">
        <v>0.0022</v>
      </c>
      <c r="M68" s="95" t="n">
        <v>0</v>
      </c>
      <c r="N68" s="95" t="n">
        <v>0</v>
      </c>
      <c r="O68" s="96" t="n">
        <v>0</v>
      </c>
      <c r="P68" s="95" t="n">
        <f aca="false">SUM(J68:N68)</f>
        <v>0.246245161290323</v>
      </c>
      <c r="Q68" s="118" t="n">
        <v>3.6946</v>
      </c>
      <c r="R68" s="119" t="n">
        <v>20</v>
      </c>
      <c r="S68" s="91" t="s">
        <v>231</v>
      </c>
      <c r="T68" s="98" t="n">
        <f aca="false">J68*J$1*R68</f>
        <v>151.308</v>
      </c>
      <c r="U68" s="98"/>
      <c r="V68" s="99" t="n">
        <v>418202</v>
      </c>
      <c r="W68" s="91"/>
      <c r="X68" s="101"/>
      <c r="Y68" s="101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90"/>
      <c r="EE68" s="90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90"/>
      <c r="ES68" s="90"/>
      <c r="ET68" s="90"/>
      <c r="EU68" s="90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90"/>
      <c r="FG68" s="90"/>
      <c r="FH68" s="90"/>
      <c r="FI68" s="90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90"/>
      <c r="FU68" s="90"/>
      <c r="FV68" s="90"/>
      <c r="FW68" s="90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90"/>
      <c r="GI68" s="90"/>
      <c r="GJ68" s="90"/>
      <c r="GK68" s="90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90"/>
      <c r="HK68" s="90"/>
      <c r="HL68" s="90"/>
      <c r="HM68" s="90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90"/>
      <c r="HY68" s="90"/>
      <c r="HZ68" s="90"/>
      <c r="IA68" s="90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90"/>
      <c r="IW68" s="90"/>
    </row>
    <row r="69" customFormat="false" ht="12.75" hidden="false" customHeight="false" outlineLevel="0" collapsed="false">
      <c r="A69" s="90"/>
      <c r="B69" s="91" t="s">
        <v>172</v>
      </c>
      <c r="C69" s="92" t="s">
        <v>62</v>
      </c>
      <c r="D69" s="92" t="s">
        <v>213</v>
      </c>
      <c r="E69" s="93" t="n">
        <v>36800</v>
      </c>
      <c r="F69" s="93" t="n">
        <v>36830</v>
      </c>
      <c r="G69" s="91" t="s">
        <v>230</v>
      </c>
      <c r="H69" s="91" t="s">
        <v>227</v>
      </c>
      <c r="I69" s="92" t="s">
        <v>228</v>
      </c>
      <c r="J69" s="94" t="n">
        <f aca="false">7.5654/J$1</f>
        <v>0.244045161290323</v>
      </c>
      <c r="K69" s="95" t="n">
        <v>0</v>
      </c>
      <c r="L69" s="95" t="n">
        <v>0.0022</v>
      </c>
      <c r="M69" s="95" t="n">
        <v>0</v>
      </c>
      <c r="N69" s="95" t="n">
        <v>0</v>
      </c>
      <c r="O69" s="96" t="n">
        <v>0</v>
      </c>
      <c r="P69" s="95" t="n">
        <f aca="false">SUM(J69:N69)</f>
        <v>0.246245161290323</v>
      </c>
      <c r="Q69" s="118" t="n">
        <v>3.6946</v>
      </c>
      <c r="R69" s="92" t="n">
        <v>29</v>
      </c>
      <c r="S69" s="91" t="str">
        <f aca="false">+S68</f>
        <v>#021608</v>
      </c>
      <c r="T69" s="98" t="n">
        <f aca="false">J69*J$1*R69</f>
        <v>219.3966</v>
      </c>
      <c r="U69" s="98"/>
      <c r="V69" s="99" t="n">
        <v>418202</v>
      </c>
      <c r="W69" s="91"/>
      <c r="X69" s="101"/>
      <c r="Y69" s="101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  <c r="EA69" s="90"/>
      <c r="EB69" s="90"/>
      <c r="EC69" s="90"/>
      <c r="ED69" s="90"/>
      <c r="EE69" s="90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90"/>
      <c r="EQ69" s="90"/>
      <c r="ER69" s="90"/>
      <c r="ES69" s="90"/>
      <c r="ET69" s="90"/>
      <c r="EU69" s="90"/>
      <c r="EV69" s="90"/>
      <c r="EW69" s="90"/>
      <c r="EX69" s="90"/>
      <c r="EY69" s="90"/>
      <c r="EZ69" s="90"/>
      <c r="FA69" s="90"/>
      <c r="FB69" s="90"/>
      <c r="FC69" s="90"/>
      <c r="FD69" s="90"/>
      <c r="FE69" s="90"/>
      <c r="FF69" s="90"/>
      <c r="FG69" s="90"/>
      <c r="FH69" s="90"/>
      <c r="FI69" s="90"/>
      <c r="FJ69" s="90"/>
      <c r="FK69" s="90"/>
      <c r="FL69" s="90"/>
      <c r="FM69" s="90"/>
      <c r="FN69" s="90"/>
      <c r="FO69" s="90"/>
      <c r="FP69" s="90"/>
      <c r="FQ69" s="90"/>
      <c r="FR69" s="90"/>
      <c r="FS69" s="90"/>
      <c r="FT69" s="90"/>
      <c r="FU69" s="90"/>
      <c r="FV69" s="90"/>
      <c r="FW69" s="90"/>
      <c r="FX69" s="90"/>
      <c r="FY69" s="90"/>
      <c r="FZ69" s="90"/>
      <c r="GA69" s="90"/>
      <c r="GB69" s="90"/>
      <c r="GC69" s="90"/>
      <c r="GD69" s="90"/>
      <c r="GE69" s="90"/>
      <c r="GF69" s="90"/>
      <c r="GG69" s="90"/>
      <c r="GH69" s="90"/>
      <c r="GI69" s="90"/>
      <c r="GJ69" s="90"/>
      <c r="GK69" s="90"/>
      <c r="GL69" s="90"/>
      <c r="GM69" s="90"/>
      <c r="GN69" s="90"/>
      <c r="GO69" s="90"/>
      <c r="GP69" s="90"/>
      <c r="GQ69" s="90"/>
      <c r="GR69" s="90"/>
      <c r="GS69" s="90"/>
      <c r="GT69" s="90"/>
      <c r="GU69" s="90"/>
      <c r="GV69" s="90"/>
      <c r="GW69" s="90"/>
      <c r="GX69" s="90"/>
      <c r="GY69" s="90"/>
      <c r="GZ69" s="90"/>
      <c r="HA69" s="90"/>
      <c r="HB69" s="90"/>
      <c r="HC69" s="90"/>
      <c r="HD69" s="90"/>
      <c r="HE69" s="90"/>
      <c r="HF69" s="90"/>
      <c r="HG69" s="90"/>
      <c r="HH69" s="90"/>
      <c r="HI69" s="90"/>
      <c r="HJ69" s="90"/>
      <c r="HK69" s="90"/>
      <c r="HL69" s="90"/>
      <c r="HM69" s="90"/>
      <c r="HN69" s="90"/>
      <c r="HO69" s="90"/>
      <c r="HP69" s="90"/>
      <c r="HQ69" s="90"/>
      <c r="HR69" s="90"/>
      <c r="HS69" s="90"/>
      <c r="HT69" s="90"/>
      <c r="HU69" s="90"/>
      <c r="HV69" s="90"/>
      <c r="HW69" s="90"/>
      <c r="HX69" s="90"/>
      <c r="HY69" s="90"/>
      <c r="HZ69" s="90"/>
      <c r="IA69" s="90"/>
      <c r="IB69" s="90"/>
      <c r="IC69" s="90"/>
      <c r="ID69" s="90"/>
      <c r="IE69" s="90"/>
      <c r="IF69" s="90"/>
      <c r="IG69" s="90"/>
      <c r="IH69" s="90"/>
      <c r="II69" s="90"/>
      <c r="IJ69" s="90"/>
      <c r="IK69" s="90"/>
      <c r="IL69" s="90"/>
      <c r="IM69" s="90"/>
      <c r="IN69" s="90"/>
      <c r="IO69" s="90"/>
      <c r="IP69" s="90"/>
      <c r="IQ69" s="90"/>
      <c r="IR69" s="90"/>
      <c r="IS69" s="90"/>
      <c r="IT69" s="90"/>
      <c r="IU69" s="90"/>
      <c r="IV69" s="90"/>
      <c r="IW69" s="90"/>
    </row>
    <row r="70" customFormat="false" ht="12.75" hidden="false" customHeight="false" outlineLevel="0" collapsed="false">
      <c r="A70" s="90"/>
      <c r="B70" s="91" t="s">
        <v>172</v>
      </c>
      <c r="C70" s="92" t="s">
        <v>62</v>
      </c>
      <c r="D70" s="92" t="s">
        <v>213</v>
      </c>
      <c r="E70" s="93" t="n">
        <v>36800</v>
      </c>
      <c r="F70" s="93" t="s">
        <v>232</v>
      </c>
      <c r="G70" s="91" t="s">
        <v>199</v>
      </c>
      <c r="H70" s="91" t="s">
        <v>227</v>
      </c>
      <c r="I70" s="92" t="s">
        <v>228</v>
      </c>
      <c r="J70" s="94" t="n">
        <f aca="false">7.5654/J$1</f>
        <v>0.244045161290323</v>
      </c>
      <c r="K70" s="95" t="n">
        <v>0</v>
      </c>
      <c r="L70" s="95" t="n">
        <v>0.0022</v>
      </c>
      <c r="M70" s="95" t="n">
        <v>0</v>
      </c>
      <c r="N70" s="95" t="n">
        <v>0</v>
      </c>
      <c r="O70" s="96" t="n">
        <v>0</v>
      </c>
      <c r="P70" s="95" t="n">
        <f aca="false">SUM(J70:N70)</f>
        <v>0.246245161290323</v>
      </c>
      <c r="Q70" s="118" t="n">
        <v>3.6946</v>
      </c>
      <c r="R70" s="92" t="n">
        <f aca="false">22+46</f>
        <v>68</v>
      </c>
      <c r="S70" s="91" t="str">
        <f aca="false">+S69</f>
        <v>#021608</v>
      </c>
      <c r="T70" s="98" t="n">
        <f aca="false">J70*J$1*R70</f>
        <v>514.4472</v>
      </c>
      <c r="U70" s="98"/>
      <c r="V70" s="99" t="n">
        <v>418202</v>
      </c>
      <c r="W70" s="91"/>
      <c r="X70" s="101"/>
      <c r="Y70" s="101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90"/>
      <c r="IA70" s="90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90"/>
      <c r="IM70" s="90"/>
      <c r="IN70" s="90"/>
      <c r="IO70" s="90"/>
      <c r="IP70" s="90"/>
      <c r="IQ70" s="90"/>
      <c r="IR70" s="90"/>
      <c r="IS70" s="90"/>
      <c r="IT70" s="90"/>
      <c r="IU70" s="90"/>
      <c r="IV70" s="90"/>
      <c r="IW70" s="90"/>
    </row>
    <row r="71" customFormat="false" ht="12.75" hidden="false" customHeight="false" outlineLevel="0" collapsed="false">
      <c r="A71" s="90"/>
      <c r="B71" s="91" t="s">
        <v>172</v>
      </c>
      <c r="C71" s="92" t="s">
        <v>62</v>
      </c>
      <c r="D71" s="92" t="s">
        <v>213</v>
      </c>
      <c r="E71" s="93" t="n">
        <v>36770</v>
      </c>
      <c r="F71" s="93" t="n">
        <v>37864</v>
      </c>
      <c r="G71" s="91" t="s">
        <v>226</v>
      </c>
      <c r="H71" s="91" t="s">
        <v>227</v>
      </c>
      <c r="I71" s="92" t="s">
        <v>228</v>
      </c>
      <c r="J71" s="94" t="n">
        <f aca="false">7.5654/J$1</f>
        <v>0.244045161290323</v>
      </c>
      <c r="K71" s="95" t="n">
        <v>0</v>
      </c>
      <c r="L71" s="95" t="n">
        <v>0.0022</v>
      </c>
      <c r="M71" s="95" t="n">
        <v>0</v>
      </c>
      <c r="N71" s="95" t="n">
        <v>0</v>
      </c>
      <c r="O71" s="96" t="n">
        <v>0</v>
      </c>
      <c r="P71" s="95" t="n">
        <f aca="false">SUM(J71:N71)</f>
        <v>0.246245161290323</v>
      </c>
      <c r="Q71" s="118" t="n">
        <v>3.6675</v>
      </c>
      <c r="R71" s="119" t="n">
        <v>46</v>
      </c>
      <c r="S71" s="91" t="s">
        <v>233</v>
      </c>
      <c r="T71" s="98" t="n">
        <f aca="false">J71*J$1*R71</f>
        <v>348.0084</v>
      </c>
      <c r="U71" s="98"/>
      <c r="V71" s="99" t="n">
        <v>375532</v>
      </c>
      <c r="W71" s="91"/>
      <c r="X71" s="101"/>
      <c r="Y71" s="101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  <c r="EA71" s="90"/>
      <c r="EB71" s="90"/>
      <c r="EC71" s="90"/>
      <c r="ED71" s="90"/>
      <c r="EE71" s="90"/>
      <c r="EF71" s="90"/>
      <c r="EG71" s="90"/>
      <c r="EH71" s="90"/>
      <c r="EI71" s="90"/>
      <c r="EJ71" s="90"/>
      <c r="EK71" s="90"/>
      <c r="EL71" s="90"/>
      <c r="EM71" s="90"/>
      <c r="EN71" s="90"/>
      <c r="EO71" s="90"/>
      <c r="EP71" s="90"/>
      <c r="EQ71" s="90"/>
      <c r="ER71" s="90"/>
      <c r="ES71" s="90"/>
      <c r="ET71" s="90"/>
      <c r="EU71" s="90"/>
      <c r="EV71" s="90"/>
      <c r="EW71" s="90"/>
      <c r="EX71" s="90"/>
      <c r="EY71" s="90"/>
      <c r="EZ71" s="90"/>
      <c r="FA71" s="90"/>
      <c r="FB71" s="90"/>
      <c r="FC71" s="90"/>
      <c r="FD71" s="90"/>
      <c r="FE71" s="90"/>
      <c r="FF71" s="90"/>
      <c r="FG71" s="90"/>
      <c r="FH71" s="90"/>
      <c r="FI71" s="90"/>
      <c r="FJ71" s="90"/>
      <c r="FK71" s="90"/>
      <c r="FL71" s="90"/>
      <c r="FM71" s="90"/>
      <c r="FN71" s="90"/>
      <c r="FO71" s="90"/>
      <c r="FP71" s="90"/>
      <c r="FQ71" s="90"/>
      <c r="FR71" s="90"/>
      <c r="FS71" s="90"/>
      <c r="FT71" s="90"/>
      <c r="FU71" s="90"/>
      <c r="FV71" s="90"/>
      <c r="FW71" s="90"/>
      <c r="FX71" s="90"/>
      <c r="FY71" s="90"/>
      <c r="FZ71" s="90"/>
      <c r="GA71" s="90"/>
      <c r="GB71" s="90"/>
      <c r="GC71" s="90"/>
      <c r="GD71" s="90"/>
      <c r="GE71" s="90"/>
      <c r="GF71" s="90"/>
      <c r="GG71" s="90"/>
      <c r="GH71" s="90"/>
      <c r="GI71" s="90"/>
      <c r="GJ71" s="90"/>
      <c r="GK71" s="90"/>
      <c r="GL71" s="90"/>
      <c r="GM71" s="90"/>
      <c r="GN71" s="90"/>
      <c r="GO71" s="90"/>
      <c r="GP71" s="90"/>
      <c r="GQ71" s="90"/>
      <c r="GR71" s="90"/>
      <c r="GS71" s="90"/>
      <c r="GT71" s="90"/>
      <c r="GU71" s="90"/>
      <c r="GV71" s="90"/>
      <c r="GW71" s="90"/>
      <c r="GX71" s="90"/>
      <c r="GY71" s="90"/>
      <c r="GZ71" s="90"/>
      <c r="HA71" s="90"/>
      <c r="HB71" s="90"/>
      <c r="HC71" s="90"/>
      <c r="HD71" s="90"/>
      <c r="HE71" s="90"/>
      <c r="HF71" s="90"/>
      <c r="HG71" s="90"/>
      <c r="HH71" s="90"/>
      <c r="HI71" s="90"/>
      <c r="HJ71" s="90"/>
      <c r="HK71" s="90"/>
      <c r="HL71" s="90"/>
      <c r="HM71" s="90"/>
      <c r="HN71" s="90"/>
      <c r="HO71" s="90"/>
      <c r="HP71" s="90"/>
      <c r="HQ71" s="90"/>
      <c r="HR71" s="90"/>
      <c r="HS71" s="90"/>
      <c r="HT71" s="90"/>
      <c r="HU71" s="90"/>
      <c r="HV71" s="90"/>
      <c r="HW71" s="90"/>
      <c r="HX71" s="90"/>
      <c r="HY71" s="90"/>
      <c r="HZ71" s="90"/>
      <c r="IA71" s="90"/>
      <c r="IB71" s="90"/>
      <c r="IC71" s="90"/>
      <c r="ID71" s="90"/>
      <c r="IE71" s="90"/>
      <c r="IF71" s="90"/>
      <c r="IG71" s="90"/>
      <c r="IH71" s="90"/>
      <c r="II71" s="90"/>
      <c r="IJ71" s="90"/>
      <c r="IK71" s="90"/>
      <c r="IL71" s="90"/>
      <c r="IM71" s="90"/>
      <c r="IN71" s="90"/>
      <c r="IO71" s="90"/>
      <c r="IP71" s="90"/>
      <c r="IQ71" s="90"/>
      <c r="IR71" s="90"/>
      <c r="IS71" s="90"/>
      <c r="IT71" s="90"/>
      <c r="IU71" s="90"/>
      <c r="IV71" s="90"/>
      <c r="IW71" s="90"/>
    </row>
    <row r="72" customFormat="false" ht="12.75" hidden="false" customHeight="false" outlineLevel="0" collapsed="false">
      <c r="A72" s="90"/>
      <c r="B72" s="91" t="s">
        <v>172</v>
      </c>
      <c r="C72" s="92" t="s">
        <v>62</v>
      </c>
      <c r="D72" s="92" t="s">
        <v>213</v>
      </c>
      <c r="E72" s="93" t="n">
        <v>36770</v>
      </c>
      <c r="F72" s="93" t="n">
        <v>37864</v>
      </c>
      <c r="G72" s="91" t="s">
        <v>230</v>
      </c>
      <c r="H72" s="91" t="s">
        <v>227</v>
      </c>
      <c r="I72" s="92" t="s">
        <v>228</v>
      </c>
      <c r="J72" s="94" t="n">
        <f aca="false">7.5654/J$1</f>
        <v>0.244045161290323</v>
      </c>
      <c r="K72" s="95" t="n">
        <v>0</v>
      </c>
      <c r="L72" s="95" t="n">
        <v>0.0022</v>
      </c>
      <c r="M72" s="95" t="n">
        <v>0</v>
      </c>
      <c r="N72" s="95" t="n">
        <v>0</v>
      </c>
      <c r="O72" s="96" t="n">
        <v>0</v>
      </c>
      <c r="P72" s="95" t="n">
        <f aca="false">SUM(J72:N72)</f>
        <v>0.246245161290323</v>
      </c>
      <c r="Q72" s="118" t="n">
        <f aca="false">+Q71</f>
        <v>3.6675</v>
      </c>
      <c r="R72" s="92" t="n">
        <v>68</v>
      </c>
      <c r="S72" s="91" t="str">
        <f aca="false">+S71</f>
        <v>#021349</v>
      </c>
      <c r="T72" s="98" t="n">
        <f aca="false">J72*J$1*R72</f>
        <v>514.4472</v>
      </c>
      <c r="U72" s="98"/>
      <c r="V72" s="99" t="n">
        <v>375532</v>
      </c>
      <c r="W72" s="91"/>
      <c r="X72" s="101"/>
      <c r="Y72" s="101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  <c r="EA72" s="90"/>
      <c r="EB72" s="90"/>
      <c r="EC72" s="90"/>
      <c r="ED72" s="90"/>
      <c r="EE72" s="90"/>
      <c r="EF72" s="90"/>
      <c r="EG72" s="90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90"/>
      <c r="FG72" s="90"/>
      <c r="FH72" s="90"/>
      <c r="FI72" s="90"/>
      <c r="FJ72" s="90"/>
      <c r="FK72" s="90"/>
      <c r="FL72" s="90"/>
      <c r="FM72" s="90"/>
      <c r="FN72" s="90"/>
      <c r="FO72" s="90"/>
      <c r="FP72" s="90"/>
      <c r="FQ72" s="90"/>
      <c r="FR72" s="90"/>
      <c r="FS72" s="90"/>
      <c r="FT72" s="90"/>
      <c r="FU72" s="90"/>
      <c r="FV72" s="90"/>
      <c r="FW72" s="90"/>
      <c r="FX72" s="90"/>
      <c r="FY72" s="90"/>
      <c r="FZ72" s="90"/>
      <c r="GA72" s="90"/>
      <c r="GB72" s="90"/>
      <c r="GC72" s="90"/>
      <c r="GD72" s="90"/>
      <c r="GE72" s="90"/>
      <c r="GF72" s="90"/>
      <c r="GG72" s="90"/>
      <c r="GH72" s="90"/>
      <c r="GI72" s="90"/>
      <c r="GJ72" s="90"/>
      <c r="GK72" s="90"/>
      <c r="GL72" s="90"/>
      <c r="GM72" s="90"/>
      <c r="GN72" s="90"/>
      <c r="GO72" s="90"/>
      <c r="GP72" s="90"/>
      <c r="GQ72" s="90"/>
      <c r="GR72" s="90"/>
      <c r="GS72" s="90"/>
      <c r="GT72" s="90"/>
      <c r="GU72" s="90"/>
      <c r="GV72" s="90"/>
      <c r="GW72" s="90"/>
      <c r="GX72" s="90"/>
      <c r="GY72" s="90"/>
      <c r="GZ72" s="90"/>
      <c r="HA72" s="90"/>
      <c r="HB72" s="90"/>
      <c r="HC72" s="90"/>
      <c r="HD72" s="90"/>
      <c r="HE72" s="90"/>
      <c r="HF72" s="90"/>
      <c r="HG72" s="90"/>
      <c r="HH72" s="90"/>
      <c r="HI72" s="90"/>
      <c r="HJ72" s="90"/>
      <c r="HK72" s="90"/>
      <c r="HL72" s="90"/>
      <c r="HM72" s="90"/>
      <c r="HN72" s="90"/>
      <c r="HO72" s="90"/>
      <c r="HP72" s="90"/>
      <c r="HQ72" s="90"/>
      <c r="HR72" s="90"/>
      <c r="HS72" s="90"/>
      <c r="HT72" s="90"/>
      <c r="HU72" s="90"/>
      <c r="HV72" s="90"/>
      <c r="HW72" s="90"/>
      <c r="HX72" s="90"/>
      <c r="HY72" s="90"/>
      <c r="HZ72" s="90"/>
      <c r="IA72" s="90"/>
      <c r="IB72" s="90"/>
      <c r="IC72" s="90"/>
      <c r="ID72" s="90"/>
      <c r="IE72" s="90"/>
      <c r="IF72" s="90"/>
      <c r="IG72" s="90"/>
      <c r="IH72" s="90"/>
      <c r="II72" s="90"/>
      <c r="IJ72" s="90"/>
      <c r="IK72" s="90"/>
      <c r="IL72" s="90"/>
      <c r="IM72" s="90"/>
      <c r="IN72" s="90"/>
      <c r="IO72" s="90"/>
      <c r="IP72" s="90"/>
      <c r="IQ72" s="90"/>
      <c r="IR72" s="90"/>
      <c r="IS72" s="90"/>
      <c r="IT72" s="90"/>
      <c r="IU72" s="90"/>
      <c r="IV72" s="90"/>
      <c r="IW72" s="90"/>
    </row>
    <row r="73" customFormat="false" ht="12.75" hidden="false" customHeight="false" outlineLevel="0" collapsed="false">
      <c r="A73" s="90"/>
      <c r="B73" s="91" t="s">
        <v>172</v>
      </c>
      <c r="C73" s="92" t="s">
        <v>62</v>
      </c>
      <c r="D73" s="92" t="s">
        <v>213</v>
      </c>
      <c r="E73" s="93" t="n">
        <v>36770</v>
      </c>
      <c r="F73" s="93" t="n">
        <v>37864</v>
      </c>
      <c r="G73" s="91" t="s">
        <v>199</v>
      </c>
      <c r="H73" s="91" t="s">
        <v>227</v>
      </c>
      <c r="I73" s="92" t="s">
        <v>228</v>
      </c>
      <c r="J73" s="94" t="n">
        <f aca="false">7.5654/J$1</f>
        <v>0.244045161290323</v>
      </c>
      <c r="K73" s="95" t="n">
        <v>0</v>
      </c>
      <c r="L73" s="95" t="n">
        <v>0.0022</v>
      </c>
      <c r="M73" s="95" t="n">
        <v>0</v>
      </c>
      <c r="N73" s="95" t="n">
        <v>0</v>
      </c>
      <c r="O73" s="96" t="n">
        <v>0</v>
      </c>
      <c r="P73" s="95" t="n">
        <f aca="false">SUM(J73:N73)</f>
        <v>0.246245161290323</v>
      </c>
      <c r="Q73" s="118" t="n">
        <f aca="false">+Q72</f>
        <v>3.6675</v>
      </c>
      <c r="R73" s="92" t="n">
        <f aca="false">51+105</f>
        <v>156</v>
      </c>
      <c r="S73" s="91" t="str">
        <f aca="false">+S72</f>
        <v>#021349</v>
      </c>
      <c r="T73" s="98" t="n">
        <f aca="false">J73*J$1*R73</f>
        <v>1180.2024</v>
      </c>
      <c r="U73" s="98"/>
      <c r="V73" s="99" t="n">
        <v>375532</v>
      </c>
      <c r="W73" s="91"/>
      <c r="X73" s="101"/>
      <c r="Y73" s="101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90"/>
      <c r="IA73" s="90"/>
      <c r="IB73" s="90"/>
      <c r="IC73" s="90"/>
      <c r="ID73" s="90"/>
      <c r="IE73" s="90"/>
      <c r="IF73" s="90"/>
      <c r="IG73" s="90"/>
      <c r="IH73" s="90"/>
      <c r="II73" s="90"/>
      <c r="IJ73" s="90"/>
      <c r="IK73" s="90"/>
      <c r="IL73" s="90"/>
      <c r="IM73" s="90"/>
      <c r="IN73" s="90"/>
      <c r="IO73" s="90"/>
      <c r="IP73" s="90"/>
      <c r="IQ73" s="90"/>
      <c r="IR73" s="90"/>
      <c r="IS73" s="90"/>
      <c r="IT73" s="90"/>
      <c r="IU73" s="90"/>
      <c r="IV73" s="90"/>
      <c r="IW73" s="90"/>
    </row>
    <row r="74" customFormat="false" ht="12.75" hidden="false" customHeight="false" outlineLevel="0" collapsed="false">
      <c r="A74" s="90"/>
      <c r="B74" s="91" t="s">
        <v>172</v>
      </c>
      <c r="C74" s="92" t="s">
        <v>62</v>
      </c>
      <c r="D74" s="92" t="s">
        <v>213</v>
      </c>
      <c r="E74" s="93" t="n">
        <v>36770</v>
      </c>
      <c r="F74" s="93" t="n">
        <v>37864</v>
      </c>
      <c r="G74" s="91" t="s">
        <v>234</v>
      </c>
      <c r="H74" s="91" t="s">
        <v>227</v>
      </c>
      <c r="I74" s="92" t="s">
        <v>235</v>
      </c>
      <c r="J74" s="94" t="n">
        <f aca="false">14.1875/30</f>
        <v>0.472916666666667</v>
      </c>
      <c r="K74" s="95" t="n">
        <v>0</v>
      </c>
      <c r="L74" s="95" t="n">
        <v>0.0022</v>
      </c>
      <c r="M74" s="95" t="n">
        <v>0</v>
      </c>
      <c r="N74" s="95" t="n">
        <v>0</v>
      </c>
      <c r="O74" s="96" t="n">
        <v>0</v>
      </c>
      <c r="P74" s="95" t="n">
        <f aca="false">SUM(J74:N74)</f>
        <v>0.475116666666667</v>
      </c>
      <c r="Q74" s="120" t="n">
        <v>3.6674</v>
      </c>
      <c r="R74" s="92" t="n">
        <v>3575</v>
      </c>
      <c r="S74" s="91" t="s">
        <v>236</v>
      </c>
      <c r="T74" s="98" t="n">
        <f aca="false">J74*J$1*R74</f>
        <v>52410.9895833333</v>
      </c>
      <c r="U74" s="98"/>
      <c r="V74" s="99" t="n">
        <v>375527</v>
      </c>
      <c r="W74" s="91"/>
      <c r="X74" s="101"/>
      <c r="Y74" s="101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90"/>
      <c r="EE74" s="90"/>
      <c r="EF74" s="90"/>
      <c r="EG74" s="90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90"/>
      <c r="FG74" s="90"/>
      <c r="FH74" s="90"/>
      <c r="FI74" s="90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90"/>
      <c r="FU74" s="90"/>
      <c r="FV74" s="90"/>
      <c r="FW74" s="90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90"/>
      <c r="GI74" s="90"/>
      <c r="GJ74" s="90"/>
      <c r="GK74" s="90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90"/>
      <c r="GW74" s="90"/>
      <c r="GX74" s="90"/>
      <c r="GY74" s="90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90"/>
      <c r="HK74" s="90"/>
      <c r="HL74" s="90"/>
      <c r="HM74" s="90"/>
      <c r="HN74" s="90"/>
      <c r="HO74" s="90"/>
      <c r="HP74" s="90"/>
      <c r="HQ74" s="90"/>
      <c r="HR74" s="90"/>
      <c r="HS74" s="90"/>
      <c r="HT74" s="90"/>
      <c r="HU74" s="90"/>
      <c r="HV74" s="90"/>
      <c r="HW74" s="90"/>
      <c r="HX74" s="90"/>
      <c r="HY74" s="90"/>
      <c r="HZ74" s="90"/>
      <c r="IA74" s="90"/>
      <c r="IB74" s="90"/>
      <c r="IC74" s="90"/>
      <c r="ID74" s="90"/>
      <c r="IE74" s="90"/>
      <c r="IF74" s="90"/>
      <c r="IG74" s="90"/>
      <c r="IH74" s="90"/>
      <c r="II74" s="90"/>
      <c r="IJ74" s="90"/>
      <c r="IK74" s="90"/>
      <c r="IL74" s="90"/>
      <c r="IM74" s="90"/>
      <c r="IN74" s="90"/>
      <c r="IO74" s="90"/>
      <c r="IP74" s="90"/>
      <c r="IQ74" s="90"/>
      <c r="IR74" s="90"/>
      <c r="IS74" s="90"/>
      <c r="IT74" s="90"/>
      <c r="IU74" s="90"/>
      <c r="IV74" s="90"/>
      <c r="IW74" s="90"/>
    </row>
    <row r="75" customFormat="false" ht="12.75" hidden="false" customHeight="false" outlineLevel="0" collapsed="false">
      <c r="A75" s="90"/>
      <c r="B75" s="91" t="s">
        <v>172</v>
      </c>
      <c r="C75" s="92" t="s">
        <v>62</v>
      </c>
      <c r="D75" s="92" t="s">
        <v>213</v>
      </c>
      <c r="E75" s="93" t="n">
        <v>36800</v>
      </c>
      <c r="F75" s="93" t="n">
        <v>36830</v>
      </c>
      <c r="G75" s="91" t="s">
        <v>234</v>
      </c>
      <c r="H75" s="91" t="s">
        <v>227</v>
      </c>
      <c r="I75" s="92" t="s">
        <v>235</v>
      </c>
      <c r="J75" s="94" t="n">
        <f aca="false">14.1875/30</f>
        <v>0.472916666666667</v>
      </c>
      <c r="K75" s="95" t="n">
        <v>0</v>
      </c>
      <c r="L75" s="95" t="n">
        <v>0.0022</v>
      </c>
      <c r="M75" s="95" t="n">
        <v>0</v>
      </c>
      <c r="N75" s="95" t="n">
        <v>0</v>
      </c>
      <c r="O75" s="96" t="n">
        <v>0</v>
      </c>
      <c r="P75" s="95" t="n">
        <f aca="false">SUM(J75:N75)</f>
        <v>0.475116666666667</v>
      </c>
      <c r="Q75" s="120" t="n">
        <v>3.6945</v>
      </c>
      <c r="R75" s="92" t="n">
        <v>1535</v>
      </c>
      <c r="S75" s="91" t="s">
        <v>237</v>
      </c>
      <c r="T75" s="98" t="n">
        <f aca="false">J75*J$1*R75</f>
        <v>22503.7395833333</v>
      </c>
      <c r="U75" s="98"/>
      <c r="V75" s="99" t="n">
        <v>413290</v>
      </c>
      <c r="W75" s="91"/>
      <c r="X75" s="101"/>
      <c r="Y75" s="101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90"/>
      <c r="ED75" s="90"/>
      <c r="EE75" s="90"/>
      <c r="EF75" s="90"/>
      <c r="EG75" s="90"/>
      <c r="EH75" s="90"/>
      <c r="EI75" s="90"/>
      <c r="EJ75" s="90"/>
      <c r="EK75" s="90"/>
      <c r="EL75" s="90"/>
      <c r="EM75" s="90"/>
      <c r="EN75" s="90"/>
      <c r="EO75" s="90"/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  <c r="FE75" s="90"/>
      <c r="FF75" s="90"/>
      <c r="FG75" s="90"/>
      <c r="FH75" s="90"/>
      <c r="FI75" s="90"/>
      <c r="FJ75" s="90"/>
      <c r="FK75" s="90"/>
      <c r="FL75" s="90"/>
      <c r="FM75" s="90"/>
      <c r="FN75" s="90"/>
      <c r="FO75" s="90"/>
      <c r="FP75" s="90"/>
      <c r="FQ75" s="90"/>
      <c r="FR75" s="90"/>
      <c r="FS75" s="90"/>
      <c r="FT75" s="90"/>
      <c r="FU75" s="90"/>
      <c r="FV75" s="90"/>
      <c r="FW75" s="90"/>
      <c r="FX75" s="90"/>
      <c r="FY75" s="90"/>
      <c r="FZ75" s="90"/>
      <c r="GA75" s="90"/>
      <c r="GB75" s="90"/>
      <c r="GC75" s="90"/>
      <c r="GD75" s="90"/>
      <c r="GE75" s="90"/>
      <c r="GF75" s="90"/>
      <c r="GG75" s="90"/>
      <c r="GH75" s="90"/>
      <c r="GI75" s="90"/>
      <c r="GJ75" s="90"/>
      <c r="GK75" s="90"/>
      <c r="GL75" s="90"/>
      <c r="GM75" s="90"/>
      <c r="GN75" s="90"/>
      <c r="GO75" s="90"/>
      <c r="GP75" s="90"/>
      <c r="GQ75" s="90"/>
      <c r="GR75" s="90"/>
      <c r="GS75" s="90"/>
      <c r="GT75" s="90"/>
      <c r="GU75" s="90"/>
      <c r="GV75" s="90"/>
      <c r="GW75" s="90"/>
      <c r="GX75" s="90"/>
      <c r="GY75" s="90"/>
      <c r="GZ75" s="90"/>
      <c r="HA75" s="90"/>
      <c r="HB75" s="90"/>
      <c r="HC75" s="90"/>
      <c r="HD75" s="90"/>
      <c r="HE75" s="90"/>
      <c r="HF75" s="90"/>
      <c r="HG75" s="90"/>
      <c r="HH75" s="90"/>
      <c r="HI75" s="90"/>
      <c r="HJ75" s="90"/>
      <c r="HK75" s="90"/>
      <c r="HL75" s="90"/>
      <c r="HM75" s="90"/>
      <c r="HN75" s="90"/>
      <c r="HO75" s="90"/>
      <c r="HP75" s="90"/>
      <c r="HQ75" s="90"/>
      <c r="HR75" s="90"/>
      <c r="HS75" s="90"/>
      <c r="HT75" s="90"/>
      <c r="HU75" s="90"/>
      <c r="HV75" s="90"/>
      <c r="HW75" s="90"/>
      <c r="HX75" s="90"/>
      <c r="HY75" s="90"/>
      <c r="HZ75" s="90"/>
      <c r="IA75" s="90"/>
      <c r="IB75" s="90"/>
      <c r="IC75" s="90"/>
      <c r="ID75" s="90"/>
      <c r="IE75" s="90"/>
      <c r="IF75" s="90"/>
      <c r="IG75" s="90"/>
      <c r="IH75" s="90"/>
      <c r="II75" s="90"/>
      <c r="IJ75" s="90"/>
      <c r="IK75" s="90"/>
      <c r="IL75" s="90"/>
      <c r="IM75" s="90"/>
      <c r="IN75" s="90"/>
      <c r="IO75" s="90"/>
      <c r="IP75" s="90"/>
      <c r="IQ75" s="90"/>
      <c r="IR75" s="90"/>
      <c r="IS75" s="90"/>
      <c r="IT75" s="90"/>
      <c r="IU75" s="90"/>
      <c r="IV75" s="90"/>
      <c r="IW75" s="90"/>
    </row>
    <row r="76" customFormat="false" ht="12.75" hidden="false" customHeight="false" outlineLevel="0" collapsed="false">
      <c r="A76" s="90"/>
      <c r="B76" s="91" t="s">
        <v>172</v>
      </c>
      <c r="C76" s="92" t="s">
        <v>62</v>
      </c>
      <c r="D76" s="92" t="s">
        <v>213</v>
      </c>
      <c r="E76" s="93" t="n">
        <v>36800</v>
      </c>
      <c r="F76" s="93" t="n">
        <v>36830</v>
      </c>
      <c r="G76" s="91" t="s">
        <v>226</v>
      </c>
      <c r="H76" s="91" t="s">
        <v>227</v>
      </c>
      <c r="I76" s="92" t="s">
        <v>228</v>
      </c>
      <c r="J76" s="94" t="n">
        <f aca="false">7.5654/J$1</f>
        <v>0.244045161290323</v>
      </c>
      <c r="K76" s="95" t="n">
        <v>0</v>
      </c>
      <c r="L76" s="95" t="n">
        <v>0.0022</v>
      </c>
      <c r="M76" s="95" t="n">
        <v>0</v>
      </c>
      <c r="N76" s="95" t="n">
        <v>0</v>
      </c>
      <c r="O76" s="96" t="n">
        <v>0</v>
      </c>
      <c r="P76" s="95" t="n">
        <f aca="false">SUM(J76:N76)</f>
        <v>0.246245161290323</v>
      </c>
      <c r="Q76" s="118" t="n">
        <v>3.6944</v>
      </c>
      <c r="R76" s="119" t="n">
        <v>326</v>
      </c>
      <c r="S76" s="91" t="s">
        <v>238</v>
      </c>
      <c r="T76" s="98" t="n">
        <f aca="false">J76*J$1*R76</f>
        <v>2466.3204</v>
      </c>
      <c r="U76" s="98"/>
      <c r="V76" s="99" t="n">
        <v>413530</v>
      </c>
      <c r="W76" s="91"/>
      <c r="X76" s="101"/>
      <c r="Y76" s="101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  <c r="EC76" s="90"/>
      <c r="ED76" s="90"/>
      <c r="EE76" s="90"/>
      <c r="EF76" s="90"/>
      <c r="EG76" s="90"/>
      <c r="EH76" s="90"/>
      <c r="EI76" s="90"/>
      <c r="EJ76" s="90"/>
      <c r="EK76" s="90"/>
      <c r="EL76" s="90"/>
      <c r="EM76" s="90"/>
      <c r="EN76" s="90"/>
      <c r="EO76" s="90"/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90"/>
      <c r="FG76" s="90"/>
      <c r="FH76" s="90"/>
      <c r="FI76" s="90"/>
      <c r="FJ76" s="90"/>
      <c r="FK76" s="90"/>
      <c r="FL76" s="90"/>
      <c r="FM76" s="90"/>
      <c r="FN76" s="90"/>
      <c r="FO76" s="90"/>
      <c r="FP76" s="90"/>
      <c r="FQ76" s="90"/>
      <c r="FR76" s="90"/>
      <c r="FS76" s="90"/>
      <c r="FT76" s="90"/>
      <c r="FU76" s="90"/>
      <c r="FV76" s="90"/>
      <c r="FW76" s="90"/>
      <c r="FX76" s="90"/>
      <c r="FY76" s="90"/>
      <c r="FZ76" s="90"/>
      <c r="GA76" s="90"/>
      <c r="GB76" s="90"/>
      <c r="GC76" s="90"/>
      <c r="GD76" s="90"/>
      <c r="GE76" s="90"/>
      <c r="GF76" s="90"/>
      <c r="GG76" s="90"/>
      <c r="GH76" s="90"/>
      <c r="GI76" s="90"/>
      <c r="GJ76" s="90"/>
      <c r="GK76" s="90"/>
      <c r="GL76" s="90"/>
      <c r="GM76" s="90"/>
      <c r="GN76" s="90"/>
      <c r="GO76" s="90"/>
      <c r="GP76" s="90"/>
      <c r="GQ76" s="90"/>
      <c r="GR76" s="90"/>
      <c r="GS76" s="90"/>
      <c r="GT76" s="90"/>
      <c r="GU76" s="90"/>
      <c r="GV76" s="90"/>
      <c r="GW76" s="90"/>
      <c r="GX76" s="90"/>
      <c r="GY76" s="90"/>
      <c r="GZ76" s="90"/>
      <c r="HA76" s="90"/>
      <c r="HB76" s="90"/>
      <c r="HC76" s="90"/>
      <c r="HD76" s="90"/>
      <c r="HE76" s="90"/>
      <c r="HF76" s="90"/>
      <c r="HG76" s="90"/>
      <c r="HH76" s="90"/>
      <c r="HI76" s="90"/>
      <c r="HJ76" s="90"/>
      <c r="HK76" s="90"/>
      <c r="HL76" s="90"/>
      <c r="HM76" s="90"/>
      <c r="HN76" s="90"/>
      <c r="HO76" s="90"/>
      <c r="HP76" s="90"/>
      <c r="HQ76" s="90"/>
      <c r="HR76" s="90"/>
      <c r="HS76" s="90"/>
      <c r="HT76" s="90"/>
      <c r="HU76" s="90"/>
      <c r="HV76" s="90"/>
      <c r="HW76" s="90"/>
      <c r="HX76" s="90"/>
      <c r="HY76" s="90"/>
      <c r="HZ76" s="90"/>
      <c r="IA76" s="90"/>
      <c r="IB76" s="90"/>
      <c r="IC76" s="90"/>
      <c r="ID76" s="90"/>
      <c r="IE76" s="90"/>
      <c r="IF76" s="90"/>
      <c r="IG76" s="90"/>
      <c r="IH76" s="90"/>
      <c r="II76" s="90"/>
      <c r="IJ76" s="90"/>
      <c r="IK76" s="90"/>
      <c r="IL76" s="90"/>
      <c r="IM76" s="90"/>
      <c r="IN76" s="90"/>
      <c r="IO76" s="90"/>
      <c r="IP76" s="90"/>
      <c r="IQ76" s="90"/>
      <c r="IR76" s="90"/>
      <c r="IS76" s="90"/>
      <c r="IT76" s="90"/>
      <c r="IU76" s="90"/>
      <c r="IV76" s="90"/>
      <c r="IW76" s="90"/>
    </row>
    <row r="77" customFormat="false" ht="12.75" hidden="false" customHeight="false" outlineLevel="0" collapsed="false">
      <c r="A77" s="90"/>
      <c r="B77" s="91" t="s">
        <v>172</v>
      </c>
      <c r="C77" s="92" t="s">
        <v>62</v>
      </c>
      <c r="D77" s="92" t="s">
        <v>213</v>
      </c>
      <c r="E77" s="93" t="n">
        <v>36800</v>
      </c>
      <c r="F77" s="93" t="n">
        <v>36830</v>
      </c>
      <c r="G77" s="91" t="s">
        <v>230</v>
      </c>
      <c r="H77" s="91" t="s">
        <v>227</v>
      </c>
      <c r="I77" s="92" t="s">
        <v>228</v>
      </c>
      <c r="J77" s="94" t="n">
        <f aca="false">7.5654/J$1</f>
        <v>0.244045161290323</v>
      </c>
      <c r="K77" s="95" t="n">
        <v>0</v>
      </c>
      <c r="L77" s="95" t="n">
        <v>0.0022</v>
      </c>
      <c r="M77" s="95" t="n">
        <v>0</v>
      </c>
      <c r="N77" s="95" t="n">
        <v>0</v>
      </c>
      <c r="O77" s="96" t="n">
        <v>0</v>
      </c>
      <c r="P77" s="95" t="n">
        <f aca="false">SUM(J77:N77)</f>
        <v>0.246245161290323</v>
      </c>
      <c r="Q77" s="118" t="n">
        <f aca="false">+Q76</f>
        <v>3.6944</v>
      </c>
      <c r="R77" s="92" t="n">
        <v>480</v>
      </c>
      <c r="S77" s="91" t="str">
        <f aca="false">+S76</f>
        <v>#021610</v>
      </c>
      <c r="T77" s="98" t="n">
        <f aca="false">J77*J$1*R77</f>
        <v>3631.392</v>
      </c>
      <c r="U77" s="98"/>
      <c r="V77" s="99" t="n">
        <f aca="false">+V76</f>
        <v>413530</v>
      </c>
      <c r="W77" s="91"/>
      <c r="X77" s="101"/>
      <c r="Y77" s="101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90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90"/>
      <c r="GE77" s="90"/>
      <c r="GF77" s="90"/>
      <c r="GG77" s="90"/>
      <c r="GH77" s="90"/>
      <c r="GI77" s="90"/>
      <c r="GJ77" s="90"/>
      <c r="GK77" s="90"/>
      <c r="GL77" s="90"/>
      <c r="GM77" s="90"/>
      <c r="GN77" s="90"/>
      <c r="GO77" s="90"/>
      <c r="GP77" s="90"/>
      <c r="GQ77" s="90"/>
      <c r="GR77" s="90"/>
      <c r="GS77" s="90"/>
      <c r="GT77" s="90"/>
      <c r="GU77" s="90"/>
      <c r="GV77" s="90"/>
      <c r="GW77" s="90"/>
      <c r="GX77" s="90"/>
      <c r="GY77" s="90"/>
      <c r="GZ77" s="90"/>
      <c r="HA77" s="90"/>
      <c r="HB77" s="90"/>
      <c r="HC77" s="90"/>
      <c r="HD77" s="90"/>
      <c r="HE77" s="90"/>
      <c r="HF77" s="90"/>
      <c r="HG77" s="90"/>
      <c r="HH77" s="90"/>
      <c r="HI77" s="90"/>
      <c r="HJ77" s="90"/>
      <c r="HK77" s="90"/>
      <c r="HL77" s="90"/>
      <c r="HM77" s="90"/>
      <c r="HN77" s="90"/>
      <c r="HO77" s="90"/>
      <c r="HP77" s="90"/>
      <c r="HQ77" s="90"/>
      <c r="HR77" s="90"/>
      <c r="HS77" s="90"/>
      <c r="HT77" s="90"/>
      <c r="HU77" s="90"/>
      <c r="HV77" s="90"/>
      <c r="HW77" s="90"/>
      <c r="HX77" s="90"/>
      <c r="HY77" s="90"/>
      <c r="HZ77" s="90"/>
      <c r="IA77" s="90"/>
      <c r="IB77" s="90"/>
      <c r="IC77" s="90"/>
      <c r="ID77" s="90"/>
      <c r="IE77" s="90"/>
      <c r="IF77" s="90"/>
      <c r="IG77" s="90"/>
      <c r="IH77" s="90"/>
      <c r="II77" s="90"/>
      <c r="IJ77" s="90"/>
      <c r="IK77" s="90"/>
      <c r="IL77" s="90"/>
      <c r="IM77" s="90"/>
      <c r="IN77" s="90"/>
      <c r="IO77" s="90"/>
      <c r="IP77" s="90"/>
      <c r="IQ77" s="90"/>
      <c r="IR77" s="90"/>
      <c r="IS77" s="90"/>
      <c r="IT77" s="90"/>
      <c r="IU77" s="90"/>
      <c r="IV77" s="90"/>
      <c r="IW77" s="90"/>
    </row>
    <row r="78" customFormat="false" ht="12.75" hidden="false" customHeight="false" outlineLevel="0" collapsed="false">
      <c r="A78" s="90"/>
      <c r="B78" s="91" t="s">
        <v>172</v>
      </c>
      <c r="C78" s="92" t="s">
        <v>62</v>
      </c>
      <c r="D78" s="92" t="s">
        <v>213</v>
      </c>
      <c r="E78" s="93" t="n">
        <v>36800</v>
      </c>
      <c r="F78" s="93" t="n">
        <v>36830</v>
      </c>
      <c r="G78" s="91" t="s">
        <v>199</v>
      </c>
      <c r="H78" s="91" t="s">
        <v>227</v>
      </c>
      <c r="I78" s="92" t="s">
        <v>228</v>
      </c>
      <c r="J78" s="94" t="n">
        <f aca="false">7.5654/J$1</f>
        <v>0.244045161290323</v>
      </c>
      <c r="K78" s="95" t="n">
        <v>0</v>
      </c>
      <c r="L78" s="95" t="n">
        <v>0.0022</v>
      </c>
      <c r="M78" s="95" t="n">
        <v>0</v>
      </c>
      <c r="N78" s="95" t="n">
        <v>0</v>
      </c>
      <c r="O78" s="96" t="n">
        <v>0</v>
      </c>
      <c r="P78" s="95" t="n">
        <f aca="false">SUM(J78:N78)</f>
        <v>0.246245161290323</v>
      </c>
      <c r="Q78" s="118" t="n">
        <f aca="false">+Q77</f>
        <v>3.6944</v>
      </c>
      <c r="R78" s="92" t="n">
        <f aca="false">364+748</f>
        <v>1112</v>
      </c>
      <c r="S78" s="91" t="str">
        <f aca="false">+S77</f>
        <v>#021610</v>
      </c>
      <c r="T78" s="98" t="n">
        <f aca="false">J78*J$1*R78</f>
        <v>8412.7248</v>
      </c>
      <c r="U78" s="98"/>
      <c r="V78" s="99" t="n">
        <f aca="false">+V77</f>
        <v>413530</v>
      </c>
      <c r="W78" s="91"/>
      <c r="X78" s="101"/>
      <c r="Y78" s="101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/>
      <c r="GB78" s="90"/>
      <c r="GC78" s="90"/>
      <c r="GD78" s="90"/>
      <c r="GE78" s="90"/>
      <c r="GF78" s="90"/>
      <c r="GG78" s="90"/>
      <c r="GH78" s="90"/>
      <c r="GI78" s="90"/>
      <c r="GJ78" s="90"/>
      <c r="GK78" s="90"/>
      <c r="GL78" s="90"/>
      <c r="GM78" s="90"/>
      <c r="GN78" s="90"/>
      <c r="GO78" s="90"/>
      <c r="GP78" s="90"/>
      <c r="GQ78" s="90"/>
      <c r="GR78" s="90"/>
      <c r="GS78" s="90"/>
      <c r="GT78" s="90"/>
      <c r="GU78" s="90"/>
      <c r="GV78" s="90"/>
      <c r="GW78" s="90"/>
      <c r="GX78" s="90"/>
      <c r="GY78" s="90"/>
      <c r="GZ78" s="90"/>
      <c r="HA78" s="90"/>
      <c r="HB78" s="90"/>
      <c r="HC78" s="90"/>
      <c r="HD78" s="90"/>
      <c r="HE78" s="90"/>
      <c r="HF78" s="90"/>
      <c r="HG78" s="90"/>
      <c r="HH78" s="90"/>
      <c r="HI78" s="90"/>
      <c r="HJ78" s="90"/>
      <c r="HK78" s="90"/>
      <c r="HL78" s="90"/>
      <c r="HM78" s="90"/>
      <c r="HN78" s="90"/>
      <c r="HO78" s="90"/>
      <c r="HP78" s="90"/>
      <c r="HQ78" s="90"/>
      <c r="HR78" s="90"/>
      <c r="HS78" s="90"/>
      <c r="HT78" s="90"/>
      <c r="HU78" s="90"/>
      <c r="HV78" s="90"/>
      <c r="HW78" s="90"/>
      <c r="HX78" s="90"/>
      <c r="HY78" s="90"/>
      <c r="HZ78" s="90"/>
      <c r="IA78" s="90"/>
      <c r="IB78" s="90"/>
      <c r="IC78" s="90"/>
      <c r="ID78" s="90"/>
      <c r="IE78" s="90"/>
      <c r="IF78" s="90"/>
      <c r="IG78" s="90"/>
      <c r="IH78" s="90"/>
      <c r="II78" s="90"/>
      <c r="IJ78" s="90"/>
      <c r="IK78" s="90"/>
      <c r="IL78" s="90"/>
      <c r="IM78" s="90"/>
      <c r="IN78" s="90"/>
      <c r="IO78" s="90"/>
      <c r="IP78" s="90"/>
      <c r="IQ78" s="90"/>
      <c r="IR78" s="90"/>
      <c r="IS78" s="90"/>
      <c r="IT78" s="90"/>
      <c r="IU78" s="90"/>
      <c r="IV78" s="90"/>
      <c r="IW78" s="90"/>
    </row>
    <row r="79" customFormat="false" ht="12.75" hidden="false" customHeight="false" outlineLevel="0" collapsed="false">
      <c r="A79" s="90"/>
      <c r="B79" s="91" t="s">
        <v>172</v>
      </c>
      <c r="C79" s="92" t="s">
        <v>62</v>
      </c>
      <c r="D79" s="92" t="s">
        <v>213</v>
      </c>
      <c r="E79" s="93" t="n">
        <v>36800</v>
      </c>
      <c r="F79" s="93" t="n">
        <v>36830</v>
      </c>
      <c r="G79" s="91" t="s">
        <v>239</v>
      </c>
      <c r="H79" s="91"/>
      <c r="I79" s="92" t="s">
        <v>240</v>
      </c>
      <c r="J79" s="94" t="n">
        <v>0.0079</v>
      </c>
      <c r="K79" s="95" t="n">
        <v>0</v>
      </c>
      <c r="L79" s="95" t="n">
        <v>0.0022</v>
      </c>
      <c r="M79" s="95" t="n">
        <v>0</v>
      </c>
      <c r="N79" s="95" t="n">
        <v>0</v>
      </c>
      <c r="O79" s="96" t="n">
        <v>0</v>
      </c>
      <c r="P79" s="95" t="n">
        <f aca="false">SUM(J79:N79)</f>
        <v>0.0101</v>
      </c>
      <c r="Q79" s="120" t="n">
        <v>3.6955</v>
      </c>
      <c r="R79" s="92" t="n">
        <v>112190</v>
      </c>
      <c r="S79" s="91" t="s">
        <v>241</v>
      </c>
      <c r="T79" s="121" t="n">
        <f aca="false">+R79*J79</f>
        <v>886.301</v>
      </c>
      <c r="U79" s="98"/>
      <c r="V79" s="99" t="n">
        <v>418272</v>
      </c>
      <c r="W79" s="91"/>
      <c r="X79" s="101"/>
      <c r="Y79" s="101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0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90"/>
      <c r="GI79" s="90"/>
      <c r="GJ79" s="90"/>
      <c r="GK79" s="90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90"/>
      <c r="GW79" s="90"/>
      <c r="GX79" s="90"/>
      <c r="GY79" s="90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90"/>
      <c r="HK79" s="90"/>
      <c r="HL79" s="90"/>
      <c r="HM79" s="90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90"/>
      <c r="HY79" s="90"/>
      <c r="HZ79" s="90"/>
      <c r="IA79" s="90"/>
      <c r="IB79" s="90"/>
      <c r="IC79" s="90"/>
      <c r="ID79" s="90"/>
      <c r="IE79" s="90"/>
      <c r="IF79" s="90"/>
      <c r="IG79" s="90"/>
      <c r="IH79" s="90"/>
      <c r="II79" s="90"/>
      <c r="IJ79" s="90"/>
      <c r="IK79" s="90"/>
      <c r="IL79" s="90"/>
      <c r="IM79" s="90"/>
      <c r="IN79" s="90"/>
      <c r="IO79" s="90"/>
      <c r="IP79" s="90"/>
      <c r="IQ79" s="90"/>
      <c r="IR79" s="90"/>
      <c r="IS79" s="90"/>
      <c r="IT79" s="90"/>
      <c r="IU79" s="90"/>
      <c r="IV79" s="90"/>
      <c r="IW79" s="90"/>
    </row>
    <row r="80" customFormat="false" ht="12.75" hidden="false" customHeight="false" outlineLevel="0" collapsed="false">
      <c r="A80" s="90"/>
      <c r="B80" s="91" t="s">
        <v>172</v>
      </c>
      <c r="C80" s="92" t="s">
        <v>62</v>
      </c>
      <c r="D80" s="92" t="s">
        <v>213</v>
      </c>
      <c r="E80" s="93" t="n">
        <v>36800</v>
      </c>
      <c r="F80" s="93" t="n">
        <v>36830</v>
      </c>
      <c r="G80" s="91" t="s">
        <v>242</v>
      </c>
      <c r="H80" s="91"/>
      <c r="I80" s="92" t="s">
        <v>240</v>
      </c>
      <c r="J80" s="94" t="n">
        <v>0.6673</v>
      </c>
      <c r="K80" s="95" t="n">
        <v>0</v>
      </c>
      <c r="L80" s="95" t="n">
        <v>0.0022</v>
      </c>
      <c r="M80" s="95" t="n">
        <v>0</v>
      </c>
      <c r="N80" s="95" t="n">
        <v>0</v>
      </c>
      <c r="O80" s="96" t="n">
        <v>0</v>
      </c>
      <c r="P80" s="95" t="n">
        <f aca="false">SUM(J80:N80)</f>
        <v>0.6695</v>
      </c>
      <c r="Q80" s="120" t="n">
        <v>3.6955</v>
      </c>
      <c r="R80" s="92" t="n">
        <v>1320</v>
      </c>
      <c r="S80" s="91" t="s">
        <v>241</v>
      </c>
      <c r="T80" s="121" t="n">
        <f aca="false">+R80*J80</f>
        <v>880.836</v>
      </c>
      <c r="U80" s="98"/>
      <c r="V80" s="99" t="n">
        <v>418272</v>
      </c>
      <c r="W80" s="91"/>
      <c r="X80" s="101"/>
      <c r="Y80" s="101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  <c r="DY80" s="90"/>
      <c r="DZ80" s="90"/>
      <c r="EA80" s="90"/>
      <c r="EB80" s="90"/>
      <c r="EC80" s="90"/>
      <c r="ED80" s="90"/>
      <c r="EE80" s="90"/>
      <c r="EF80" s="90"/>
      <c r="EG80" s="90"/>
      <c r="EH80" s="90"/>
      <c r="EI80" s="90"/>
      <c r="EJ80" s="90"/>
      <c r="EK80" s="90"/>
      <c r="EL80" s="90"/>
      <c r="EM80" s="90"/>
      <c r="EN80" s="90"/>
      <c r="EO80" s="90"/>
      <c r="EP80" s="90"/>
      <c r="EQ80" s="90"/>
      <c r="ER80" s="90"/>
      <c r="ES80" s="90"/>
      <c r="ET80" s="90"/>
      <c r="EU80" s="90"/>
      <c r="EV80" s="90"/>
      <c r="EW80" s="90"/>
      <c r="EX80" s="90"/>
      <c r="EY80" s="90"/>
      <c r="EZ80" s="90"/>
      <c r="FA80" s="90"/>
      <c r="FB80" s="90"/>
      <c r="FC80" s="90"/>
      <c r="FD80" s="90"/>
      <c r="FE80" s="90"/>
      <c r="FF80" s="90"/>
      <c r="FG80" s="90"/>
      <c r="FH80" s="90"/>
      <c r="FI80" s="90"/>
      <c r="FJ80" s="90"/>
      <c r="FK80" s="90"/>
      <c r="FL80" s="90"/>
      <c r="FM80" s="90"/>
      <c r="FN80" s="90"/>
      <c r="FO80" s="90"/>
      <c r="FP80" s="90"/>
      <c r="FQ80" s="90"/>
      <c r="FR80" s="90"/>
      <c r="FS80" s="90"/>
      <c r="FT80" s="90"/>
      <c r="FU80" s="90"/>
      <c r="FV80" s="90"/>
      <c r="FW80" s="90"/>
      <c r="FX80" s="90"/>
      <c r="FY80" s="90"/>
      <c r="FZ80" s="90"/>
      <c r="GA80" s="90"/>
      <c r="GB80" s="90"/>
      <c r="GC80" s="90"/>
      <c r="GD80" s="90"/>
      <c r="GE80" s="90"/>
      <c r="GF80" s="90"/>
      <c r="GG80" s="90"/>
      <c r="GH80" s="90"/>
      <c r="GI80" s="90"/>
      <c r="GJ80" s="90"/>
      <c r="GK80" s="90"/>
      <c r="GL80" s="90"/>
      <c r="GM80" s="90"/>
      <c r="GN80" s="90"/>
      <c r="GO80" s="90"/>
      <c r="GP80" s="90"/>
      <c r="GQ80" s="90"/>
      <c r="GR80" s="90"/>
      <c r="GS80" s="90"/>
      <c r="GT80" s="90"/>
      <c r="GU80" s="90"/>
      <c r="GV80" s="90"/>
      <c r="GW80" s="90"/>
      <c r="GX80" s="90"/>
      <c r="GY80" s="90"/>
      <c r="GZ80" s="90"/>
      <c r="HA80" s="90"/>
      <c r="HB80" s="90"/>
      <c r="HC80" s="90"/>
      <c r="HD80" s="90"/>
      <c r="HE80" s="90"/>
      <c r="HF80" s="90"/>
      <c r="HG80" s="90"/>
      <c r="HH80" s="90"/>
      <c r="HI80" s="90"/>
      <c r="HJ80" s="90"/>
      <c r="HK80" s="90"/>
      <c r="HL80" s="90"/>
      <c r="HM80" s="90"/>
      <c r="HN80" s="90"/>
      <c r="HO80" s="90"/>
      <c r="HP80" s="90"/>
      <c r="HQ80" s="90"/>
      <c r="HR80" s="90"/>
      <c r="HS80" s="90"/>
      <c r="HT80" s="90"/>
      <c r="HU80" s="90"/>
      <c r="HV80" s="90"/>
      <c r="HW80" s="90"/>
      <c r="HX80" s="90"/>
      <c r="HY80" s="90"/>
      <c r="HZ80" s="90"/>
      <c r="IA80" s="90"/>
      <c r="IB80" s="90"/>
      <c r="IC80" s="90"/>
      <c r="ID80" s="90"/>
      <c r="IE80" s="90"/>
      <c r="IF80" s="90"/>
      <c r="IG80" s="90"/>
      <c r="IH80" s="90"/>
      <c r="II80" s="90"/>
      <c r="IJ80" s="90"/>
      <c r="IK80" s="90"/>
      <c r="IL80" s="90"/>
      <c r="IM80" s="90"/>
      <c r="IN80" s="90"/>
      <c r="IO80" s="90"/>
      <c r="IP80" s="90"/>
      <c r="IQ80" s="90"/>
      <c r="IR80" s="90"/>
      <c r="IS80" s="90"/>
      <c r="IT80" s="90"/>
      <c r="IU80" s="90"/>
      <c r="IV80" s="90"/>
      <c r="IW80" s="90"/>
    </row>
    <row r="81" customFormat="false" ht="12.75" hidden="false" customHeight="false" outlineLevel="0" collapsed="false">
      <c r="A81" s="90"/>
      <c r="B81" s="91" t="s">
        <v>172</v>
      </c>
      <c r="C81" s="92" t="s">
        <v>62</v>
      </c>
      <c r="D81" s="92" t="s">
        <v>213</v>
      </c>
      <c r="E81" s="93" t="n">
        <v>36770</v>
      </c>
      <c r="F81" s="93" t="n">
        <v>37864</v>
      </c>
      <c r="G81" s="91" t="s">
        <v>239</v>
      </c>
      <c r="H81" s="91"/>
      <c r="I81" s="92" t="s">
        <v>240</v>
      </c>
      <c r="J81" s="94" t="n">
        <v>0.0079</v>
      </c>
      <c r="K81" s="95" t="n">
        <v>0</v>
      </c>
      <c r="L81" s="95" t="n">
        <v>0.0022</v>
      </c>
      <c r="M81" s="95" t="n">
        <v>0</v>
      </c>
      <c r="N81" s="95" t="n">
        <v>0</v>
      </c>
      <c r="O81" s="96" t="n">
        <v>0</v>
      </c>
      <c r="P81" s="95" t="n">
        <f aca="false">SUM(J81:N81)</f>
        <v>0.0101</v>
      </c>
      <c r="Q81" s="118" t="n">
        <v>3.6686</v>
      </c>
      <c r="R81" s="92" t="n">
        <v>261182</v>
      </c>
      <c r="S81" s="91" t="s">
        <v>243</v>
      </c>
      <c r="T81" s="121" t="n">
        <f aca="false">+R81*J81</f>
        <v>2063.3378</v>
      </c>
      <c r="U81" s="98"/>
      <c r="V81" s="99" t="n">
        <v>377146</v>
      </c>
      <c r="W81" s="91"/>
      <c r="X81" s="101"/>
      <c r="Y81" s="101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  <c r="EA81" s="90"/>
      <c r="EB81" s="90"/>
      <c r="EC81" s="90"/>
      <c r="ED81" s="90"/>
      <c r="EE81" s="90"/>
      <c r="EF81" s="90"/>
      <c r="EG81" s="90"/>
      <c r="EH81" s="90"/>
      <c r="EI81" s="90"/>
      <c r="EJ81" s="90"/>
      <c r="EK81" s="90"/>
      <c r="EL81" s="90"/>
      <c r="EM81" s="90"/>
      <c r="EN81" s="90"/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0"/>
      <c r="EZ81" s="90"/>
      <c r="FA81" s="90"/>
      <c r="FB81" s="90"/>
      <c r="FC81" s="90"/>
      <c r="FD81" s="90"/>
      <c r="FE81" s="90"/>
      <c r="FF81" s="90"/>
      <c r="FG81" s="90"/>
      <c r="FH81" s="90"/>
      <c r="FI81" s="90"/>
      <c r="FJ81" s="90"/>
      <c r="FK81" s="90"/>
      <c r="FL81" s="90"/>
      <c r="FM81" s="90"/>
      <c r="FN81" s="90"/>
      <c r="FO81" s="90"/>
      <c r="FP81" s="90"/>
      <c r="FQ81" s="90"/>
      <c r="FR81" s="90"/>
      <c r="FS81" s="90"/>
      <c r="FT81" s="90"/>
      <c r="FU81" s="90"/>
      <c r="FV81" s="90"/>
      <c r="FW81" s="90"/>
      <c r="FX81" s="90"/>
      <c r="FY81" s="90"/>
      <c r="FZ81" s="90"/>
      <c r="GA81" s="90"/>
      <c r="GB81" s="90"/>
      <c r="GC81" s="90"/>
      <c r="GD81" s="90"/>
      <c r="GE81" s="90"/>
      <c r="GF81" s="90"/>
      <c r="GG81" s="90"/>
      <c r="GH81" s="90"/>
      <c r="GI81" s="90"/>
      <c r="GJ81" s="90"/>
      <c r="GK81" s="90"/>
      <c r="GL81" s="90"/>
      <c r="GM81" s="90"/>
      <c r="GN81" s="90"/>
      <c r="GO81" s="90"/>
      <c r="GP81" s="90"/>
      <c r="GQ81" s="90"/>
      <c r="GR81" s="90"/>
      <c r="GS81" s="90"/>
      <c r="GT81" s="90"/>
      <c r="GU81" s="90"/>
      <c r="GV81" s="90"/>
      <c r="GW81" s="90"/>
      <c r="GX81" s="90"/>
      <c r="GY81" s="90"/>
      <c r="GZ81" s="90"/>
      <c r="HA81" s="90"/>
      <c r="HB81" s="90"/>
      <c r="HC81" s="90"/>
      <c r="HD81" s="90"/>
      <c r="HE81" s="90"/>
      <c r="HF81" s="90"/>
      <c r="HG81" s="90"/>
      <c r="HH81" s="90"/>
      <c r="HI81" s="90"/>
      <c r="HJ81" s="90"/>
      <c r="HK81" s="90"/>
      <c r="HL81" s="90"/>
      <c r="HM81" s="90"/>
      <c r="HN81" s="90"/>
      <c r="HO81" s="90"/>
      <c r="HP81" s="90"/>
      <c r="HQ81" s="90"/>
      <c r="HR81" s="90"/>
      <c r="HS81" s="90"/>
      <c r="HT81" s="90"/>
      <c r="HU81" s="90"/>
      <c r="HV81" s="90"/>
      <c r="HW81" s="90"/>
      <c r="HX81" s="90"/>
      <c r="HY81" s="90"/>
      <c r="HZ81" s="90"/>
      <c r="IA81" s="90"/>
      <c r="IB81" s="90"/>
      <c r="IC81" s="90"/>
      <c r="ID81" s="90"/>
      <c r="IE81" s="90"/>
      <c r="IF81" s="90"/>
      <c r="IG81" s="90"/>
      <c r="IH81" s="90"/>
      <c r="II81" s="90"/>
      <c r="IJ81" s="90"/>
      <c r="IK81" s="90"/>
      <c r="IL81" s="90"/>
      <c r="IM81" s="90"/>
      <c r="IN81" s="90"/>
      <c r="IO81" s="90"/>
      <c r="IP81" s="90"/>
      <c r="IQ81" s="90"/>
      <c r="IR81" s="90"/>
      <c r="IS81" s="90"/>
      <c r="IT81" s="90"/>
      <c r="IU81" s="90"/>
      <c r="IV81" s="90"/>
      <c r="IW81" s="90"/>
    </row>
    <row r="82" customFormat="false" ht="12.75" hidden="false" customHeight="false" outlineLevel="0" collapsed="false">
      <c r="A82" s="90"/>
      <c r="B82" s="91" t="s">
        <v>172</v>
      </c>
      <c r="C82" s="92" t="s">
        <v>62</v>
      </c>
      <c r="D82" s="92" t="s">
        <v>213</v>
      </c>
      <c r="E82" s="93" t="n">
        <v>36770</v>
      </c>
      <c r="F82" s="93" t="n">
        <v>37864</v>
      </c>
      <c r="G82" s="91" t="s">
        <v>242</v>
      </c>
      <c r="H82" s="91"/>
      <c r="I82" s="92" t="s">
        <v>240</v>
      </c>
      <c r="J82" s="94" t="n">
        <v>0.6673</v>
      </c>
      <c r="K82" s="95" t="n">
        <v>0</v>
      </c>
      <c r="L82" s="95" t="n">
        <v>0.0022</v>
      </c>
      <c r="M82" s="95" t="n">
        <v>0</v>
      </c>
      <c r="N82" s="95" t="n">
        <v>0</v>
      </c>
      <c r="O82" s="96" t="n">
        <v>0</v>
      </c>
      <c r="P82" s="95" t="n">
        <f aca="false">SUM(J82:N82)</f>
        <v>0.6695</v>
      </c>
      <c r="Q82" s="118" t="n">
        <v>3.6686</v>
      </c>
      <c r="R82" s="92" t="n">
        <v>3073</v>
      </c>
      <c r="S82" s="91" t="s">
        <v>243</v>
      </c>
      <c r="T82" s="121" t="n">
        <f aca="false">+R82*J82</f>
        <v>2050.6129</v>
      </c>
      <c r="U82" s="98"/>
      <c r="V82" s="99" t="n">
        <v>377146</v>
      </c>
      <c r="W82" s="91"/>
      <c r="X82" s="101"/>
      <c r="Y82" s="101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  <c r="DY82" s="90"/>
      <c r="DZ82" s="90"/>
      <c r="EA82" s="90"/>
      <c r="EB82" s="90"/>
      <c r="EC82" s="90"/>
      <c r="ED82" s="90"/>
      <c r="EE82" s="90"/>
      <c r="EF82" s="90"/>
      <c r="EG82" s="90"/>
      <c r="EH82" s="90"/>
      <c r="EI82" s="90"/>
      <c r="EJ82" s="90"/>
      <c r="EK82" s="90"/>
      <c r="EL82" s="90"/>
      <c r="EM82" s="90"/>
      <c r="EN82" s="90"/>
      <c r="EO82" s="90"/>
      <c r="EP82" s="90"/>
      <c r="EQ82" s="90"/>
      <c r="ER82" s="90"/>
      <c r="ES82" s="90"/>
      <c r="ET82" s="90"/>
      <c r="EU82" s="90"/>
      <c r="EV82" s="90"/>
      <c r="EW82" s="90"/>
      <c r="EX82" s="90"/>
      <c r="EY82" s="90"/>
      <c r="EZ82" s="90"/>
      <c r="FA82" s="90"/>
      <c r="FB82" s="90"/>
      <c r="FC82" s="90"/>
      <c r="FD82" s="90"/>
      <c r="FE82" s="90"/>
      <c r="FF82" s="90"/>
      <c r="FG82" s="90"/>
      <c r="FH82" s="90"/>
      <c r="FI82" s="90"/>
      <c r="FJ82" s="90"/>
      <c r="FK82" s="90"/>
      <c r="FL82" s="90"/>
      <c r="FM82" s="90"/>
      <c r="FN82" s="90"/>
      <c r="FO82" s="90"/>
      <c r="FP82" s="90"/>
      <c r="FQ82" s="90"/>
      <c r="FR82" s="90"/>
      <c r="FS82" s="90"/>
      <c r="FT82" s="90"/>
      <c r="FU82" s="90"/>
      <c r="FV82" s="90"/>
      <c r="FW82" s="90"/>
      <c r="FX82" s="90"/>
      <c r="FY82" s="90"/>
      <c r="FZ82" s="90"/>
      <c r="GA82" s="90"/>
      <c r="GB82" s="90"/>
      <c r="GC82" s="90"/>
      <c r="GD82" s="90"/>
      <c r="GE82" s="90"/>
      <c r="GF82" s="90"/>
      <c r="GG82" s="90"/>
      <c r="GH82" s="90"/>
      <c r="GI82" s="90"/>
      <c r="GJ82" s="90"/>
      <c r="GK82" s="90"/>
      <c r="GL82" s="90"/>
      <c r="GM82" s="90"/>
      <c r="GN82" s="90"/>
      <c r="GO82" s="90"/>
      <c r="GP82" s="90"/>
      <c r="GQ82" s="90"/>
      <c r="GR82" s="90"/>
      <c r="GS82" s="90"/>
      <c r="GT82" s="90"/>
      <c r="GU82" s="90"/>
      <c r="GV82" s="90"/>
      <c r="GW82" s="90"/>
      <c r="GX82" s="90"/>
      <c r="GY82" s="90"/>
      <c r="GZ82" s="90"/>
      <c r="HA82" s="90"/>
      <c r="HB82" s="90"/>
      <c r="HC82" s="90"/>
      <c r="HD82" s="90"/>
      <c r="HE82" s="90"/>
      <c r="HF82" s="90"/>
      <c r="HG82" s="90"/>
      <c r="HH82" s="90"/>
      <c r="HI82" s="90"/>
      <c r="HJ82" s="90"/>
      <c r="HK82" s="90"/>
      <c r="HL82" s="90"/>
      <c r="HM82" s="90"/>
      <c r="HN82" s="90"/>
      <c r="HO82" s="90"/>
      <c r="HP82" s="90"/>
      <c r="HQ82" s="90"/>
      <c r="HR82" s="90"/>
      <c r="HS82" s="90"/>
      <c r="HT82" s="90"/>
      <c r="HU82" s="90"/>
      <c r="HV82" s="90"/>
      <c r="HW82" s="90"/>
      <c r="HX82" s="90"/>
      <c r="HY82" s="90"/>
      <c r="HZ82" s="90"/>
      <c r="IA82" s="90"/>
      <c r="IB82" s="90"/>
      <c r="IC82" s="90"/>
      <c r="ID82" s="90"/>
      <c r="IE82" s="90"/>
      <c r="IF82" s="90"/>
      <c r="IG82" s="90"/>
      <c r="IH82" s="90"/>
      <c r="II82" s="90"/>
      <c r="IJ82" s="90"/>
      <c r="IK82" s="90"/>
      <c r="IL82" s="90"/>
      <c r="IM82" s="90"/>
      <c r="IN82" s="90"/>
      <c r="IO82" s="90"/>
      <c r="IP82" s="90"/>
      <c r="IQ82" s="90"/>
      <c r="IR82" s="90"/>
      <c r="IS82" s="90"/>
      <c r="IT82" s="90"/>
      <c r="IU82" s="90"/>
      <c r="IV82" s="90"/>
      <c r="IW82" s="90"/>
    </row>
    <row r="83" customFormat="false" ht="12.75" hidden="false" customHeight="false" outlineLevel="0" collapsed="false">
      <c r="A83" s="90"/>
      <c r="B83" s="91" t="s">
        <v>172</v>
      </c>
      <c r="C83" s="92" t="s">
        <v>62</v>
      </c>
      <c r="D83" s="92" t="s">
        <v>213</v>
      </c>
      <c r="E83" s="93" t="n">
        <v>36770</v>
      </c>
      <c r="F83" s="93" t="s">
        <v>244</v>
      </c>
      <c r="G83" s="91" t="s">
        <v>245</v>
      </c>
      <c r="H83" s="91"/>
      <c r="I83" s="92" t="s">
        <v>246</v>
      </c>
      <c r="J83" s="94" t="n">
        <v>0.0481</v>
      </c>
      <c r="K83" s="95" t="n">
        <v>0</v>
      </c>
      <c r="L83" s="95" t="n">
        <v>0.0022</v>
      </c>
      <c r="M83" s="95" t="n">
        <v>0</v>
      </c>
      <c r="N83" s="95" t="n">
        <v>0</v>
      </c>
      <c r="O83" s="96" t="n">
        <v>0</v>
      </c>
      <c r="P83" s="95" t="n">
        <f aca="false">SUM(J83:N83)</f>
        <v>0.0503</v>
      </c>
      <c r="Q83" s="120" t="n">
        <v>3.6685</v>
      </c>
      <c r="R83" s="92" t="n">
        <v>13269</v>
      </c>
      <c r="S83" s="91" t="s">
        <v>247</v>
      </c>
      <c r="T83" s="121" t="n">
        <f aca="false">+J83*R83</f>
        <v>638.2389</v>
      </c>
      <c r="U83" s="98"/>
      <c r="V83" s="99" t="n">
        <v>377157</v>
      </c>
      <c r="W83" s="91"/>
      <c r="X83" s="101"/>
      <c r="Y83" s="101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  <c r="EC83" s="90"/>
      <c r="ED83" s="90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0"/>
      <c r="FI83" s="90"/>
      <c r="FJ83" s="90"/>
      <c r="FK83" s="90"/>
      <c r="FL83" s="90"/>
      <c r="FM83" s="90"/>
      <c r="FN83" s="90"/>
      <c r="FO83" s="90"/>
      <c r="FP83" s="90"/>
      <c r="FQ83" s="90"/>
      <c r="FR83" s="90"/>
      <c r="FS83" s="90"/>
      <c r="FT83" s="90"/>
      <c r="FU83" s="90"/>
      <c r="FV83" s="90"/>
      <c r="FW83" s="90"/>
      <c r="FX83" s="90"/>
      <c r="FY83" s="90"/>
      <c r="FZ83" s="90"/>
      <c r="GA83" s="90"/>
      <c r="GB83" s="90"/>
      <c r="GC83" s="90"/>
      <c r="GD83" s="90"/>
      <c r="GE83" s="90"/>
      <c r="GF83" s="90"/>
      <c r="GG83" s="90"/>
      <c r="GH83" s="90"/>
      <c r="GI83" s="90"/>
      <c r="GJ83" s="90"/>
      <c r="GK83" s="90"/>
      <c r="GL83" s="90"/>
      <c r="GM83" s="90"/>
      <c r="GN83" s="90"/>
      <c r="GO83" s="90"/>
      <c r="GP83" s="90"/>
      <c r="GQ83" s="90"/>
      <c r="GR83" s="90"/>
      <c r="GS83" s="90"/>
      <c r="GT83" s="90"/>
      <c r="GU83" s="90"/>
      <c r="GV83" s="90"/>
      <c r="GW83" s="90"/>
      <c r="GX83" s="90"/>
      <c r="GY83" s="90"/>
      <c r="GZ83" s="90"/>
      <c r="HA83" s="90"/>
      <c r="HB83" s="90"/>
      <c r="HC83" s="90"/>
      <c r="HD83" s="90"/>
      <c r="HE83" s="90"/>
      <c r="HF83" s="90"/>
      <c r="HG83" s="90"/>
      <c r="HH83" s="90"/>
      <c r="HI83" s="90"/>
      <c r="HJ83" s="90"/>
      <c r="HK83" s="90"/>
      <c r="HL83" s="90"/>
      <c r="HM83" s="90"/>
      <c r="HN83" s="90"/>
      <c r="HO83" s="90"/>
      <c r="HP83" s="90"/>
      <c r="HQ83" s="90"/>
      <c r="HR83" s="90"/>
      <c r="HS83" s="90"/>
      <c r="HT83" s="90"/>
      <c r="HU83" s="90"/>
      <c r="HV83" s="90"/>
      <c r="HW83" s="90"/>
      <c r="HX83" s="90"/>
      <c r="HY83" s="90"/>
      <c r="HZ83" s="90"/>
      <c r="IA83" s="90"/>
      <c r="IB83" s="90"/>
      <c r="IC83" s="90"/>
      <c r="ID83" s="90"/>
      <c r="IE83" s="90"/>
      <c r="IF83" s="90"/>
      <c r="IG83" s="90"/>
      <c r="IH83" s="90"/>
      <c r="II83" s="90"/>
      <c r="IJ83" s="90"/>
      <c r="IK83" s="90"/>
      <c r="IL83" s="90"/>
      <c r="IM83" s="90"/>
      <c r="IN83" s="90"/>
      <c r="IO83" s="90"/>
      <c r="IP83" s="90"/>
      <c r="IQ83" s="90"/>
      <c r="IR83" s="90"/>
      <c r="IS83" s="90"/>
      <c r="IT83" s="90"/>
      <c r="IU83" s="90"/>
      <c r="IV83" s="90"/>
      <c r="IW83" s="90"/>
    </row>
    <row r="84" customFormat="false" ht="12.75" hidden="false" customHeight="false" outlineLevel="0" collapsed="false">
      <c r="A84" s="90"/>
      <c r="B84" s="91" t="s">
        <v>172</v>
      </c>
      <c r="C84" s="92" t="s">
        <v>62</v>
      </c>
      <c r="D84" s="92" t="s">
        <v>213</v>
      </c>
      <c r="E84" s="93" t="n">
        <v>36770</v>
      </c>
      <c r="F84" s="93" t="s">
        <v>244</v>
      </c>
      <c r="G84" s="91" t="s">
        <v>248</v>
      </c>
      <c r="H84" s="91"/>
      <c r="I84" s="92" t="s">
        <v>246</v>
      </c>
      <c r="J84" s="94" t="n">
        <v>0.484</v>
      </c>
      <c r="K84" s="95" t="n">
        <v>0</v>
      </c>
      <c r="L84" s="95" t="n">
        <v>0.0022</v>
      </c>
      <c r="M84" s="95" t="n">
        <v>0</v>
      </c>
      <c r="N84" s="95" t="n">
        <v>0</v>
      </c>
      <c r="O84" s="96" t="n">
        <v>0</v>
      </c>
      <c r="P84" s="95" t="n">
        <f aca="false">SUM(J84:N84)</f>
        <v>0.4862</v>
      </c>
      <c r="Q84" s="120" t="n">
        <v>3.6685</v>
      </c>
      <c r="R84" s="92" t="n">
        <v>1319</v>
      </c>
      <c r="S84" s="91" t="s">
        <v>247</v>
      </c>
      <c r="T84" s="121" t="n">
        <f aca="false">+J84*R84</f>
        <v>638.396</v>
      </c>
      <c r="U84" s="98"/>
      <c r="V84" s="99" t="n">
        <v>377157</v>
      </c>
      <c r="W84" s="91"/>
      <c r="X84" s="101"/>
      <c r="Y84" s="101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  <c r="IT84" s="90"/>
      <c r="IU84" s="90"/>
      <c r="IV84" s="90"/>
      <c r="IW84" s="90"/>
    </row>
    <row r="85" customFormat="false" ht="12.75" hidden="false" customHeight="false" outlineLevel="0" collapsed="false">
      <c r="A85" s="90"/>
      <c r="B85" s="91" t="s">
        <v>172</v>
      </c>
      <c r="C85" s="92" t="s">
        <v>62</v>
      </c>
      <c r="D85" s="92" t="s">
        <v>213</v>
      </c>
      <c r="E85" s="93" t="n">
        <v>36800</v>
      </c>
      <c r="F85" s="93" t="n">
        <v>36830</v>
      </c>
      <c r="G85" s="91" t="s">
        <v>245</v>
      </c>
      <c r="H85" s="91"/>
      <c r="I85" s="92" t="s">
        <v>246</v>
      </c>
      <c r="J85" s="94" t="n">
        <v>0.0481</v>
      </c>
      <c r="K85" s="95" t="n">
        <v>0</v>
      </c>
      <c r="L85" s="95" t="n">
        <v>0.0022</v>
      </c>
      <c r="M85" s="95" t="n">
        <v>0</v>
      </c>
      <c r="N85" s="95" t="n">
        <v>0</v>
      </c>
      <c r="O85" s="96" t="n">
        <v>0</v>
      </c>
      <c r="P85" s="95" t="n">
        <f aca="false">SUM(J85:N85)</f>
        <v>0.0503</v>
      </c>
      <c r="Q85" s="120"/>
      <c r="R85" s="92" t="n">
        <v>5700</v>
      </c>
      <c r="S85" s="91" t="s">
        <v>249</v>
      </c>
      <c r="T85" s="121" t="n">
        <f aca="false">+J85*R85</f>
        <v>274.17</v>
      </c>
      <c r="U85" s="98"/>
      <c r="V85" s="99" t="n">
        <v>418258</v>
      </c>
      <c r="W85" s="91"/>
      <c r="X85" s="101"/>
      <c r="Y85" s="101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90"/>
      <c r="DF85" s="90"/>
      <c r="DG85" s="90"/>
      <c r="DH85" s="90"/>
      <c r="DI85" s="90"/>
      <c r="DJ85" s="90"/>
      <c r="DK85" s="9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  <c r="DY85" s="90"/>
      <c r="DZ85" s="90"/>
      <c r="EA85" s="90"/>
      <c r="EB85" s="90"/>
      <c r="EC85" s="90"/>
      <c r="ED85" s="90"/>
      <c r="EE85" s="90"/>
      <c r="EF85" s="90"/>
      <c r="EG85" s="90"/>
      <c r="EH85" s="90"/>
      <c r="EI85" s="90"/>
      <c r="EJ85" s="90"/>
      <c r="EK85" s="90"/>
      <c r="EL85" s="90"/>
      <c r="EM85" s="90"/>
      <c r="EN85" s="90"/>
      <c r="EO85" s="90"/>
      <c r="EP85" s="90"/>
      <c r="EQ85" s="90"/>
      <c r="ER85" s="90"/>
      <c r="ES85" s="90"/>
      <c r="ET85" s="90"/>
      <c r="EU85" s="90"/>
      <c r="EV85" s="90"/>
      <c r="EW85" s="90"/>
      <c r="EX85" s="90"/>
      <c r="EY85" s="90"/>
      <c r="EZ85" s="90"/>
      <c r="FA85" s="90"/>
      <c r="FB85" s="90"/>
      <c r="FC85" s="90"/>
      <c r="FD85" s="90"/>
      <c r="FE85" s="90"/>
      <c r="FF85" s="90"/>
      <c r="FG85" s="90"/>
      <c r="FH85" s="90"/>
      <c r="FI85" s="90"/>
      <c r="FJ85" s="90"/>
      <c r="FK85" s="90"/>
      <c r="FL85" s="90"/>
      <c r="FM85" s="90"/>
      <c r="FN85" s="90"/>
      <c r="FO85" s="90"/>
      <c r="FP85" s="90"/>
      <c r="FQ85" s="90"/>
      <c r="FR85" s="90"/>
      <c r="FS85" s="90"/>
      <c r="FT85" s="90"/>
      <c r="FU85" s="90"/>
      <c r="FV85" s="90"/>
      <c r="FW85" s="90"/>
      <c r="FX85" s="90"/>
      <c r="FY85" s="90"/>
      <c r="FZ85" s="90"/>
      <c r="GA85" s="90"/>
      <c r="GB85" s="90"/>
      <c r="GC85" s="90"/>
      <c r="GD85" s="90"/>
      <c r="GE85" s="90"/>
      <c r="GF85" s="90"/>
      <c r="GG85" s="90"/>
      <c r="GH85" s="90"/>
      <c r="GI85" s="90"/>
      <c r="GJ85" s="90"/>
      <c r="GK85" s="90"/>
      <c r="GL85" s="90"/>
      <c r="GM85" s="90"/>
      <c r="GN85" s="90"/>
      <c r="GO85" s="90"/>
      <c r="GP85" s="90"/>
      <c r="GQ85" s="90"/>
      <c r="GR85" s="90"/>
      <c r="GS85" s="90"/>
      <c r="GT85" s="90"/>
      <c r="GU85" s="90"/>
      <c r="GV85" s="90"/>
      <c r="GW85" s="90"/>
      <c r="GX85" s="90"/>
      <c r="GY85" s="90"/>
      <c r="GZ85" s="90"/>
      <c r="HA85" s="90"/>
      <c r="HB85" s="90"/>
      <c r="HC85" s="90"/>
      <c r="HD85" s="90"/>
      <c r="HE85" s="90"/>
      <c r="HF85" s="90"/>
      <c r="HG85" s="90"/>
      <c r="HH85" s="90"/>
      <c r="HI85" s="90"/>
      <c r="HJ85" s="90"/>
      <c r="HK85" s="90"/>
      <c r="HL85" s="90"/>
      <c r="HM85" s="90"/>
      <c r="HN85" s="90"/>
      <c r="HO85" s="90"/>
      <c r="HP85" s="90"/>
      <c r="HQ85" s="90"/>
      <c r="HR85" s="90"/>
      <c r="HS85" s="90"/>
      <c r="HT85" s="90"/>
      <c r="HU85" s="90"/>
      <c r="HV85" s="90"/>
      <c r="HW85" s="90"/>
      <c r="HX85" s="90"/>
      <c r="HY85" s="90"/>
      <c r="HZ85" s="90"/>
      <c r="IA85" s="90"/>
      <c r="IB85" s="90"/>
      <c r="IC85" s="90"/>
      <c r="ID85" s="90"/>
      <c r="IE85" s="90"/>
      <c r="IF85" s="90"/>
      <c r="IG85" s="90"/>
      <c r="IH85" s="90"/>
      <c r="II85" s="90"/>
      <c r="IJ85" s="90"/>
      <c r="IK85" s="90"/>
      <c r="IL85" s="90"/>
      <c r="IM85" s="90"/>
      <c r="IN85" s="90"/>
      <c r="IO85" s="90"/>
      <c r="IP85" s="90"/>
      <c r="IQ85" s="90"/>
      <c r="IR85" s="90"/>
      <c r="IS85" s="90"/>
      <c r="IT85" s="90"/>
      <c r="IU85" s="90"/>
      <c r="IV85" s="90"/>
      <c r="IW85" s="90"/>
    </row>
    <row r="86" customFormat="false" ht="12.75" hidden="false" customHeight="false" outlineLevel="0" collapsed="false">
      <c r="A86" s="90"/>
      <c r="B86" s="91" t="s">
        <v>172</v>
      </c>
      <c r="C86" s="92" t="s">
        <v>62</v>
      </c>
      <c r="D86" s="92" t="s">
        <v>213</v>
      </c>
      <c r="E86" s="93" t="n">
        <v>36800</v>
      </c>
      <c r="F86" s="93" t="n">
        <v>36830</v>
      </c>
      <c r="G86" s="91" t="s">
        <v>248</v>
      </c>
      <c r="H86" s="91"/>
      <c r="I86" s="92" t="s">
        <v>246</v>
      </c>
      <c r="J86" s="94" t="n">
        <v>0.484</v>
      </c>
      <c r="K86" s="95" t="n">
        <v>0</v>
      </c>
      <c r="L86" s="95" t="n">
        <v>0.0022</v>
      </c>
      <c r="M86" s="95" t="n">
        <v>0</v>
      </c>
      <c r="N86" s="95" t="n">
        <v>0</v>
      </c>
      <c r="O86" s="96" t="n">
        <v>0</v>
      </c>
      <c r="P86" s="95" t="n">
        <f aca="false">SUM(J86:N86)</f>
        <v>0.4862</v>
      </c>
      <c r="Q86" s="120"/>
      <c r="R86" s="92" t="n">
        <v>567</v>
      </c>
      <c r="S86" s="91" t="s">
        <v>250</v>
      </c>
      <c r="T86" s="121" t="n">
        <f aca="false">+J86*R86</f>
        <v>274.428</v>
      </c>
      <c r="U86" s="98"/>
      <c r="V86" s="99" t="n">
        <v>418258</v>
      </c>
      <c r="W86" s="91"/>
      <c r="X86" s="101"/>
      <c r="Y86" s="101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90"/>
      <c r="DF86" s="90"/>
      <c r="DG86" s="90"/>
      <c r="DH86" s="90"/>
      <c r="DI86" s="90"/>
      <c r="DJ86" s="90"/>
      <c r="DK86" s="90"/>
      <c r="DL86" s="90"/>
      <c r="DM86" s="90"/>
      <c r="DN86" s="90"/>
      <c r="DO86" s="90"/>
      <c r="DP86" s="90"/>
      <c r="DQ86" s="90"/>
      <c r="DR86" s="90"/>
      <c r="DS86" s="90"/>
      <c r="DT86" s="90"/>
      <c r="DU86" s="90"/>
      <c r="DV86" s="90"/>
      <c r="DW86" s="90"/>
      <c r="DX86" s="90"/>
      <c r="DY86" s="90"/>
      <c r="DZ86" s="90"/>
      <c r="EA86" s="90"/>
      <c r="EB86" s="90"/>
      <c r="EC86" s="90"/>
      <c r="ED86" s="90"/>
      <c r="EE86" s="90"/>
      <c r="EF86" s="90"/>
      <c r="EG86" s="90"/>
      <c r="EH86" s="90"/>
      <c r="EI86" s="90"/>
      <c r="EJ86" s="90"/>
      <c r="EK86" s="90"/>
      <c r="EL86" s="90"/>
      <c r="EM86" s="90"/>
      <c r="EN86" s="90"/>
      <c r="EO86" s="90"/>
      <c r="EP86" s="90"/>
      <c r="EQ86" s="90"/>
      <c r="ER86" s="90"/>
      <c r="ES86" s="90"/>
      <c r="ET86" s="90"/>
      <c r="EU86" s="90"/>
      <c r="EV86" s="90"/>
      <c r="EW86" s="90"/>
      <c r="EX86" s="90"/>
      <c r="EY86" s="90"/>
      <c r="EZ86" s="90"/>
      <c r="FA86" s="90"/>
      <c r="FB86" s="90"/>
      <c r="FC86" s="90"/>
      <c r="FD86" s="90"/>
      <c r="FE86" s="90"/>
      <c r="FF86" s="90"/>
      <c r="FG86" s="90"/>
      <c r="FH86" s="90"/>
      <c r="FI86" s="90"/>
      <c r="FJ86" s="90"/>
      <c r="FK86" s="90"/>
      <c r="FL86" s="90"/>
      <c r="FM86" s="90"/>
      <c r="FN86" s="90"/>
      <c r="FO86" s="90"/>
      <c r="FP86" s="90"/>
      <c r="FQ86" s="90"/>
      <c r="FR86" s="90"/>
      <c r="FS86" s="90"/>
      <c r="FT86" s="90"/>
      <c r="FU86" s="90"/>
      <c r="FV86" s="90"/>
      <c r="FW86" s="90"/>
      <c r="FX86" s="90"/>
      <c r="FY86" s="90"/>
      <c r="FZ86" s="90"/>
      <c r="GA86" s="90"/>
      <c r="GB86" s="90"/>
      <c r="GC86" s="90"/>
      <c r="GD86" s="90"/>
      <c r="GE86" s="90"/>
      <c r="GF86" s="90"/>
      <c r="GG86" s="90"/>
      <c r="GH86" s="90"/>
      <c r="GI86" s="90"/>
      <c r="GJ86" s="90"/>
      <c r="GK86" s="90"/>
      <c r="GL86" s="90"/>
      <c r="GM86" s="90"/>
      <c r="GN86" s="90"/>
      <c r="GO86" s="90"/>
      <c r="GP86" s="90"/>
      <c r="GQ86" s="90"/>
      <c r="GR86" s="90"/>
      <c r="GS86" s="90"/>
      <c r="GT86" s="90"/>
      <c r="GU86" s="90"/>
      <c r="GV86" s="90"/>
      <c r="GW86" s="90"/>
      <c r="GX86" s="90"/>
      <c r="GY86" s="90"/>
      <c r="GZ86" s="90"/>
      <c r="HA86" s="90"/>
      <c r="HB86" s="90"/>
      <c r="HC86" s="90"/>
      <c r="HD86" s="90"/>
      <c r="HE86" s="90"/>
      <c r="HF86" s="90"/>
      <c r="HG86" s="90"/>
      <c r="HH86" s="90"/>
      <c r="HI86" s="90"/>
      <c r="HJ86" s="90"/>
      <c r="HK86" s="90"/>
      <c r="HL86" s="90"/>
      <c r="HM86" s="90"/>
      <c r="HN86" s="90"/>
      <c r="HO86" s="90"/>
      <c r="HP86" s="90"/>
      <c r="HQ86" s="90"/>
      <c r="HR86" s="90"/>
      <c r="HS86" s="90"/>
      <c r="HT86" s="90"/>
      <c r="HU86" s="90"/>
      <c r="HV86" s="90"/>
      <c r="HW86" s="90"/>
      <c r="HX86" s="90"/>
      <c r="HY86" s="90"/>
      <c r="HZ86" s="90"/>
      <c r="IA86" s="90"/>
      <c r="IB86" s="90"/>
      <c r="IC86" s="90"/>
      <c r="ID86" s="90"/>
      <c r="IE86" s="90"/>
      <c r="IF86" s="90"/>
      <c r="IG86" s="90"/>
      <c r="IH86" s="90"/>
      <c r="II86" s="90"/>
      <c r="IJ86" s="90"/>
      <c r="IK86" s="90"/>
      <c r="IL86" s="90"/>
      <c r="IM86" s="90"/>
      <c r="IN86" s="90"/>
      <c r="IO86" s="90"/>
      <c r="IP86" s="90"/>
      <c r="IQ86" s="90"/>
      <c r="IR86" s="90"/>
      <c r="IS86" s="90"/>
      <c r="IT86" s="90"/>
      <c r="IU86" s="90"/>
      <c r="IV86" s="90"/>
      <c r="IW86" s="90"/>
    </row>
    <row r="87" customFormat="false" ht="12.75" hidden="false" customHeight="false" outlineLevel="0" collapsed="false">
      <c r="B87" s="41"/>
      <c r="C87" s="45"/>
      <c r="D87" s="45"/>
      <c r="E87" s="46"/>
      <c r="F87" s="46"/>
      <c r="G87" s="47"/>
      <c r="H87" s="47"/>
      <c r="I87" s="45"/>
      <c r="J87" s="59"/>
      <c r="K87" s="50"/>
      <c r="L87" s="50"/>
      <c r="M87" s="50"/>
      <c r="N87" s="50"/>
      <c r="O87" s="51"/>
      <c r="P87" s="50"/>
      <c r="Q87" s="122"/>
      <c r="R87" s="123"/>
      <c r="S87" s="54"/>
      <c r="T87" s="54" t="n">
        <f aca="false">SUM(T65:T86)</f>
        <v>134043.073566667</v>
      </c>
      <c r="U87" s="54"/>
      <c r="V87" s="55"/>
      <c r="W87" s="56"/>
      <c r="X87" s="57"/>
      <c r="Y87" s="57"/>
    </row>
    <row r="88" customFormat="false" ht="12.75" hidden="false" customHeight="false" outlineLevel="0" collapsed="false">
      <c r="B88" s="41"/>
      <c r="C88" s="45"/>
      <c r="D88" s="45"/>
      <c r="E88" s="46"/>
      <c r="F88" s="46"/>
      <c r="G88" s="47"/>
      <c r="H88" s="47"/>
      <c r="I88" s="45"/>
      <c r="J88" s="50"/>
      <c r="K88" s="50"/>
      <c r="L88" s="50"/>
      <c r="M88" s="50"/>
      <c r="N88" s="50"/>
      <c r="O88" s="51"/>
      <c r="P88" s="50"/>
      <c r="Q88" s="122"/>
      <c r="R88" s="123"/>
      <c r="S88" s="54"/>
      <c r="T88" s="54"/>
      <c r="U88" s="54"/>
      <c r="V88" s="55"/>
      <c r="W88" s="56"/>
      <c r="X88" s="57"/>
      <c r="Y88" s="57"/>
    </row>
    <row r="89" customFormat="false" ht="12.75" hidden="false" customHeight="false" outlineLevel="0" collapsed="false">
      <c r="B89" s="41"/>
      <c r="C89" s="45"/>
      <c r="D89" s="45"/>
      <c r="E89" s="46"/>
      <c r="F89" s="46"/>
      <c r="G89" s="47"/>
      <c r="H89" s="47"/>
      <c r="I89" s="45"/>
      <c r="J89" s="59"/>
      <c r="K89" s="50"/>
      <c r="L89" s="50"/>
      <c r="M89" s="50"/>
      <c r="N89" s="50"/>
      <c r="O89" s="51"/>
      <c r="P89" s="50"/>
      <c r="Q89" s="122"/>
      <c r="R89" s="123"/>
      <c r="S89" s="54"/>
      <c r="T89" s="54"/>
      <c r="U89" s="54"/>
      <c r="V89" s="55"/>
      <c r="W89" s="56"/>
      <c r="X89" s="57"/>
      <c r="Y89" s="57"/>
    </row>
    <row r="90" customFormat="false" ht="13.5" hidden="false" customHeight="false" outlineLevel="0" collapsed="false">
      <c r="B90" s="41"/>
      <c r="C90" s="45"/>
      <c r="D90" s="45"/>
      <c r="E90" s="46"/>
      <c r="F90" s="46"/>
      <c r="G90" s="47"/>
      <c r="H90" s="47"/>
      <c r="I90" s="45"/>
      <c r="J90" s="50"/>
      <c r="K90" s="50"/>
      <c r="L90" s="50"/>
      <c r="M90" s="50"/>
      <c r="N90" s="50"/>
      <c r="O90" s="51"/>
      <c r="P90" s="50"/>
      <c r="Q90" s="122"/>
      <c r="R90" s="123"/>
      <c r="S90" s="54"/>
      <c r="T90" s="124" t="n">
        <f aca="false">SUM(T87,T63,T48,T28)</f>
        <v>651026.155808925</v>
      </c>
      <c r="U90" s="54" t="s">
        <v>251</v>
      </c>
      <c r="V90" s="55"/>
      <c r="W90" s="56"/>
      <c r="X90" s="57"/>
      <c r="Y90" s="57"/>
    </row>
    <row r="91" customFormat="false" ht="13.5" hidden="false" customHeight="false" outlineLevel="0" collapsed="false">
      <c r="B91" s="41"/>
      <c r="C91" s="45"/>
      <c r="D91" s="45"/>
      <c r="E91" s="46"/>
      <c r="F91" s="46"/>
      <c r="G91" s="47"/>
      <c r="H91" s="47"/>
      <c r="I91" s="45"/>
      <c r="J91" s="50"/>
      <c r="K91" s="50"/>
      <c r="L91" s="50"/>
      <c r="M91" s="50"/>
      <c r="N91" s="50"/>
      <c r="O91" s="51"/>
      <c r="P91" s="50"/>
      <c r="Q91" s="122"/>
      <c r="R91" s="123"/>
      <c r="S91" s="54"/>
      <c r="T91" s="54"/>
      <c r="U91" s="56" t="s">
        <v>252</v>
      </c>
      <c r="V91" s="55"/>
      <c r="W91" s="56"/>
      <c r="X91" s="125"/>
      <c r="Y91" s="57"/>
    </row>
    <row r="92" customFormat="false" ht="12.75" hidden="false" customHeight="false" outlineLevel="0" collapsed="false">
      <c r="B92" s="41"/>
      <c r="C92" s="45"/>
      <c r="D92" s="45"/>
      <c r="E92" s="46"/>
      <c r="F92" s="46"/>
      <c r="G92" s="47"/>
      <c r="H92" s="47"/>
      <c r="I92" s="45"/>
      <c r="J92" s="50"/>
      <c r="K92" s="50"/>
      <c r="L92" s="50"/>
      <c r="M92" s="50"/>
      <c r="N92" s="50"/>
      <c r="O92" s="51"/>
      <c r="P92" s="50"/>
      <c r="Q92" s="122"/>
      <c r="R92" s="123"/>
      <c r="S92" s="54"/>
      <c r="T92" s="54"/>
      <c r="U92" s="54"/>
      <c r="V92" s="55"/>
      <c r="W92" s="56"/>
      <c r="X92" s="57"/>
      <c r="Y92" s="57"/>
    </row>
    <row r="93" customFormat="false" ht="12.75" hidden="false" customHeight="false" outlineLevel="0" collapsed="false">
      <c r="B93" s="41"/>
      <c r="C93" s="45"/>
      <c r="D93" s="45"/>
      <c r="E93" s="46"/>
      <c r="F93" s="46"/>
      <c r="G93" s="47"/>
      <c r="H93" s="47"/>
      <c r="I93" s="45"/>
      <c r="J93" s="50"/>
      <c r="K93" s="50"/>
      <c r="L93" s="50"/>
      <c r="M93" s="50"/>
      <c r="N93" s="50"/>
      <c r="O93" s="51"/>
      <c r="P93" s="50"/>
      <c r="Q93" s="122"/>
      <c r="R93" s="123"/>
      <c r="S93" s="54"/>
      <c r="T93" s="54"/>
      <c r="U93" s="54"/>
      <c r="V93" s="55"/>
      <c r="W93" s="56"/>
      <c r="X93" s="57"/>
      <c r="Y93" s="57"/>
    </row>
    <row r="94" customFormat="false" ht="12.75" hidden="false" customHeight="false" outlineLevel="0" collapsed="false">
      <c r="B94" s="41"/>
      <c r="C94" s="45"/>
      <c r="D94" s="45"/>
      <c r="E94" s="73"/>
      <c r="F94" s="46"/>
      <c r="G94" s="47"/>
      <c r="H94" s="47"/>
      <c r="I94" s="45"/>
      <c r="J94" s="59"/>
      <c r="K94" s="50"/>
      <c r="L94" s="50"/>
      <c r="M94" s="50"/>
      <c r="N94" s="50"/>
      <c r="O94" s="51"/>
      <c r="P94" s="50"/>
      <c r="Q94" s="122"/>
      <c r="R94" s="123"/>
      <c r="S94" s="125"/>
      <c r="T94" s="54"/>
      <c r="U94" s="54"/>
      <c r="V94" s="55"/>
      <c r="W94" s="56"/>
      <c r="X94" s="57"/>
      <c r="Y94" s="57"/>
    </row>
    <row r="95" customFormat="false" ht="12.75" hidden="false" customHeight="false" outlineLevel="0" collapsed="false">
      <c r="B95" s="41"/>
      <c r="C95" s="45"/>
      <c r="D95" s="45"/>
      <c r="E95" s="73"/>
      <c r="F95" s="46"/>
      <c r="G95" s="47"/>
      <c r="H95" s="47"/>
      <c r="I95" s="45"/>
      <c r="J95" s="59"/>
      <c r="K95" s="50"/>
      <c r="L95" s="50"/>
      <c r="M95" s="50"/>
      <c r="N95" s="50"/>
      <c r="O95" s="51"/>
      <c r="P95" s="50"/>
      <c r="Q95" s="122"/>
      <c r="R95" s="123"/>
      <c r="S95" s="125"/>
      <c r="T95" s="54"/>
      <c r="U95" s="54"/>
      <c r="V95" s="55"/>
      <c r="W95" s="56"/>
      <c r="X95" s="57"/>
      <c r="Y95" s="57"/>
    </row>
    <row r="96" customFormat="false" ht="12.75" hidden="false" customHeight="false" outlineLevel="0" collapsed="false">
      <c r="E96" s="43"/>
      <c r="Q96" s="38"/>
      <c r="R96" s="38"/>
      <c r="S96" s="38"/>
      <c r="T96" s="38"/>
      <c r="U96" s="38"/>
      <c r="V96" s="126"/>
      <c r="W96" s="127"/>
      <c r="X96" s="126"/>
    </row>
    <row r="97" customFormat="false" ht="12.75" hidden="false" customHeight="false" outlineLevel="0" collapsed="false">
      <c r="E97" s="43"/>
      <c r="Q97" s="38"/>
      <c r="R97" s="38"/>
      <c r="S97" s="38"/>
      <c r="T97" s="38"/>
      <c r="U97" s="38"/>
      <c r="V97" s="126"/>
      <c r="W97" s="127"/>
      <c r="X97" s="126"/>
    </row>
    <row r="98" customFormat="false" ht="12.75" hidden="false" customHeight="false" outlineLevel="0" collapsed="false">
      <c r="E98" s="43"/>
    </row>
    <row r="99" customFormat="false" ht="12.75" hidden="false" customHeight="false" outlineLevel="0" collapsed="false">
      <c r="E99" s="43"/>
    </row>
    <row r="100" customFormat="false" ht="12.75" hidden="false" customHeight="false" outlineLevel="0" collapsed="false">
      <c r="E100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false" showOutlineSymbols="true" defaultGridColor="true" view="normal" topLeftCell="E37" colorId="64" zoomScale="100" zoomScaleNormal="100" zoomScalePageLayoutView="100" workbookViewId="0">
      <selection pane="topLeft" activeCell="U68" activeCellId="0" sqref="U6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6" width="9.99"/>
    <col collapsed="false" customWidth="false" hidden="false" outlineLevel="0" max="3" min="3" style="36" width="9.14"/>
    <col collapsed="false" customWidth="true" hidden="false" outlineLevel="0" max="4" min="4" style="36" width="10.56"/>
    <col collapsed="false" customWidth="true" hidden="false" outlineLevel="0" max="5" min="5" style="36" width="9.28"/>
    <col collapsed="false" customWidth="true" hidden="false" outlineLevel="0" max="6" min="6" style="36" width="9.56"/>
    <col collapsed="false" customWidth="true" hidden="false" outlineLevel="0" max="7" min="7" style="41" width="12.42"/>
    <col collapsed="false" customWidth="true" hidden="false" outlineLevel="0" max="8" min="8" style="41" width="16.42"/>
    <col collapsed="false" customWidth="true" hidden="false" outlineLevel="0" max="9" min="9" style="36" width="16.56"/>
    <col collapsed="false" customWidth="true" hidden="false" outlineLevel="0" max="10" min="10" style="36" width="7.7"/>
    <col collapsed="false" customWidth="true" hidden="true" outlineLevel="0" max="14" min="11" style="36" width="9.06"/>
    <col collapsed="false" customWidth="true" hidden="true" outlineLevel="0" max="15" min="15" style="42" width="9.06"/>
    <col collapsed="false" customWidth="true" hidden="true" outlineLevel="0" max="16" min="16" style="36" width="9.06"/>
    <col collapsed="false" customWidth="true" hidden="false" outlineLevel="0" max="17" min="17" style="36" width="14.28"/>
    <col collapsed="false" customWidth="true" hidden="false" outlineLevel="0" max="18" min="18" style="36" width="10.85"/>
    <col collapsed="false" customWidth="true" hidden="false" outlineLevel="0" max="19" min="19" style="36" width="12.28"/>
    <col collapsed="false" customWidth="true" hidden="false" outlineLevel="0" max="20" min="20" style="36" width="10.71"/>
    <col collapsed="false" customWidth="true" hidden="false" outlineLevel="0" max="21" min="21" style="36" width="11.85"/>
    <col collapsed="false" customWidth="true" hidden="false" outlineLevel="0" max="22" min="22" style="43" width="14.85"/>
    <col collapsed="false" customWidth="true" hidden="false" outlineLevel="0" max="23" min="23" style="41" width="42.28"/>
    <col collapsed="false" customWidth="false" hidden="false" outlineLevel="0" max="25" min="24" style="43" width="9.14"/>
    <col collapsed="false" customWidth="true" hidden="false" outlineLevel="0" max="26" min="26" style="36" width="12.42"/>
    <col collapsed="false" customWidth="false" hidden="false" outlineLevel="0" max="257" min="27" style="36" width="9.14"/>
  </cols>
  <sheetData>
    <row r="1" customFormat="false" ht="12.75" hidden="false" customHeight="false" outlineLevel="0" collapsed="false">
      <c r="B1" s="44" t="s">
        <v>144</v>
      </c>
      <c r="C1" s="45"/>
      <c r="D1" s="45"/>
      <c r="E1" s="46"/>
      <c r="F1" s="46"/>
      <c r="G1" s="47"/>
      <c r="H1" s="47"/>
      <c r="I1" s="45" t="s">
        <v>145</v>
      </c>
      <c r="J1" s="48" t="n">
        <v>31</v>
      </c>
      <c r="K1" s="49" t="s">
        <v>146</v>
      </c>
      <c r="L1" s="50"/>
      <c r="M1" s="50"/>
      <c r="N1" s="50"/>
      <c r="O1" s="51"/>
      <c r="P1" s="50"/>
      <c r="Q1" s="52"/>
      <c r="R1" s="53"/>
      <c r="S1" s="54"/>
      <c r="T1" s="54"/>
      <c r="U1" s="54"/>
      <c r="V1" s="55"/>
      <c r="W1" s="56"/>
      <c r="X1" s="57"/>
      <c r="Y1" s="57"/>
    </row>
    <row r="2" customFormat="false" ht="12.75" hidden="false" customHeight="false" outlineLevel="0" collapsed="false">
      <c r="B2" s="47" t="s">
        <v>147</v>
      </c>
      <c r="C2" s="47"/>
      <c r="D2" s="47"/>
      <c r="E2" s="46"/>
      <c r="F2" s="46"/>
      <c r="G2" s="47"/>
      <c r="H2" s="47"/>
      <c r="I2" s="45"/>
      <c r="J2" s="48"/>
      <c r="K2" s="49" t="s">
        <v>148</v>
      </c>
      <c r="L2" s="50"/>
      <c r="M2" s="50"/>
      <c r="N2" s="50"/>
      <c r="O2" s="51"/>
      <c r="P2" s="50"/>
      <c r="Q2" s="52"/>
      <c r="R2" s="53"/>
      <c r="S2" s="54"/>
      <c r="T2" s="54"/>
      <c r="U2" s="54"/>
      <c r="V2" s="55"/>
      <c r="W2" s="56"/>
      <c r="X2" s="57"/>
      <c r="Y2" s="57"/>
    </row>
    <row r="3" customFormat="false" ht="12.75" hidden="false" customHeight="false" outlineLevel="0" collapsed="false">
      <c r="B3" s="47" t="s">
        <v>149</v>
      </c>
      <c r="C3" s="47"/>
      <c r="D3" s="47"/>
      <c r="E3" s="46"/>
      <c r="F3" s="46"/>
      <c r="G3" s="58" t="s">
        <v>141</v>
      </c>
      <c r="H3" s="47" t="s">
        <v>141</v>
      </c>
      <c r="I3" s="53" t="s">
        <v>141</v>
      </c>
      <c r="J3" s="59"/>
      <c r="K3" s="60" t="s">
        <v>141</v>
      </c>
      <c r="L3" s="50"/>
      <c r="M3" s="60" t="s">
        <v>141</v>
      </c>
      <c r="N3" s="50"/>
      <c r="O3" s="51"/>
      <c r="P3" s="60" t="s">
        <v>141</v>
      </c>
      <c r="Q3" s="52"/>
      <c r="R3" s="53"/>
      <c r="S3" s="54"/>
      <c r="T3" s="54"/>
      <c r="U3" s="54"/>
      <c r="V3" s="55"/>
      <c r="W3" s="56"/>
      <c r="X3" s="57"/>
      <c r="Y3" s="57"/>
    </row>
    <row r="4" customFormat="false" ht="12.75" hidden="false" customHeight="false" outlineLevel="0" collapsed="false">
      <c r="B4" s="47"/>
      <c r="C4" s="45"/>
      <c r="D4" s="45"/>
      <c r="E4" s="46"/>
      <c r="F4" s="46"/>
      <c r="G4" s="61"/>
      <c r="H4" s="47"/>
      <c r="I4" s="61"/>
      <c r="J4" s="59"/>
      <c r="K4" s="61"/>
      <c r="L4" s="50"/>
      <c r="M4" s="61"/>
      <c r="N4" s="53"/>
      <c r="O4" s="51"/>
      <c r="P4" s="53"/>
      <c r="Q4" s="52"/>
      <c r="R4" s="53"/>
      <c r="S4" s="54"/>
      <c r="T4" s="62"/>
      <c r="U4" s="62"/>
      <c r="V4" s="63"/>
      <c r="W4" s="56"/>
      <c r="X4" s="57"/>
      <c r="Y4" s="57"/>
    </row>
    <row r="5" customFormat="false" ht="12.75" hidden="false" customHeight="false" outlineLevel="0" collapsed="false">
      <c r="B5" s="47" t="s">
        <v>150</v>
      </c>
      <c r="C5" s="45"/>
      <c r="D5" s="47"/>
      <c r="E5" s="46"/>
      <c r="F5" s="46"/>
      <c r="G5" s="61"/>
      <c r="H5" s="47"/>
      <c r="I5" s="61"/>
      <c r="J5" s="59"/>
      <c r="K5" s="61"/>
      <c r="L5" s="50"/>
      <c r="M5" s="61"/>
      <c r="N5" s="53"/>
      <c r="O5" s="51"/>
      <c r="P5" s="53"/>
      <c r="Q5" s="52"/>
      <c r="R5" s="53"/>
      <c r="S5" s="54"/>
      <c r="T5" s="62"/>
      <c r="U5" s="62"/>
      <c r="V5" s="63"/>
      <c r="W5" s="56"/>
      <c r="X5" s="57"/>
      <c r="Y5" s="57"/>
    </row>
    <row r="6" customFormat="false" ht="12.75" hidden="false" customHeight="false" outlineLevel="0" collapsed="false">
      <c r="B6" s="47"/>
      <c r="C6" s="45" t="s">
        <v>151</v>
      </c>
      <c r="D6" s="45"/>
      <c r="E6" s="46"/>
      <c r="F6" s="46"/>
      <c r="G6" s="61"/>
      <c r="H6" s="47"/>
      <c r="I6" s="61"/>
      <c r="J6" s="59"/>
      <c r="K6" s="61"/>
      <c r="L6" s="50"/>
      <c r="M6" s="61"/>
      <c r="N6" s="53"/>
      <c r="O6" s="51"/>
      <c r="P6" s="53"/>
      <c r="Q6" s="52"/>
      <c r="R6" s="53"/>
      <c r="S6" s="54"/>
      <c r="T6" s="62"/>
      <c r="U6" s="62"/>
      <c r="V6" s="63"/>
      <c r="W6" s="56"/>
      <c r="X6" s="57"/>
      <c r="Y6" s="57"/>
    </row>
    <row r="7" customFormat="false" ht="12.75" hidden="false" customHeight="false" outlineLevel="0" collapsed="false">
      <c r="B7" s="47"/>
      <c r="C7" s="45"/>
      <c r="D7" s="45"/>
      <c r="E7" s="46"/>
      <c r="F7" s="46"/>
      <c r="G7" s="61"/>
      <c r="H7" s="47"/>
      <c r="I7" s="61"/>
      <c r="J7" s="59"/>
      <c r="K7" s="61"/>
      <c r="L7" s="50"/>
      <c r="M7" s="61"/>
      <c r="N7" s="53"/>
      <c r="O7" s="51"/>
      <c r="P7" s="53"/>
      <c r="Q7" s="52"/>
      <c r="R7" s="53"/>
      <c r="S7" s="54"/>
      <c r="T7" s="62"/>
      <c r="U7" s="62"/>
      <c r="V7" s="63"/>
      <c r="W7" s="56"/>
      <c r="X7" s="57"/>
      <c r="Y7" s="57"/>
    </row>
    <row r="8" customFormat="false" ht="12.75" hidden="false" customHeight="false" outlineLevel="0" collapsed="false">
      <c r="B8" s="47"/>
      <c r="C8" s="45"/>
      <c r="D8" s="45"/>
      <c r="E8" s="46"/>
      <c r="F8" s="46"/>
      <c r="G8" s="61"/>
      <c r="H8" s="47"/>
      <c r="I8" s="61"/>
      <c r="J8" s="59"/>
      <c r="K8" s="61"/>
      <c r="L8" s="50"/>
      <c r="M8" s="61"/>
      <c r="N8" s="53"/>
      <c r="O8" s="51"/>
      <c r="P8" s="53"/>
      <c r="Q8" s="52"/>
      <c r="R8" s="53"/>
      <c r="S8" s="54"/>
      <c r="T8" s="62"/>
      <c r="U8" s="62"/>
      <c r="V8" s="63"/>
      <c r="W8" s="56"/>
      <c r="X8" s="57"/>
      <c r="Y8" s="57"/>
    </row>
    <row r="9" customFormat="false" ht="12.75" hidden="false" customHeight="false" outlineLevel="0" collapsed="false">
      <c r="B9" s="47"/>
      <c r="C9" s="45"/>
      <c r="D9" s="45"/>
      <c r="E9" s="46"/>
      <c r="F9" s="46"/>
      <c r="G9" s="61"/>
      <c r="H9" s="47"/>
      <c r="I9" s="61"/>
      <c r="J9" s="59"/>
      <c r="K9" s="61"/>
      <c r="L9" s="50"/>
      <c r="M9" s="61"/>
      <c r="N9" s="53"/>
      <c r="O9" s="51"/>
      <c r="P9" s="53"/>
      <c r="Q9" s="52"/>
      <c r="R9" s="53"/>
      <c r="S9" s="54"/>
      <c r="T9" s="62"/>
      <c r="U9" s="62"/>
      <c r="V9" s="63"/>
      <c r="W9" s="56"/>
      <c r="X9" s="57"/>
      <c r="Y9" s="57"/>
    </row>
    <row r="10" customFormat="false" ht="12.75" hidden="false" customHeight="false" outlineLevel="0" collapsed="false">
      <c r="B10" s="47"/>
      <c r="C10" s="45"/>
      <c r="D10" s="45"/>
      <c r="E10" s="46"/>
      <c r="F10" s="46"/>
      <c r="G10" s="61"/>
      <c r="H10" s="47"/>
      <c r="I10" s="61"/>
      <c r="J10" s="59"/>
      <c r="K10" s="61"/>
      <c r="L10" s="50"/>
      <c r="M10" s="61"/>
      <c r="N10" s="53"/>
      <c r="O10" s="51"/>
      <c r="P10" s="53"/>
      <c r="Q10" s="52"/>
      <c r="R10" s="53"/>
      <c r="S10" s="54"/>
      <c r="T10" s="62"/>
      <c r="U10" s="62"/>
      <c r="V10" s="63"/>
      <c r="W10" s="56"/>
      <c r="X10" s="57"/>
      <c r="Y10" s="57"/>
    </row>
    <row r="11" customFormat="false" ht="12.75" hidden="false" customHeight="false" outlineLevel="0" collapsed="false">
      <c r="B11" s="64" t="s">
        <v>152</v>
      </c>
      <c r="C11" s="65" t="s">
        <v>153</v>
      </c>
      <c r="D11" s="65" t="s">
        <v>253</v>
      </c>
      <c r="E11" s="66" t="s">
        <v>155</v>
      </c>
      <c r="F11" s="66"/>
      <c r="G11" s="64" t="s">
        <v>156</v>
      </c>
      <c r="H11" s="64" t="s">
        <v>157</v>
      </c>
      <c r="I11" s="65" t="s">
        <v>158</v>
      </c>
      <c r="J11" s="67" t="s">
        <v>159</v>
      </c>
      <c r="K11" s="65" t="s">
        <v>160</v>
      </c>
      <c r="L11" s="65" t="s">
        <v>161</v>
      </c>
      <c r="M11" s="65" t="s">
        <v>162</v>
      </c>
      <c r="N11" s="65" t="s">
        <v>163</v>
      </c>
      <c r="O11" s="68" t="s">
        <v>164</v>
      </c>
      <c r="P11" s="65" t="s">
        <v>165</v>
      </c>
      <c r="Q11" s="69" t="s">
        <v>166</v>
      </c>
      <c r="R11" s="65" t="s">
        <v>167</v>
      </c>
      <c r="S11" s="64" t="s">
        <v>168</v>
      </c>
      <c r="T11" s="70" t="s">
        <v>169</v>
      </c>
      <c r="U11" s="70" t="s">
        <v>170</v>
      </c>
      <c r="V11" s="71" t="s">
        <v>171</v>
      </c>
      <c r="W11" s="72" t="s">
        <v>254</v>
      </c>
      <c r="X11" s="73"/>
      <c r="Y11" s="73"/>
    </row>
    <row r="12" customFormat="false" ht="12.75" hidden="false" customHeight="false" outlineLevel="0" collapsed="false">
      <c r="B12" s="64" t="s">
        <v>152</v>
      </c>
      <c r="C12" s="65" t="s">
        <v>153</v>
      </c>
      <c r="D12" s="65" t="s">
        <v>253</v>
      </c>
      <c r="E12" s="66" t="s">
        <v>155</v>
      </c>
      <c r="F12" s="66"/>
      <c r="G12" s="64" t="s">
        <v>156</v>
      </c>
      <c r="H12" s="64" t="s">
        <v>157</v>
      </c>
      <c r="I12" s="65" t="s">
        <v>158</v>
      </c>
      <c r="J12" s="67" t="s">
        <v>159</v>
      </c>
      <c r="K12" s="65" t="s">
        <v>160</v>
      </c>
      <c r="L12" s="65" t="s">
        <v>161</v>
      </c>
      <c r="M12" s="65" t="s">
        <v>162</v>
      </c>
      <c r="N12" s="65" t="s">
        <v>163</v>
      </c>
      <c r="O12" s="68" t="s">
        <v>164</v>
      </c>
      <c r="P12" s="65" t="s">
        <v>165</v>
      </c>
      <c r="Q12" s="69" t="s">
        <v>166</v>
      </c>
      <c r="R12" s="65" t="s">
        <v>167</v>
      </c>
      <c r="S12" s="64" t="s">
        <v>168</v>
      </c>
      <c r="T12" s="70" t="s">
        <v>169</v>
      </c>
      <c r="U12" s="70" t="s">
        <v>170</v>
      </c>
      <c r="V12" s="71" t="s">
        <v>171</v>
      </c>
      <c r="W12" s="72" t="s">
        <v>254</v>
      </c>
      <c r="X12" s="73"/>
      <c r="Y12" s="73"/>
    </row>
    <row r="13" customFormat="false" ht="12.75" hidden="false" customHeight="false" outlineLevel="0" collapsed="false">
      <c r="A13" s="74"/>
      <c r="B13" s="75" t="s">
        <v>172</v>
      </c>
      <c r="C13" s="76" t="s">
        <v>78</v>
      </c>
      <c r="D13" s="76" t="s">
        <v>213</v>
      </c>
      <c r="E13" s="77" t="n">
        <v>36770</v>
      </c>
      <c r="F13" s="77" t="n">
        <v>36981</v>
      </c>
      <c r="G13" s="128" t="n">
        <v>10001</v>
      </c>
      <c r="H13" s="128" t="n">
        <v>10001</v>
      </c>
      <c r="I13" s="76" t="s">
        <v>255</v>
      </c>
      <c r="J13" s="78" t="n">
        <v>0.0137</v>
      </c>
      <c r="K13" s="79"/>
      <c r="L13" s="79"/>
      <c r="M13" s="79"/>
      <c r="N13" s="79"/>
      <c r="O13" s="80"/>
      <c r="P13" s="79"/>
      <c r="Q13" s="81" t="n">
        <v>530750</v>
      </c>
      <c r="R13" s="76" t="n">
        <v>9374</v>
      </c>
      <c r="S13" s="75" t="s">
        <v>256</v>
      </c>
      <c r="T13" s="82" t="n">
        <f aca="false">J13*1*R13</f>
        <v>128.4238</v>
      </c>
      <c r="U13" s="82"/>
      <c r="V13" s="83" t="n">
        <v>384260</v>
      </c>
      <c r="W13" s="75"/>
      <c r="X13" s="84"/>
      <c r="Y13" s="8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</row>
    <row r="14" customFormat="false" ht="12.75" hidden="false" customHeight="false" outlineLevel="0" collapsed="false">
      <c r="A14" s="74"/>
      <c r="B14" s="75" t="s">
        <v>172</v>
      </c>
      <c r="C14" s="76" t="s">
        <v>78</v>
      </c>
      <c r="D14" s="76" t="s">
        <v>213</v>
      </c>
      <c r="E14" s="77" t="n">
        <v>36770</v>
      </c>
      <c r="F14" s="77" t="n">
        <v>36981</v>
      </c>
      <c r="G14" s="128" t="n">
        <v>10002</v>
      </c>
      <c r="H14" s="128" t="n">
        <v>10002</v>
      </c>
      <c r="I14" s="76" t="s">
        <v>255</v>
      </c>
      <c r="J14" s="78" t="n">
        <v>1.0137</v>
      </c>
      <c r="K14" s="79"/>
      <c r="L14" s="79"/>
      <c r="M14" s="79"/>
      <c r="N14" s="79"/>
      <c r="O14" s="80"/>
      <c r="P14" s="79"/>
      <c r="Q14" s="81" t="n">
        <v>530750</v>
      </c>
      <c r="R14" s="76" t="n">
        <v>153</v>
      </c>
      <c r="S14" s="75" t="s">
        <v>256</v>
      </c>
      <c r="T14" s="82" t="n">
        <f aca="false">J14*1*R14</f>
        <v>155.0961</v>
      </c>
      <c r="U14" s="82"/>
      <c r="V14" s="83" t="n">
        <v>384260</v>
      </c>
      <c r="W14" s="75"/>
      <c r="X14" s="84"/>
      <c r="Y14" s="8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</row>
    <row r="15" customFormat="false" ht="12.75" hidden="false" customHeight="false" outlineLevel="0" collapsed="false">
      <c r="A15" s="74"/>
      <c r="B15" s="75" t="s">
        <v>172</v>
      </c>
      <c r="C15" s="76" t="s">
        <v>78</v>
      </c>
      <c r="D15" s="76" t="s">
        <v>213</v>
      </c>
      <c r="E15" s="77" t="n">
        <v>36800</v>
      </c>
      <c r="F15" s="77" t="n">
        <v>36830</v>
      </c>
      <c r="G15" s="128" t="n">
        <v>10001</v>
      </c>
      <c r="H15" s="128" t="n">
        <v>10001</v>
      </c>
      <c r="I15" s="76" t="s">
        <v>255</v>
      </c>
      <c r="J15" s="78" t="n">
        <v>1.8373</v>
      </c>
      <c r="K15" s="79"/>
      <c r="L15" s="79"/>
      <c r="M15" s="79"/>
      <c r="N15" s="79"/>
      <c r="O15" s="80"/>
      <c r="P15" s="79"/>
      <c r="Q15" s="81" t="n">
        <v>530811</v>
      </c>
      <c r="R15" s="76" t="n">
        <v>67</v>
      </c>
      <c r="S15" s="75" t="s">
        <v>257</v>
      </c>
      <c r="T15" s="82" t="n">
        <f aca="false">J15*1*R15</f>
        <v>123.0991</v>
      </c>
      <c r="U15" s="82"/>
      <c r="V15" s="83" t="n">
        <v>418886</v>
      </c>
      <c r="W15" s="75"/>
      <c r="X15" s="84"/>
      <c r="Y15" s="8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</row>
    <row r="16" customFormat="false" ht="12.75" hidden="false" customHeight="false" outlineLevel="0" collapsed="false">
      <c r="A16" s="74"/>
      <c r="B16" s="75" t="s">
        <v>172</v>
      </c>
      <c r="C16" s="76" t="s">
        <v>78</v>
      </c>
      <c r="D16" s="76" t="s">
        <v>213</v>
      </c>
      <c r="E16" s="77" t="n">
        <v>36800</v>
      </c>
      <c r="F16" s="77" t="n">
        <v>36830</v>
      </c>
      <c r="G16" s="128" t="n">
        <v>10001</v>
      </c>
      <c r="H16" s="128" t="n">
        <v>10001</v>
      </c>
      <c r="I16" s="76" t="s">
        <v>255</v>
      </c>
      <c r="J16" s="78" t="n">
        <v>0.0137</v>
      </c>
      <c r="K16" s="79"/>
      <c r="L16" s="79"/>
      <c r="M16" s="79"/>
      <c r="N16" s="79"/>
      <c r="O16" s="80"/>
      <c r="P16" s="79"/>
      <c r="Q16" s="81" t="n">
        <v>530811</v>
      </c>
      <c r="R16" s="76" t="n">
        <v>4064</v>
      </c>
      <c r="S16" s="75" t="s">
        <v>257</v>
      </c>
      <c r="T16" s="82" t="n">
        <f aca="false">J16*1*R16</f>
        <v>55.6768</v>
      </c>
      <c r="U16" s="82"/>
      <c r="V16" s="83" t="n">
        <v>418886</v>
      </c>
      <c r="W16" s="75"/>
      <c r="X16" s="84"/>
      <c r="Y16" s="8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  <c r="IW16" s="74"/>
    </row>
    <row r="17" customFormat="false" ht="12.75" hidden="false" customHeight="false" outlineLevel="0" collapsed="false">
      <c r="B17" s="129" t="s">
        <v>141</v>
      </c>
      <c r="C17" s="130" t="s">
        <v>141</v>
      </c>
      <c r="D17" s="131" t="s">
        <v>141</v>
      </c>
      <c r="E17" s="132" t="s">
        <v>141</v>
      </c>
      <c r="F17" s="132"/>
      <c r="G17" s="129" t="s">
        <v>141</v>
      </c>
      <c r="H17" s="133" t="s">
        <v>141</v>
      </c>
      <c r="I17" s="130" t="s">
        <v>141</v>
      </c>
      <c r="J17" s="134"/>
      <c r="K17" s="135"/>
      <c r="L17" s="135"/>
      <c r="M17" s="135"/>
      <c r="N17" s="135"/>
      <c r="O17" s="136"/>
      <c r="P17" s="135"/>
      <c r="Q17" s="137" t="s">
        <v>141</v>
      </c>
      <c r="R17" s="130" t="n">
        <f aca="false">SUM(R13:R16)</f>
        <v>13658</v>
      </c>
      <c r="S17" s="129" t="s">
        <v>141</v>
      </c>
      <c r="T17" s="138" t="n">
        <f aca="false">SUM(T13:T16)</f>
        <v>462.2958</v>
      </c>
      <c r="U17" s="138"/>
      <c r="V17" s="139"/>
      <c r="W17" s="129"/>
      <c r="X17" s="73"/>
      <c r="Y17" s="73"/>
    </row>
    <row r="18" customFormat="false" ht="12.75" hidden="false" customHeight="false" outlineLevel="0" collapsed="false">
      <c r="B18" s="64" t="s">
        <v>152</v>
      </c>
      <c r="C18" s="65" t="s">
        <v>153</v>
      </c>
      <c r="D18" s="65" t="s">
        <v>154</v>
      </c>
      <c r="E18" s="66" t="s">
        <v>155</v>
      </c>
      <c r="F18" s="66"/>
      <c r="G18" s="64" t="s">
        <v>156</v>
      </c>
      <c r="H18" s="64" t="s">
        <v>157</v>
      </c>
      <c r="I18" s="65" t="s">
        <v>158</v>
      </c>
      <c r="J18" s="67" t="s">
        <v>159</v>
      </c>
      <c r="K18" s="65" t="s">
        <v>160</v>
      </c>
      <c r="L18" s="65" t="s">
        <v>161</v>
      </c>
      <c r="M18" s="65" t="s">
        <v>162</v>
      </c>
      <c r="N18" s="65" t="s">
        <v>163</v>
      </c>
      <c r="O18" s="68" t="s">
        <v>164</v>
      </c>
      <c r="P18" s="65" t="s">
        <v>165</v>
      </c>
      <c r="Q18" s="69" t="s">
        <v>166</v>
      </c>
      <c r="R18" s="65" t="s">
        <v>167</v>
      </c>
      <c r="S18" s="64" t="s">
        <v>168</v>
      </c>
      <c r="T18" s="70" t="s">
        <v>169</v>
      </c>
      <c r="U18" s="70" t="s">
        <v>170</v>
      </c>
      <c r="V18" s="71" t="s">
        <v>171</v>
      </c>
      <c r="W18" s="72" t="str">
        <f aca="false">+W12</f>
        <v>Questions</v>
      </c>
      <c r="X18" s="73"/>
      <c r="Y18" s="73"/>
    </row>
    <row r="19" customFormat="false" ht="12.75" hidden="false" customHeight="false" outlineLevel="0" collapsed="false">
      <c r="A19" s="90"/>
      <c r="B19" s="91" t="s">
        <v>172</v>
      </c>
      <c r="C19" s="92" t="s">
        <v>258</v>
      </c>
      <c r="D19" s="92" t="s">
        <v>259</v>
      </c>
      <c r="E19" s="93" t="n">
        <v>36617</v>
      </c>
      <c r="F19" s="46" t="n">
        <v>36830</v>
      </c>
      <c r="G19" s="91" t="s">
        <v>260</v>
      </c>
      <c r="H19" s="91" t="s">
        <v>195</v>
      </c>
      <c r="I19" s="92" t="s">
        <v>261</v>
      </c>
      <c r="J19" s="94" t="n">
        <f aca="false">6.238/J1</f>
        <v>0.201225806451613</v>
      </c>
      <c r="K19" s="95" t="n">
        <v>0</v>
      </c>
      <c r="L19" s="95" t="n">
        <v>0</v>
      </c>
      <c r="M19" s="95" t="n">
        <v>0</v>
      </c>
      <c r="N19" s="95" t="n">
        <v>0</v>
      </c>
      <c r="O19" s="96" t="n">
        <v>0</v>
      </c>
      <c r="P19" s="95" t="n">
        <f aca="false">SUM(J19:N19)</f>
        <v>0.201225806451613</v>
      </c>
      <c r="Q19" s="52" t="n">
        <v>51407</v>
      </c>
      <c r="R19" s="45" t="n">
        <v>73754</v>
      </c>
      <c r="S19" s="91" t="s">
        <v>262</v>
      </c>
      <c r="T19" s="98"/>
      <c r="U19" s="98"/>
      <c r="V19" s="99" t="n">
        <v>156569</v>
      </c>
      <c r="W19" s="91"/>
      <c r="X19" s="101"/>
      <c r="Y19" s="101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customFormat="false" ht="12.75" hidden="false" customHeight="false" outlineLevel="0" collapsed="false">
      <c r="A20" s="90"/>
      <c r="B20" s="91" t="s">
        <v>172</v>
      </c>
      <c r="C20" s="92" t="s">
        <v>258</v>
      </c>
      <c r="D20" s="92" t="s">
        <v>259</v>
      </c>
      <c r="E20" s="93" t="n">
        <v>36617</v>
      </c>
      <c r="F20" s="46" t="n">
        <v>36830</v>
      </c>
      <c r="G20" s="91" t="s">
        <v>260</v>
      </c>
      <c r="H20" s="91" t="s">
        <v>197</v>
      </c>
      <c r="I20" s="92" t="s">
        <v>261</v>
      </c>
      <c r="J20" s="94" t="n">
        <f aca="false">1.512/J1</f>
        <v>0.0487741935483871</v>
      </c>
      <c r="K20" s="95" t="n">
        <v>0</v>
      </c>
      <c r="L20" s="95" t="n">
        <v>0</v>
      </c>
      <c r="M20" s="95" t="n">
        <v>0</v>
      </c>
      <c r="N20" s="95" t="n">
        <v>0</v>
      </c>
      <c r="O20" s="96" t="n">
        <v>0</v>
      </c>
      <c r="P20" s="95" t="n">
        <f aca="false">SUM(J20:N20)</f>
        <v>0.0487741935483871</v>
      </c>
      <c r="Q20" s="52" t="n">
        <v>51407</v>
      </c>
      <c r="R20" s="45" t="n">
        <v>73754</v>
      </c>
      <c r="S20" s="91" t="s">
        <v>262</v>
      </c>
      <c r="T20" s="98"/>
      <c r="U20" s="98"/>
      <c r="V20" s="99" t="n">
        <v>156569</v>
      </c>
      <c r="W20" s="91"/>
      <c r="X20" s="101"/>
      <c r="Y20" s="101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customFormat="false" ht="12.75" hidden="false" customHeight="false" outlineLevel="0" collapsed="false">
      <c r="A21" s="90"/>
      <c r="B21" s="91" t="s">
        <v>172</v>
      </c>
      <c r="C21" s="92" t="s">
        <v>258</v>
      </c>
      <c r="D21" s="92"/>
      <c r="E21" s="93" t="n">
        <v>36100</v>
      </c>
      <c r="F21" s="77" t="n">
        <v>36830</v>
      </c>
      <c r="G21" s="91" t="s">
        <v>263</v>
      </c>
      <c r="H21" s="91" t="s">
        <v>264</v>
      </c>
      <c r="I21" s="92" t="s">
        <v>88</v>
      </c>
      <c r="J21" s="94" t="n">
        <f aca="false">4.56/J$1</f>
        <v>0.147096774193548</v>
      </c>
      <c r="K21" s="95" t="n">
        <v>0.0132</v>
      </c>
      <c r="L21" s="95" t="n">
        <v>0.0022</v>
      </c>
      <c r="M21" s="95" t="n">
        <v>0.0072</v>
      </c>
      <c r="N21" s="95" t="n">
        <v>0</v>
      </c>
      <c r="O21" s="96" t="n">
        <v>0.02116</v>
      </c>
      <c r="P21" s="95" t="n">
        <f aca="false">SUM(J21:N21)</f>
        <v>0.169696774193548</v>
      </c>
      <c r="Q21" s="81" t="n">
        <v>61822</v>
      </c>
      <c r="R21" s="76" t="n">
        <v>4000</v>
      </c>
      <c r="S21" s="91" t="s">
        <v>265</v>
      </c>
      <c r="T21" s="98" t="n">
        <f aca="false">J21*J$1*R21</f>
        <v>18240</v>
      </c>
      <c r="U21" s="98"/>
      <c r="V21" s="99" t="n">
        <v>162284</v>
      </c>
      <c r="W21" s="91"/>
      <c r="X21" s="101"/>
      <c r="Y21" s="101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  <row r="22" customFormat="false" ht="12.75" hidden="false" customHeight="false" outlineLevel="0" collapsed="false">
      <c r="A22" s="90"/>
      <c r="B22" s="91" t="s">
        <v>172</v>
      </c>
      <c r="C22" s="92" t="s">
        <v>258</v>
      </c>
      <c r="D22" s="92" t="s">
        <v>266</v>
      </c>
      <c r="E22" s="93" t="n">
        <v>36526</v>
      </c>
      <c r="F22" s="77" t="n">
        <v>36830</v>
      </c>
      <c r="G22" s="91" t="s">
        <v>267</v>
      </c>
      <c r="H22" s="91" t="s">
        <v>268</v>
      </c>
      <c r="I22" s="92" t="s">
        <v>88</v>
      </c>
      <c r="J22" s="94" t="n">
        <f aca="false">4.56/J$1</f>
        <v>0.147096774193548</v>
      </c>
      <c r="K22" s="95" t="n">
        <v>0.0132</v>
      </c>
      <c r="L22" s="95" t="n">
        <v>0.0022</v>
      </c>
      <c r="M22" s="95" t="n">
        <v>0.0075</v>
      </c>
      <c r="N22" s="95" t="n">
        <v>0</v>
      </c>
      <c r="O22" s="96" t="n">
        <v>0.02116</v>
      </c>
      <c r="P22" s="95" t="n">
        <f aca="false">SUM(J22:N22)</f>
        <v>0.169996774193548</v>
      </c>
      <c r="Q22" s="81" t="n">
        <v>61825</v>
      </c>
      <c r="R22" s="76" t="n">
        <v>2000</v>
      </c>
      <c r="S22" s="91" t="s">
        <v>269</v>
      </c>
      <c r="T22" s="98" t="n">
        <f aca="false">J22*J$1*R22</f>
        <v>9120</v>
      </c>
      <c r="U22" s="98"/>
      <c r="V22" s="99" t="n">
        <v>156570</v>
      </c>
      <c r="W22" s="98"/>
      <c r="X22" s="101"/>
      <c r="Y22" s="101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</row>
    <row r="23" customFormat="false" ht="12.75" hidden="false" customHeight="false" outlineLevel="0" collapsed="false">
      <c r="A23" s="90"/>
      <c r="B23" s="91" t="s">
        <v>172</v>
      </c>
      <c r="C23" s="92" t="s">
        <v>258</v>
      </c>
      <c r="D23" s="92" t="s">
        <v>266</v>
      </c>
      <c r="E23" s="93" t="n">
        <v>36526</v>
      </c>
      <c r="F23" s="77" t="n">
        <v>36830</v>
      </c>
      <c r="G23" s="91" t="s">
        <v>270</v>
      </c>
      <c r="H23" s="91" t="s">
        <v>268</v>
      </c>
      <c r="I23" s="92" t="s">
        <v>88</v>
      </c>
      <c r="J23" s="94" t="n">
        <f aca="false">4.56/J$1</f>
        <v>0.147096774193548</v>
      </c>
      <c r="K23" s="95" t="n">
        <v>0.0132</v>
      </c>
      <c r="L23" s="95" t="n">
        <v>0.0022</v>
      </c>
      <c r="M23" s="95" t="n">
        <v>0.0075</v>
      </c>
      <c r="N23" s="95" t="n">
        <v>0</v>
      </c>
      <c r="O23" s="96" t="n">
        <v>0.02116</v>
      </c>
      <c r="P23" s="95" t="n">
        <f aca="false">SUM(J23:N23)</f>
        <v>0.169996774193548</v>
      </c>
      <c r="Q23" s="81" t="n">
        <v>61825</v>
      </c>
      <c r="R23" s="76" t="n">
        <v>5000</v>
      </c>
      <c r="S23" s="91" t="s">
        <v>269</v>
      </c>
      <c r="T23" s="98" t="n">
        <f aca="false">J23*J$1*R23</f>
        <v>22800</v>
      </c>
      <c r="U23" s="98"/>
      <c r="V23" s="99" t="n">
        <v>156570</v>
      </c>
      <c r="W23" s="98"/>
      <c r="X23" s="101"/>
      <c r="Y23" s="101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</row>
    <row r="24" customFormat="false" ht="12.75" hidden="false" customHeight="false" outlineLevel="0" collapsed="false">
      <c r="A24" s="90"/>
      <c r="B24" s="91" t="s">
        <v>172</v>
      </c>
      <c r="C24" s="92" t="s">
        <v>258</v>
      </c>
      <c r="D24" s="92" t="s">
        <v>266</v>
      </c>
      <c r="E24" s="93" t="n">
        <v>36526</v>
      </c>
      <c r="F24" s="77" t="n">
        <v>36830</v>
      </c>
      <c r="G24" s="91" t="s">
        <v>271</v>
      </c>
      <c r="H24" s="91" t="s">
        <v>268</v>
      </c>
      <c r="I24" s="92" t="s">
        <v>88</v>
      </c>
      <c r="J24" s="94" t="n">
        <f aca="false">4.56/J$1</f>
        <v>0.147096774193548</v>
      </c>
      <c r="K24" s="95" t="n">
        <v>0.0132</v>
      </c>
      <c r="L24" s="95" t="n">
        <v>0.0022</v>
      </c>
      <c r="M24" s="95" t="n">
        <v>0.0075</v>
      </c>
      <c r="N24" s="95" t="n">
        <v>0</v>
      </c>
      <c r="O24" s="96" t="n">
        <v>0.02116</v>
      </c>
      <c r="P24" s="95" t="n">
        <f aca="false">SUM(J24:N24)</f>
        <v>0.169996774193548</v>
      </c>
      <c r="Q24" s="81" t="n">
        <v>61825</v>
      </c>
      <c r="R24" s="76" t="n">
        <v>1000</v>
      </c>
      <c r="S24" s="91" t="s">
        <v>269</v>
      </c>
      <c r="T24" s="98" t="n">
        <f aca="false">J24*J$1*R24</f>
        <v>4560</v>
      </c>
      <c r="U24" s="98"/>
      <c r="V24" s="99" t="n">
        <v>156570</v>
      </c>
      <c r="W24" s="98"/>
      <c r="X24" s="101"/>
      <c r="Y24" s="101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  <c r="IW24" s="90"/>
    </row>
    <row r="25" customFormat="false" ht="12.75" hidden="false" customHeight="false" outlineLevel="0" collapsed="false">
      <c r="A25" s="90"/>
      <c r="B25" s="91" t="s">
        <v>172</v>
      </c>
      <c r="C25" s="92" t="s">
        <v>258</v>
      </c>
      <c r="D25" s="92"/>
      <c r="E25" s="93" t="n">
        <v>36100</v>
      </c>
      <c r="F25" s="77" t="n">
        <v>36830</v>
      </c>
      <c r="G25" s="91" t="s">
        <v>267</v>
      </c>
      <c r="H25" s="91" t="s">
        <v>272</v>
      </c>
      <c r="I25" s="92" t="s">
        <v>88</v>
      </c>
      <c r="J25" s="94" t="n">
        <f aca="false">4.56/J$1</f>
        <v>0.147096774193548</v>
      </c>
      <c r="K25" s="95" t="n">
        <v>0.0132</v>
      </c>
      <c r="L25" s="95" t="n">
        <v>0.0022</v>
      </c>
      <c r="M25" s="95" t="n">
        <v>0.0072</v>
      </c>
      <c r="N25" s="95" t="n">
        <v>0</v>
      </c>
      <c r="O25" s="96" t="n">
        <v>0.02116</v>
      </c>
      <c r="P25" s="95" t="n">
        <f aca="false">SUM(J25:N25)</f>
        <v>0.169696774193548</v>
      </c>
      <c r="Q25" s="81" t="n">
        <v>61838</v>
      </c>
      <c r="R25" s="76" t="n">
        <v>1000</v>
      </c>
      <c r="S25" s="91" t="s">
        <v>273</v>
      </c>
      <c r="T25" s="98" t="n">
        <f aca="false">J25*J$1*R25</f>
        <v>4560</v>
      </c>
      <c r="U25" s="98"/>
      <c r="V25" s="99" t="n">
        <v>156571</v>
      </c>
      <c r="W25" s="91"/>
      <c r="X25" s="101"/>
      <c r="Y25" s="101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  <c r="IV25" s="90"/>
      <c r="IW25" s="90"/>
    </row>
    <row r="26" customFormat="false" ht="12.75" hidden="false" customHeight="false" outlineLevel="0" collapsed="false">
      <c r="A26" s="90"/>
      <c r="B26" s="91" t="s">
        <v>172</v>
      </c>
      <c r="C26" s="92" t="s">
        <v>258</v>
      </c>
      <c r="D26" s="92" t="s">
        <v>266</v>
      </c>
      <c r="E26" s="93" t="n">
        <v>36526</v>
      </c>
      <c r="F26" s="77" t="n">
        <v>36830</v>
      </c>
      <c r="G26" s="91" t="s">
        <v>267</v>
      </c>
      <c r="H26" s="91" t="s">
        <v>274</v>
      </c>
      <c r="I26" s="92" t="s">
        <v>88</v>
      </c>
      <c r="J26" s="94" t="n">
        <f aca="false">4.56/J$1</f>
        <v>0.147096774193548</v>
      </c>
      <c r="K26" s="95" t="n">
        <v>0.0132</v>
      </c>
      <c r="L26" s="95" t="n">
        <v>0.0022</v>
      </c>
      <c r="M26" s="95" t="n">
        <v>0.0075</v>
      </c>
      <c r="N26" s="95" t="n">
        <v>0</v>
      </c>
      <c r="O26" s="96" t="n">
        <v>0.02116</v>
      </c>
      <c r="P26" s="95" t="n">
        <f aca="false">SUM(J26:N26)</f>
        <v>0.169996774193548</v>
      </c>
      <c r="Q26" s="81" t="n">
        <v>61990</v>
      </c>
      <c r="R26" s="76" t="n">
        <v>2000</v>
      </c>
      <c r="S26" s="91" t="s">
        <v>275</v>
      </c>
      <c r="T26" s="98" t="n">
        <f aca="false">J26*J$1*R26</f>
        <v>9120</v>
      </c>
      <c r="U26" s="98"/>
      <c r="V26" s="99" t="n">
        <v>156573</v>
      </c>
      <c r="W26" s="98"/>
      <c r="X26" s="101"/>
      <c r="Y26" s="101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  <c r="IW26" s="90"/>
    </row>
    <row r="27" customFormat="false" ht="12.75" hidden="false" customHeight="false" outlineLevel="0" collapsed="false">
      <c r="A27" s="90"/>
      <c r="B27" s="91" t="s">
        <v>172</v>
      </c>
      <c r="C27" s="92" t="s">
        <v>258</v>
      </c>
      <c r="D27" s="92" t="s">
        <v>266</v>
      </c>
      <c r="E27" s="93" t="n">
        <v>36465</v>
      </c>
      <c r="F27" s="77" t="n">
        <v>36891</v>
      </c>
      <c r="G27" s="91"/>
      <c r="H27" s="91" t="s">
        <v>276</v>
      </c>
      <c r="I27" s="92" t="s">
        <v>88</v>
      </c>
      <c r="J27" s="94" t="n">
        <f aca="false">3.0417/30.417</f>
        <v>0.1</v>
      </c>
      <c r="K27" s="95" t="n">
        <v>0.0132</v>
      </c>
      <c r="L27" s="95" t="n">
        <v>0.0022</v>
      </c>
      <c r="M27" s="95" t="n">
        <v>0.0075</v>
      </c>
      <c r="N27" s="95" t="n">
        <v>0</v>
      </c>
      <c r="O27" s="96" t="n">
        <v>0.02116</v>
      </c>
      <c r="P27" s="95" t="n">
        <f aca="false">SUM(J27:N27)</f>
        <v>0.1229</v>
      </c>
      <c r="Q27" s="81" t="n">
        <v>62164</v>
      </c>
      <c r="R27" s="76" t="n">
        <v>2000</v>
      </c>
      <c r="S27" s="91" t="s">
        <v>277</v>
      </c>
      <c r="T27" s="98" t="n">
        <f aca="false">J27*J$1*R27</f>
        <v>6200</v>
      </c>
      <c r="U27" s="99"/>
      <c r="V27" s="101" t="s">
        <v>278</v>
      </c>
      <c r="W27" s="101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  <c r="IW27" s="90"/>
    </row>
    <row r="28" customFormat="false" ht="12.75" hidden="false" customHeight="false" outlineLevel="0" collapsed="false">
      <c r="A28" s="90"/>
      <c r="B28" s="91" t="s">
        <v>172</v>
      </c>
      <c r="C28" s="92" t="s">
        <v>258</v>
      </c>
      <c r="D28" s="92" t="s">
        <v>259</v>
      </c>
      <c r="E28" s="93" t="n">
        <v>36800</v>
      </c>
      <c r="F28" s="77" t="n">
        <v>36981</v>
      </c>
      <c r="G28" s="91" t="s">
        <v>260</v>
      </c>
      <c r="H28" s="91" t="s">
        <v>279</v>
      </c>
      <c r="I28" s="92" t="s">
        <v>280</v>
      </c>
      <c r="J28" s="94" t="n">
        <f aca="false">6.029/J$1</f>
        <v>0.194483870967742</v>
      </c>
      <c r="K28" s="95" t="n">
        <v>0.013</v>
      </c>
      <c r="L28" s="95" t="n">
        <v>0.0022</v>
      </c>
      <c r="M28" s="95" t="n">
        <v>0.0072</v>
      </c>
      <c r="N28" s="95" t="n">
        <v>0</v>
      </c>
      <c r="O28" s="96" t="n">
        <v>0.02116</v>
      </c>
      <c r="P28" s="95" t="n">
        <f aca="false">SUM(J28:N28)</f>
        <v>0.216883870967742</v>
      </c>
      <c r="Q28" s="81" t="n">
        <v>67694</v>
      </c>
      <c r="R28" s="76" t="n">
        <v>108648</v>
      </c>
      <c r="S28" s="91" t="s">
        <v>141</v>
      </c>
      <c r="T28" s="98" t="n">
        <f aca="false">J28*J$1*R28</f>
        <v>655038.792</v>
      </c>
      <c r="U28" s="98"/>
      <c r="V28" s="99" t="n">
        <v>231723</v>
      </c>
      <c r="W28" s="91"/>
      <c r="X28" s="101"/>
      <c r="Y28" s="101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  <c r="IW28" s="90"/>
    </row>
    <row r="29" customFormat="false" ht="12.75" hidden="false" customHeight="false" outlineLevel="0" collapsed="false">
      <c r="A29" s="90"/>
      <c r="B29" s="91" t="s">
        <v>172</v>
      </c>
      <c r="C29" s="92" t="s">
        <v>258</v>
      </c>
      <c r="D29" s="92" t="s">
        <v>259</v>
      </c>
      <c r="E29" s="93" t="n">
        <v>36617</v>
      </c>
      <c r="F29" s="77" t="n">
        <v>36981</v>
      </c>
      <c r="G29" s="91" t="s">
        <v>260</v>
      </c>
      <c r="H29" s="91" t="s">
        <v>195</v>
      </c>
      <c r="I29" s="92" t="s">
        <v>261</v>
      </c>
      <c r="J29" s="94" t="n">
        <v>0.0293</v>
      </c>
      <c r="K29" s="95" t="n">
        <v>0</v>
      </c>
      <c r="L29" s="95" t="n">
        <v>0</v>
      </c>
      <c r="M29" s="95" t="n">
        <v>0</v>
      </c>
      <c r="N29" s="95" t="n">
        <v>0</v>
      </c>
      <c r="O29" s="96" t="n">
        <v>0</v>
      </c>
      <c r="P29" s="95" t="n">
        <f aca="false">SUM(J29:N29)</f>
        <v>0.0293</v>
      </c>
      <c r="Q29" s="81" t="n">
        <v>67712</v>
      </c>
      <c r="R29" s="76" t="n">
        <v>6050607</v>
      </c>
      <c r="S29" s="91" t="s">
        <v>281</v>
      </c>
      <c r="T29" s="98" t="n">
        <f aca="false">J29*R29</f>
        <v>177282.7851</v>
      </c>
      <c r="U29" s="98"/>
      <c r="V29" s="99" t="n">
        <v>235876</v>
      </c>
      <c r="W29" s="91" t="n">
        <v>231698</v>
      </c>
      <c r="X29" s="101"/>
      <c r="Y29" s="101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  <c r="IW29" s="90"/>
    </row>
    <row r="30" customFormat="false" ht="12.75" hidden="false" customHeight="false" outlineLevel="0" collapsed="false">
      <c r="A30" s="90"/>
      <c r="B30" s="91" t="s">
        <v>172</v>
      </c>
      <c r="C30" s="92" t="s">
        <v>258</v>
      </c>
      <c r="D30" s="92" t="s">
        <v>259</v>
      </c>
      <c r="E30" s="93" t="n">
        <v>36617</v>
      </c>
      <c r="F30" s="77" t="n">
        <v>36981</v>
      </c>
      <c r="G30" s="91" t="s">
        <v>260</v>
      </c>
      <c r="H30" s="91" t="s">
        <v>197</v>
      </c>
      <c r="I30" s="92" t="s">
        <v>261</v>
      </c>
      <c r="J30" s="94" t="n">
        <v>1.524</v>
      </c>
      <c r="K30" s="95" t="n">
        <v>0</v>
      </c>
      <c r="L30" s="95" t="n">
        <v>0</v>
      </c>
      <c r="M30" s="95" t="n">
        <v>0</v>
      </c>
      <c r="N30" s="95" t="n">
        <v>0</v>
      </c>
      <c r="O30" s="96" t="n">
        <v>0</v>
      </c>
      <c r="P30" s="95" t="n">
        <f aca="false">SUM(J30:N30)</f>
        <v>1.524</v>
      </c>
      <c r="Q30" s="81" t="n">
        <v>67712</v>
      </c>
      <c r="R30" s="76" t="n">
        <v>108648</v>
      </c>
      <c r="S30" s="91" t="s">
        <v>281</v>
      </c>
      <c r="T30" s="98" t="n">
        <f aca="false">J30*R30</f>
        <v>165579.552</v>
      </c>
      <c r="U30" s="98"/>
      <c r="V30" s="99" t="n">
        <v>235876</v>
      </c>
      <c r="W30" s="91" t="n">
        <v>231698</v>
      </c>
      <c r="X30" s="101"/>
      <c r="Y30" s="101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  <c r="IW30" s="90"/>
    </row>
    <row r="31" customFormat="false" ht="12.75" hidden="false" customHeight="false" outlineLevel="0" collapsed="false">
      <c r="A31" s="90"/>
      <c r="B31" s="91" t="s">
        <v>172</v>
      </c>
      <c r="C31" s="92" t="s">
        <v>258</v>
      </c>
      <c r="D31" s="92" t="s">
        <v>259</v>
      </c>
      <c r="E31" s="93" t="n">
        <v>36617</v>
      </c>
      <c r="F31" s="77" t="n">
        <v>36981</v>
      </c>
      <c r="G31" s="91" t="s">
        <v>260</v>
      </c>
      <c r="H31" s="91" t="s">
        <v>195</v>
      </c>
      <c r="I31" s="92" t="s">
        <v>261</v>
      </c>
      <c r="J31" s="94" t="n">
        <v>0</v>
      </c>
      <c r="K31" s="95" t="n">
        <v>0</v>
      </c>
      <c r="L31" s="95" t="n">
        <v>0</v>
      </c>
      <c r="M31" s="95" t="n">
        <v>0</v>
      </c>
      <c r="N31" s="95" t="n">
        <v>0</v>
      </c>
      <c r="O31" s="96" t="n">
        <v>0</v>
      </c>
      <c r="P31" s="95" t="n">
        <f aca="false">SUM(J31:N31)</f>
        <v>0</v>
      </c>
      <c r="Q31" s="81" t="n">
        <v>67713</v>
      </c>
      <c r="R31" s="76" t="n">
        <v>0</v>
      </c>
      <c r="S31" s="91" t="s">
        <v>282</v>
      </c>
      <c r="T31" s="98" t="n">
        <f aca="false">J31*R31</f>
        <v>0</v>
      </c>
      <c r="U31" s="98"/>
      <c r="V31" s="99" t="n">
        <v>235876</v>
      </c>
      <c r="W31" s="91"/>
      <c r="X31" s="101"/>
      <c r="Y31" s="101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  <c r="IW31" s="90"/>
    </row>
    <row r="32" customFormat="false" ht="12.75" hidden="false" customHeight="false" outlineLevel="0" collapsed="false">
      <c r="A32" s="90"/>
      <c r="B32" s="91" t="s">
        <v>172</v>
      </c>
      <c r="C32" s="92" t="s">
        <v>258</v>
      </c>
      <c r="D32" s="92" t="s">
        <v>259</v>
      </c>
      <c r="E32" s="93" t="n">
        <v>36617</v>
      </c>
      <c r="F32" s="77" t="n">
        <v>36981</v>
      </c>
      <c r="G32" s="91" t="s">
        <v>260</v>
      </c>
      <c r="H32" s="91" t="s">
        <v>197</v>
      </c>
      <c r="I32" s="92" t="s">
        <v>261</v>
      </c>
      <c r="J32" s="94" t="n">
        <v>0</v>
      </c>
      <c r="K32" s="95" t="n">
        <v>0</v>
      </c>
      <c r="L32" s="95" t="n">
        <v>0</v>
      </c>
      <c r="M32" s="95" t="n">
        <v>0</v>
      </c>
      <c r="N32" s="95" t="n">
        <v>0</v>
      </c>
      <c r="O32" s="96" t="n">
        <v>0</v>
      </c>
      <c r="P32" s="95" t="n">
        <f aca="false">SUM(J32:N32)</f>
        <v>0</v>
      </c>
      <c r="Q32" s="81" t="n">
        <v>67713</v>
      </c>
      <c r="R32" s="76" t="n">
        <v>0</v>
      </c>
      <c r="S32" s="91" t="s">
        <v>282</v>
      </c>
      <c r="T32" s="98" t="n">
        <f aca="false">J32*R32</f>
        <v>0</v>
      </c>
      <c r="U32" s="98"/>
      <c r="V32" s="99" t="n">
        <v>235876</v>
      </c>
      <c r="W32" s="91"/>
      <c r="X32" s="101"/>
      <c r="Y32" s="101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  <c r="IW32" s="90"/>
    </row>
    <row r="33" customFormat="false" ht="12.75" hidden="false" customHeight="false" outlineLevel="0" collapsed="false">
      <c r="A33" s="90"/>
      <c r="B33" s="91" t="s">
        <v>172</v>
      </c>
      <c r="C33" s="92" t="s">
        <v>258</v>
      </c>
      <c r="D33" s="92" t="s">
        <v>283</v>
      </c>
      <c r="E33" s="93" t="n">
        <v>36678</v>
      </c>
      <c r="F33" s="77" t="n">
        <v>37042</v>
      </c>
      <c r="G33" s="91" t="s">
        <v>284</v>
      </c>
      <c r="H33" s="91" t="s">
        <v>285</v>
      </c>
      <c r="I33" s="92" t="s">
        <v>88</v>
      </c>
      <c r="J33" s="94" t="n">
        <f aca="false">6.401/J$1</f>
        <v>0.206483870967742</v>
      </c>
      <c r="K33" s="95" t="n">
        <v>0.0132</v>
      </c>
      <c r="L33" s="95" t="n">
        <v>0.0022</v>
      </c>
      <c r="M33" s="95" t="n">
        <v>0.0072</v>
      </c>
      <c r="N33" s="95" t="n">
        <v>0</v>
      </c>
      <c r="O33" s="96" t="n">
        <v>0.02116</v>
      </c>
      <c r="P33" s="95" t="n">
        <f aca="false">SUM(J33:N33)</f>
        <v>0.229083870967742</v>
      </c>
      <c r="Q33" s="81" t="n">
        <v>68359</v>
      </c>
      <c r="R33" s="76" t="n">
        <v>285</v>
      </c>
      <c r="S33" s="91" t="s">
        <v>286</v>
      </c>
      <c r="T33" s="98" t="n">
        <f aca="false">J33*J$1*R33</f>
        <v>1824.285</v>
      </c>
      <c r="U33" s="98"/>
      <c r="V33" s="99" t="n">
        <v>271307</v>
      </c>
      <c r="W33" s="91"/>
      <c r="X33" s="101"/>
      <c r="Y33" s="101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  <c r="IW33" s="90"/>
    </row>
    <row r="34" customFormat="false" ht="12.75" hidden="false" customHeight="false" outlineLevel="0" collapsed="false">
      <c r="A34" s="90"/>
      <c r="B34" s="91" t="s">
        <v>172</v>
      </c>
      <c r="C34" s="92" t="s">
        <v>258</v>
      </c>
      <c r="D34" s="92" t="s">
        <v>287</v>
      </c>
      <c r="E34" s="93" t="n">
        <v>36678</v>
      </c>
      <c r="F34" s="77" t="n">
        <v>37042</v>
      </c>
      <c r="G34" s="91" t="s">
        <v>284</v>
      </c>
      <c r="H34" s="91" t="s">
        <v>288</v>
      </c>
      <c r="I34" s="92" t="s">
        <v>88</v>
      </c>
      <c r="J34" s="94" t="n">
        <f aca="false">6.401/J$1</f>
        <v>0.206483870967742</v>
      </c>
      <c r="K34" s="95" t="n">
        <v>0.0132</v>
      </c>
      <c r="L34" s="95" t="n">
        <v>0.0022</v>
      </c>
      <c r="M34" s="95" t="n">
        <v>0.0072</v>
      </c>
      <c r="N34" s="95" t="n">
        <v>0</v>
      </c>
      <c r="O34" s="96" t="n">
        <v>0.02116</v>
      </c>
      <c r="P34" s="95" t="n">
        <f aca="false">SUM(J34:N34)</f>
        <v>0.229083870967742</v>
      </c>
      <c r="Q34" s="81" t="n">
        <v>68384</v>
      </c>
      <c r="R34" s="76" t="n">
        <v>218</v>
      </c>
      <c r="S34" s="91" t="s">
        <v>289</v>
      </c>
      <c r="T34" s="98" t="n">
        <f aca="false">J34*J$1*R34</f>
        <v>1395.418</v>
      </c>
      <c r="U34" s="98"/>
      <c r="V34" s="99" t="n">
        <v>280570</v>
      </c>
      <c r="W34" s="91"/>
      <c r="X34" s="101"/>
      <c r="Y34" s="101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  <c r="IW34" s="90"/>
    </row>
    <row r="35" customFormat="false" ht="12.75" hidden="false" customHeight="false" outlineLevel="0" collapsed="false">
      <c r="A35" s="90"/>
      <c r="B35" s="91" t="s">
        <v>172</v>
      </c>
      <c r="C35" s="92" t="s">
        <v>258</v>
      </c>
      <c r="D35" s="92" t="s">
        <v>283</v>
      </c>
      <c r="E35" s="93" t="n">
        <v>36708</v>
      </c>
      <c r="F35" s="77" t="n">
        <v>37072</v>
      </c>
      <c r="G35" s="91" t="s">
        <v>284</v>
      </c>
      <c r="H35" s="91" t="s">
        <v>285</v>
      </c>
      <c r="I35" s="92" t="s">
        <v>88</v>
      </c>
      <c r="J35" s="94" t="n">
        <f aca="false">6.401/J$1</f>
        <v>0.206483870967742</v>
      </c>
      <c r="K35" s="95" t="n">
        <v>0.0132</v>
      </c>
      <c r="L35" s="95" t="n">
        <v>0.0022</v>
      </c>
      <c r="M35" s="95" t="n">
        <v>0.0072</v>
      </c>
      <c r="N35" s="95" t="n">
        <v>0</v>
      </c>
      <c r="O35" s="96" t="n">
        <v>0.02116</v>
      </c>
      <c r="P35" s="95" t="n">
        <f aca="false">SUM(J35:N35)</f>
        <v>0.229083870967742</v>
      </c>
      <c r="Q35" s="81" t="n">
        <v>68616</v>
      </c>
      <c r="R35" s="76" t="n">
        <v>900</v>
      </c>
      <c r="S35" s="91" t="s">
        <v>290</v>
      </c>
      <c r="T35" s="98" t="n">
        <f aca="false">J35*J$1*R35</f>
        <v>5760.9</v>
      </c>
      <c r="U35" s="98"/>
      <c r="V35" s="99" t="n">
        <v>309723</v>
      </c>
      <c r="W35" s="91" t="s">
        <v>291</v>
      </c>
      <c r="X35" s="101"/>
      <c r="Y35" s="101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  <c r="IW35" s="90"/>
    </row>
    <row r="36" customFormat="false" ht="12.75" hidden="false" customHeight="false" outlineLevel="0" collapsed="false">
      <c r="A36" s="90"/>
      <c r="B36" s="91" t="s">
        <v>172</v>
      </c>
      <c r="C36" s="92" t="s">
        <v>258</v>
      </c>
      <c r="D36" s="92" t="s">
        <v>287</v>
      </c>
      <c r="E36" s="93" t="n">
        <v>36708</v>
      </c>
      <c r="F36" s="77" t="n">
        <v>37072</v>
      </c>
      <c r="G36" s="91" t="s">
        <v>284</v>
      </c>
      <c r="H36" s="91" t="s">
        <v>292</v>
      </c>
      <c r="I36" s="92" t="s">
        <v>88</v>
      </c>
      <c r="J36" s="94" t="n">
        <f aca="false">6.401/J$1</f>
        <v>0.206483870967742</v>
      </c>
      <c r="K36" s="95" t="n">
        <v>0.0132</v>
      </c>
      <c r="L36" s="95" t="n">
        <v>0.0022</v>
      </c>
      <c r="M36" s="95" t="n">
        <v>0.0072</v>
      </c>
      <c r="N36" s="95" t="n">
        <v>0</v>
      </c>
      <c r="O36" s="96" t="n">
        <v>0.02116</v>
      </c>
      <c r="P36" s="95" t="n">
        <f aca="false">SUM(J36:N36)</f>
        <v>0.229083870967742</v>
      </c>
      <c r="Q36" s="81" t="n">
        <v>68635</v>
      </c>
      <c r="R36" s="76" t="n">
        <v>1</v>
      </c>
      <c r="S36" s="91" t="s">
        <v>293</v>
      </c>
      <c r="T36" s="98" t="n">
        <f aca="false">J36*J$1*R36</f>
        <v>6.401</v>
      </c>
      <c r="U36" s="98"/>
      <c r="V36" s="99" t="n">
        <v>312333</v>
      </c>
      <c r="W36" s="91"/>
      <c r="X36" s="101"/>
      <c r="Y36" s="101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  <c r="IW36" s="90"/>
    </row>
    <row r="37" customFormat="false" ht="12.75" hidden="false" customHeight="false" outlineLevel="0" collapsed="false">
      <c r="A37" s="90"/>
      <c r="B37" s="91" t="s">
        <v>172</v>
      </c>
      <c r="C37" s="92" t="s">
        <v>258</v>
      </c>
      <c r="D37" s="92" t="s">
        <v>287</v>
      </c>
      <c r="E37" s="93" t="n">
        <v>36739</v>
      </c>
      <c r="F37" s="77" t="n">
        <v>37103</v>
      </c>
      <c r="G37" s="91" t="s">
        <v>284</v>
      </c>
      <c r="H37" s="91" t="s">
        <v>288</v>
      </c>
      <c r="I37" s="92" t="s">
        <v>88</v>
      </c>
      <c r="J37" s="94" t="n">
        <f aca="false">6.401/J$1</f>
        <v>0.206483870967742</v>
      </c>
      <c r="K37" s="95" t="n">
        <v>0.0132</v>
      </c>
      <c r="L37" s="95" t="n">
        <v>0.0022</v>
      </c>
      <c r="M37" s="95" t="n">
        <v>0.0072</v>
      </c>
      <c r="N37" s="95" t="n">
        <v>0</v>
      </c>
      <c r="O37" s="96" t="n">
        <v>0.02116</v>
      </c>
      <c r="P37" s="95" t="n">
        <f aca="false">SUM(J37:N37)</f>
        <v>0.229083870967742</v>
      </c>
      <c r="Q37" s="81" t="n">
        <v>68926</v>
      </c>
      <c r="R37" s="76" t="n">
        <v>4</v>
      </c>
      <c r="S37" s="91" t="s">
        <v>294</v>
      </c>
      <c r="T37" s="98" t="n">
        <f aca="false">J37*J$1*R37</f>
        <v>25.604</v>
      </c>
      <c r="U37" s="98"/>
      <c r="V37" s="99" t="n">
        <v>345125</v>
      </c>
      <c r="W37" s="91"/>
      <c r="X37" s="101"/>
      <c r="Y37" s="101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90"/>
      <c r="GE37" s="90"/>
      <c r="GF37" s="90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  <c r="IW37" s="90"/>
    </row>
    <row r="38" customFormat="false" ht="12.75" hidden="false" customHeight="false" outlineLevel="0" collapsed="false">
      <c r="A38" s="86"/>
      <c r="B38" s="47" t="s">
        <v>172</v>
      </c>
      <c r="C38" s="45" t="s">
        <v>258</v>
      </c>
      <c r="D38" s="45" t="s">
        <v>287</v>
      </c>
      <c r="E38" s="46" t="n">
        <v>36465</v>
      </c>
      <c r="F38" s="77" t="n">
        <v>36830</v>
      </c>
      <c r="G38" s="47" t="s">
        <v>284</v>
      </c>
      <c r="H38" s="47" t="s">
        <v>288</v>
      </c>
      <c r="I38" s="45" t="s">
        <v>88</v>
      </c>
      <c r="J38" s="59" t="n">
        <f aca="false">6.401/J$1</f>
        <v>0.206483870967742</v>
      </c>
      <c r="K38" s="50" t="n">
        <v>0.0132</v>
      </c>
      <c r="L38" s="50" t="n">
        <v>0.0022</v>
      </c>
      <c r="M38" s="50" t="n">
        <v>0.0072</v>
      </c>
      <c r="N38" s="50" t="n">
        <v>0</v>
      </c>
      <c r="O38" s="51" t="n">
        <v>0.02116</v>
      </c>
      <c r="P38" s="50" t="n">
        <f aca="false">SUM(J38:N38)</f>
        <v>0.229083870967742</v>
      </c>
      <c r="Q38" s="81" t="n">
        <v>65026</v>
      </c>
      <c r="R38" s="76" t="n">
        <v>128</v>
      </c>
      <c r="S38" s="47" t="s">
        <v>295</v>
      </c>
      <c r="T38" s="87" t="n">
        <f aca="false">J38*J$1*R38</f>
        <v>819.328</v>
      </c>
      <c r="U38" s="87"/>
      <c r="V38" s="88" t="n">
        <v>162286</v>
      </c>
      <c r="W38" s="47"/>
      <c r="X38" s="73"/>
      <c r="Y38" s="73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</row>
    <row r="39" customFormat="false" ht="12.75" hidden="false" customHeight="false" outlineLevel="0" collapsed="false">
      <c r="A39" s="86"/>
      <c r="B39" s="47" t="s">
        <v>172</v>
      </c>
      <c r="C39" s="45" t="s">
        <v>258</v>
      </c>
      <c r="D39" s="45" t="s">
        <v>296</v>
      </c>
      <c r="E39" s="46" t="n">
        <v>36465</v>
      </c>
      <c r="F39" s="77" t="n">
        <v>36830</v>
      </c>
      <c r="G39" s="47" t="s">
        <v>284</v>
      </c>
      <c r="H39" s="47" t="s">
        <v>297</v>
      </c>
      <c r="I39" s="45" t="s">
        <v>88</v>
      </c>
      <c r="J39" s="59" t="n">
        <f aca="false">6.401/J$1</f>
        <v>0.206483870967742</v>
      </c>
      <c r="K39" s="50" t="n">
        <v>0.0132</v>
      </c>
      <c r="L39" s="50" t="n">
        <v>0.0022</v>
      </c>
      <c r="M39" s="50" t="n">
        <v>0.0072</v>
      </c>
      <c r="N39" s="50" t="n">
        <v>0</v>
      </c>
      <c r="O39" s="51" t="n">
        <v>0.02116</v>
      </c>
      <c r="P39" s="50" t="n">
        <f aca="false">SUM(J39:N39)</f>
        <v>0.229083870967742</v>
      </c>
      <c r="Q39" s="81" t="n">
        <v>65041</v>
      </c>
      <c r="R39" s="76" t="n">
        <v>9619</v>
      </c>
      <c r="S39" s="47" t="s">
        <v>298</v>
      </c>
      <c r="T39" s="87" t="n">
        <f aca="false">J39*J$1*R39</f>
        <v>61571.219</v>
      </c>
      <c r="U39" s="87"/>
      <c r="V39" s="88" t="n">
        <v>162285</v>
      </c>
      <c r="W39" s="47"/>
      <c r="X39" s="73"/>
      <c r="Y39" s="73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  <c r="IW39" s="86"/>
    </row>
    <row r="40" customFormat="false" ht="12.75" hidden="false" customHeight="false" outlineLevel="0" collapsed="false">
      <c r="A40" s="86"/>
      <c r="B40" s="47" t="s">
        <v>172</v>
      </c>
      <c r="C40" s="45" t="s">
        <v>258</v>
      </c>
      <c r="D40" s="45" t="s">
        <v>296</v>
      </c>
      <c r="E40" s="46" t="n">
        <v>36465</v>
      </c>
      <c r="F40" s="77" t="n">
        <v>36830</v>
      </c>
      <c r="G40" s="47" t="s">
        <v>284</v>
      </c>
      <c r="H40" s="47" t="s">
        <v>299</v>
      </c>
      <c r="I40" s="45" t="s">
        <v>88</v>
      </c>
      <c r="J40" s="59" t="n">
        <f aca="false">6.401/J$1</f>
        <v>0.206483870967742</v>
      </c>
      <c r="K40" s="50" t="n">
        <v>0.0132</v>
      </c>
      <c r="L40" s="50" t="n">
        <v>0.0022</v>
      </c>
      <c r="M40" s="50" t="n">
        <v>0.0072</v>
      </c>
      <c r="N40" s="50" t="n">
        <v>0</v>
      </c>
      <c r="O40" s="51" t="n">
        <v>0.02116</v>
      </c>
      <c r="P40" s="50" t="n">
        <f aca="false">SUM(J40:N40)</f>
        <v>0.229083870967742</v>
      </c>
      <c r="Q40" s="81" t="n">
        <v>65042</v>
      </c>
      <c r="R40" s="76" t="n">
        <v>4427</v>
      </c>
      <c r="S40" s="47" t="s">
        <v>300</v>
      </c>
      <c r="T40" s="87" t="n">
        <f aca="false">J40*J$1*R40</f>
        <v>28337.227</v>
      </c>
      <c r="U40" s="87"/>
      <c r="V40" s="88" t="n">
        <v>162287</v>
      </c>
      <c r="W40" s="47"/>
      <c r="X40" s="73"/>
      <c r="Y40" s="73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  <c r="IW40" s="86"/>
    </row>
    <row r="41" customFormat="false" ht="12.75" hidden="false" customHeight="false" outlineLevel="0" collapsed="false">
      <c r="A41" s="86"/>
      <c r="B41" s="47" t="s">
        <v>172</v>
      </c>
      <c r="C41" s="45" t="s">
        <v>258</v>
      </c>
      <c r="D41" s="45" t="s">
        <v>301</v>
      </c>
      <c r="E41" s="46" t="n">
        <v>36465</v>
      </c>
      <c r="F41" s="77" t="n">
        <v>37011</v>
      </c>
      <c r="G41" s="47" t="s">
        <v>284</v>
      </c>
      <c r="H41" s="47" t="s">
        <v>302</v>
      </c>
      <c r="I41" s="45" t="s">
        <v>88</v>
      </c>
      <c r="J41" s="59" t="n">
        <f aca="false">6.401/J$1</f>
        <v>0.206483870967742</v>
      </c>
      <c r="K41" s="50" t="n">
        <v>0.0132</v>
      </c>
      <c r="L41" s="50" t="n">
        <v>0.0022</v>
      </c>
      <c r="M41" s="50" t="n">
        <v>0.0072</v>
      </c>
      <c r="N41" s="50" t="n">
        <v>0</v>
      </c>
      <c r="O41" s="51" t="n">
        <v>0.02116</v>
      </c>
      <c r="P41" s="50" t="n">
        <f aca="false">SUM(J41:N41)</f>
        <v>0.229083870967742</v>
      </c>
      <c r="Q41" s="81" t="n">
        <v>65108</v>
      </c>
      <c r="R41" s="76" t="n">
        <v>5000</v>
      </c>
      <c r="S41" s="47" t="s">
        <v>303</v>
      </c>
      <c r="T41" s="87" t="n">
        <f aca="false">J41*J$1*R41</f>
        <v>32005</v>
      </c>
      <c r="U41" s="87"/>
      <c r="V41" s="88" t="n">
        <v>163001</v>
      </c>
      <c r="W41" s="47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  <c r="IW41" s="86"/>
    </row>
    <row r="42" customFormat="false" ht="12.75" hidden="false" customHeight="false" outlineLevel="0" collapsed="false">
      <c r="A42" s="86"/>
      <c r="B42" s="47" t="s">
        <v>172</v>
      </c>
      <c r="C42" s="45" t="s">
        <v>258</v>
      </c>
      <c r="D42" s="45"/>
      <c r="E42" s="46" t="n">
        <v>36557</v>
      </c>
      <c r="F42" s="77" t="n">
        <v>36830</v>
      </c>
      <c r="G42" s="47" t="s">
        <v>270</v>
      </c>
      <c r="H42" s="47" t="s">
        <v>264</v>
      </c>
      <c r="I42" s="45" t="s">
        <v>88</v>
      </c>
      <c r="J42" s="59" t="n">
        <f aca="false">4.563/J$1</f>
        <v>0.147193548387097</v>
      </c>
      <c r="K42" s="50" t="n">
        <v>0.0132</v>
      </c>
      <c r="L42" s="50" t="n">
        <v>0.0022</v>
      </c>
      <c r="M42" s="50" t="n">
        <v>0.0072</v>
      </c>
      <c r="N42" s="50" t="n">
        <v>0</v>
      </c>
      <c r="O42" s="51" t="n">
        <v>0.02116</v>
      </c>
      <c r="P42" s="50" t="n">
        <f aca="false">SUM(J42:N42)</f>
        <v>0.169793548387097</v>
      </c>
      <c r="Q42" s="81" t="n">
        <v>65418</v>
      </c>
      <c r="R42" s="76" t="n">
        <v>500</v>
      </c>
      <c r="S42" s="47" t="s">
        <v>304</v>
      </c>
      <c r="T42" s="87" t="n">
        <f aca="false">J42*J$1*R42</f>
        <v>2281.5</v>
      </c>
      <c r="U42" s="87"/>
      <c r="V42" s="88" t="n">
        <v>156599</v>
      </c>
      <c r="W42" s="47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  <c r="IW42" s="86"/>
    </row>
    <row r="43" customFormat="false" ht="12.75" hidden="false" customHeight="false" outlineLevel="0" collapsed="false">
      <c r="A43" s="86"/>
      <c r="B43" s="47" t="s">
        <v>172</v>
      </c>
      <c r="C43" s="45" t="s">
        <v>258</v>
      </c>
      <c r="D43" s="45" t="s">
        <v>287</v>
      </c>
      <c r="E43" s="46" t="n">
        <v>36557</v>
      </c>
      <c r="F43" s="77" t="n">
        <v>36860</v>
      </c>
      <c r="G43" s="47" t="s">
        <v>284</v>
      </c>
      <c r="H43" s="47" t="s">
        <v>288</v>
      </c>
      <c r="I43" s="45" t="s">
        <v>88</v>
      </c>
      <c r="J43" s="59" t="n">
        <f aca="false">6.401/J$1</f>
        <v>0.206483870967742</v>
      </c>
      <c r="K43" s="50" t="n">
        <v>0.0132</v>
      </c>
      <c r="L43" s="50" t="n">
        <v>0.0022</v>
      </c>
      <c r="M43" s="50" t="n">
        <v>0.0072</v>
      </c>
      <c r="N43" s="50" t="n">
        <v>0</v>
      </c>
      <c r="O43" s="51" t="n">
        <v>0.02116</v>
      </c>
      <c r="P43" s="50" t="n">
        <f aca="false">SUM(J43:N43)</f>
        <v>0.229083870967742</v>
      </c>
      <c r="Q43" s="81" t="n">
        <v>65556</v>
      </c>
      <c r="R43" s="76" t="n">
        <v>3</v>
      </c>
      <c r="S43" s="47" t="s">
        <v>305</v>
      </c>
      <c r="T43" s="87" t="n">
        <f aca="false">J43*J$1*R43</f>
        <v>19.203</v>
      </c>
      <c r="U43" s="87"/>
      <c r="V43" s="88" t="n">
        <v>156602</v>
      </c>
      <c r="W43" s="47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</row>
    <row r="44" customFormat="false" ht="12.75" hidden="false" customHeight="false" outlineLevel="0" collapsed="false">
      <c r="A44" s="86"/>
      <c r="B44" s="47" t="s">
        <v>172</v>
      </c>
      <c r="C44" s="45" t="s">
        <v>258</v>
      </c>
      <c r="D44" s="45" t="s">
        <v>178</v>
      </c>
      <c r="E44" s="46" t="n">
        <v>36557</v>
      </c>
      <c r="F44" s="77" t="n">
        <v>36922</v>
      </c>
      <c r="G44" s="47" t="s">
        <v>306</v>
      </c>
      <c r="H44" s="47" t="s">
        <v>307</v>
      </c>
      <c r="I44" s="45" t="s">
        <v>88</v>
      </c>
      <c r="J44" s="59" t="n">
        <f aca="false">6.401/J$1</f>
        <v>0.206483870967742</v>
      </c>
      <c r="K44" s="50"/>
      <c r="L44" s="50"/>
      <c r="M44" s="50"/>
      <c r="N44" s="50"/>
      <c r="O44" s="51"/>
      <c r="P44" s="50"/>
      <c r="Q44" s="81" t="n">
        <v>66280</v>
      </c>
      <c r="R44" s="76" t="n">
        <v>1</v>
      </c>
      <c r="S44" s="47" t="s">
        <v>308</v>
      </c>
      <c r="T44" s="87" t="n">
        <f aca="false">J44*J$1*R44</f>
        <v>6.401</v>
      </c>
      <c r="U44" s="87"/>
      <c r="V44" s="88" t="n">
        <v>156606</v>
      </c>
      <c r="W44" s="47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</row>
    <row r="45" customFormat="false" ht="12.75" hidden="false" customHeight="false" outlineLevel="0" collapsed="false">
      <c r="A45" s="86"/>
      <c r="B45" s="47" t="s">
        <v>172</v>
      </c>
      <c r="C45" s="45" t="s">
        <v>258</v>
      </c>
      <c r="D45" s="45" t="s">
        <v>178</v>
      </c>
      <c r="E45" s="46" t="n">
        <v>36557</v>
      </c>
      <c r="F45" s="77" t="n">
        <v>36922</v>
      </c>
      <c r="G45" s="47" t="s">
        <v>306</v>
      </c>
      <c r="H45" s="47" t="s">
        <v>309</v>
      </c>
      <c r="I45" s="45" t="s">
        <v>88</v>
      </c>
      <c r="J45" s="59" t="n">
        <f aca="false">6.401/J$1</f>
        <v>0.206483870967742</v>
      </c>
      <c r="K45" s="50"/>
      <c r="L45" s="50"/>
      <c r="M45" s="50"/>
      <c r="N45" s="50"/>
      <c r="O45" s="51"/>
      <c r="P45" s="50"/>
      <c r="Q45" s="81" t="n">
        <v>66280</v>
      </c>
      <c r="R45" s="76" t="n">
        <v>4</v>
      </c>
      <c r="S45" s="47" t="s">
        <v>308</v>
      </c>
      <c r="T45" s="87" t="n">
        <f aca="false">J45*J$1*R45</f>
        <v>25.604</v>
      </c>
      <c r="U45" s="87"/>
      <c r="V45" s="88" t="n">
        <v>156606</v>
      </c>
      <c r="W45" s="47"/>
      <c r="X45" s="73"/>
      <c r="Y45" s="73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</row>
    <row r="46" customFormat="false" ht="12.75" hidden="false" customHeight="false" outlineLevel="0" collapsed="false">
      <c r="A46" s="86"/>
      <c r="B46" s="47" t="s">
        <v>172</v>
      </c>
      <c r="C46" s="45" t="s">
        <v>258</v>
      </c>
      <c r="D46" s="45" t="s">
        <v>178</v>
      </c>
      <c r="E46" s="46" t="n">
        <v>36656</v>
      </c>
      <c r="F46" s="77" t="n">
        <v>36950</v>
      </c>
      <c r="G46" s="47" t="s">
        <v>306</v>
      </c>
      <c r="H46" s="47" t="s">
        <v>307</v>
      </c>
      <c r="I46" s="45" t="s">
        <v>88</v>
      </c>
      <c r="J46" s="59" t="n">
        <v>6.449</v>
      </c>
      <c r="K46" s="50"/>
      <c r="L46" s="50"/>
      <c r="M46" s="50"/>
      <c r="N46" s="50"/>
      <c r="O46" s="51"/>
      <c r="P46" s="50"/>
      <c r="Q46" s="81" t="n">
        <v>68308</v>
      </c>
      <c r="R46" s="76" t="n">
        <v>5</v>
      </c>
      <c r="S46" s="47" t="s">
        <v>310</v>
      </c>
      <c r="T46" s="87" t="n">
        <f aca="false">+R46*J46</f>
        <v>32.245</v>
      </c>
      <c r="U46" s="87"/>
      <c r="V46" s="88" t="n">
        <v>262094</v>
      </c>
      <c r="W46" s="47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  <c r="IW46" s="86"/>
    </row>
    <row r="47" customFormat="false" ht="12.75" hidden="false" customHeight="false" outlineLevel="0" collapsed="false">
      <c r="A47" s="86"/>
      <c r="B47" s="47" t="s">
        <v>172</v>
      </c>
      <c r="C47" s="45" t="s">
        <v>258</v>
      </c>
      <c r="D47" s="45" t="s">
        <v>178</v>
      </c>
      <c r="E47" s="46" t="n">
        <v>36656</v>
      </c>
      <c r="F47" s="77" t="n">
        <v>36950</v>
      </c>
      <c r="G47" s="47" t="s">
        <v>306</v>
      </c>
      <c r="H47" s="47" t="s">
        <v>309</v>
      </c>
      <c r="I47" s="45" t="s">
        <v>88</v>
      </c>
      <c r="J47" s="59" t="n">
        <v>6.449</v>
      </c>
      <c r="K47" s="50"/>
      <c r="L47" s="50"/>
      <c r="M47" s="50"/>
      <c r="N47" s="50"/>
      <c r="O47" s="51"/>
      <c r="P47" s="50"/>
      <c r="Q47" s="81" t="n">
        <v>68308</v>
      </c>
      <c r="R47" s="76" t="n">
        <v>4</v>
      </c>
      <c r="S47" s="47" t="s">
        <v>310</v>
      </c>
      <c r="T47" s="87" t="n">
        <f aca="false">+R47*J47</f>
        <v>25.796</v>
      </c>
      <c r="U47" s="87"/>
      <c r="V47" s="88" t="n">
        <v>262094</v>
      </c>
      <c r="W47" s="47"/>
      <c r="X47" s="73"/>
      <c r="Y47" s="73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</row>
    <row r="48" customFormat="false" ht="12.75" hidden="false" customHeight="false" outlineLevel="0" collapsed="false">
      <c r="A48" s="86"/>
      <c r="B48" s="47" t="s">
        <v>172</v>
      </c>
      <c r="C48" s="45" t="s">
        <v>258</v>
      </c>
      <c r="D48" s="45" t="s">
        <v>311</v>
      </c>
      <c r="E48" s="46" t="n">
        <v>36617</v>
      </c>
      <c r="F48" s="46" t="s">
        <v>312</v>
      </c>
      <c r="G48" s="47" t="s">
        <v>313</v>
      </c>
      <c r="H48" s="47"/>
      <c r="I48" s="45" t="s">
        <v>314</v>
      </c>
      <c r="J48" s="59"/>
      <c r="K48" s="50"/>
      <c r="L48" s="50"/>
      <c r="M48" s="50"/>
      <c r="N48" s="50"/>
      <c r="O48" s="51"/>
      <c r="P48" s="50"/>
      <c r="Q48" s="52" t="n">
        <v>66917</v>
      </c>
      <c r="R48" s="45"/>
      <c r="S48" s="47"/>
      <c r="T48" s="87"/>
      <c r="U48" s="87"/>
      <c r="V48" s="88" t="n">
        <v>228085</v>
      </c>
      <c r="W48" s="47"/>
      <c r="X48" s="73"/>
      <c r="Y48" s="73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  <c r="IW48" s="86"/>
    </row>
    <row r="49" customFormat="false" ht="12.75" hidden="false" customHeight="false" outlineLevel="0" collapsed="false">
      <c r="A49" s="86"/>
      <c r="B49" s="47" t="s">
        <v>172</v>
      </c>
      <c r="C49" s="45" t="s">
        <v>258</v>
      </c>
      <c r="D49" s="45" t="s">
        <v>178</v>
      </c>
      <c r="E49" s="46" t="n">
        <v>36617</v>
      </c>
      <c r="F49" s="77" t="n">
        <v>36981</v>
      </c>
      <c r="G49" s="47" t="s">
        <v>306</v>
      </c>
      <c r="H49" s="47" t="s">
        <v>307</v>
      </c>
      <c r="I49" s="45" t="s">
        <v>88</v>
      </c>
      <c r="J49" s="59" t="n">
        <f aca="false">6.401/$J$1</f>
        <v>0.206483870967742</v>
      </c>
      <c r="K49" s="50"/>
      <c r="L49" s="50"/>
      <c r="M49" s="50"/>
      <c r="N49" s="50"/>
      <c r="O49" s="51"/>
      <c r="P49" s="50"/>
      <c r="Q49" s="81" t="n">
        <v>66939</v>
      </c>
      <c r="R49" s="76" t="n">
        <v>5</v>
      </c>
      <c r="S49" s="47" t="s">
        <v>315</v>
      </c>
      <c r="T49" s="87" t="n">
        <f aca="false">+R49*J49</f>
        <v>1.03241935483871</v>
      </c>
      <c r="U49" s="87"/>
      <c r="V49" s="88"/>
      <c r="W49" s="47"/>
      <c r="X49" s="73"/>
      <c r="Y49" s="73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  <c r="IW49" s="86"/>
    </row>
    <row r="50" customFormat="false" ht="12.75" hidden="false" customHeight="false" outlineLevel="0" collapsed="false">
      <c r="A50" s="86"/>
      <c r="B50" s="47" t="s">
        <v>172</v>
      </c>
      <c r="C50" s="45" t="s">
        <v>258</v>
      </c>
      <c r="D50" s="45" t="s">
        <v>178</v>
      </c>
      <c r="E50" s="46" t="n">
        <v>36617</v>
      </c>
      <c r="F50" s="77" t="n">
        <v>36981</v>
      </c>
      <c r="G50" s="47" t="s">
        <v>306</v>
      </c>
      <c r="H50" s="47" t="s">
        <v>309</v>
      </c>
      <c r="I50" s="45" t="s">
        <v>88</v>
      </c>
      <c r="J50" s="59" t="n">
        <f aca="false">6.401/$J$1</f>
        <v>0.206483870967742</v>
      </c>
      <c r="K50" s="50"/>
      <c r="L50" s="50"/>
      <c r="M50" s="50"/>
      <c r="N50" s="50"/>
      <c r="O50" s="51"/>
      <c r="P50" s="50"/>
      <c r="Q50" s="81" t="n">
        <v>66939</v>
      </c>
      <c r="R50" s="76" t="n">
        <v>27</v>
      </c>
      <c r="S50" s="47" t="s">
        <v>315</v>
      </c>
      <c r="T50" s="87" t="n">
        <f aca="false">+R50*J50</f>
        <v>5.57506451612903</v>
      </c>
      <c r="U50" s="87"/>
      <c r="V50" s="88"/>
      <c r="W50" s="47"/>
      <c r="X50" s="73"/>
      <c r="Y50" s="73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  <c r="IW50" s="86"/>
    </row>
    <row r="51" customFormat="false" ht="12.75" hidden="false" customHeight="false" outlineLevel="0" collapsed="false">
      <c r="A51" s="86"/>
      <c r="B51" s="47" t="s">
        <v>172</v>
      </c>
      <c r="C51" s="45" t="s">
        <v>258</v>
      </c>
      <c r="D51" s="45" t="s">
        <v>178</v>
      </c>
      <c r="E51" s="46" t="n">
        <v>36617</v>
      </c>
      <c r="F51" s="77" t="n">
        <v>36981</v>
      </c>
      <c r="G51" s="47" t="s">
        <v>306</v>
      </c>
      <c r="H51" s="47" t="s">
        <v>316</v>
      </c>
      <c r="I51" s="45" t="s">
        <v>88</v>
      </c>
      <c r="J51" s="59" t="n">
        <f aca="false">6.401/$J$1</f>
        <v>0.206483870967742</v>
      </c>
      <c r="K51" s="50"/>
      <c r="L51" s="50"/>
      <c r="M51" s="50"/>
      <c r="N51" s="50"/>
      <c r="O51" s="51"/>
      <c r="P51" s="50"/>
      <c r="Q51" s="81" t="n">
        <v>66939</v>
      </c>
      <c r="R51" s="76" t="n">
        <v>3</v>
      </c>
      <c r="S51" s="47" t="s">
        <v>315</v>
      </c>
      <c r="T51" s="87" t="n">
        <f aca="false">+R51*J51</f>
        <v>0.619451612903226</v>
      </c>
      <c r="U51" s="87"/>
      <c r="V51" s="88"/>
      <c r="W51" s="47"/>
      <c r="X51" s="73"/>
      <c r="Y51" s="73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  <c r="IV51" s="86"/>
      <c r="IW51" s="86"/>
    </row>
    <row r="52" customFormat="false" ht="12.75" hidden="false" customHeight="false" outlineLevel="0" collapsed="false">
      <c r="A52" s="86"/>
      <c r="B52" s="47" t="s">
        <v>172</v>
      </c>
      <c r="C52" s="45" t="s">
        <v>258</v>
      </c>
      <c r="D52" s="45" t="s">
        <v>178</v>
      </c>
      <c r="E52" s="46" t="n">
        <v>36617</v>
      </c>
      <c r="F52" s="77" t="n">
        <v>36981</v>
      </c>
      <c r="G52" s="47" t="s">
        <v>306</v>
      </c>
      <c r="H52" s="47" t="s">
        <v>317</v>
      </c>
      <c r="I52" s="45" t="s">
        <v>88</v>
      </c>
      <c r="J52" s="59" t="n">
        <f aca="false">6.401/$J$1</f>
        <v>0.206483870967742</v>
      </c>
      <c r="K52" s="50"/>
      <c r="L52" s="50"/>
      <c r="M52" s="50"/>
      <c r="N52" s="50"/>
      <c r="O52" s="51"/>
      <c r="P52" s="50"/>
      <c r="Q52" s="81" t="n">
        <v>66939</v>
      </c>
      <c r="R52" s="76" t="n">
        <v>17</v>
      </c>
      <c r="S52" s="47" t="s">
        <v>315</v>
      </c>
      <c r="T52" s="87" t="n">
        <f aca="false">+R52*J52</f>
        <v>3.51022580645161</v>
      </c>
      <c r="U52" s="87"/>
      <c r="V52" s="88"/>
      <c r="W52" s="47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</row>
    <row r="53" customFormat="false" ht="12.75" hidden="false" customHeight="false" outlineLevel="0" collapsed="false">
      <c r="A53" s="86"/>
      <c r="B53" s="47" t="s">
        <v>172</v>
      </c>
      <c r="C53" s="45" t="s">
        <v>258</v>
      </c>
      <c r="D53" s="45" t="s">
        <v>318</v>
      </c>
      <c r="E53" s="46" t="n">
        <v>36617</v>
      </c>
      <c r="F53" s="77" t="n">
        <v>36981</v>
      </c>
      <c r="G53" s="47" t="s">
        <v>306</v>
      </c>
      <c r="H53" s="47" t="s">
        <v>319</v>
      </c>
      <c r="I53" s="45" t="s">
        <v>88</v>
      </c>
      <c r="J53" s="59" t="n">
        <f aca="false">6.401/$J$1</f>
        <v>0.206483870967742</v>
      </c>
      <c r="K53" s="50"/>
      <c r="L53" s="50"/>
      <c r="M53" s="50"/>
      <c r="N53" s="50"/>
      <c r="O53" s="51"/>
      <c r="P53" s="50"/>
      <c r="Q53" s="81" t="n">
        <v>66940</v>
      </c>
      <c r="R53" s="76" t="n">
        <v>1</v>
      </c>
      <c r="S53" s="47" t="s">
        <v>320</v>
      </c>
      <c r="T53" s="87" t="n">
        <f aca="false">+R53*J53</f>
        <v>0.206483870967742</v>
      </c>
      <c r="U53" s="87"/>
      <c r="V53" s="88" t="n">
        <v>228134</v>
      </c>
      <c r="W53" s="47"/>
      <c r="X53" s="73"/>
      <c r="Y53" s="73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  <c r="IW53" s="86"/>
    </row>
    <row r="54" customFormat="false" ht="12.75" hidden="false" customHeight="false" outlineLevel="0" collapsed="false">
      <c r="A54" s="86"/>
      <c r="B54" s="47" t="s">
        <v>172</v>
      </c>
      <c r="C54" s="45" t="s">
        <v>258</v>
      </c>
      <c r="D54" s="45" t="s">
        <v>318</v>
      </c>
      <c r="E54" s="46" t="n">
        <v>36617</v>
      </c>
      <c r="F54" s="77" t="n">
        <v>36981</v>
      </c>
      <c r="G54" s="47" t="s">
        <v>306</v>
      </c>
      <c r="H54" s="47" t="s">
        <v>321</v>
      </c>
      <c r="I54" s="45" t="s">
        <v>88</v>
      </c>
      <c r="J54" s="59" t="n">
        <f aca="false">6.401/$J$1</f>
        <v>0.206483870967742</v>
      </c>
      <c r="K54" s="50"/>
      <c r="L54" s="50"/>
      <c r="M54" s="50"/>
      <c r="N54" s="50"/>
      <c r="O54" s="51"/>
      <c r="P54" s="50"/>
      <c r="Q54" s="81" t="n">
        <v>66940</v>
      </c>
      <c r="R54" s="76" t="n">
        <v>1</v>
      </c>
      <c r="S54" s="47" t="s">
        <v>320</v>
      </c>
      <c r="T54" s="87" t="n">
        <f aca="false">+R54*J54</f>
        <v>0.206483870967742</v>
      </c>
      <c r="U54" s="87"/>
      <c r="V54" s="88" t="n">
        <v>228134</v>
      </c>
      <c r="W54" s="47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  <c r="IW54" s="86"/>
    </row>
    <row r="55" customFormat="false" ht="12.75" hidden="false" customHeight="false" outlineLevel="0" collapsed="false">
      <c r="A55" s="86"/>
      <c r="B55" s="47" t="s">
        <v>172</v>
      </c>
      <c r="C55" s="45" t="s">
        <v>258</v>
      </c>
      <c r="D55" s="45" t="s">
        <v>318</v>
      </c>
      <c r="E55" s="46" t="n">
        <v>36647</v>
      </c>
      <c r="F55" s="77" t="n">
        <v>37011</v>
      </c>
      <c r="G55" s="47" t="s">
        <v>322</v>
      </c>
      <c r="H55" s="47" t="s">
        <v>323</v>
      </c>
      <c r="I55" s="45" t="s">
        <v>88</v>
      </c>
      <c r="J55" s="59" t="n">
        <f aca="false">6.401/J1</f>
        <v>0.206483870967742</v>
      </c>
      <c r="K55" s="50"/>
      <c r="L55" s="50"/>
      <c r="M55" s="50"/>
      <c r="N55" s="50"/>
      <c r="O55" s="51"/>
      <c r="P55" s="50"/>
      <c r="Q55" s="81" t="n">
        <v>68188</v>
      </c>
      <c r="R55" s="76" t="n">
        <v>1</v>
      </c>
      <c r="S55" s="47" t="s">
        <v>324</v>
      </c>
      <c r="T55" s="87" t="n">
        <f aca="false">+J55*R55*13</f>
        <v>2.68429032258065</v>
      </c>
      <c r="U55" s="87"/>
      <c r="V55" s="88" t="n">
        <v>253195</v>
      </c>
      <c r="W55" s="47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</row>
    <row r="56" customFormat="false" ht="12.75" hidden="false" customHeight="false" outlineLevel="0" collapsed="false">
      <c r="A56" s="140"/>
      <c r="B56" s="56" t="s">
        <v>172</v>
      </c>
      <c r="C56" s="125" t="s">
        <v>258</v>
      </c>
      <c r="D56" s="125" t="s">
        <v>37</v>
      </c>
      <c r="E56" s="141" t="n">
        <v>36312</v>
      </c>
      <c r="F56" s="141" t="n">
        <v>37011</v>
      </c>
      <c r="G56" s="56" t="s">
        <v>284</v>
      </c>
      <c r="H56" s="56" t="s">
        <v>325</v>
      </c>
      <c r="I56" s="125" t="s">
        <v>88</v>
      </c>
      <c r="J56" s="142"/>
      <c r="K56" s="89"/>
      <c r="L56" s="89"/>
      <c r="M56" s="89"/>
      <c r="N56" s="89"/>
      <c r="O56" s="143"/>
      <c r="P56" s="89"/>
      <c r="Q56" s="122" t="n">
        <v>65403</v>
      </c>
      <c r="R56" s="125"/>
      <c r="S56" s="56" t="s">
        <v>326</v>
      </c>
      <c r="T56" s="54"/>
      <c r="U56" s="54"/>
      <c r="V56" s="55"/>
      <c r="W56" s="56" t="s">
        <v>327</v>
      </c>
      <c r="X56" s="57"/>
      <c r="Y56" s="57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</row>
    <row r="57" customFormat="false" ht="12.75" hidden="false" customHeight="false" outlineLevel="0" collapsed="false">
      <c r="A57" s="140"/>
      <c r="B57" s="56" t="s">
        <v>172</v>
      </c>
      <c r="C57" s="125" t="s">
        <v>258</v>
      </c>
      <c r="D57" s="125" t="s">
        <v>174</v>
      </c>
      <c r="E57" s="141" t="n">
        <v>36739</v>
      </c>
      <c r="F57" s="144" t="n">
        <v>37103</v>
      </c>
      <c r="G57" s="56" t="s">
        <v>306</v>
      </c>
      <c r="H57" s="56" t="s">
        <v>328</v>
      </c>
      <c r="I57" s="125" t="s">
        <v>88</v>
      </c>
      <c r="J57" s="59" t="n">
        <f aca="false">6.401/$J$1</f>
        <v>0.206483870967742</v>
      </c>
      <c r="K57" s="89"/>
      <c r="L57" s="89"/>
      <c r="M57" s="89"/>
      <c r="N57" s="89"/>
      <c r="O57" s="143"/>
      <c r="P57" s="89"/>
      <c r="Q57" s="145" t="n">
        <v>68928</v>
      </c>
      <c r="R57" s="146" t="n">
        <v>47</v>
      </c>
      <c r="S57" s="56" t="s">
        <v>329</v>
      </c>
      <c r="T57" s="54" t="n">
        <f aca="false">+J57*R57</f>
        <v>9.70474193548387</v>
      </c>
      <c r="U57" s="54"/>
      <c r="V57" s="55" t="n">
        <v>351966</v>
      </c>
      <c r="W57" s="56"/>
      <c r="X57" s="57"/>
      <c r="Y57" s="57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0"/>
      <c r="DF57" s="140"/>
      <c r="DG57" s="140"/>
      <c r="DH57" s="140"/>
      <c r="DI57" s="140"/>
      <c r="DJ57" s="140"/>
      <c r="DK57" s="140"/>
      <c r="DL57" s="140"/>
      <c r="DM57" s="140"/>
      <c r="DN57" s="140"/>
      <c r="DO57" s="140"/>
      <c r="DP57" s="140"/>
      <c r="DQ57" s="140"/>
      <c r="DR57" s="140"/>
      <c r="DS57" s="140"/>
      <c r="DT57" s="140"/>
      <c r="DU57" s="140"/>
      <c r="DV57" s="140"/>
      <c r="DW57" s="140"/>
      <c r="DX57" s="140"/>
      <c r="DY57" s="140"/>
      <c r="DZ57" s="140"/>
      <c r="EA57" s="140"/>
      <c r="EB57" s="140"/>
      <c r="EC57" s="140"/>
      <c r="ED57" s="140"/>
      <c r="EE57" s="140"/>
      <c r="EF57" s="140"/>
      <c r="EG57" s="140"/>
      <c r="EH57" s="140"/>
      <c r="EI57" s="140"/>
      <c r="EJ57" s="140"/>
      <c r="EK57" s="140"/>
      <c r="EL57" s="140"/>
      <c r="EM57" s="140"/>
      <c r="EN57" s="140"/>
      <c r="EO57" s="140"/>
      <c r="EP57" s="140"/>
      <c r="EQ57" s="140"/>
      <c r="ER57" s="140"/>
      <c r="ES57" s="140"/>
      <c r="ET57" s="140"/>
      <c r="EU57" s="140"/>
      <c r="EV57" s="140"/>
      <c r="EW57" s="140"/>
      <c r="EX57" s="140"/>
      <c r="EY57" s="140"/>
      <c r="EZ57" s="140"/>
      <c r="FA57" s="140"/>
      <c r="FB57" s="140"/>
      <c r="FC57" s="140"/>
      <c r="FD57" s="140"/>
      <c r="FE57" s="140"/>
      <c r="FF57" s="140"/>
      <c r="FG57" s="140"/>
      <c r="FH57" s="140"/>
      <c r="FI57" s="140"/>
      <c r="FJ57" s="140"/>
      <c r="FK57" s="140"/>
      <c r="FL57" s="140"/>
      <c r="FM57" s="140"/>
      <c r="FN57" s="140"/>
      <c r="FO57" s="140"/>
      <c r="FP57" s="140"/>
      <c r="FQ57" s="140"/>
      <c r="FR57" s="140"/>
      <c r="FS57" s="140"/>
      <c r="FT57" s="140"/>
      <c r="FU57" s="140"/>
      <c r="FV57" s="140"/>
      <c r="FW57" s="140"/>
      <c r="FX57" s="140"/>
      <c r="FY57" s="140"/>
      <c r="FZ57" s="140"/>
      <c r="GA57" s="140"/>
      <c r="GB57" s="140"/>
      <c r="GC57" s="140"/>
      <c r="GD57" s="140"/>
      <c r="GE57" s="140"/>
      <c r="GF57" s="140"/>
      <c r="GG57" s="140"/>
      <c r="GH57" s="140"/>
      <c r="GI57" s="140"/>
      <c r="GJ57" s="140"/>
      <c r="GK57" s="140"/>
      <c r="GL57" s="140"/>
      <c r="GM57" s="140"/>
      <c r="GN57" s="140"/>
      <c r="GO57" s="140"/>
      <c r="GP57" s="140"/>
      <c r="GQ57" s="140"/>
      <c r="GR57" s="140"/>
      <c r="GS57" s="140"/>
      <c r="GT57" s="140"/>
      <c r="GU57" s="140"/>
      <c r="GV57" s="140"/>
      <c r="GW57" s="140"/>
      <c r="GX57" s="140"/>
      <c r="GY57" s="140"/>
      <c r="GZ57" s="140"/>
      <c r="HA57" s="140"/>
      <c r="HB57" s="140"/>
      <c r="HC57" s="140"/>
      <c r="HD57" s="140"/>
      <c r="HE57" s="140"/>
      <c r="HF57" s="140"/>
      <c r="HG57" s="140"/>
      <c r="HH57" s="140"/>
      <c r="HI57" s="140"/>
      <c r="HJ57" s="140"/>
      <c r="HK57" s="140"/>
      <c r="HL57" s="140"/>
      <c r="HM57" s="140"/>
      <c r="HN57" s="140"/>
      <c r="HO57" s="140"/>
      <c r="HP57" s="140"/>
      <c r="HQ57" s="140"/>
      <c r="HR57" s="140"/>
      <c r="HS57" s="140"/>
      <c r="HT57" s="140"/>
      <c r="HU57" s="140"/>
      <c r="HV57" s="140"/>
      <c r="HW57" s="140"/>
      <c r="HX57" s="140"/>
      <c r="HY57" s="140"/>
      <c r="HZ57" s="140"/>
      <c r="IA57" s="140"/>
      <c r="IB57" s="140"/>
      <c r="IC57" s="140"/>
      <c r="ID57" s="140"/>
      <c r="IE57" s="140"/>
      <c r="IF57" s="140"/>
      <c r="IG57" s="140"/>
      <c r="IH57" s="140"/>
      <c r="II57" s="140"/>
      <c r="IJ57" s="140"/>
      <c r="IK57" s="140"/>
      <c r="IL57" s="140"/>
      <c r="IM57" s="140"/>
      <c r="IN57" s="140"/>
      <c r="IO57" s="140"/>
      <c r="IP57" s="140"/>
      <c r="IQ57" s="140"/>
      <c r="IR57" s="140"/>
      <c r="IS57" s="140"/>
      <c r="IT57" s="140"/>
      <c r="IU57" s="140"/>
      <c r="IV57" s="140"/>
      <c r="IW57" s="140"/>
    </row>
    <row r="58" customFormat="false" ht="12.75" hidden="false" customHeight="false" outlineLevel="0" collapsed="false">
      <c r="A58" s="140"/>
      <c r="B58" s="56" t="s">
        <v>172</v>
      </c>
      <c r="C58" s="125" t="s">
        <v>258</v>
      </c>
      <c r="D58" s="125" t="s">
        <v>178</v>
      </c>
      <c r="E58" s="141" t="n">
        <v>36770</v>
      </c>
      <c r="F58" s="144" t="n">
        <v>37134</v>
      </c>
      <c r="G58" s="56" t="s">
        <v>306</v>
      </c>
      <c r="H58" s="56" t="s">
        <v>330</v>
      </c>
      <c r="I58" s="125" t="s">
        <v>88</v>
      </c>
      <c r="J58" s="59" t="n">
        <f aca="false">6.401/$J$1</f>
        <v>0.206483870967742</v>
      </c>
      <c r="K58" s="89"/>
      <c r="L58" s="89"/>
      <c r="M58" s="89"/>
      <c r="N58" s="89"/>
      <c r="O58" s="143"/>
      <c r="P58" s="89"/>
      <c r="Q58" s="145" t="n">
        <v>69144</v>
      </c>
      <c r="R58" s="146" t="n">
        <v>62</v>
      </c>
      <c r="S58" s="56" t="s">
        <v>331</v>
      </c>
      <c r="T58" s="54" t="n">
        <f aca="false">+J58*R58</f>
        <v>12.802</v>
      </c>
      <c r="U58" s="54"/>
      <c r="V58" s="55"/>
      <c r="W58" s="56"/>
      <c r="X58" s="57"/>
      <c r="Y58" s="57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140"/>
      <c r="CQ58" s="140"/>
      <c r="CR58" s="140"/>
      <c r="CS58" s="140"/>
      <c r="CT58" s="140"/>
      <c r="CU58" s="140"/>
      <c r="CV58" s="140"/>
      <c r="CW58" s="140"/>
      <c r="CX58" s="140"/>
      <c r="CY58" s="140"/>
      <c r="CZ58" s="140"/>
      <c r="DA58" s="140"/>
      <c r="DB58" s="140"/>
      <c r="DC58" s="140"/>
      <c r="DD58" s="140"/>
      <c r="DE58" s="140"/>
      <c r="DF58" s="140"/>
      <c r="DG58" s="140"/>
      <c r="DH58" s="140"/>
      <c r="DI58" s="140"/>
      <c r="DJ58" s="140"/>
      <c r="DK58" s="140"/>
      <c r="DL58" s="140"/>
      <c r="DM58" s="140"/>
      <c r="DN58" s="140"/>
      <c r="DO58" s="140"/>
      <c r="DP58" s="140"/>
      <c r="DQ58" s="140"/>
      <c r="DR58" s="140"/>
      <c r="DS58" s="140"/>
      <c r="DT58" s="140"/>
      <c r="DU58" s="140"/>
      <c r="DV58" s="140"/>
      <c r="DW58" s="140"/>
      <c r="DX58" s="140"/>
      <c r="DY58" s="140"/>
      <c r="DZ58" s="140"/>
      <c r="EA58" s="140"/>
      <c r="EB58" s="140"/>
      <c r="EC58" s="140"/>
      <c r="ED58" s="140"/>
      <c r="EE58" s="140"/>
      <c r="EF58" s="140"/>
      <c r="EG58" s="140"/>
      <c r="EH58" s="140"/>
      <c r="EI58" s="140"/>
      <c r="EJ58" s="140"/>
      <c r="EK58" s="140"/>
      <c r="EL58" s="140"/>
      <c r="EM58" s="140"/>
      <c r="EN58" s="140"/>
      <c r="EO58" s="140"/>
      <c r="EP58" s="140"/>
      <c r="EQ58" s="140"/>
      <c r="ER58" s="140"/>
      <c r="ES58" s="140"/>
      <c r="ET58" s="140"/>
      <c r="EU58" s="140"/>
      <c r="EV58" s="140"/>
      <c r="EW58" s="140"/>
      <c r="EX58" s="140"/>
      <c r="EY58" s="140"/>
      <c r="EZ58" s="140"/>
      <c r="FA58" s="140"/>
      <c r="FB58" s="140"/>
      <c r="FC58" s="140"/>
      <c r="FD58" s="140"/>
      <c r="FE58" s="140"/>
      <c r="FF58" s="140"/>
      <c r="FG58" s="140"/>
      <c r="FH58" s="140"/>
      <c r="FI58" s="140"/>
      <c r="FJ58" s="140"/>
      <c r="FK58" s="140"/>
      <c r="FL58" s="140"/>
      <c r="FM58" s="140"/>
      <c r="FN58" s="140"/>
      <c r="FO58" s="140"/>
      <c r="FP58" s="140"/>
      <c r="FQ58" s="140"/>
      <c r="FR58" s="140"/>
      <c r="FS58" s="140"/>
      <c r="FT58" s="140"/>
      <c r="FU58" s="140"/>
      <c r="FV58" s="140"/>
      <c r="FW58" s="140"/>
      <c r="FX58" s="140"/>
      <c r="FY58" s="140"/>
      <c r="FZ58" s="140"/>
      <c r="GA58" s="140"/>
      <c r="GB58" s="140"/>
      <c r="GC58" s="140"/>
      <c r="GD58" s="140"/>
      <c r="GE58" s="140"/>
      <c r="GF58" s="140"/>
      <c r="GG58" s="140"/>
      <c r="GH58" s="140"/>
      <c r="GI58" s="140"/>
      <c r="GJ58" s="140"/>
      <c r="GK58" s="140"/>
      <c r="GL58" s="140"/>
      <c r="GM58" s="140"/>
      <c r="GN58" s="140"/>
      <c r="GO58" s="140"/>
      <c r="GP58" s="140"/>
      <c r="GQ58" s="140"/>
      <c r="GR58" s="140"/>
      <c r="GS58" s="140"/>
      <c r="GT58" s="140"/>
      <c r="GU58" s="140"/>
      <c r="GV58" s="140"/>
      <c r="GW58" s="140"/>
      <c r="GX58" s="140"/>
      <c r="GY58" s="140"/>
      <c r="GZ58" s="140"/>
      <c r="HA58" s="140"/>
      <c r="HB58" s="140"/>
      <c r="HC58" s="140"/>
      <c r="HD58" s="140"/>
      <c r="HE58" s="140"/>
      <c r="HF58" s="140"/>
      <c r="HG58" s="140"/>
      <c r="HH58" s="140"/>
      <c r="HI58" s="140"/>
      <c r="HJ58" s="140"/>
      <c r="HK58" s="140"/>
      <c r="HL58" s="140"/>
      <c r="HM58" s="140"/>
      <c r="HN58" s="140"/>
      <c r="HO58" s="140"/>
      <c r="HP58" s="140"/>
      <c r="HQ58" s="140"/>
      <c r="HR58" s="140"/>
      <c r="HS58" s="140"/>
      <c r="HT58" s="140"/>
      <c r="HU58" s="140"/>
      <c r="HV58" s="140"/>
      <c r="HW58" s="140"/>
      <c r="HX58" s="140"/>
      <c r="HY58" s="140"/>
      <c r="HZ58" s="140"/>
      <c r="IA58" s="140"/>
      <c r="IB58" s="140"/>
      <c r="IC58" s="140"/>
      <c r="ID58" s="140"/>
      <c r="IE58" s="140"/>
      <c r="IF58" s="140"/>
      <c r="IG58" s="140"/>
      <c r="IH58" s="140"/>
      <c r="II58" s="140"/>
      <c r="IJ58" s="140"/>
      <c r="IK58" s="140"/>
      <c r="IL58" s="140"/>
      <c r="IM58" s="140"/>
      <c r="IN58" s="140"/>
      <c r="IO58" s="140"/>
      <c r="IP58" s="140"/>
      <c r="IQ58" s="140"/>
      <c r="IR58" s="140"/>
      <c r="IS58" s="140"/>
      <c r="IT58" s="140"/>
      <c r="IU58" s="140"/>
      <c r="IV58" s="140"/>
      <c r="IW58" s="140"/>
    </row>
    <row r="59" customFormat="false" ht="12.75" hidden="false" customHeight="false" outlineLevel="0" collapsed="false">
      <c r="A59" s="147"/>
      <c r="B59" s="148" t="s">
        <v>172</v>
      </c>
      <c r="C59" s="119" t="s">
        <v>258</v>
      </c>
      <c r="D59" s="119" t="s">
        <v>178</v>
      </c>
      <c r="E59" s="149" t="n">
        <v>36800</v>
      </c>
      <c r="F59" s="144" t="n">
        <v>37164</v>
      </c>
      <c r="G59" s="148" t="s">
        <v>306</v>
      </c>
      <c r="H59" s="148" t="s">
        <v>332</v>
      </c>
      <c r="I59" s="119" t="s">
        <v>88</v>
      </c>
      <c r="J59" s="150" t="n">
        <f aca="false">6.401/J1</f>
        <v>0.206483870967742</v>
      </c>
      <c r="K59" s="151"/>
      <c r="L59" s="151"/>
      <c r="M59" s="151"/>
      <c r="N59" s="151"/>
      <c r="O59" s="152"/>
      <c r="P59" s="151"/>
      <c r="Q59" s="145" t="n">
        <v>69424</v>
      </c>
      <c r="R59" s="146" t="n">
        <v>13</v>
      </c>
      <c r="S59" s="148" t="s">
        <v>333</v>
      </c>
      <c r="T59" s="153" t="n">
        <f aca="false">+J59*R59</f>
        <v>2.68429032258065</v>
      </c>
      <c r="U59" s="153"/>
      <c r="V59" s="154" t="n">
        <v>418221</v>
      </c>
      <c r="W59" s="148"/>
      <c r="X59" s="155"/>
      <c r="Y59" s="155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7"/>
      <c r="BR59" s="147"/>
      <c r="BS59" s="147"/>
      <c r="BT59" s="147"/>
      <c r="BU59" s="147"/>
      <c r="BV59" s="147"/>
      <c r="BW59" s="147"/>
      <c r="BX59" s="147"/>
      <c r="BY59" s="147"/>
      <c r="BZ59" s="147"/>
      <c r="CA59" s="147"/>
      <c r="CB59" s="147"/>
      <c r="CC59" s="147"/>
      <c r="CD59" s="147"/>
      <c r="CE59" s="147"/>
      <c r="CF59" s="147"/>
      <c r="CG59" s="147"/>
      <c r="CH59" s="147"/>
      <c r="CI59" s="147"/>
      <c r="CJ59" s="147"/>
      <c r="CK59" s="147"/>
      <c r="CL59" s="147"/>
      <c r="CM59" s="147"/>
      <c r="CN59" s="147"/>
      <c r="CO59" s="147"/>
      <c r="CP59" s="147"/>
      <c r="CQ59" s="147"/>
      <c r="CR59" s="147"/>
      <c r="CS59" s="147"/>
      <c r="CT59" s="147"/>
      <c r="CU59" s="147"/>
      <c r="CV59" s="147"/>
      <c r="CW59" s="147"/>
      <c r="CX59" s="147"/>
      <c r="CY59" s="147"/>
      <c r="CZ59" s="147"/>
      <c r="DA59" s="147"/>
      <c r="DB59" s="147"/>
      <c r="DC59" s="147"/>
      <c r="DD59" s="147"/>
      <c r="DE59" s="147"/>
      <c r="DF59" s="147"/>
      <c r="DG59" s="147"/>
      <c r="DH59" s="147"/>
      <c r="DI59" s="147"/>
      <c r="DJ59" s="147"/>
      <c r="DK59" s="147"/>
      <c r="DL59" s="147"/>
      <c r="DM59" s="147"/>
      <c r="DN59" s="147"/>
      <c r="DO59" s="147"/>
      <c r="DP59" s="147"/>
      <c r="DQ59" s="147"/>
      <c r="DR59" s="147"/>
      <c r="DS59" s="147"/>
      <c r="DT59" s="147"/>
      <c r="DU59" s="147"/>
      <c r="DV59" s="147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7"/>
      <c r="EI59" s="147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47"/>
      <c r="EU59" s="147"/>
      <c r="EV59" s="147"/>
      <c r="EW59" s="147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7"/>
      <c r="FI59" s="147"/>
      <c r="FJ59" s="147"/>
      <c r="FK59" s="147"/>
      <c r="FL59" s="147"/>
      <c r="FM59" s="147"/>
      <c r="FN59" s="147"/>
      <c r="FO59" s="147"/>
      <c r="FP59" s="147"/>
      <c r="FQ59" s="147"/>
      <c r="FR59" s="147"/>
      <c r="FS59" s="147"/>
      <c r="FT59" s="147"/>
      <c r="FU59" s="147"/>
      <c r="FV59" s="147"/>
      <c r="FW59" s="147"/>
      <c r="FX59" s="147"/>
      <c r="FY59" s="147"/>
      <c r="FZ59" s="147"/>
      <c r="GA59" s="147"/>
      <c r="GB59" s="147"/>
      <c r="GC59" s="147"/>
      <c r="GD59" s="147"/>
      <c r="GE59" s="147"/>
      <c r="GF59" s="147"/>
      <c r="GG59" s="147"/>
      <c r="GH59" s="147"/>
      <c r="GI59" s="147"/>
      <c r="GJ59" s="147"/>
      <c r="GK59" s="147"/>
      <c r="GL59" s="147"/>
      <c r="GM59" s="147"/>
      <c r="GN59" s="147"/>
      <c r="GO59" s="147"/>
      <c r="GP59" s="147"/>
      <c r="GQ59" s="147"/>
      <c r="GR59" s="147"/>
      <c r="GS59" s="147"/>
      <c r="GT59" s="147"/>
      <c r="GU59" s="147"/>
      <c r="GV59" s="147"/>
      <c r="GW59" s="147"/>
      <c r="GX59" s="147"/>
      <c r="GY59" s="147"/>
      <c r="GZ59" s="147"/>
      <c r="HA59" s="147"/>
      <c r="HB59" s="147"/>
      <c r="HC59" s="147"/>
      <c r="HD59" s="147"/>
      <c r="HE59" s="147"/>
      <c r="HF59" s="147"/>
      <c r="HG59" s="147"/>
      <c r="HH59" s="147"/>
      <c r="HI59" s="147"/>
      <c r="HJ59" s="147"/>
      <c r="HK59" s="147"/>
      <c r="HL59" s="147"/>
      <c r="HM59" s="147"/>
      <c r="HN59" s="147"/>
      <c r="HO59" s="147"/>
      <c r="HP59" s="147"/>
      <c r="HQ59" s="147"/>
      <c r="HR59" s="147"/>
      <c r="HS59" s="147"/>
      <c r="HT59" s="147"/>
      <c r="HU59" s="147"/>
      <c r="HV59" s="147"/>
      <c r="HW59" s="147"/>
      <c r="HX59" s="147"/>
      <c r="HY59" s="147"/>
      <c r="HZ59" s="147"/>
      <c r="IA59" s="147"/>
      <c r="IB59" s="147"/>
      <c r="IC59" s="147"/>
      <c r="ID59" s="147"/>
      <c r="IE59" s="147"/>
      <c r="IF59" s="147"/>
      <c r="IG59" s="147"/>
      <c r="IH59" s="147"/>
      <c r="II59" s="147"/>
      <c r="IJ59" s="147"/>
      <c r="IK59" s="147"/>
      <c r="IL59" s="147"/>
      <c r="IM59" s="147"/>
      <c r="IN59" s="147"/>
      <c r="IO59" s="147"/>
      <c r="IP59" s="147"/>
      <c r="IQ59" s="147"/>
      <c r="IR59" s="147"/>
      <c r="IS59" s="147"/>
      <c r="IT59" s="147"/>
      <c r="IU59" s="147"/>
      <c r="IV59" s="147"/>
      <c r="IW59" s="147"/>
    </row>
    <row r="60" customFormat="false" ht="12.75" hidden="false" customHeight="false" outlineLevel="0" collapsed="false">
      <c r="A60" s="140"/>
      <c r="B60" s="56" t="s">
        <v>172</v>
      </c>
      <c r="C60" s="125" t="s">
        <v>258</v>
      </c>
      <c r="D60" s="125" t="s">
        <v>174</v>
      </c>
      <c r="E60" s="141" t="n">
        <v>36647</v>
      </c>
      <c r="F60" s="144" t="n">
        <v>37011</v>
      </c>
      <c r="G60" s="56" t="s">
        <v>306</v>
      </c>
      <c r="H60" s="56" t="s">
        <v>334</v>
      </c>
      <c r="I60" s="125" t="s">
        <v>88</v>
      </c>
      <c r="J60" s="59" t="n">
        <f aca="false">6.401/$J$1</f>
        <v>0.206483870967742</v>
      </c>
      <c r="K60" s="89"/>
      <c r="L60" s="89"/>
      <c r="M60" s="89"/>
      <c r="N60" s="89"/>
      <c r="O60" s="143"/>
      <c r="P60" s="89"/>
      <c r="Q60" s="145" t="n">
        <v>68257</v>
      </c>
      <c r="R60" s="146" t="n">
        <v>21</v>
      </c>
      <c r="S60" s="56" t="s">
        <v>335</v>
      </c>
      <c r="T60" s="54" t="n">
        <f aca="false">+R60*J60</f>
        <v>4.33616129032258</v>
      </c>
      <c r="U60" s="54"/>
      <c r="V60" s="55" t="n">
        <v>254718</v>
      </c>
      <c r="W60" s="56"/>
      <c r="X60" s="57"/>
      <c r="Y60" s="57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  <c r="EY60" s="140"/>
      <c r="EZ60" s="140"/>
      <c r="FA60" s="140"/>
      <c r="FB60" s="140"/>
      <c r="FC60" s="140"/>
      <c r="FD60" s="140"/>
      <c r="FE60" s="140"/>
      <c r="FF60" s="140"/>
      <c r="FG60" s="140"/>
      <c r="FH60" s="140"/>
      <c r="FI60" s="140"/>
      <c r="FJ60" s="140"/>
      <c r="FK60" s="140"/>
      <c r="FL60" s="140"/>
      <c r="FM60" s="140"/>
      <c r="FN60" s="140"/>
      <c r="FO60" s="140"/>
      <c r="FP60" s="140"/>
      <c r="FQ60" s="140"/>
      <c r="FR60" s="140"/>
      <c r="FS60" s="140"/>
      <c r="FT60" s="140"/>
      <c r="FU60" s="140"/>
      <c r="FV60" s="140"/>
      <c r="FW60" s="140"/>
      <c r="FX60" s="140"/>
      <c r="FY60" s="140"/>
      <c r="FZ60" s="140"/>
      <c r="GA60" s="140"/>
      <c r="GB60" s="140"/>
      <c r="GC60" s="140"/>
      <c r="GD60" s="140"/>
      <c r="GE60" s="140"/>
      <c r="GF60" s="140"/>
      <c r="GG60" s="140"/>
      <c r="GH60" s="140"/>
      <c r="GI60" s="140"/>
      <c r="GJ60" s="140"/>
      <c r="GK60" s="140"/>
      <c r="GL60" s="140"/>
      <c r="GM60" s="140"/>
      <c r="GN60" s="140"/>
      <c r="GO60" s="140"/>
      <c r="GP60" s="140"/>
      <c r="GQ60" s="140"/>
      <c r="GR60" s="140"/>
      <c r="GS60" s="140"/>
      <c r="GT60" s="140"/>
      <c r="GU60" s="140"/>
      <c r="GV60" s="140"/>
      <c r="GW60" s="140"/>
      <c r="GX60" s="140"/>
      <c r="GY60" s="140"/>
      <c r="GZ60" s="140"/>
      <c r="HA60" s="140"/>
      <c r="HB60" s="140"/>
      <c r="HC60" s="140"/>
      <c r="HD60" s="140"/>
      <c r="HE60" s="140"/>
      <c r="HF60" s="140"/>
      <c r="HG60" s="140"/>
      <c r="HH60" s="140"/>
      <c r="HI60" s="140"/>
      <c r="HJ60" s="140"/>
      <c r="HK60" s="140"/>
      <c r="HL60" s="140"/>
      <c r="HM60" s="140"/>
      <c r="HN60" s="140"/>
      <c r="HO60" s="140"/>
      <c r="HP60" s="140"/>
      <c r="HQ60" s="140"/>
      <c r="HR60" s="140"/>
      <c r="HS60" s="140"/>
      <c r="HT60" s="140"/>
      <c r="HU60" s="140"/>
      <c r="HV60" s="140"/>
      <c r="HW60" s="140"/>
      <c r="HX60" s="140"/>
      <c r="HY60" s="140"/>
      <c r="HZ60" s="140"/>
      <c r="IA60" s="140"/>
      <c r="IB60" s="140"/>
      <c r="IC60" s="140"/>
      <c r="ID60" s="140"/>
      <c r="IE60" s="140"/>
      <c r="IF60" s="140"/>
      <c r="IG60" s="140"/>
      <c r="IH60" s="140"/>
      <c r="II60" s="140"/>
      <c r="IJ60" s="140"/>
      <c r="IK60" s="140"/>
      <c r="IL60" s="140"/>
      <c r="IM60" s="140"/>
      <c r="IN60" s="140"/>
      <c r="IO60" s="140"/>
      <c r="IP60" s="140"/>
      <c r="IQ60" s="140"/>
      <c r="IR60" s="140"/>
      <c r="IS60" s="140"/>
      <c r="IT60" s="140"/>
      <c r="IU60" s="140"/>
      <c r="IV60" s="140"/>
      <c r="IW60" s="140"/>
    </row>
    <row r="61" customFormat="false" ht="12.75" hidden="false" customHeight="false" outlineLevel="0" collapsed="false">
      <c r="T61" s="87" t="n">
        <f aca="false">+R61*J61</f>
        <v>0</v>
      </c>
    </row>
    <row r="62" customFormat="false" ht="12.75" hidden="false" customHeight="false" outlineLevel="0" collapsed="false">
      <c r="B62" s="129" t="s">
        <v>141</v>
      </c>
      <c r="C62" s="130" t="s">
        <v>141</v>
      </c>
      <c r="D62" s="130" t="s">
        <v>141</v>
      </c>
      <c r="E62" s="132" t="s">
        <v>141</v>
      </c>
      <c r="F62" s="132" t="s">
        <v>141</v>
      </c>
      <c r="G62" s="129" t="s">
        <v>141</v>
      </c>
      <c r="H62" s="133" t="s">
        <v>141</v>
      </c>
      <c r="I62" s="130" t="s">
        <v>141</v>
      </c>
      <c r="J62" s="134"/>
      <c r="K62" s="135"/>
      <c r="L62" s="135"/>
      <c r="M62" s="135"/>
      <c r="N62" s="135"/>
      <c r="O62" s="136"/>
      <c r="P62" s="135"/>
      <c r="Q62" s="137" t="s">
        <v>141</v>
      </c>
      <c r="R62" s="130" t="n">
        <f aca="false">SUM(R31:R60)</f>
        <v>21297</v>
      </c>
      <c r="S62" s="129" t="s">
        <v>141</v>
      </c>
      <c r="T62" s="138" t="n">
        <f aca="false">SUM(T19:T60)</f>
        <v>1206680.6217129</v>
      </c>
      <c r="U62" s="138" t="e">
        <f aca="false">SUM(#REF!)</f>
        <v>#REF!</v>
      </c>
      <c r="V62" s="139"/>
      <c r="W62" s="133"/>
      <c r="X62" s="73"/>
      <c r="Y62" s="73"/>
    </row>
    <row r="63" customFormat="false" ht="12.75" hidden="false" customHeight="false" outlineLevel="0" collapsed="false">
      <c r="B63" s="64" t="s">
        <v>152</v>
      </c>
      <c r="C63" s="65" t="s">
        <v>153</v>
      </c>
      <c r="D63" s="65" t="s">
        <v>154</v>
      </c>
      <c r="E63" s="66" t="s">
        <v>155</v>
      </c>
      <c r="F63" s="66"/>
      <c r="G63" s="64" t="s">
        <v>156</v>
      </c>
      <c r="H63" s="64" t="s">
        <v>157</v>
      </c>
      <c r="I63" s="65" t="s">
        <v>158</v>
      </c>
      <c r="J63" s="67" t="s">
        <v>159</v>
      </c>
      <c r="K63" s="65" t="s">
        <v>160</v>
      </c>
      <c r="L63" s="65" t="s">
        <v>161</v>
      </c>
      <c r="M63" s="65" t="s">
        <v>162</v>
      </c>
      <c r="N63" s="65" t="s">
        <v>163</v>
      </c>
      <c r="O63" s="68" t="s">
        <v>164</v>
      </c>
      <c r="P63" s="65" t="s">
        <v>165</v>
      </c>
      <c r="Q63" s="69" t="s">
        <v>166</v>
      </c>
      <c r="R63" s="65" t="s">
        <v>167</v>
      </c>
      <c r="S63" s="64" t="s">
        <v>168</v>
      </c>
      <c r="T63" s="70" t="s">
        <v>169</v>
      </c>
      <c r="U63" s="70" t="s">
        <v>170</v>
      </c>
      <c r="V63" s="71" t="s">
        <v>171</v>
      </c>
      <c r="W63" s="72" t="n">
        <f aca="false">+W37</f>
        <v>0</v>
      </c>
      <c r="X63" s="73"/>
      <c r="Y63" s="73"/>
    </row>
    <row r="64" customFormat="false" ht="12" hidden="false" customHeight="true" outlineLevel="0" collapsed="false">
      <c r="A64" s="74"/>
      <c r="B64" s="75" t="s">
        <v>172</v>
      </c>
      <c r="C64" s="76" t="s">
        <v>336</v>
      </c>
      <c r="D64" s="76" t="s">
        <v>337</v>
      </c>
      <c r="E64" s="77" t="n">
        <v>35612</v>
      </c>
      <c r="F64" s="77" t="n">
        <v>37437</v>
      </c>
      <c r="G64" s="75" t="s">
        <v>338</v>
      </c>
      <c r="H64" s="75" t="s">
        <v>339</v>
      </c>
      <c r="I64" s="76" t="s">
        <v>88</v>
      </c>
      <c r="J64" s="78" t="n">
        <f aca="false">+(5.7625+0.2)/J$1</f>
        <v>0.192338709677419</v>
      </c>
      <c r="K64" s="79" t="n">
        <v>0</v>
      </c>
      <c r="L64" s="79" t="n">
        <v>0.0022</v>
      </c>
      <c r="M64" s="79" t="n">
        <v>0.0072</v>
      </c>
      <c r="N64" s="79" t="n">
        <v>0</v>
      </c>
      <c r="O64" s="80" t="n">
        <v>0</v>
      </c>
      <c r="P64" s="79" t="n">
        <f aca="false">SUM(J64:N64)</f>
        <v>0.201738709677419</v>
      </c>
      <c r="Q64" s="81" t="n">
        <v>270</v>
      </c>
      <c r="R64" s="76" t="n">
        <v>1000</v>
      </c>
      <c r="S64" s="75"/>
      <c r="T64" s="82" t="n">
        <f aca="false">J64*J$1*R64</f>
        <v>5962.5</v>
      </c>
      <c r="U64" s="82"/>
      <c r="V64" s="83" t="n">
        <v>348630</v>
      </c>
      <c r="W64" s="75"/>
      <c r="X64" s="84"/>
      <c r="Y64" s="8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  <c r="FK64" s="74"/>
      <c r="FL64" s="74"/>
      <c r="FM64" s="74"/>
      <c r="FN64" s="74"/>
      <c r="FO64" s="74"/>
      <c r="FP64" s="74"/>
      <c r="FQ64" s="74"/>
      <c r="FR64" s="74"/>
      <c r="FS64" s="74"/>
      <c r="FT64" s="74"/>
      <c r="FU64" s="74"/>
      <c r="FV64" s="74"/>
      <c r="FW64" s="74"/>
      <c r="FX64" s="74"/>
      <c r="FY64" s="74"/>
      <c r="FZ64" s="74"/>
      <c r="GA64" s="74"/>
      <c r="GB64" s="74"/>
      <c r="GC64" s="74"/>
      <c r="GD64" s="74"/>
      <c r="GE64" s="74"/>
      <c r="GF64" s="74"/>
      <c r="GG64" s="74"/>
      <c r="GH64" s="74"/>
      <c r="GI64" s="74"/>
      <c r="GJ64" s="74"/>
      <c r="GK64" s="74"/>
      <c r="GL64" s="74"/>
      <c r="GM64" s="74"/>
      <c r="GN64" s="74"/>
      <c r="GO64" s="74"/>
      <c r="GP64" s="74"/>
      <c r="GQ64" s="74"/>
      <c r="GR64" s="74"/>
      <c r="GS64" s="74"/>
      <c r="GT64" s="74"/>
      <c r="GU64" s="74"/>
      <c r="GV64" s="74"/>
      <c r="GW64" s="74"/>
      <c r="GX64" s="74"/>
      <c r="GY64" s="74"/>
      <c r="GZ64" s="74"/>
      <c r="HA64" s="74"/>
      <c r="HB64" s="74"/>
      <c r="HC64" s="74"/>
      <c r="HD64" s="74"/>
      <c r="HE64" s="74"/>
      <c r="HF64" s="74"/>
      <c r="HG64" s="74"/>
      <c r="HH64" s="74"/>
      <c r="HI64" s="74"/>
      <c r="HJ64" s="74"/>
      <c r="HK64" s="74"/>
      <c r="HL64" s="74"/>
      <c r="HM64" s="74"/>
      <c r="HN64" s="74"/>
      <c r="HO64" s="74"/>
      <c r="HP64" s="74"/>
      <c r="HQ64" s="74"/>
      <c r="HR64" s="74"/>
      <c r="HS64" s="74"/>
      <c r="HT64" s="74"/>
      <c r="HU64" s="74"/>
      <c r="HV64" s="74"/>
      <c r="HW64" s="74"/>
      <c r="HX64" s="74"/>
      <c r="HY64" s="74"/>
      <c r="HZ64" s="74"/>
      <c r="IA64" s="74"/>
      <c r="IB64" s="74"/>
      <c r="IC64" s="74"/>
      <c r="ID64" s="74"/>
      <c r="IE64" s="74"/>
      <c r="IF64" s="74"/>
      <c r="IG64" s="74"/>
      <c r="IH64" s="74"/>
      <c r="II64" s="74"/>
      <c r="IJ64" s="74"/>
      <c r="IK64" s="74"/>
      <c r="IL64" s="74"/>
      <c r="IM64" s="74"/>
      <c r="IN64" s="74"/>
      <c r="IO64" s="74"/>
      <c r="IP64" s="74"/>
      <c r="IQ64" s="74"/>
      <c r="IR64" s="74"/>
      <c r="IS64" s="74"/>
      <c r="IT64" s="74"/>
      <c r="IU64" s="74"/>
      <c r="IV64" s="74"/>
      <c r="IW64" s="74"/>
    </row>
    <row r="65" customFormat="false" ht="12" hidden="false" customHeight="true" outlineLevel="0" collapsed="false">
      <c r="A65" s="86"/>
      <c r="B65" s="47"/>
      <c r="C65" s="45"/>
      <c r="D65" s="45"/>
      <c r="E65" s="46"/>
      <c r="F65" s="46"/>
      <c r="G65" s="47"/>
      <c r="H65" s="47"/>
      <c r="I65" s="45"/>
      <c r="J65" s="59"/>
      <c r="K65" s="50"/>
      <c r="L65" s="50"/>
      <c r="M65" s="50"/>
      <c r="N65" s="50"/>
      <c r="O65" s="51"/>
      <c r="P65" s="50"/>
      <c r="Q65" s="52"/>
      <c r="R65" s="45"/>
      <c r="S65" s="47"/>
      <c r="T65" s="87" t="n">
        <f aca="false">SUM(T64)</f>
        <v>5962.5</v>
      </c>
      <c r="U65" s="87"/>
      <c r="V65" s="88"/>
      <c r="W65" s="47"/>
      <c r="X65" s="73"/>
      <c r="Y65" s="73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  <c r="IW65" s="86"/>
    </row>
    <row r="66" customFormat="false" ht="12.75" hidden="false" customHeight="false" outlineLevel="0" collapsed="false">
      <c r="B66" s="41"/>
      <c r="C66" s="45"/>
      <c r="D66" s="45"/>
      <c r="E66" s="46"/>
      <c r="F66" s="46"/>
      <c r="G66" s="47"/>
      <c r="H66" s="47"/>
      <c r="I66" s="45"/>
      <c r="J66" s="50"/>
      <c r="K66" s="50"/>
      <c r="L66" s="50"/>
      <c r="M66" s="50"/>
      <c r="N66" s="50"/>
      <c r="O66" s="51"/>
      <c r="P66" s="50"/>
      <c r="Q66" s="122"/>
      <c r="R66" s="123"/>
      <c r="S66" s="54"/>
      <c r="T66" s="54"/>
      <c r="U66" s="54"/>
      <c r="V66" s="55"/>
      <c r="W66" s="56"/>
      <c r="X66" s="57"/>
      <c r="Y66" s="57"/>
    </row>
    <row r="67" customFormat="false" ht="12.75" hidden="false" customHeight="false" outlineLevel="0" collapsed="false">
      <c r="B67" s="41"/>
      <c r="C67" s="45"/>
      <c r="D67" s="45"/>
      <c r="E67" s="46"/>
      <c r="F67" s="46"/>
      <c r="G67" s="47"/>
      <c r="H67" s="47"/>
      <c r="I67" s="45"/>
      <c r="J67" s="59"/>
      <c r="K67" s="50"/>
      <c r="L67" s="50"/>
      <c r="M67" s="50"/>
      <c r="N67" s="50"/>
      <c r="O67" s="51"/>
      <c r="P67" s="50"/>
      <c r="Q67" s="122"/>
      <c r="R67" s="123"/>
      <c r="S67" s="54"/>
      <c r="T67" s="54"/>
      <c r="U67" s="54"/>
      <c r="V67" s="55"/>
      <c r="W67" s="56"/>
      <c r="X67" s="57"/>
      <c r="Y67" s="57"/>
    </row>
    <row r="68" customFormat="false" ht="13.5" hidden="false" customHeight="false" outlineLevel="0" collapsed="false">
      <c r="B68" s="41"/>
      <c r="C68" s="45"/>
      <c r="D68" s="45"/>
      <c r="E68" s="46"/>
      <c r="F68" s="46"/>
      <c r="G68" s="47"/>
      <c r="H68" s="47"/>
      <c r="I68" s="45"/>
      <c r="J68" s="50"/>
      <c r="K68" s="50"/>
      <c r="L68" s="50"/>
      <c r="M68" s="50"/>
      <c r="N68" s="50"/>
      <c r="O68" s="51"/>
      <c r="P68" s="50"/>
      <c r="Q68" s="122"/>
      <c r="R68" s="123"/>
      <c r="S68" s="54"/>
      <c r="T68" s="156" t="n">
        <f aca="false">SUM(T65,T62,T17,)</f>
        <v>1213105.4175129</v>
      </c>
      <c r="U68" s="54" t="s">
        <v>340</v>
      </c>
      <c r="V68" s="55"/>
      <c r="W68" s="56"/>
      <c r="X68" s="57"/>
      <c r="Y68" s="57"/>
    </row>
    <row r="69" customFormat="false" ht="13.5" hidden="false" customHeight="false" outlineLevel="0" collapsed="false">
      <c r="B69" s="41"/>
      <c r="C69" s="45"/>
      <c r="D69" s="45"/>
      <c r="E69" s="46"/>
      <c r="F69" s="46"/>
      <c r="G69" s="47"/>
      <c r="H69" s="47"/>
      <c r="I69" s="45"/>
      <c r="J69" s="50"/>
      <c r="K69" s="50"/>
      <c r="L69" s="50"/>
      <c r="M69" s="50"/>
      <c r="N69" s="50"/>
      <c r="O69" s="51"/>
      <c r="P69" s="50"/>
      <c r="Q69" s="122"/>
      <c r="R69" s="123"/>
      <c r="S69" s="54"/>
      <c r="T69" s="54"/>
      <c r="U69" s="56" t="s">
        <v>252</v>
      </c>
      <c r="V69" s="55"/>
      <c r="W69" s="56"/>
      <c r="X69" s="125"/>
      <c r="Y69" s="57"/>
    </row>
    <row r="70" customFormat="false" ht="12.75" hidden="false" customHeight="false" outlineLevel="0" collapsed="false">
      <c r="B70" s="41"/>
      <c r="C70" s="45"/>
      <c r="D70" s="45"/>
      <c r="E70" s="46"/>
      <c r="F70" s="46"/>
      <c r="G70" s="47"/>
      <c r="H70" s="47"/>
      <c r="I70" s="45"/>
      <c r="J70" s="50"/>
      <c r="K70" s="50"/>
      <c r="L70" s="50"/>
      <c r="M70" s="50"/>
      <c r="N70" s="50"/>
      <c r="O70" s="51"/>
      <c r="P70" s="50"/>
      <c r="Q70" s="122"/>
      <c r="R70" s="123"/>
      <c r="S70" s="54"/>
      <c r="T70" s="54"/>
      <c r="U70" s="54"/>
      <c r="V70" s="55"/>
      <c r="W70" s="56"/>
      <c r="X70" s="57"/>
      <c r="Y70" s="57"/>
    </row>
    <row r="71" customFormat="false" ht="12.75" hidden="false" customHeight="false" outlineLevel="0" collapsed="false">
      <c r="B71" s="41"/>
      <c r="C71" s="45"/>
      <c r="D71" s="45"/>
      <c r="E71" s="46"/>
      <c r="F71" s="46"/>
      <c r="G71" s="47"/>
      <c r="H71" s="47"/>
      <c r="I71" s="45"/>
      <c r="J71" s="50"/>
      <c r="K71" s="50"/>
      <c r="L71" s="50"/>
      <c r="M71" s="50"/>
      <c r="N71" s="50"/>
      <c r="O71" s="51"/>
      <c r="P71" s="50"/>
      <c r="Q71" s="122"/>
      <c r="R71" s="123"/>
      <c r="S71" s="54"/>
      <c r="T71" s="54"/>
      <c r="U71" s="54"/>
      <c r="V71" s="55"/>
      <c r="W71" s="56"/>
      <c r="X71" s="57"/>
      <c r="Y71" s="57"/>
    </row>
    <row r="72" customFormat="false" ht="12.75" hidden="false" customHeight="false" outlineLevel="0" collapsed="false">
      <c r="B72" s="41"/>
      <c r="C72" s="45"/>
      <c r="D72" s="45"/>
      <c r="E72" s="46"/>
      <c r="F72" s="46"/>
      <c r="G72" s="47"/>
      <c r="H72" s="47"/>
      <c r="I72" s="45"/>
      <c r="J72" s="59"/>
      <c r="K72" s="50"/>
      <c r="L72" s="50"/>
      <c r="M72" s="50"/>
      <c r="N72" s="50"/>
      <c r="O72" s="51"/>
      <c r="P72" s="50"/>
      <c r="Q72" s="122"/>
      <c r="R72" s="123"/>
      <c r="S72" s="125"/>
      <c r="T72" s="54"/>
      <c r="U72" s="54"/>
      <c r="V72" s="55"/>
      <c r="W72" s="56"/>
      <c r="X72" s="57"/>
      <c r="Y72" s="57"/>
    </row>
    <row r="73" customFormat="false" ht="12.75" hidden="false" customHeight="false" outlineLevel="0" collapsed="false">
      <c r="B73" s="41"/>
      <c r="C73" s="45"/>
      <c r="D73" s="45"/>
      <c r="E73" s="46"/>
      <c r="F73" s="46"/>
      <c r="G73" s="47"/>
      <c r="H73" s="47"/>
      <c r="I73" s="45"/>
      <c r="J73" s="59"/>
      <c r="K73" s="50"/>
      <c r="L73" s="50"/>
      <c r="M73" s="50"/>
      <c r="N73" s="50"/>
      <c r="O73" s="51"/>
      <c r="P73" s="50"/>
      <c r="Q73" s="122"/>
      <c r="R73" s="123"/>
      <c r="S73" s="125"/>
      <c r="T73" s="54"/>
      <c r="U73" s="54"/>
      <c r="V73" s="55"/>
      <c r="W73" s="56"/>
      <c r="X73" s="57"/>
      <c r="Y73" s="57"/>
    </row>
    <row r="74" customFormat="false" ht="12.75" hidden="false" customHeight="false" outlineLevel="0" collapsed="false">
      <c r="Q74" s="38"/>
      <c r="R74" s="38"/>
      <c r="S74" s="38"/>
      <c r="T74" s="38"/>
      <c r="U74" s="38"/>
      <c r="V74" s="126"/>
      <c r="W74" s="127"/>
      <c r="X74" s="126"/>
    </row>
    <row r="75" customFormat="false" ht="12.75" hidden="false" customHeight="false" outlineLevel="0" collapsed="false">
      <c r="Q75" s="38"/>
      <c r="R75" s="38"/>
      <c r="S75" s="38"/>
      <c r="T75" s="38"/>
      <c r="U75" s="38"/>
      <c r="V75" s="126"/>
      <c r="W75" s="127"/>
      <c r="X75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341</v>
      </c>
      <c r="D1" s="0" t="s">
        <v>342</v>
      </c>
      <c r="E1" s="0" t="s">
        <v>343</v>
      </c>
      <c r="F1" s="0" t="s">
        <v>344</v>
      </c>
      <c r="G1" s="0" t="s">
        <v>345</v>
      </c>
      <c r="H1" s="0" t="s">
        <v>346</v>
      </c>
      <c r="I1" s="0" t="s">
        <v>347</v>
      </c>
      <c r="J1" s="0" t="s">
        <v>348</v>
      </c>
      <c r="K1" s="0" t="s">
        <v>349</v>
      </c>
      <c r="L1" s="0" t="s">
        <v>350</v>
      </c>
      <c r="M1" s="0" t="s">
        <v>351</v>
      </c>
      <c r="N1" s="0" t="s">
        <v>352</v>
      </c>
      <c r="O1" s="0" t="s">
        <v>353</v>
      </c>
    </row>
    <row r="2" customFormat="false" ht="12.75" hidden="false" customHeight="false" outlineLevel="0" collapsed="false">
      <c r="B2" s="157"/>
      <c r="C2" s="157" t="s">
        <v>354</v>
      </c>
      <c r="D2" s="157" t="n">
        <v>37147</v>
      </c>
      <c r="E2" s="157" t="s">
        <v>355</v>
      </c>
      <c r="F2" s="157" t="s">
        <v>356</v>
      </c>
      <c r="G2" s="157" t="s">
        <v>356</v>
      </c>
      <c r="H2" s="158" t="n">
        <v>35582</v>
      </c>
      <c r="I2" s="157" t="s">
        <v>356</v>
      </c>
      <c r="J2" s="157" t="s">
        <v>356</v>
      </c>
      <c r="K2" s="157" t="n">
        <v>0</v>
      </c>
      <c r="L2" s="157" t="n">
        <v>0</v>
      </c>
      <c r="M2" s="157" t="n">
        <v>0</v>
      </c>
      <c r="N2" s="157" t="n">
        <v>0</v>
      </c>
      <c r="O2" s="157" t="n">
        <v>0</v>
      </c>
      <c r="P2" s="157" t="n">
        <v>0</v>
      </c>
      <c r="Q2" s="157" t="s">
        <v>356</v>
      </c>
    </row>
    <row r="3" customFormat="false" ht="12.75" hidden="false" customHeight="false" outlineLevel="0" collapsed="false">
      <c r="B3" s="159"/>
      <c r="C3" s="159" t="s">
        <v>354</v>
      </c>
      <c r="D3" s="159" t="n">
        <v>39149</v>
      </c>
      <c r="E3" s="159" t="s">
        <v>314</v>
      </c>
      <c r="F3" s="159" t="s">
        <v>356</v>
      </c>
      <c r="G3" s="159" t="s">
        <v>356</v>
      </c>
      <c r="H3" s="160" t="n">
        <v>35582</v>
      </c>
      <c r="I3" s="159" t="s">
        <v>356</v>
      </c>
      <c r="J3" s="159" t="s">
        <v>356</v>
      </c>
      <c r="K3" s="161" t="n">
        <v>500000</v>
      </c>
      <c r="L3" s="159" t="n">
        <v>0</v>
      </c>
      <c r="M3" s="161" t="n">
        <v>500000</v>
      </c>
      <c r="N3" s="159" t="n">
        <v>0</v>
      </c>
      <c r="O3" s="159" t="n">
        <v>0</v>
      </c>
      <c r="P3" s="159" t="n">
        <v>0</v>
      </c>
      <c r="Q3" s="159" t="s">
        <v>356</v>
      </c>
    </row>
    <row r="4" customFormat="false" ht="12.75" hidden="false" customHeight="false" outlineLevel="0" collapsed="false">
      <c r="B4" s="157"/>
      <c r="C4" s="157" t="s">
        <v>354</v>
      </c>
      <c r="D4" s="157" t="n">
        <v>39607</v>
      </c>
      <c r="E4" s="157" t="s">
        <v>357</v>
      </c>
      <c r="F4" s="157" t="s">
        <v>356</v>
      </c>
      <c r="G4" s="157" t="s">
        <v>356</v>
      </c>
      <c r="H4" s="158" t="n">
        <v>35582</v>
      </c>
      <c r="I4" s="157" t="s">
        <v>356</v>
      </c>
      <c r="J4" s="157" t="s">
        <v>356</v>
      </c>
      <c r="K4" s="162" t="n">
        <v>10000000</v>
      </c>
      <c r="L4" s="157" t="n">
        <v>0</v>
      </c>
      <c r="M4" s="162" t="n">
        <v>10000000</v>
      </c>
      <c r="N4" s="157" t="n">
        <v>0</v>
      </c>
      <c r="O4" s="157" t="n">
        <v>0</v>
      </c>
      <c r="P4" s="157" t="n">
        <v>0</v>
      </c>
      <c r="Q4" s="157" t="s">
        <v>356</v>
      </c>
    </row>
    <row r="5" customFormat="false" ht="12.75" hidden="false" customHeight="false" outlineLevel="0" collapsed="false">
      <c r="B5" s="159"/>
      <c r="C5" s="159" t="s">
        <v>354</v>
      </c>
      <c r="D5" s="159" t="n">
        <v>39764</v>
      </c>
      <c r="E5" s="159" t="s">
        <v>358</v>
      </c>
      <c r="F5" s="159" t="s">
        <v>356</v>
      </c>
      <c r="G5" s="159" t="s">
        <v>356</v>
      </c>
      <c r="H5" s="160" t="n">
        <v>35582</v>
      </c>
      <c r="I5" s="159" t="s">
        <v>356</v>
      </c>
      <c r="J5" s="159" t="s">
        <v>356</v>
      </c>
      <c r="K5" s="161" t="n">
        <v>60000</v>
      </c>
      <c r="L5" s="159" t="n">
        <v>0</v>
      </c>
      <c r="M5" s="161" t="n">
        <v>60000</v>
      </c>
      <c r="N5" s="159" t="n">
        <v>0</v>
      </c>
      <c r="O5" s="159" t="n">
        <v>0</v>
      </c>
      <c r="P5" s="159" t="n">
        <v>0</v>
      </c>
      <c r="Q5" s="159" t="s">
        <v>356</v>
      </c>
    </row>
    <row r="6" customFormat="false" ht="12.75" hidden="false" customHeight="false" outlineLevel="0" collapsed="false">
      <c r="B6" s="157"/>
      <c r="C6" s="157" t="s">
        <v>354</v>
      </c>
      <c r="D6" s="157" t="n">
        <v>40998</v>
      </c>
      <c r="E6" s="157" t="s">
        <v>359</v>
      </c>
      <c r="F6" s="157" t="s">
        <v>356</v>
      </c>
      <c r="G6" s="157" t="s">
        <v>356</v>
      </c>
      <c r="H6" s="158" t="n">
        <v>34393</v>
      </c>
      <c r="I6" s="157" t="s">
        <v>356</v>
      </c>
      <c r="J6" s="157" t="s">
        <v>356</v>
      </c>
      <c r="K6" s="162" t="n">
        <v>250000</v>
      </c>
      <c r="L6" s="157" t="n">
        <v>0</v>
      </c>
      <c r="M6" s="162" t="n">
        <v>250000</v>
      </c>
      <c r="N6" s="157" t="n">
        <v>0</v>
      </c>
      <c r="O6" s="157" t="n">
        <v>0</v>
      </c>
      <c r="P6" s="157" t="n">
        <v>0</v>
      </c>
      <c r="Q6" s="157" t="s">
        <v>356</v>
      </c>
    </row>
    <row r="7" customFormat="false" ht="12.75" hidden="false" customHeight="false" outlineLevel="0" collapsed="false">
      <c r="B7" s="159"/>
      <c r="C7" s="159" t="s">
        <v>354</v>
      </c>
      <c r="D7" s="159" t="n">
        <v>60094</v>
      </c>
      <c r="E7" s="159" t="s">
        <v>360</v>
      </c>
      <c r="F7" s="159" t="s">
        <v>356</v>
      </c>
      <c r="G7" s="159" t="s">
        <v>356</v>
      </c>
      <c r="H7" s="160" t="n">
        <v>35916</v>
      </c>
      <c r="I7" s="159" t="s">
        <v>356</v>
      </c>
      <c r="J7" s="159" t="s">
        <v>356</v>
      </c>
      <c r="K7" s="159" t="n">
        <v>0</v>
      </c>
      <c r="L7" s="159" t="n">
        <v>0</v>
      </c>
      <c r="M7" s="159" t="n">
        <v>0</v>
      </c>
      <c r="N7" s="159" t="n">
        <v>0</v>
      </c>
      <c r="O7" s="159" t="n">
        <v>0</v>
      </c>
      <c r="P7" s="159" t="n">
        <v>0</v>
      </c>
      <c r="Q7" s="159" t="s">
        <v>356</v>
      </c>
    </row>
    <row r="8" customFormat="false" ht="12.75" hidden="false" customHeight="false" outlineLevel="0" collapsed="false">
      <c r="B8" s="157"/>
      <c r="C8" s="157" t="s">
        <v>354</v>
      </c>
      <c r="D8" s="157" t="n">
        <v>61822</v>
      </c>
      <c r="E8" s="157" t="s">
        <v>88</v>
      </c>
      <c r="F8" s="157" t="s">
        <v>356</v>
      </c>
      <c r="G8" s="157" t="s">
        <v>356</v>
      </c>
      <c r="H8" s="158" t="n">
        <v>36557</v>
      </c>
      <c r="I8" s="157" t="s">
        <v>356</v>
      </c>
      <c r="J8" s="157" t="n">
        <v>22429</v>
      </c>
      <c r="K8" s="162" t="n">
        <v>4000</v>
      </c>
      <c r="L8" s="157" t="n">
        <v>0</v>
      </c>
      <c r="M8" s="162" t="n">
        <v>4000</v>
      </c>
      <c r="N8" s="157" t="n">
        <v>0</v>
      </c>
      <c r="O8" s="157" t="n">
        <v>0</v>
      </c>
      <c r="P8" s="157" t="n">
        <v>0</v>
      </c>
      <c r="Q8" s="157" t="s">
        <v>356</v>
      </c>
    </row>
    <row r="9" customFormat="false" ht="12.75" hidden="false" customHeight="false" outlineLevel="0" collapsed="false">
      <c r="B9" s="159"/>
      <c r="C9" s="159" t="s">
        <v>354</v>
      </c>
      <c r="D9" s="159" t="n">
        <v>61825</v>
      </c>
      <c r="E9" s="159" t="s">
        <v>88</v>
      </c>
      <c r="F9" s="159" t="s">
        <v>356</v>
      </c>
      <c r="G9" s="159" t="s">
        <v>356</v>
      </c>
      <c r="H9" s="160" t="n">
        <v>36557</v>
      </c>
      <c r="I9" s="160" t="n">
        <v>36830</v>
      </c>
      <c r="J9" s="159" t="n">
        <v>22428</v>
      </c>
      <c r="K9" s="161" t="n">
        <v>8000</v>
      </c>
      <c r="L9" s="159" t="n">
        <v>0</v>
      </c>
      <c r="M9" s="161" t="n">
        <v>8000</v>
      </c>
      <c r="N9" s="159" t="n">
        <v>0</v>
      </c>
      <c r="O9" s="159" t="n">
        <v>0</v>
      </c>
      <c r="P9" s="159" t="n">
        <v>0</v>
      </c>
      <c r="Q9" s="159" t="s">
        <v>356</v>
      </c>
    </row>
    <row r="10" customFormat="false" ht="12.75" hidden="false" customHeight="false" outlineLevel="0" collapsed="false">
      <c r="B10" s="157"/>
      <c r="C10" s="157" t="s">
        <v>354</v>
      </c>
      <c r="D10" s="157" t="n">
        <v>61838</v>
      </c>
      <c r="E10" s="157" t="s">
        <v>88</v>
      </c>
      <c r="F10" s="157" t="s">
        <v>356</v>
      </c>
      <c r="G10" s="157" t="s">
        <v>356</v>
      </c>
      <c r="H10" s="158" t="n">
        <v>36557</v>
      </c>
      <c r="I10" s="157" t="s">
        <v>356</v>
      </c>
      <c r="J10" s="157" t="n">
        <v>22422</v>
      </c>
      <c r="K10" s="162" t="n">
        <v>1000</v>
      </c>
      <c r="L10" s="157" t="n">
        <v>0</v>
      </c>
      <c r="M10" s="162" t="n">
        <v>1000</v>
      </c>
      <c r="N10" s="157" t="n">
        <v>0</v>
      </c>
      <c r="O10" s="157" t="n">
        <v>0</v>
      </c>
      <c r="P10" s="157" t="n">
        <v>0</v>
      </c>
      <c r="Q10" s="157" t="s">
        <v>356</v>
      </c>
    </row>
    <row r="11" customFormat="false" ht="12.75" hidden="false" customHeight="false" outlineLevel="0" collapsed="false">
      <c r="B11" s="159"/>
      <c r="C11" s="159" t="s">
        <v>354</v>
      </c>
      <c r="D11" s="159" t="n">
        <v>61990</v>
      </c>
      <c r="E11" s="159" t="s">
        <v>88</v>
      </c>
      <c r="F11" s="159" t="s">
        <v>356</v>
      </c>
      <c r="G11" s="159" t="s">
        <v>356</v>
      </c>
      <c r="H11" s="160" t="n">
        <v>36557</v>
      </c>
      <c r="I11" s="159" t="s">
        <v>356</v>
      </c>
      <c r="J11" s="159" t="n">
        <v>22747</v>
      </c>
      <c r="K11" s="161" t="n">
        <v>2000</v>
      </c>
      <c r="L11" s="159" t="n">
        <v>0</v>
      </c>
      <c r="M11" s="161" t="n">
        <v>2000</v>
      </c>
      <c r="N11" s="159" t="n">
        <v>0</v>
      </c>
      <c r="O11" s="159" t="n">
        <v>0</v>
      </c>
      <c r="P11" s="159" t="n">
        <v>0</v>
      </c>
      <c r="Q11" s="159" t="s">
        <v>356</v>
      </c>
    </row>
    <row r="12" customFormat="false" ht="12.75" hidden="false" customHeight="false" outlineLevel="0" collapsed="false">
      <c r="B12" s="157"/>
      <c r="C12" s="157" t="s">
        <v>354</v>
      </c>
      <c r="D12" s="157" t="n">
        <v>62164</v>
      </c>
      <c r="E12" s="157" t="s">
        <v>88</v>
      </c>
      <c r="F12" s="157" t="s">
        <v>356</v>
      </c>
      <c r="G12" s="157" t="s">
        <v>356</v>
      </c>
      <c r="H12" s="158" t="n">
        <v>36557</v>
      </c>
      <c r="I12" s="158" t="n">
        <v>36891</v>
      </c>
      <c r="J12" s="157" t="n">
        <v>23652</v>
      </c>
      <c r="K12" s="162" t="n">
        <v>2000</v>
      </c>
      <c r="L12" s="157" t="n">
        <v>0</v>
      </c>
      <c r="M12" s="162" t="n">
        <v>2000</v>
      </c>
      <c r="N12" s="157" t="n">
        <v>0</v>
      </c>
      <c r="O12" s="157" t="n">
        <v>0</v>
      </c>
      <c r="P12" s="157" t="n">
        <v>0</v>
      </c>
      <c r="Q12" s="157" t="s">
        <v>356</v>
      </c>
    </row>
    <row r="13" customFormat="false" ht="12.75" hidden="false" customHeight="false" outlineLevel="0" collapsed="false">
      <c r="B13" s="159"/>
      <c r="C13" s="159" t="s">
        <v>354</v>
      </c>
      <c r="D13" s="159" t="n">
        <v>64034</v>
      </c>
      <c r="E13" s="159" t="s">
        <v>88</v>
      </c>
      <c r="F13" s="159" t="s">
        <v>356</v>
      </c>
      <c r="G13" s="159" t="s">
        <v>356</v>
      </c>
      <c r="H13" s="160" t="n">
        <v>36557</v>
      </c>
      <c r="I13" s="160" t="n">
        <v>36707</v>
      </c>
      <c r="J13" s="159" t="n">
        <v>25699</v>
      </c>
      <c r="K13" s="159" t="n">
        <v>911</v>
      </c>
      <c r="L13" s="159" t="n">
        <v>0</v>
      </c>
      <c r="M13" s="159" t="n">
        <v>911</v>
      </c>
      <c r="N13" s="159" t="n">
        <v>0</v>
      </c>
      <c r="O13" s="159" t="n">
        <v>0</v>
      </c>
      <c r="P13" s="159" t="n">
        <v>0</v>
      </c>
      <c r="Q13" s="159" t="s">
        <v>356</v>
      </c>
    </row>
    <row r="14" customFormat="false" ht="12.75" hidden="false" customHeight="false" outlineLevel="0" collapsed="false">
      <c r="B14" s="157"/>
      <c r="C14" s="157" t="s">
        <v>354</v>
      </c>
      <c r="D14" s="157" t="n">
        <v>64036</v>
      </c>
      <c r="E14" s="157" t="s">
        <v>88</v>
      </c>
      <c r="F14" s="157" t="s">
        <v>356</v>
      </c>
      <c r="G14" s="157" t="s">
        <v>356</v>
      </c>
      <c r="H14" s="158" t="n">
        <v>36557</v>
      </c>
      <c r="I14" s="158" t="n">
        <v>36707</v>
      </c>
      <c r="J14" s="157" t="n">
        <v>25712</v>
      </c>
      <c r="K14" s="157" t="n">
        <v>1</v>
      </c>
      <c r="L14" s="157" t="n">
        <v>0</v>
      </c>
      <c r="M14" s="157" t="n">
        <v>1</v>
      </c>
      <c r="N14" s="157" t="n">
        <v>0</v>
      </c>
      <c r="O14" s="157" t="n">
        <v>0</v>
      </c>
      <c r="P14" s="157" t="n">
        <v>0</v>
      </c>
      <c r="Q14" s="157" t="s">
        <v>356</v>
      </c>
    </row>
    <row r="15" customFormat="false" ht="12.75" hidden="false" customHeight="false" outlineLevel="0" collapsed="false">
      <c r="B15" s="159"/>
      <c r="C15" s="159" t="s">
        <v>354</v>
      </c>
      <c r="D15" s="159" t="n">
        <v>64328</v>
      </c>
      <c r="E15" s="159" t="s">
        <v>88</v>
      </c>
      <c r="F15" s="159" t="s">
        <v>356</v>
      </c>
      <c r="G15" s="159" t="s">
        <v>356</v>
      </c>
      <c r="H15" s="160" t="n">
        <v>36557</v>
      </c>
      <c r="I15" s="160" t="n">
        <v>36738</v>
      </c>
      <c r="J15" s="159" t="n">
        <v>25955</v>
      </c>
      <c r="K15" s="159" t="n">
        <v>51</v>
      </c>
      <c r="L15" s="159" t="n">
        <v>0</v>
      </c>
      <c r="M15" s="159" t="n">
        <v>51</v>
      </c>
      <c r="N15" s="159" t="n">
        <v>0</v>
      </c>
      <c r="O15" s="159" t="n">
        <v>0</v>
      </c>
      <c r="P15" s="159" t="n">
        <v>0</v>
      </c>
      <c r="Q15" s="159" t="s">
        <v>356</v>
      </c>
    </row>
    <row r="16" customFormat="false" ht="12.75" hidden="false" customHeight="false" outlineLevel="0" collapsed="false">
      <c r="B16" s="157"/>
      <c r="C16" s="157" t="s">
        <v>354</v>
      </c>
      <c r="D16" s="157" t="n">
        <v>64329</v>
      </c>
      <c r="E16" s="157" t="s">
        <v>88</v>
      </c>
      <c r="F16" s="157" t="s">
        <v>356</v>
      </c>
      <c r="G16" s="157" t="s">
        <v>356</v>
      </c>
      <c r="H16" s="158" t="n">
        <v>36557</v>
      </c>
      <c r="I16" s="158" t="n">
        <v>36738</v>
      </c>
      <c r="J16" s="157" t="n">
        <v>25965</v>
      </c>
      <c r="K16" s="157" t="n">
        <v>12</v>
      </c>
      <c r="L16" s="157" t="n">
        <v>0</v>
      </c>
      <c r="M16" s="157" t="n">
        <v>12</v>
      </c>
      <c r="N16" s="157" t="n">
        <v>0</v>
      </c>
      <c r="O16" s="157" t="n">
        <v>0</v>
      </c>
      <c r="P16" s="157" t="n">
        <v>0</v>
      </c>
      <c r="Q16" s="157" t="s">
        <v>356</v>
      </c>
    </row>
    <row r="17" customFormat="false" ht="12.75" hidden="false" customHeight="false" outlineLevel="0" collapsed="false">
      <c r="B17" s="159"/>
      <c r="C17" s="159" t="s">
        <v>354</v>
      </c>
      <c r="D17" s="159" t="n">
        <v>64356</v>
      </c>
      <c r="E17" s="159" t="s">
        <v>361</v>
      </c>
      <c r="F17" s="159" t="s">
        <v>362</v>
      </c>
      <c r="G17" s="159" t="s">
        <v>356</v>
      </c>
      <c r="H17" s="160" t="n">
        <v>36526</v>
      </c>
      <c r="I17" s="160" t="n">
        <v>36707</v>
      </c>
      <c r="J17" s="159" t="s">
        <v>356</v>
      </c>
      <c r="K17" s="161" t="n">
        <v>310000</v>
      </c>
      <c r="L17" s="159" t="n">
        <v>0</v>
      </c>
      <c r="M17" s="161" t="n">
        <v>310000</v>
      </c>
      <c r="N17" s="159" t="n">
        <v>0</v>
      </c>
      <c r="O17" s="159" t="n">
        <v>0</v>
      </c>
      <c r="P17" s="159" t="n">
        <v>0</v>
      </c>
      <c r="Q17" s="159"/>
    </row>
    <row r="18" customFormat="false" ht="12.75" hidden="false" customHeight="false" outlineLevel="0" collapsed="false">
      <c r="B18" s="157"/>
      <c r="C18" s="157" t="s">
        <v>354</v>
      </c>
      <c r="D18" s="157" t="n">
        <v>64651</v>
      </c>
      <c r="E18" s="157" t="s">
        <v>88</v>
      </c>
      <c r="F18" s="157" t="s">
        <v>356</v>
      </c>
      <c r="G18" s="157" t="s">
        <v>356</v>
      </c>
      <c r="H18" s="158" t="n">
        <v>36557</v>
      </c>
      <c r="I18" s="158" t="n">
        <v>36769</v>
      </c>
      <c r="J18" s="157" t="n">
        <v>26150</v>
      </c>
      <c r="K18" s="157" t="n">
        <v>64</v>
      </c>
      <c r="L18" s="157" t="n">
        <v>0</v>
      </c>
      <c r="M18" s="157" t="n">
        <v>64</v>
      </c>
      <c r="N18" s="157" t="n">
        <v>0</v>
      </c>
      <c r="O18" s="157" t="n">
        <v>0</v>
      </c>
      <c r="P18" s="157" t="n">
        <v>0</v>
      </c>
      <c r="Q18" s="157" t="s">
        <v>356</v>
      </c>
    </row>
    <row r="19" customFormat="false" ht="12.75" hidden="false" customHeight="false" outlineLevel="0" collapsed="false">
      <c r="B19" s="159"/>
      <c r="C19" s="159" t="s">
        <v>354</v>
      </c>
      <c r="D19" s="159" t="n">
        <v>64862</v>
      </c>
      <c r="E19" s="159" t="s">
        <v>88</v>
      </c>
      <c r="F19" s="159" t="s">
        <v>356</v>
      </c>
      <c r="G19" s="159" t="s">
        <v>356</v>
      </c>
      <c r="H19" s="160" t="n">
        <v>36557</v>
      </c>
      <c r="I19" s="160" t="n">
        <v>36799</v>
      </c>
      <c r="J19" s="159" t="n">
        <v>26503</v>
      </c>
      <c r="K19" s="159" t="n">
        <v>13</v>
      </c>
      <c r="L19" s="159" t="n">
        <v>0</v>
      </c>
      <c r="M19" s="159" t="n">
        <v>13</v>
      </c>
      <c r="N19" s="159" t="n">
        <v>0</v>
      </c>
      <c r="O19" s="159" t="n">
        <v>0</v>
      </c>
      <c r="P19" s="159" t="n">
        <v>0</v>
      </c>
      <c r="Q19" s="159" t="s">
        <v>356</v>
      </c>
    </row>
    <row r="20" customFormat="false" ht="12.75" hidden="false" customHeight="false" outlineLevel="0" collapsed="false">
      <c r="B20" s="157"/>
      <c r="C20" s="157" t="s">
        <v>354</v>
      </c>
      <c r="D20" s="157" t="n">
        <v>64939</v>
      </c>
      <c r="E20" s="157" t="s">
        <v>88</v>
      </c>
      <c r="F20" s="157" t="s">
        <v>356</v>
      </c>
      <c r="G20" s="157" t="s">
        <v>356</v>
      </c>
      <c r="H20" s="158" t="n">
        <v>36557</v>
      </c>
      <c r="I20" s="158" t="n">
        <v>36799</v>
      </c>
      <c r="J20" s="157" t="n">
        <v>26577</v>
      </c>
      <c r="K20" s="162" t="n">
        <v>2300</v>
      </c>
      <c r="L20" s="157" t="n">
        <v>0</v>
      </c>
      <c r="M20" s="162" t="n">
        <v>2300</v>
      </c>
      <c r="N20" s="157" t="n">
        <v>0</v>
      </c>
      <c r="O20" s="157" t="n">
        <v>0</v>
      </c>
      <c r="P20" s="157" t="n">
        <v>0</v>
      </c>
      <c r="Q20" s="157" t="s">
        <v>356</v>
      </c>
    </row>
    <row r="21" customFormat="false" ht="12.75" hidden="false" customHeight="false" outlineLevel="0" collapsed="false">
      <c r="B21" s="159"/>
      <c r="C21" s="159" t="s">
        <v>354</v>
      </c>
      <c r="D21" s="159" t="n">
        <v>65026</v>
      </c>
      <c r="E21" s="159" t="s">
        <v>88</v>
      </c>
      <c r="F21" s="159" t="s">
        <v>356</v>
      </c>
      <c r="G21" s="159" t="s">
        <v>356</v>
      </c>
      <c r="H21" s="160" t="n">
        <v>36557</v>
      </c>
      <c r="I21" s="160" t="n">
        <v>36830</v>
      </c>
      <c r="J21" s="159" t="n">
        <v>26726</v>
      </c>
      <c r="K21" s="159" t="n">
        <v>128</v>
      </c>
      <c r="L21" s="159" t="n">
        <v>0</v>
      </c>
      <c r="M21" s="159" t="n">
        <v>128</v>
      </c>
      <c r="N21" s="159" t="n">
        <v>0</v>
      </c>
      <c r="O21" s="159" t="n">
        <v>0</v>
      </c>
      <c r="P21" s="159" t="n">
        <v>0</v>
      </c>
      <c r="Q21" s="159" t="s">
        <v>356</v>
      </c>
    </row>
    <row r="22" customFormat="false" ht="12.75" hidden="false" customHeight="false" outlineLevel="0" collapsed="false">
      <c r="B22" s="157"/>
      <c r="C22" s="157" t="s">
        <v>354</v>
      </c>
      <c r="D22" s="157" t="n">
        <v>65041</v>
      </c>
      <c r="E22" s="157" t="s">
        <v>88</v>
      </c>
      <c r="F22" s="157" t="s">
        <v>356</v>
      </c>
      <c r="G22" s="157" t="s">
        <v>356</v>
      </c>
      <c r="H22" s="158" t="n">
        <v>36557</v>
      </c>
      <c r="I22" s="158" t="n">
        <v>36830</v>
      </c>
      <c r="J22" s="157" t="n">
        <v>26754</v>
      </c>
      <c r="K22" s="162" t="n">
        <v>9619</v>
      </c>
      <c r="L22" s="157" t="n">
        <v>0</v>
      </c>
      <c r="M22" s="162" t="n">
        <v>9619</v>
      </c>
      <c r="N22" s="157" t="n">
        <v>0</v>
      </c>
      <c r="O22" s="157" t="n">
        <v>0</v>
      </c>
      <c r="P22" s="157" t="n">
        <v>0</v>
      </c>
      <c r="Q22" s="157" t="s">
        <v>356</v>
      </c>
    </row>
    <row r="23" customFormat="false" ht="12.75" hidden="false" customHeight="false" outlineLevel="0" collapsed="false">
      <c r="B23" s="159"/>
      <c r="C23" s="159" t="s">
        <v>354</v>
      </c>
      <c r="D23" s="159" t="n">
        <v>65042</v>
      </c>
      <c r="E23" s="159" t="s">
        <v>88</v>
      </c>
      <c r="F23" s="159" t="s">
        <v>356</v>
      </c>
      <c r="G23" s="159" t="s">
        <v>356</v>
      </c>
      <c r="H23" s="160" t="n">
        <v>36557</v>
      </c>
      <c r="I23" s="160" t="n">
        <v>36830</v>
      </c>
      <c r="J23" s="159" t="n">
        <v>26753</v>
      </c>
      <c r="K23" s="161" t="n">
        <v>4427</v>
      </c>
      <c r="L23" s="159" t="n">
        <v>0</v>
      </c>
      <c r="M23" s="161" t="n">
        <v>4427</v>
      </c>
      <c r="N23" s="159" t="n">
        <v>0</v>
      </c>
      <c r="O23" s="159" t="n">
        <v>0</v>
      </c>
      <c r="P23" s="159" t="n">
        <v>0</v>
      </c>
      <c r="Q23" s="159" t="s">
        <v>356</v>
      </c>
    </row>
    <row r="24" customFormat="false" ht="12.75" hidden="false" customHeight="false" outlineLevel="0" collapsed="false">
      <c r="B24" s="157"/>
      <c r="C24" s="157" t="s">
        <v>354</v>
      </c>
      <c r="D24" s="157" t="n">
        <v>65071</v>
      </c>
      <c r="E24" s="157" t="s">
        <v>88</v>
      </c>
      <c r="F24" s="157" t="s">
        <v>356</v>
      </c>
      <c r="G24" s="157" t="s">
        <v>356</v>
      </c>
      <c r="H24" s="158" t="n">
        <v>36557</v>
      </c>
      <c r="I24" s="158" t="n">
        <v>36830</v>
      </c>
      <c r="J24" s="157" t="n">
        <v>26782</v>
      </c>
      <c r="K24" s="162" t="n">
        <v>7429</v>
      </c>
      <c r="L24" s="157" t="n">
        <v>0</v>
      </c>
      <c r="M24" s="162" t="n">
        <v>7035</v>
      </c>
      <c r="N24" s="157" t="n">
        <v>394</v>
      </c>
      <c r="O24" s="157" t="n">
        <v>0</v>
      </c>
      <c r="P24" s="157" t="n">
        <v>0</v>
      </c>
      <c r="Q24" s="157" t="s">
        <v>356</v>
      </c>
    </row>
    <row r="25" customFormat="false" ht="12.75" hidden="false" customHeight="false" outlineLevel="0" collapsed="false">
      <c r="B25" s="159"/>
      <c r="C25" s="159" t="s">
        <v>354</v>
      </c>
      <c r="D25" s="159" t="n">
        <v>65108</v>
      </c>
      <c r="E25" s="159" t="s">
        <v>88</v>
      </c>
      <c r="F25" s="159" t="s">
        <v>356</v>
      </c>
      <c r="G25" s="159" t="s">
        <v>356</v>
      </c>
      <c r="H25" s="160" t="n">
        <v>36557</v>
      </c>
      <c r="I25" s="160" t="n">
        <v>37011</v>
      </c>
      <c r="J25" s="159" t="s">
        <v>356</v>
      </c>
      <c r="K25" s="161" t="n">
        <v>5000</v>
      </c>
      <c r="L25" s="159" t="n">
        <v>0</v>
      </c>
      <c r="M25" s="161" t="n">
        <v>5000</v>
      </c>
      <c r="N25" s="159" t="n">
        <v>0</v>
      </c>
      <c r="O25" s="159" t="n">
        <v>0</v>
      </c>
      <c r="P25" s="159" t="n">
        <v>0</v>
      </c>
      <c r="Q25" s="159" t="s">
        <v>356</v>
      </c>
    </row>
    <row r="26" customFormat="false" ht="12.75" hidden="false" customHeight="false" outlineLevel="0" collapsed="false">
      <c r="B26" s="157"/>
      <c r="C26" s="157" t="s">
        <v>354</v>
      </c>
      <c r="D26" s="157" t="n">
        <v>65402</v>
      </c>
      <c r="E26" s="157" t="s">
        <v>88</v>
      </c>
      <c r="F26" s="157" t="s">
        <v>356</v>
      </c>
      <c r="G26" s="157" t="s">
        <v>356</v>
      </c>
      <c r="H26" s="158" t="n">
        <v>36557</v>
      </c>
      <c r="I26" s="158" t="n">
        <v>36830</v>
      </c>
      <c r="J26" s="157" t="n">
        <v>26694</v>
      </c>
      <c r="K26" s="162" t="n">
        <v>20000</v>
      </c>
      <c r="L26" s="157" t="n">
        <v>0</v>
      </c>
      <c r="M26" s="157" t="n">
        <v>0</v>
      </c>
      <c r="N26" s="162" t="n">
        <v>20000</v>
      </c>
      <c r="O26" s="157" t="n">
        <v>0</v>
      </c>
      <c r="P26" s="157" t="n">
        <v>0</v>
      </c>
      <c r="Q26" s="157" t="s">
        <v>356</v>
      </c>
    </row>
    <row r="27" customFormat="false" ht="12.75" hidden="false" customHeight="false" outlineLevel="0" collapsed="false">
      <c r="B27" s="159"/>
      <c r="C27" s="159" t="s">
        <v>354</v>
      </c>
      <c r="D27" s="159" t="n">
        <v>65403</v>
      </c>
      <c r="E27" s="159" t="s">
        <v>88</v>
      </c>
      <c r="F27" s="159" t="s">
        <v>356</v>
      </c>
      <c r="G27" s="159" t="s">
        <v>356</v>
      </c>
      <c r="H27" s="160" t="n">
        <v>36557</v>
      </c>
      <c r="I27" s="160" t="n">
        <v>37011</v>
      </c>
      <c r="J27" s="159" t="n">
        <v>26714</v>
      </c>
      <c r="K27" s="161" t="n">
        <v>19293</v>
      </c>
      <c r="L27" s="159" t="n">
        <v>0</v>
      </c>
      <c r="M27" s="161" t="n">
        <v>19293</v>
      </c>
      <c r="N27" s="159" t="n">
        <v>0</v>
      </c>
      <c r="O27" s="159" t="n">
        <v>0</v>
      </c>
      <c r="P27" s="159" t="n">
        <v>0</v>
      </c>
      <c r="Q27" s="159" t="s">
        <v>356</v>
      </c>
    </row>
    <row r="28" customFormat="false" ht="12.75" hidden="false" customHeight="false" outlineLevel="0" collapsed="false">
      <c r="B28" s="157"/>
      <c r="C28" s="157" t="s">
        <v>354</v>
      </c>
      <c r="D28" s="157" t="n">
        <v>65418</v>
      </c>
      <c r="E28" s="157" t="s">
        <v>88</v>
      </c>
      <c r="F28" s="157" t="s">
        <v>356</v>
      </c>
      <c r="G28" s="157" t="s">
        <v>356</v>
      </c>
      <c r="H28" s="158" t="n">
        <v>36557</v>
      </c>
      <c r="I28" s="157" t="s">
        <v>356</v>
      </c>
      <c r="J28" s="157" t="n">
        <v>26722</v>
      </c>
      <c r="K28" s="157" t="n">
        <v>500</v>
      </c>
      <c r="L28" s="157" t="n">
        <v>0</v>
      </c>
      <c r="M28" s="157" t="n">
        <v>500</v>
      </c>
      <c r="N28" s="157" t="n">
        <v>0</v>
      </c>
      <c r="O28" s="157" t="n">
        <v>0</v>
      </c>
      <c r="P28" s="157" t="n">
        <v>0</v>
      </c>
      <c r="Q28" s="157" t="s">
        <v>356</v>
      </c>
    </row>
    <row r="29" customFormat="false" ht="12.75" hidden="false" customHeight="false" outlineLevel="0" collapsed="false">
      <c r="B29" s="159"/>
      <c r="C29" s="159" t="s">
        <v>354</v>
      </c>
      <c r="D29" s="159" t="n">
        <v>65556</v>
      </c>
      <c r="E29" s="159" t="s">
        <v>88</v>
      </c>
      <c r="F29" s="159" t="s">
        <v>356</v>
      </c>
      <c r="G29" s="159" t="s">
        <v>356</v>
      </c>
      <c r="H29" s="160" t="n">
        <v>36557</v>
      </c>
      <c r="I29" s="160" t="n">
        <v>36860</v>
      </c>
      <c r="J29" s="159" t="n">
        <v>27127</v>
      </c>
      <c r="K29" s="159" t="n">
        <v>3</v>
      </c>
      <c r="L29" s="159" t="n">
        <v>0</v>
      </c>
      <c r="M29" s="159" t="n">
        <v>3</v>
      </c>
      <c r="N29" s="159" t="n">
        <v>0</v>
      </c>
      <c r="O29" s="159" t="n">
        <v>0</v>
      </c>
      <c r="P29" s="159" t="n">
        <v>0</v>
      </c>
      <c r="Q29" s="159" t="s">
        <v>356</v>
      </c>
    </row>
    <row r="30" customFormat="false" ht="12.75" hidden="false" customHeight="false" outlineLevel="0" collapsed="false">
      <c r="B30" s="157"/>
      <c r="C30" s="157" t="s">
        <v>354</v>
      </c>
      <c r="D30" s="157" t="n">
        <v>66280</v>
      </c>
      <c r="E30" s="157" t="s">
        <v>88</v>
      </c>
      <c r="F30" s="157" t="s">
        <v>356</v>
      </c>
      <c r="G30" s="157" t="s">
        <v>356</v>
      </c>
      <c r="H30" s="158" t="n">
        <v>36557</v>
      </c>
      <c r="I30" s="158" t="n">
        <v>36922</v>
      </c>
      <c r="J30" s="157" t="n">
        <v>27772</v>
      </c>
      <c r="K30" s="157" t="n">
        <v>5</v>
      </c>
      <c r="L30" s="157" t="n">
        <v>0</v>
      </c>
      <c r="M30" s="157" t="n">
        <v>5</v>
      </c>
      <c r="N30" s="157" t="n">
        <v>0</v>
      </c>
      <c r="O30" s="157" t="n">
        <v>0</v>
      </c>
      <c r="P30" s="157" t="n">
        <v>0</v>
      </c>
      <c r="Q30" s="157" t="s">
        <v>356</v>
      </c>
    </row>
    <row r="31" customFormat="false" ht="12.75" hidden="false" customHeight="false" outlineLevel="0" collapsed="false">
      <c r="B31" s="159"/>
      <c r="C31" s="159" t="s">
        <v>354</v>
      </c>
      <c r="D31" s="159" t="n">
        <v>66917</v>
      </c>
      <c r="E31" s="159" t="s">
        <v>314</v>
      </c>
      <c r="F31" s="159" t="s">
        <v>356</v>
      </c>
      <c r="G31" s="159" t="s">
        <v>356</v>
      </c>
      <c r="H31" s="160" t="n">
        <v>36617</v>
      </c>
      <c r="I31" s="159" t="s">
        <v>356</v>
      </c>
      <c r="J31" s="159" t="s">
        <v>356</v>
      </c>
      <c r="K31" s="161" t="n">
        <v>50000</v>
      </c>
      <c r="L31" s="159" t="n">
        <v>0</v>
      </c>
      <c r="M31" s="161" t="n">
        <v>50000</v>
      </c>
      <c r="N31" s="159" t="n">
        <v>0</v>
      </c>
      <c r="O31" s="159" t="n">
        <v>0</v>
      </c>
      <c r="P31" s="159" t="n">
        <v>0</v>
      </c>
      <c r="Q31" s="159" t="s">
        <v>356</v>
      </c>
    </row>
    <row r="32" customFormat="false" ht="12.75" hidden="false" customHeight="false" outlineLevel="0" collapsed="false">
      <c r="B32" s="157"/>
      <c r="C32" s="157" t="s">
        <v>354</v>
      </c>
      <c r="D32" s="157" t="n">
        <v>66930</v>
      </c>
      <c r="E32" s="157" t="s">
        <v>88</v>
      </c>
      <c r="F32" s="157" t="s">
        <v>356</v>
      </c>
      <c r="G32" s="157" t="s">
        <v>356</v>
      </c>
      <c r="H32" s="158" t="n">
        <v>36617</v>
      </c>
      <c r="I32" s="158" t="n">
        <v>36981</v>
      </c>
      <c r="J32" s="157" t="n">
        <v>28188</v>
      </c>
      <c r="K32" s="162" t="n">
        <v>4000</v>
      </c>
      <c r="L32" s="157" t="n">
        <v>0</v>
      </c>
      <c r="M32" s="162" t="n">
        <v>4000</v>
      </c>
      <c r="N32" s="157" t="n">
        <v>0</v>
      </c>
      <c r="O32" s="157" t="n">
        <v>0</v>
      </c>
      <c r="P32" s="157" t="n">
        <v>0</v>
      </c>
      <c r="Q32" s="157" t="s">
        <v>356</v>
      </c>
    </row>
    <row r="33" customFormat="false" ht="12.75" hidden="false" customHeight="false" outlineLevel="0" collapsed="false">
      <c r="B33" s="159"/>
      <c r="C33" s="159" t="s">
        <v>354</v>
      </c>
      <c r="D33" s="159" t="n">
        <v>66931</v>
      </c>
      <c r="E33" s="159" t="s">
        <v>88</v>
      </c>
      <c r="F33" s="159" t="s">
        <v>356</v>
      </c>
      <c r="G33" s="159" t="s">
        <v>356</v>
      </c>
      <c r="H33" s="160" t="n">
        <v>36617</v>
      </c>
      <c r="I33" s="160" t="n">
        <v>36981</v>
      </c>
      <c r="J33" s="159" t="n">
        <v>28189</v>
      </c>
      <c r="K33" s="161" t="n">
        <v>4000</v>
      </c>
      <c r="L33" s="159" t="n">
        <v>0</v>
      </c>
      <c r="M33" s="161" t="n">
        <v>4000</v>
      </c>
      <c r="N33" s="159" t="n">
        <v>0</v>
      </c>
      <c r="O33" s="159" t="n">
        <v>0</v>
      </c>
      <c r="P33" s="159" t="n">
        <v>0</v>
      </c>
      <c r="Q33" s="159" t="s">
        <v>356</v>
      </c>
    </row>
    <row r="34" customFormat="false" ht="12.75" hidden="false" customHeight="false" outlineLevel="0" collapsed="false">
      <c r="B34" s="157"/>
      <c r="C34" s="157" t="s">
        <v>354</v>
      </c>
      <c r="D34" s="157" t="n">
        <v>66932</v>
      </c>
      <c r="E34" s="157" t="s">
        <v>88</v>
      </c>
      <c r="F34" s="157" t="s">
        <v>356</v>
      </c>
      <c r="G34" s="157" t="s">
        <v>356</v>
      </c>
      <c r="H34" s="158" t="n">
        <v>36617</v>
      </c>
      <c r="I34" s="158" t="n">
        <v>36981</v>
      </c>
      <c r="J34" s="157" t="n">
        <v>28176</v>
      </c>
      <c r="K34" s="162" t="n">
        <v>4000</v>
      </c>
      <c r="L34" s="157" t="n">
        <v>0</v>
      </c>
      <c r="M34" s="162" t="n">
        <v>4000</v>
      </c>
      <c r="N34" s="157" t="n">
        <v>0</v>
      </c>
      <c r="O34" s="157" t="n">
        <v>0</v>
      </c>
      <c r="P34" s="157" t="n">
        <v>0</v>
      </c>
      <c r="Q34" s="157" t="s">
        <v>356</v>
      </c>
    </row>
    <row r="35" customFormat="false" ht="12.75" hidden="false" customHeight="false" outlineLevel="0" collapsed="false">
      <c r="B35" s="159"/>
      <c r="C35" s="159" t="s">
        <v>354</v>
      </c>
      <c r="D35" s="159" t="n">
        <v>66939</v>
      </c>
      <c r="E35" s="159" t="s">
        <v>88</v>
      </c>
      <c r="F35" s="159" t="s">
        <v>356</v>
      </c>
      <c r="G35" s="159" t="s">
        <v>356</v>
      </c>
      <c r="H35" s="160" t="n">
        <v>36617</v>
      </c>
      <c r="I35" s="160" t="n">
        <v>36981</v>
      </c>
      <c r="J35" s="159" t="n">
        <v>28332</v>
      </c>
      <c r="K35" s="159" t="n">
        <v>52</v>
      </c>
      <c r="L35" s="159" t="n">
        <v>0</v>
      </c>
      <c r="M35" s="159" t="n">
        <v>52</v>
      </c>
      <c r="N35" s="159" t="n">
        <v>0</v>
      </c>
      <c r="O35" s="159" t="n">
        <v>0</v>
      </c>
      <c r="P35" s="159" t="n">
        <v>0</v>
      </c>
      <c r="Q35" s="159" t="s">
        <v>356</v>
      </c>
    </row>
    <row r="36" customFormat="false" ht="12.75" hidden="false" customHeight="false" outlineLevel="0" collapsed="false">
      <c r="B36" s="157"/>
      <c r="C36" s="157" t="s">
        <v>354</v>
      </c>
      <c r="D36" s="157" t="n">
        <v>66940</v>
      </c>
      <c r="E36" s="157" t="s">
        <v>88</v>
      </c>
      <c r="F36" s="157" t="s">
        <v>356</v>
      </c>
      <c r="G36" s="157" t="s">
        <v>356</v>
      </c>
      <c r="H36" s="158" t="n">
        <v>36617</v>
      </c>
      <c r="I36" s="158" t="n">
        <v>36981</v>
      </c>
      <c r="J36" s="157" t="n">
        <v>28331</v>
      </c>
      <c r="K36" s="157" t="n">
        <v>2</v>
      </c>
      <c r="L36" s="157" t="n">
        <v>0</v>
      </c>
      <c r="M36" s="157" t="n">
        <v>2</v>
      </c>
      <c r="N36" s="157" t="n">
        <v>0</v>
      </c>
      <c r="O36" s="157" t="n">
        <v>0</v>
      </c>
      <c r="P36" s="157" t="n">
        <v>0</v>
      </c>
      <c r="Q36" s="157" t="s">
        <v>356</v>
      </c>
    </row>
    <row r="37" customFormat="false" ht="12.75" hidden="false" customHeight="false" outlineLevel="0" collapsed="false">
      <c r="B37" s="159"/>
      <c r="C37" s="159" t="s">
        <v>354</v>
      </c>
      <c r="D37" s="159" t="n">
        <v>66965</v>
      </c>
      <c r="E37" s="159" t="s">
        <v>280</v>
      </c>
      <c r="F37" s="159" t="s">
        <v>356</v>
      </c>
      <c r="G37" s="159" t="s">
        <v>356</v>
      </c>
      <c r="H37" s="160" t="n">
        <v>36617</v>
      </c>
      <c r="I37" s="160" t="n">
        <v>36830</v>
      </c>
      <c r="J37" s="159" t="n">
        <v>28226</v>
      </c>
      <c r="K37" s="161" t="n">
        <v>20000</v>
      </c>
      <c r="L37" s="159" t="n">
        <v>0</v>
      </c>
      <c r="M37" s="161" t="n">
        <v>20000</v>
      </c>
      <c r="N37" s="159" t="n">
        <v>0</v>
      </c>
      <c r="O37" s="159" t="n">
        <v>0</v>
      </c>
      <c r="P37" s="159" t="n">
        <v>0</v>
      </c>
      <c r="Q37" s="159" t="s">
        <v>356</v>
      </c>
    </row>
    <row r="38" customFormat="false" ht="12.75" hidden="false" customHeight="false" outlineLevel="0" collapsed="false">
      <c r="B38" s="157"/>
      <c r="C38" s="157" t="s">
        <v>354</v>
      </c>
      <c r="D38" s="157" t="n">
        <v>67693</v>
      </c>
      <c r="E38" s="157" t="s">
        <v>280</v>
      </c>
      <c r="F38" s="157" t="s">
        <v>356</v>
      </c>
      <c r="G38" s="157" t="s">
        <v>356</v>
      </c>
      <c r="H38" s="158" t="n">
        <v>36617</v>
      </c>
      <c r="I38" s="158" t="n">
        <v>36799</v>
      </c>
      <c r="J38" s="157" t="n">
        <v>28390</v>
      </c>
      <c r="K38" s="162" t="n">
        <v>54327</v>
      </c>
      <c r="L38" s="157" t="n">
        <v>0</v>
      </c>
      <c r="M38" s="162" t="n">
        <v>29827</v>
      </c>
      <c r="N38" s="162" t="n">
        <v>24500</v>
      </c>
      <c r="O38" s="157" t="n">
        <v>0</v>
      </c>
      <c r="P38" s="157" t="n">
        <v>0</v>
      </c>
      <c r="Q38" s="157" t="s">
        <v>356</v>
      </c>
    </row>
    <row r="39" customFormat="false" ht="12.75" hidden="false" customHeight="false" outlineLevel="0" collapsed="false">
      <c r="B39" s="159"/>
      <c r="C39" s="159" t="s">
        <v>354</v>
      </c>
      <c r="D39" s="159" t="n">
        <v>67712</v>
      </c>
      <c r="E39" s="159" t="s">
        <v>261</v>
      </c>
      <c r="F39" s="159" t="s">
        <v>356</v>
      </c>
      <c r="G39" s="159" t="s">
        <v>356</v>
      </c>
      <c r="H39" s="160" t="n">
        <v>36617</v>
      </c>
      <c r="I39" s="160" t="n">
        <v>36981</v>
      </c>
      <c r="J39" s="159" t="n">
        <v>28389</v>
      </c>
      <c r="K39" s="161" t="n">
        <v>108648</v>
      </c>
      <c r="L39" s="161" t="n">
        <v>6050607</v>
      </c>
      <c r="M39" s="161" t="n">
        <v>108648</v>
      </c>
      <c r="N39" s="159" t="n">
        <v>0</v>
      </c>
      <c r="O39" s="159" t="n">
        <v>0</v>
      </c>
      <c r="P39" s="159" t="n">
        <v>0</v>
      </c>
      <c r="Q39" s="159" t="n">
        <v>67713</v>
      </c>
    </row>
    <row r="40" customFormat="false" ht="12.75" hidden="false" customHeight="false" outlineLevel="0" collapsed="false">
      <c r="B40" s="157"/>
      <c r="C40" s="157" t="s">
        <v>354</v>
      </c>
      <c r="D40" s="157" t="n">
        <v>67713</v>
      </c>
      <c r="E40" s="157" t="s">
        <v>261</v>
      </c>
      <c r="F40" s="157" t="s">
        <v>356</v>
      </c>
      <c r="G40" s="157" t="s">
        <v>356</v>
      </c>
      <c r="H40" s="158" t="n">
        <v>36617</v>
      </c>
      <c r="I40" s="158" t="n">
        <v>36981</v>
      </c>
      <c r="J40" s="157" t="n">
        <v>28389</v>
      </c>
      <c r="K40" s="162" t="n">
        <v>108648</v>
      </c>
      <c r="L40" s="162" t="n">
        <v>6050607</v>
      </c>
      <c r="M40" s="162" t="n">
        <v>108648</v>
      </c>
      <c r="N40" s="157" t="n">
        <v>0</v>
      </c>
      <c r="O40" s="157" t="n">
        <v>0</v>
      </c>
      <c r="P40" s="157" t="n">
        <v>0</v>
      </c>
      <c r="Q40" s="157" t="n">
        <v>67713</v>
      </c>
    </row>
    <row r="41" customFormat="false" ht="12.75" hidden="false" customHeight="false" outlineLevel="0" collapsed="false">
      <c r="B41" s="159"/>
      <c r="C41" s="159" t="s">
        <v>354</v>
      </c>
      <c r="D41" s="159" t="n">
        <v>68188</v>
      </c>
      <c r="E41" s="159" t="s">
        <v>88</v>
      </c>
      <c r="F41" s="159" t="s">
        <v>356</v>
      </c>
      <c r="G41" s="159" t="s">
        <v>356</v>
      </c>
      <c r="H41" s="160" t="n">
        <v>36647</v>
      </c>
      <c r="I41" s="160" t="n">
        <v>37011</v>
      </c>
      <c r="J41" s="159" t="n">
        <v>28742</v>
      </c>
      <c r="K41" s="159" t="n">
        <v>1</v>
      </c>
      <c r="L41" s="159" t="n">
        <v>0</v>
      </c>
      <c r="M41" s="159" t="n">
        <v>1</v>
      </c>
      <c r="N41" s="159" t="n">
        <v>0</v>
      </c>
      <c r="O41" s="159" t="n">
        <v>0</v>
      </c>
      <c r="P41" s="159" t="n">
        <v>0</v>
      </c>
      <c r="Q41" s="159" t="s">
        <v>356</v>
      </c>
    </row>
    <row r="42" customFormat="false" ht="12.75" hidden="false" customHeight="false" outlineLevel="0" collapsed="false">
      <c r="B42" s="157"/>
      <c r="C42" s="157" t="s">
        <v>354</v>
      </c>
      <c r="D42" s="157" t="n">
        <v>68257</v>
      </c>
      <c r="E42" s="157" t="s">
        <v>88</v>
      </c>
      <c r="F42" s="157" t="s">
        <v>356</v>
      </c>
      <c r="G42" s="157" t="s">
        <v>356</v>
      </c>
      <c r="H42" s="158" t="n">
        <v>36647</v>
      </c>
      <c r="I42" s="158" t="n">
        <v>37011</v>
      </c>
      <c r="J42" s="157" t="n">
        <v>28631</v>
      </c>
      <c r="K42" s="157" t="n">
        <v>21</v>
      </c>
      <c r="L42" s="157" t="n">
        <v>0</v>
      </c>
      <c r="M42" s="157" t="n">
        <v>21</v>
      </c>
      <c r="N42" s="157" t="n">
        <v>0</v>
      </c>
      <c r="O42" s="157" t="n">
        <v>0</v>
      </c>
      <c r="P42" s="157" t="n">
        <v>0</v>
      </c>
      <c r="Q42" s="157"/>
    </row>
    <row r="43" customFormat="false" ht="12.75" hidden="false" customHeight="false" outlineLevel="0" collapsed="false">
      <c r="B43" s="159"/>
      <c r="C43" s="159" t="s">
        <v>354</v>
      </c>
      <c r="D43" s="159" t="n">
        <v>68308</v>
      </c>
      <c r="E43" s="159" t="s">
        <v>88</v>
      </c>
      <c r="F43" s="159" t="s">
        <v>356</v>
      </c>
      <c r="G43" s="159" t="s">
        <v>356</v>
      </c>
      <c r="H43" s="160" t="n">
        <v>36656</v>
      </c>
      <c r="I43" s="160" t="n">
        <v>36950</v>
      </c>
      <c r="J43" s="159" t="n">
        <v>28864</v>
      </c>
      <c r="K43" s="159" t="n">
        <v>9</v>
      </c>
      <c r="L43" s="159" t="n">
        <v>0</v>
      </c>
      <c r="M43" s="159" t="n">
        <v>9</v>
      </c>
      <c r="N43" s="159" t="n">
        <v>0</v>
      </c>
      <c r="O43" s="159" t="n">
        <v>0</v>
      </c>
      <c r="P43" s="159" t="n">
        <v>0</v>
      </c>
      <c r="Q43" s="159" t="s">
        <v>356</v>
      </c>
    </row>
    <row r="44" customFormat="false" ht="12.75" hidden="false" customHeight="false" outlineLevel="0" collapsed="false">
      <c r="B44" s="157"/>
      <c r="C44" s="157" t="s">
        <v>354</v>
      </c>
      <c r="D44" s="157" t="n">
        <v>68359</v>
      </c>
      <c r="E44" s="157" t="s">
        <v>88</v>
      </c>
      <c r="F44" s="157" t="s">
        <v>356</v>
      </c>
      <c r="G44" s="157" t="s">
        <v>356</v>
      </c>
      <c r="H44" s="158" t="n">
        <v>36678</v>
      </c>
      <c r="I44" s="158" t="n">
        <v>37042</v>
      </c>
      <c r="J44" s="157" t="n">
        <v>28933</v>
      </c>
      <c r="K44" s="157" t="n">
        <v>285</v>
      </c>
      <c r="L44" s="157" t="n">
        <v>0</v>
      </c>
      <c r="M44" s="157" t="n">
        <v>285</v>
      </c>
      <c r="N44" s="157" t="n">
        <v>0</v>
      </c>
      <c r="O44" s="157" t="n">
        <v>0</v>
      </c>
      <c r="P44" s="157" t="n">
        <v>0</v>
      </c>
      <c r="Q44" s="157" t="s">
        <v>356</v>
      </c>
    </row>
    <row r="45" customFormat="false" ht="12.75" hidden="false" customHeight="false" outlineLevel="0" collapsed="false">
      <c r="B45" s="159"/>
      <c r="C45" s="159" t="s">
        <v>354</v>
      </c>
      <c r="D45" s="159" t="n">
        <v>68384</v>
      </c>
      <c r="E45" s="159" t="s">
        <v>88</v>
      </c>
      <c r="F45" s="159" t="s">
        <v>356</v>
      </c>
      <c r="G45" s="159" t="s">
        <v>356</v>
      </c>
      <c r="H45" s="160" t="n">
        <v>36678</v>
      </c>
      <c r="I45" s="160" t="n">
        <v>37042</v>
      </c>
      <c r="J45" s="159" t="n">
        <v>28962</v>
      </c>
      <c r="K45" s="159" t="n">
        <v>218</v>
      </c>
      <c r="L45" s="159" t="n">
        <v>0</v>
      </c>
      <c r="M45" s="159" t="n">
        <v>218</v>
      </c>
      <c r="N45" s="159" t="n">
        <v>0</v>
      </c>
      <c r="O45" s="159" t="n">
        <v>0</v>
      </c>
      <c r="P45" s="159" t="n">
        <v>0</v>
      </c>
      <c r="Q45" s="159" t="s">
        <v>356</v>
      </c>
    </row>
    <row r="46" customFormat="false" ht="12.75" hidden="false" customHeight="false" outlineLevel="0" collapsed="false">
      <c r="B46" s="157"/>
      <c r="C46" s="157" t="s">
        <v>354</v>
      </c>
      <c r="D46" s="157" t="n">
        <v>68443</v>
      </c>
      <c r="E46" s="157" t="s">
        <v>280</v>
      </c>
      <c r="F46" s="157" t="s">
        <v>356</v>
      </c>
      <c r="G46" s="157" t="s">
        <v>356</v>
      </c>
      <c r="H46" s="158" t="n">
        <v>36678</v>
      </c>
      <c r="I46" s="158" t="n">
        <v>36707</v>
      </c>
      <c r="J46" s="157" t="n">
        <v>29005</v>
      </c>
      <c r="K46" s="162" t="n">
        <v>10000</v>
      </c>
      <c r="L46" s="157" t="n">
        <v>0</v>
      </c>
      <c r="M46" s="162" t="n">
        <v>10000</v>
      </c>
      <c r="N46" s="157" t="n">
        <v>0</v>
      </c>
      <c r="O46" s="157" t="n">
        <v>0</v>
      </c>
      <c r="P46" s="157" t="n">
        <v>0</v>
      </c>
      <c r="Q46" s="157" t="s">
        <v>356</v>
      </c>
    </row>
    <row r="47" customFormat="false" ht="12.75" hidden="false" customHeight="false" outlineLevel="0" collapsed="false">
      <c r="B47" s="159"/>
      <c r="C47" s="159" t="s">
        <v>354</v>
      </c>
      <c r="D47" s="159" t="n">
        <v>68447</v>
      </c>
      <c r="E47" s="159" t="s">
        <v>88</v>
      </c>
      <c r="F47" s="159" t="s">
        <v>356</v>
      </c>
      <c r="G47" s="159" t="s">
        <v>356</v>
      </c>
      <c r="H47" s="160" t="n">
        <v>36678</v>
      </c>
      <c r="I47" s="160" t="n">
        <v>36707</v>
      </c>
      <c r="J47" s="159" t="n">
        <v>29095</v>
      </c>
      <c r="K47" s="161" t="n">
        <v>7500</v>
      </c>
      <c r="L47" s="159" t="n">
        <v>0</v>
      </c>
      <c r="M47" s="161" t="n">
        <v>7500</v>
      </c>
      <c r="N47" s="159" t="n">
        <v>0</v>
      </c>
      <c r="O47" s="159" t="n">
        <v>0</v>
      </c>
      <c r="P47" s="159" t="n">
        <v>0</v>
      </c>
      <c r="Q47" s="159" t="s">
        <v>356</v>
      </c>
    </row>
    <row r="48" customFormat="false" ht="38.25" hidden="false" customHeight="false" outlineLevel="0" collapsed="false">
      <c r="B48" s="157"/>
      <c r="C48" s="157" t="s">
        <v>363</v>
      </c>
      <c r="D48" s="157" t="n">
        <v>37393</v>
      </c>
      <c r="E48" s="157" t="s">
        <v>364</v>
      </c>
      <c r="F48" s="157" t="s">
        <v>356</v>
      </c>
      <c r="G48" s="157" t="s">
        <v>356</v>
      </c>
      <c r="H48" s="158" t="n">
        <v>34274</v>
      </c>
      <c r="I48" s="157" t="s">
        <v>356</v>
      </c>
      <c r="J48" s="157" t="s">
        <v>356</v>
      </c>
      <c r="K48" s="162" t="n">
        <v>20000</v>
      </c>
      <c r="L48" s="157" t="n">
        <v>0</v>
      </c>
      <c r="M48" s="162" t="n">
        <v>20000</v>
      </c>
      <c r="N48" s="157" t="n">
        <v>0</v>
      </c>
      <c r="O48" s="157" t="n">
        <v>0</v>
      </c>
      <c r="P48" s="157" t="n">
        <v>0</v>
      </c>
      <c r="Q48" s="157" t="s">
        <v>356</v>
      </c>
    </row>
    <row r="49" customFormat="false" ht="38.25" hidden="false" customHeight="false" outlineLevel="0" collapsed="false">
      <c r="B49" s="159"/>
      <c r="C49" s="159" t="s">
        <v>363</v>
      </c>
      <c r="D49" s="159" t="n">
        <v>37556</v>
      </c>
      <c r="E49" s="159" t="s">
        <v>365</v>
      </c>
      <c r="F49" s="159" t="s">
        <v>356</v>
      </c>
      <c r="G49" s="159" t="s">
        <v>356</v>
      </c>
      <c r="H49" s="160" t="n">
        <v>34274</v>
      </c>
      <c r="I49" s="159" t="s">
        <v>356</v>
      </c>
      <c r="J49" s="159" t="s">
        <v>356</v>
      </c>
      <c r="K49" s="161" t="n">
        <v>300000</v>
      </c>
      <c r="L49" s="159" t="n">
        <v>0</v>
      </c>
      <c r="M49" s="161" t="n">
        <v>300000</v>
      </c>
      <c r="N49" s="159" t="n">
        <v>0</v>
      </c>
      <c r="O49" s="159" t="n">
        <v>0</v>
      </c>
      <c r="P49" s="159" t="n">
        <v>0</v>
      </c>
      <c r="Q49" s="159" t="s">
        <v>356</v>
      </c>
    </row>
    <row r="50" customFormat="false" ht="38.25" hidden="false" customHeight="false" outlineLevel="0" collapsed="false">
      <c r="B50" s="157"/>
      <c r="C50" s="157" t="s">
        <v>363</v>
      </c>
      <c r="D50" s="157" t="n">
        <v>37861</v>
      </c>
      <c r="E50" s="157" t="s">
        <v>366</v>
      </c>
      <c r="F50" s="157" t="s">
        <v>356</v>
      </c>
      <c r="G50" s="157" t="s">
        <v>356</v>
      </c>
      <c r="H50" s="158" t="n">
        <v>35582</v>
      </c>
      <c r="I50" s="157" t="s">
        <v>356</v>
      </c>
      <c r="J50" s="157" t="s">
        <v>356</v>
      </c>
      <c r="K50" s="162" t="n">
        <v>15000</v>
      </c>
      <c r="L50" s="157" t="n">
        <v>0</v>
      </c>
      <c r="M50" s="162" t="n">
        <v>15000</v>
      </c>
      <c r="N50" s="157" t="n">
        <v>0</v>
      </c>
      <c r="O50" s="157" t="n">
        <v>0</v>
      </c>
      <c r="P50" s="157" t="n">
        <v>0</v>
      </c>
      <c r="Q50" s="157" t="s">
        <v>356</v>
      </c>
    </row>
    <row r="51" customFormat="false" ht="38.25" hidden="false" customHeight="false" outlineLevel="0" collapsed="false">
      <c r="B51" s="159"/>
      <c r="C51" s="159" t="s">
        <v>363</v>
      </c>
      <c r="D51" s="159" t="n">
        <v>38641</v>
      </c>
      <c r="E51" s="159" t="s">
        <v>367</v>
      </c>
      <c r="F51" s="159" t="s">
        <v>356</v>
      </c>
      <c r="G51" s="159" t="s">
        <v>356</v>
      </c>
      <c r="H51" s="160" t="n">
        <v>34274</v>
      </c>
      <c r="I51" s="159" t="s">
        <v>356</v>
      </c>
      <c r="J51" s="159" t="s">
        <v>356</v>
      </c>
      <c r="K51" s="161" t="n">
        <v>450000</v>
      </c>
      <c r="L51" s="159" t="n">
        <v>0</v>
      </c>
      <c r="M51" s="161" t="n">
        <v>450000</v>
      </c>
      <c r="N51" s="159" t="n">
        <v>0</v>
      </c>
      <c r="O51" s="159" t="n">
        <v>0</v>
      </c>
      <c r="P51" s="159" t="n">
        <v>0</v>
      </c>
      <c r="Q51" s="159" t="s">
        <v>356</v>
      </c>
    </row>
    <row r="52" customFormat="false" ht="38.25" hidden="false" customHeight="false" outlineLevel="0" collapsed="false">
      <c r="B52" s="157"/>
      <c r="C52" s="157" t="s">
        <v>363</v>
      </c>
      <c r="D52" s="157" t="n">
        <v>39229</v>
      </c>
      <c r="E52" s="157" t="s">
        <v>355</v>
      </c>
      <c r="F52" s="157" t="s">
        <v>356</v>
      </c>
      <c r="G52" s="157" t="s">
        <v>356</v>
      </c>
      <c r="H52" s="158" t="n">
        <v>34274</v>
      </c>
      <c r="I52" s="157" t="s">
        <v>356</v>
      </c>
      <c r="J52" s="157" t="s">
        <v>356</v>
      </c>
      <c r="K52" s="157" t="n">
        <v>0</v>
      </c>
      <c r="L52" s="157" t="n">
        <v>0</v>
      </c>
      <c r="M52" s="157" t="n">
        <v>0</v>
      </c>
      <c r="N52" s="157" t="n">
        <v>0</v>
      </c>
      <c r="O52" s="157" t="n">
        <v>0</v>
      </c>
      <c r="P52" s="157" t="n">
        <v>0</v>
      </c>
      <c r="Q52" s="157" t="s">
        <v>356</v>
      </c>
    </row>
    <row r="53" customFormat="false" ht="38.25" hidden="false" customHeight="false" outlineLevel="0" collapsed="false">
      <c r="B53" s="159"/>
      <c r="C53" s="159" t="s">
        <v>363</v>
      </c>
      <c r="D53" s="159" t="n">
        <v>39266</v>
      </c>
      <c r="E53" s="159" t="s">
        <v>314</v>
      </c>
      <c r="F53" s="159" t="s">
        <v>356</v>
      </c>
      <c r="G53" s="159" t="s">
        <v>356</v>
      </c>
      <c r="H53" s="160" t="n">
        <v>34274</v>
      </c>
      <c r="I53" s="159" t="s">
        <v>356</v>
      </c>
      <c r="J53" s="159" t="s">
        <v>356</v>
      </c>
      <c r="K53" s="161" t="n">
        <v>300000</v>
      </c>
      <c r="L53" s="159" t="n">
        <v>0</v>
      </c>
      <c r="M53" s="161" t="n">
        <v>300000</v>
      </c>
      <c r="N53" s="159" t="n">
        <v>0</v>
      </c>
      <c r="O53" s="159" t="n">
        <v>0</v>
      </c>
      <c r="P53" s="159" t="n">
        <v>0</v>
      </c>
      <c r="Q53" s="159" t="s">
        <v>356</v>
      </c>
    </row>
    <row r="54" customFormat="false" ht="38.25" hidden="false" customHeight="false" outlineLevel="0" collapsed="false">
      <c r="B54" s="157"/>
      <c r="C54" s="157" t="s">
        <v>363</v>
      </c>
      <c r="D54" s="157" t="n">
        <v>42789</v>
      </c>
      <c r="E54" s="157" t="s">
        <v>364</v>
      </c>
      <c r="F54" s="157" t="s">
        <v>356</v>
      </c>
      <c r="G54" s="157" t="s">
        <v>356</v>
      </c>
      <c r="H54" s="158" t="n">
        <v>36557</v>
      </c>
      <c r="I54" s="157" t="s">
        <v>356</v>
      </c>
      <c r="J54" s="157" t="s">
        <v>356</v>
      </c>
      <c r="K54" s="162" t="n">
        <v>30000</v>
      </c>
      <c r="L54" s="157" t="n">
        <v>0</v>
      </c>
      <c r="M54" s="162" t="n">
        <v>30000</v>
      </c>
      <c r="N54" s="157" t="n">
        <v>0</v>
      </c>
      <c r="O54" s="157" t="n">
        <v>0</v>
      </c>
      <c r="P54" s="157" t="n">
        <v>0</v>
      </c>
      <c r="Q54" s="157" t="s">
        <v>356</v>
      </c>
    </row>
    <row r="55" customFormat="false" ht="38.25" hidden="false" customHeight="false" outlineLevel="0" collapsed="false">
      <c r="B55" s="159"/>
      <c r="C55" s="159" t="s">
        <v>363</v>
      </c>
      <c r="D55" s="159" t="n">
        <v>50250</v>
      </c>
      <c r="E55" s="159" t="s">
        <v>364</v>
      </c>
      <c r="F55" s="159" t="s">
        <v>356</v>
      </c>
      <c r="G55" s="159" t="s">
        <v>356</v>
      </c>
      <c r="H55" s="160" t="n">
        <v>36557</v>
      </c>
      <c r="I55" s="159" t="s">
        <v>356</v>
      </c>
      <c r="J55" s="159" t="s">
        <v>356</v>
      </c>
      <c r="K55" s="161" t="n">
        <v>20000</v>
      </c>
      <c r="L55" s="159" t="n">
        <v>0</v>
      </c>
      <c r="M55" s="161" t="n">
        <v>20000</v>
      </c>
      <c r="N55" s="159" t="n">
        <v>0</v>
      </c>
      <c r="O55" s="159" t="n">
        <v>0</v>
      </c>
      <c r="P55" s="159" t="n">
        <v>0</v>
      </c>
      <c r="Q55" s="159" t="s">
        <v>356</v>
      </c>
    </row>
    <row r="56" customFormat="false" ht="38.25" hidden="false" customHeight="false" outlineLevel="0" collapsed="false">
      <c r="B56" s="157"/>
      <c r="C56" s="157" t="s">
        <v>363</v>
      </c>
      <c r="D56" s="157" t="n">
        <v>58654</v>
      </c>
      <c r="E56" s="157" t="s">
        <v>366</v>
      </c>
      <c r="F56" s="157" t="s">
        <v>356</v>
      </c>
      <c r="G56" s="157" t="s">
        <v>356</v>
      </c>
      <c r="H56" s="158" t="n">
        <v>36557</v>
      </c>
      <c r="I56" s="157" t="s">
        <v>356</v>
      </c>
      <c r="J56" s="157" t="s">
        <v>356</v>
      </c>
      <c r="K56" s="162" t="n">
        <v>15000</v>
      </c>
      <c r="L56" s="157" t="n">
        <v>0</v>
      </c>
      <c r="M56" s="162" t="n">
        <v>15000</v>
      </c>
      <c r="N56" s="157" t="n">
        <v>0</v>
      </c>
      <c r="O56" s="157" t="n">
        <v>0</v>
      </c>
      <c r="P56" s="157" t="n">
        <v>0</v>
      </c>
      <c r="Q56" s="157" t="s">
        <v>356</v>
      </c>
    </row>
    <row r="57" customFormat="false" ht="38.25" hidden="false" customHeight="false" outlineLevel="0" collapsed="false">
      <c r="B57" s="159"/>
      <c r="C57" s="159" t="s">
        <v>363</v>
      </c>
      <c r="D57" s="159" t="n">
        <v>62408</v>
      </c>
      <c r="E57" s="159" t="s">
        <v>364</v>
      </c>
      <c r="F57" s="159" t="s">
        <v>356</v>
      </c>
      <c r="G57" s="159" t="s">
        <v>356</v>
      </c>
      <c r="H57" s="160" t="n">
        <v>36557</v>
      </c>
      <c r="I57" s="159" t="s">
        <v>356</v>
      </c>
      <c r="J57" s="159" t="s">
        <v>356</v>
      </c>
      <c r="K57" s="161" t="n">
        <v>40000</v>
      </c>
      <c r="L57" s="159" t="n">
        <v>0</v>
      </c>
      <c r="M57" s="161" t="n">
        <v>40000</v>
      </c>
      <c r="N57" s="159" t="n">
        <v>0</v>
      </c>
      <c r="O57" s="159" t="n">
        <v>0</v>
      </c>
      <c r="P57" s="159" t="n">
        <v>0</v>
      </c>
      <c r="Q57" s="159" t="s">
        <v>356</v>
      </c>
    </row>
    <row r="58" customFormat="false" ht="38.25" hidden="false" customHeight="false" outlineLevel="0" collapsed="false">
      <c r="B58" s="157"/>
      <c r="C58" s="157" t="s">
        <v>363</v>
      </c>
      <c r="D58" s="157" t="n">
        <v>63115</v>
      </c>
      <c r="E58" s="157" t="s">
        <v>366</v>
      </c>
      <c r="F58" s="157" t="s">
        <v>356</v>
      </c>
      <c r="G58" s="157" t="s">
        <v>356</v>
      </c>
      <c r="H58" s="158" t="n">
        <v>36557</v>
      </c>
      <c r="I58" s="158" t="n">
        <v>37346</v>
      </c>
      <c r="J58" s="157" t="n">
        <v>24770</v>
      </c>
      <c r="K58" s="162" t="n">
        <v>30000</v>
      </c>
      <c r="L58" s="157" t="n">
        <v>0</v>
      </c>
      <c r="M58" s="162" t="n">
        <v>30000</v>
      </c>
      <c r="N58" s="157" t="n">
        <v>0</v>
      </c>
      <c r="O58" s="157" t="n">
        <v>0</v>
      </c>
      <c r="P58" s="157" t="n">
        <v>0</v>
      </c>
      <c r="Q58" s="157" t="s">
        <v>356</v>
      </c>
    </row>
    <row r="59" customFormat="false" ht="38.25" hidden="false" customHeight="false" outlineLevel="0" collapsed="false">
      <c r="B59" s="159"/>
      <c r="C59" s="159" t="s">
        <v>363</v>
      </c>
      <c r="D59" s="159" t="n">
        <v>63922</v>
      </c>
      <c r="E59" s="159" t="s">
        <v>364</v>
      </c>
      <c r="F59" s="159" t="s">
        <v>356</v>
      </c>
      <c r="G59" s="159" t="s">
        <v>356</v>
      </c>
      <c r="H59" s="160" t="n">
        <v>36557</v>
      </c>
      <c r="I59" s="160" t="n">
        <v>38291</v>
      </c>
      <c r="J59" s="159" t="n">
        <v>25471</v>
      </c>
      <c r="K59" s="161" t="n">
        <v>25654</v>
      </c>
      <c r="L59" s="159" t="n">
        <v>0</v>
      </c>
      <c r="M59" s="161" t="n">
        <v>25654</v>
      </c>
      <c r="N59" s="159" t="n">
        <v>0</v>
      </c>
      <c r="O59" s="159" t="n">
        <v>0</v>
      </c>
      <c r="P59" s="159" t="n">
        <v>0</v>
      </c>
      <c r="Q59" s="159" t="s">
        <v>356</v>
      </c>
    </row>
    <row r="60" customFormat="false" ht="38.25" hidden="false" customHeight="false" outlineLevel="0" collapsed="false">
      <c r="B60" s="157"/>
      <c r="C60" s="157" t="s">
        <v>363</v>
      </c>
      <c r="D60" s="157" t="n">
        <v>64033</v>
      </c>
      <c r="E60" s="157" t="s">
        <v>366</v>
      </c>
      <c r="F60" s="157" t="s">
        <v>356</v>
      </c>
      <c r="G60" s="157" t="s">
        <v>356</v>
      </c>
      <c r="H60" s="158" t="n">
        <v>36557</v>
      </c>
      <c r="I60" s="158" t="n">
        <v>36707</v>
      </c>
      <c r="J60" s="157" t="n">
        <v>25713</v>
      </c>
      <c r="K60" s="157" t="n">
        <v>1</v>
      </c>
      <c r="L60" s="157" t="n">
        <v>0</v>
      </c>
      <c r="M60" s="157" t="n">
        <v>1</v>
      </c>
      <c r="N60" s="157" t="n">
        <v>0</v>
      </c>
      <c r="O60" s="157" t="n">
        <v>0</v>
      </c>
      <c r="P60" s="157" t="n">
        <v>0</v>
      </c>
      <c r="Q60" s="157" t="s">
        <v>356</v>
      </c>
    </row>
    <row r="61" customFormat="false" ht="38.25" hidden="false" customHeight="false" outlineLevel="0" collapsed="false">
      <c r="B61" s="159"/>
      <c r="C61" s="159" t="s">
        <v>363</v>
      </c>
      <c r="D61" s="159" t="n">
        <v>64035</v>
      </c>
      <c r="E61" s="159" t="s">
        <v>366</v>
      </c>
      <c r="F61" s="159" t="s">
        <v>356</v>
      </c>
      <c r="G61" s="159" t="s">
        <v>356</v>
      </c>
      <c r="H61" s="160" t="n">
        <v>36557</v>
      </c>
      <c r="I61" s="160" t="n">
        <v>36707</v>
      </c>
      <c r="J61" s="159" t="n">
        <v>25700</v>
      </c>
      <c r="K61" s="159" t="n">
        <v>931</v>
      </c>
      <c r="L61" s="159" t="n">
        <v>0</v>
      </c>
      <c r="M61" s="159" t="n">
        <v>931</v>
      </c>
      <c r="N61" s="159" t="n">
        <v>0</v>
      </c>
      <c r="O61" s="159" t="n">
        <v>0</v>
      </c>
      <c r="P61" s="159" t="n">
        <v>0</v>
      </c>
      <c r="Q61" s="159" t="s">
        <v>356</v>
      </c>
    </row>
    <row r="62" customFormat="false" ht="38.25" hidden="false" customHeight="false" outlineLevel="0" collapsed="false">
      <c r="B62" s="157"/>
      <c r="C62" s="157" t="s">
        <v>363</v>
      </c>
      <c r="D62" s="157" t="n">
        <v>64332</v>
      </c>
      <c r="E62" s="157" t="s">
        <v>366</v>
      </c>
      <c r="F62" s="157" t="s">
        <v>356</v>
      </c>
      <c r="G62" s="157" t="s">
        <v>356</v>
      </c>
      <c r="H62" s="158" t="n">
        <v>36557</v>
      </c>
      <c r="I62" s="158" t="n">
        <v>36738</v>
      </c>
      <c r="J62" s="157" t="n">
        <v>25966</v>
      </c>
      <c r="K62" s="157" t="n">
        <v>12</v>
      </c>
      <c r="L62" s="157" t="n">
        <v>0</v>
      </c>
      <c r="M62" s="157" t="n">
        <v>12</v>
      </c>
      <c r="N62" s="157" t="n">
        <v>0</v>
      </c>
      <c r="O62" s="157" t="n">
        <v>0</v>
      </c>
      <c r="P62" s="157" t="n">
        <v>0</v>
      </c>
      <c r="Q62" s="157" t="s">
        <v>356</v>
      </c>
    </row>
    <row r="63" customFormat="false" ht="38.25" hidden="false" customHeight="false" outlineLevel="0" collapsed="false">
      <c r="B63" s="159"/>
      <c r="C63" s="159" t="s">
        <v>363</v>
      </c>
      <c r="D63" s="159" t="n">
        <v>64334</v>
      </c>
      <c r="E63" s="159" t="s">
        <v>366</v>
      </c>
      <c r="F63" s="159" t="s">
        <v>356</v>
      </c>
      <c r="G63" s="159" t="s">
        <v>356</v>
      </c>
      <c r="H63" s="160" t="n">
        <v>36557</v>
      </c>
      <c r="I63" s="160" t="n">
        <v>36738</v>
      </c>
      <c r="J63" s="159" t="n">
        <v>25956</v>
      </c>
      <c r="K63" s="159" t="n">
        <v>52</v>
      </c>
      <c r="L63" s="159" t="n">
        <v>0</v>
      </c>
      <c r="M63" s="159" t="n">
        <v>52</v>
      </c>
      <c r="N63" s="159" t="n">
        <v>0</v>
      </c>
      <c r="O63" s="159" t="n">
        <v>0</v>
      </c>
      <c r="P63" s="159" t="n">
        <v>0</v>
      </c>
      <c r="Q63" s="159" t="s">
        <v>356</v>
      </c>
    </row>
    <row r="64" customFormat="false" ht="38.25" hidden="false" customHeight="false" outlineLevel="0" collapsed="false">
      <c r="B64" s="157"/>
      <c r="C64" s="157" t="s">
        <v>363</v>
      </c>
      <c r="D64" s="157" t="n">
        <v>64446</v>
      </c>
      <c r="E64" s="157" t="s">
        <v>366</v>
      </c>
      <c r="F64" s="157" t="s">
        <v>356</v>
      </c>
      <c r="G64" s="157" t="s">
        <v>356</v>
      </c>
      <c r="H64" s="158" t="n">
        <v>36557</v>
      </c>
      <c r="I64" s="158" t="n">
        <v>36738</v>
      </c>
      <c r="J64" s="157" t="n">
        <v>26081</v>
      </c>
      <c r="K64" s="157" t="n">
        <v>142</v>
      </c>
      <c r="L64" s="157" t="n">
        <v>0</v>
      </c>
      <c r="M64" s="157" t="n">
        <v>142</v>
      </c>
      <c r="N64" s="157" t="n">
        <v>0</v>
      </c>
      <c r="O64" s="157" t="n">
        <v>0</v>
      </c>
      <c r="P64" s="157" t="n">
        <v>0</v>
      </c>
      <c r="Q64" s="157" t="s">
        <v>356</v>
      </c>
    </row>
    <row r="65" customFormat="false" ht="38.25" hidden="false" customHeight="false" outlineLevel="0" collapsed="false">
      <c r="B65" s="159"/>
      <c r="C65" s="159" t="s">
        <v>363</v>
      </c>
      <c r="D65" s="159" t="n">
        <v>64502</v>
      </c>
      <c r="E65" s="159" t="s">
        <v>364</v>
      </c>
      <c r="F65" s="159" t="s">
        <v>356</v>
      </c>
      <c r="G65" s="159" t="s">
        <v>356</v>
      </c>
      <c r="H65" s="160" t="n">
        <v>36557</v>
      </c>
      <c r="I65" s="159" t="s">
        <v>356</v>
      </c>
      <c r="J65" s="159" t="s">
        <v>356</v>
      </c>
      <c r="K65" s="161" t="n">
        <v>29000</v>
      </c>
      <c r="L65" s="159" t="n">
        <v>0</v>
      </c>
      <c r="M65" s="161" t="n">
        <v>29000</v>
      </c>
      <c r="N65" s="159" t="n">
        <v>0</v>
      </c>
      <c r="O65" s="159" t="n">
        <v>0</v>
      </c>
      <c r="P65" s="159" t="n">
        <v>0</v>
      </c>
      <c r="Q65" s="159"/>
    </row>
    <row r="66" customFormat="false" ht="38.25" hidden="false" customHeight="false" outlineLevel="0" collapsed="false">
      <c r="B66" s="157"/>
      <c r="C66" s="157" t="s">
        <v>363</v>
      </c>
      <c r="D66" s="157" t="n">
        <v>64652</v>
      </c>
      <c r="E66" s="157" t="s">
        <v>366</v>
      </c>
      <c r="F66" s="157" t="s">
        <v>356</v>
      </c>
      <c r="G66" s="157" t="s">
        <v>356</v>
      </c>
      <c r="H66" s="158" t="n">
        <v>36557</v>
      </c>
      <c r="I66" s="158" t="n">
        <v>36769</v>
      </c>
      <c r="J66" s="157" t="n">
        <v>26151</v>
      </c>
      <c r="K66" s="157" t="n">
        <v>65</v>
      </c>
      <c r="L66" s="157" t="n">
        <v>0</v>
      </c>
      <c r="M66" s="157" t="n">
        <v>65</v>
      </c>
      <c r="N66" s="157" t="n">
        <v>0</v>
      </c>
      <c r="O66" s="157" t="n">
        <v>0</v>
      </c>
      <c r="P66" s="157" t="n">
        <v>0</v>
      </c>
      <c r="Q66" s="157" t="s">
        <v>356</v>
      </c>
    </row>
    <row r="67" customFormat="false" ht="38.25" hidden="false" customHeight="false" outlineLevel="0" collapsed="false">
      <c r="B67" s="159"/>
      <c r="C67" s="159" t="s">
        <v>363</v>
      </c>
      <c r="D67" s="159" t="n">
        <v>64863</v>
      </c>
      <c r="E67" s="159" t="s">
        <v>366</v>
      </c>
      <c r="F67" s="159" t="s">
        <v>356</v>
      </c>
      <c r="G67" s="159" t="s">
        <v>356</v>
      </c>
      <c r="H67" s="160" t="n">
        <v>36557</v>
      </c>
      <c r="I67" s="160" t="n">
        <v>36799</v>
      </c>
      <c r="J67" s="159" t="n">
        <v>26504</v>
      </c>
      <c r="K67" s="159" t="n">
        <v>13</v>
      </c>
      <c r="L67" s="159" t="n">
        <v>0</v>
      </c>
      <c r="M67" s="159" t="n">
        <v>13</v>
      </c>
      <c r="N67" s="159" t="n">
        <v>0</v>
      </c>
      <c r="O67" s="159" t="n">
        <v>0</v>
      </c>
      <c r="P67" s="159" t="n">
        <v>0</v>
      </c>
      <c r="Q67" s="159" t="s">
        <v>356</v>
      </c>
    </row>
    <row r="68" customFormat="false" ht="38.25" hidden="false" customHeight="false" outlineLevel="0" collapsed="false">
      <c r="B68" s="157"/>
      <c r="C68" s="157" t="s">
        <v>363</v>
      </c>
      <c r="D68" s="157" t="n">
        <v>64937</v>
      </c>
      <c r="E68" s="157" t="s">
        <v>364</v>
      </c>
      <c r="F68" s="157" t="s">
        <v>356</v>
      </c>
      <c r="G68" s="157" t="s">
        <v>356</v>
      </c>
      <c r="H68" s="158" t="n">
        <v>36434</v>
      </c>
      <c r="I68" s="157" t="s">
        <v>356</v>
      </c>
      <c r="J68" s="157" t="s">
        <v>356</v>
      </c>
      <c r="K68" s="162" t="n">
        <v>10000</v>
      </c>
      <c r="L68" s="157" t="n">
        <v>0</v>
      </c>
      <c r="M68" s="162" t="n">
        <v>10000</v>
      </c>
      <c r="N68" s="157" t="n">
        <v>0</v>
      </c>
      <c r="O68" s="157" t="n">
        <v>0</v>
      </c>
      <c r="P68" s="157" t="n">
        <v>0</v>
      </c>
      <c r="Q68" s="157" t="s">
        <v>356</v>
      </c>
    </row>
    <row r="69" customFormat="false" ht="38.25" hidden="false" customHeight="false" outlineLevel="0" collapsed="false">
      <c r="B69" s="159"/>
      <c r="C69" s="159" t="s">
        <v>363</v>
      </c>
      <c r="D69" s="159" t="n">
        <v>65027</v>
      </c>
      <c r="E69" s="159" t="s">
        <v>366</v>
      </c>
      <c r="F69" s="159" t="s">
        <v>356</v>
      </c>
      <c r="G69" s="159" t="s">
        <v>356</v>
      </c>
      <c r="H69" s="160" t="n">
        <v>36557</v>
      </c>
      <c r="I69" s="160" t="n">
        <v>36830</v>
      </c>
      <c r="J69" s="159" t="n">
        <v>26727</v>
      </c>
      <c r="K69" s="159" t="n">
        <v>131</v>
      </c>
      <c r="L69" s="159" t="n">
        <v>0</v>
      </c>
      <c r="M69" s="159" t="n">
        <v>131</v>
      </c>
      <c r="N69" s="159" t="n">
        <v>0</v>
      </c>
      <c r="O69" s="159" t="n">
        <v>0</v>
      </c>
      <c r="P69" s="159" t="n">
        <v>0</v>
      </c>
      <c r="Q69" s="159" t="s">
        <v>356</v>
      </c>
    </row>
    <row r="70" customFormat="false" ht="38.25" hidden="false" customHeight="false" outlineLevel="0" collapsed="false">
      <c r="B70" s="157"/>
      <c r="C70" s="157" t="s">
        <v>363</v>
      </c>
      <c r="D70" s="157" t="n">
        <v>65072</v>
      </c>
      <c r="E70" s="157" t="s">
        <v>366</v>
      </c>
      <c r="F70" s="157" t="s">
        <v>356</v>
      </c>
      <c r="G70" s="157" t="s">
        <v>356</v>
      </c>
      <c r="H70" s="158" t="n">
        <v>36617</v>
      </c>
      <c r="I70" s="158" t="n">
        <v>36830</v>
      </c>
      <c r="J70" s="157" t="n">
        <v>26785</v>
      </c>
      <c r="K70" s="162" t="n">
        <v>7391</v>
      </c>
      <c r="L70" s="157" t="n">
        <v>0</v>
      </c>
      <c r="M70" s="162" t="n">
        <v>6987</v>
      </c>
      <c r="N70" s="157" t="n">
        <v>404</v>
      </c>
      <c r="O70" s="157" t="n">
        <v>0</v>
      </c>
      <c r="P70" s="157" t="n">
        <v>0</v>
      </c>
      <c r="Q70" s="157" t="s">
        <v>356</v>
      </c>
    </row>
    <row r="71" customFormat="false" ht="38.25" hidden="false" customHeight="false" outlineLevel="0" collapsed="false">
      <c r="B71" s="159"/>
      <c r="C71" s="159" t="s">
        <v>363</v>
      </c>
      <c r="D71" s="159" t="n">
        <v>65557</v>
      </c>
      <c r="E71" s="159" t="s">
        <v>366</v>
      </c>
      <c r="F71" s="159" t="s">
        <v>356</v>
      </c>
      <c r="G71" s="159" t="s">
        <v>356</v>
      </c>
      <c r="H71" s="160" t="n">
        <v>36557</v>
      </c>
      <c r="I71" s="160" t="n">
        <v>36860</v>
      </c>
      <c r="J71" s="159" t="n">
        <v>27128</v>
      </c>
      <c r="K71" s="159" t="n">
        <v>3</v>
      </c>
      <c r="L71" s="159" t="n">
        <v>0</v>
      </c>
      <c r="M71" s="159" t="n">
        <v>3</v>
      </c>
      <c r="N71" s="159" t="n">
        <v>0</v>
      </c>
      <c r="O71" s="159" t="n">
        <v>0</v>
      </c>
      <c r="P71" s="159" t="n">
        <v>0</v>
      </c>
      <c r="Q71" s="159" t="s">
        <v>356</v>
      </c>
    </row>
    <row r="72" customFormat="false" ht="38.25" hidden="false" customHeight="false" outlineLevel="0" collapsed="false">
      <c r="B72" s="157"/>
      <c r="C72" s="157" t="s">
        <v>363</v>
      </c>
      <c r="D72" s="157" t="n">
        <v>66283</v>
      </c>
      <c r="E72" s="157" t="s">
        <v>366</v>
      </c>
      <c r="F72" s="157" t="s">
        <v>356</v>
      </c>
      <c r="G72" s="157" t="s">
        <v>356</v>
      </c>
      <c r="H72" s="158" t="n">
        <v>36557</v>
      </c>
      <c r="I72" s="158" t="n">
        <v>36922</v>
      </c>
      <c r="J72" s="157" t="n">
        <v>27775</v>
      </c>
      <c r="K72" s="157" t="n">
        <v>5</v>
      </c>
      <c r="L72" s="157" t="n">
        <v>0</v>
      </c>
      <c r="M72" s="157" t="n">
        <v>5</v>
      </c>
      <c r="N72" s="157" t="n">
        <v>0</v>
      </c>
      <c r="O72" s="157" t="n">
        <v>0</v>
      </c>
      <c r="P72" s="157" t="n">
        <v>0</v>
      </c>
      <c r="Q72" s="157" t="s">
        <v>356</v>
      </c>
    </row>
    <row r="73" customFormat="false" ht="38.25" hidden="false" customHeight="false" outlineLevel="0" collapsed="false">
      <c r="B73" s="159"/>
      <c r="C73" s="159" t="s">
        <v>363</v>
      </c>
      <c r="D73" s="159" t="n">
        <v>66941</v>
      </c>
      <c r="E73" s="159" t="s">
        <v>366</v>
      </c>
      <c r="F73" s="159" t="s">
        <v>356</v>
      </c>
      <c r="G73" s="159" t="s">
        <v>356</v>
      </c>
      <c r="H73" s="160" t="n">
        <v>36617</v>
      </c>
      <c r="I73" s="160" t="n">
        <v>36981</v>
      </c>
      <c r="J73" s="159" t="n">
        <v>28330</v>
      </c>
      <c r="K73" s="159" t="n">
        <v>53</v>
      </c>
      <c r="L73" s="159" t="n">
        <v>0</v>
      </c>
      <c r="M73" s="159" t="n">
        <v>53</v>
      </c>
      <c r="N73" s="159" t="n">
        <v>0</v>
      </c>
      <c r="O73" s="159" t="n">
        <v>0</v>
      </c>
      <c r="P73" s="159" t="n">
        <v>0</v>
      </c>
      <c r="Q73" s="159" t="s">
        <v>356</v>
      </c>
    </row>
    <row r="74" customFormat="false" ht="38.25" hidden="false" customHeight="false" outlineLevel="0" collapsed="false">
      <c r="B74" s="157"/>
      <c r="C74" s="157" t="s">
        <v>363</v>
      </c>
      <c r="D74" s="157" t="n">
        <v>66973</v>
      </c>
      <c r="E74" s="157" t="s">
        <v>364</v>
      </c>
      <c r="F74" s="157" t="s">
        <v>356</v>
      </c>
      <c r="G74" s="157" t="s">
        <v>356</v>
      </c>
      <c r="H74" s="158" t="n">
        <v>36678</v>
      </c>
      <c r="I74" s="158" t="n">
        <v>36981</v>
      </c>
      <c r="J74" s="157" t="s">
        <v>356</v>
      </c>
      <c r="K74" s="162" t="n">
        <v>10000</v>
      </c>
      <c r="L74" s="157" t="n">
        <v>0</v>
      </c>
      <c r="M74" s="162" t="n">
        <v>10000</v>
      </c>
      <c r="N74" s="157" t="n">
        <v>0</v>
      </c>
      <c r="O74" s="157" t="n">
        <v>0</v>
      </c>
      <c r="P74" s="157" t="n">
        <v>0</v>
      </c>
      <c r="Q74" s="157" t="s">
        <v>356</v>
      </c>
    </row>
    <row r="75" customFormat="false" ht="38.25" hidden="false" customHeight="false" outlineLevel="0" collapsed="false">
      <c r="B75" s="159"/>
      <c r="C75" s="159" t="s">
        <v>363</v>
      </c>
      <c r="D75" s="159" t="n">
        <v>68281</v>
      </c>
      <c r="E75" s="159" t="s">
        <v>366</v>
      </c>
      <c r="F75" s="159" t="s">
        <v>356</v>
      </c>
      <c r="G75" s="159" t="s">
        <v>356</v>
      </c>
      <c r="H75" s="160" t="n">
        <v>36647</v>
      </c>
      <c r="I75" s="160" t="n">
        <v>37011</v>
      </c>
      <c r="J75" s="159" t="n">
        <v>28632</v>
      </c>
      <c r="K75" s="159" t="n">
        <v>21</v>
      </c>
      <c r="L75" s="159" t="n">
        <v>0</v>
      </c>
      <c r="M75" s="159" t="n">
        <v>21</v>
      </c>
      <c r="N75" s="159" t="n">
        <v>0</v>
      </c>
      <c r="O75" s="159" t="n">
        <v>0</v>
      </c>
      <c r="P75" s="159" t="n">
        <v>0</v>
      </c>
      <c r="Q75" s="159"/>
    </row>
    <row r="76" customFormat="false" ht="38.25" hidden="false" customHeight="false" outlineLevel="0" collapsed="false">
      <c r="B76" s="157"/>
      <c r="C76" s="157" t="s">
        <v>363</v>
      </c>
      <c r="D76" s="157" t="n">
        <v>68309</v>
      </c>
      <c r="E76" s="157" t="s">
        <v>366</v>
      </c>
      <c r="F76" s="157" t="s">
        <v>356</v>
      </c>
      <c r="G76" s="157" t="s">
        <v>356</v>
      </c>
      <c r="H76" s="158" t="n">
        <v>36656</v>
      </c>
      <c r="I76" s="158" t="n">
        <v>36950</v>
      </c>
      <c r="J76" s="157" t="n">
        <v>28865</v>
      </c>
      <c r="K76" s="157" t="n">
        <v>9</v>
      </c>
      <c r="L76" s="157" t="n">
        <v>0</v>
      </c>
      <c r="M76" s="157" t="n">
        <v>9</v>
      </c>
      <c r="N76" s="157" t="n">
        <v>0</v>
      </c>
      <c r="O76" s="157" t="n">
        <v>0</v>
      </c>
      <c r="P76" s="157" t="n">
        <v>0</v>
      </c>
      <c r="Q76" s="157" t="s">
        <v>356</v>
      </c>
    </row>
    <row r="77" customFormat="false" ht="38.25" hidden="false" customHeight="false" outlineLevel="0" collapsed="false">
      <c r="B77" s="159"/>
      <c r="C77" s="159" t="s">
        <v>363</v>
      </c>
      <c r="D77" s="159" t="n">
        <v>68360</v>
      </c>
      <c r="E77" s="159" t="s">
        <v>366</v>
      </c>
      <c r="F77" s="159" t="s">
        <v>356</v>
      </c>
      <c r="G77" s="159" t="s">
        <v>356</v>
      </c>
      <c r="H77" s="160" t="n">
        <v>36678</v>
      </c>
      <c r="I77" s="160" t="n">
        <v>37042</v>
      </c>
      <c r="J77" s="159" t="n">
        <v>28934</v>
      </c>
      <c r="K77" s="159" t="n">
        <v>291</v>
      </c>
      <c r="L77" s="159" t="n">
        <v>0</v>
      </c>
      <c r="M77" s="159" t="n">
        <v>291</v>
      </c>
      <c r="N77" s="159" t="n">
        <v>0</v>
      </c>
      <c r="O77" s="159" t="n">
        <v>0</v>
      </c>
      <c r="P77" s="159" t="n">
        <v>0</v>
      </c>
      <c r="Q77" s="159" t="s">
        <v>356</v>
      </c>
    </row>
    <row r="78" customFormat="false" ht="38.25" hidden="false" customHeight="false" outlineLevel="0" collapsed="false">
      <c r="B78" s="157"/>
      <c r="C78" s="157" t="s">
        <v>363</v>
      </c>
      <c r="D78" s="157" t="n">
        <v>68385</v>
      </c>
      <c r="E78" s="157" t="s">
        <v>366</v>
      </c>
      <c r="F78" s="157" t="s">
        <v>356</v>
      </c>
      <c r="G78" s="157" t="s">
        <v>356</v>
      </c>
      <c r="H78" s="158" t="n">
        <v>36678</v>
      </c>
      <c r="I78" s="158" t="n">
        <v>37042</v>
      </c>
      <c r="J78" s="157" t="n">
        <v>28963</v>
      </c>
      <c r="K78" s="157" t="n">
        <v>223</v>
      </c>
      <c r="L78" s="157" t="n">
        <v>0</v>
      </c>
      <c r="M78" s="157" t="n">
        <v>223</v>
      </c>
      <c r="N78" s="157" t="n">
        <v>0</v>
      </c>
      <c r="O78" s="157" t="n">
        <v>0</v>
      </c>
      <c r="P78" s="157" t="n">
        <v>0</v>
      </c>
      <c r="Q78" s="157" t="s">
        <v>356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3" activeCellId="0" sqref="F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36" width="9.14"/>
    <col collapsed="false" customWidth="true" hidden="true" outlineLevel="0" max="4" min="4" style="36" width="9.06"/>
    <col collapsed="false" customWidth="false" hidden="false" outlineLevel="0" max="10" min="5" style="36" width="9.14"/>
    <col collapsed="false" customWidth="true" hidden="true" outlineLevel="0" max="16" min="11" style="36" width="9.06"/>
    <col collapsed="false" customWidth="false" hidden="false" outlineLevel="0" max="257" min="17" style="36" width="9.14"/>
  </cols>
  <sheetData>
    <row r="1" customFormat="false" ht="12.75" hidden="false" customHeight="false" outlineLevel="0" collapsed="false">
      <c r="J1" s="36" t="n">
        <v>30</v>
      </c>
    </row>
    <row r="3" customFormat="false" ht="12.75" hidden="false" customHeight="false" outlineLevel="0" collapsed="false">
      <c r="B3" s="64" t="s">
        <v>152</v>
      </c>
      <c r="C3" s="65" t="s">
        <v>153</v>
      </c>
      <c r="D3" s="65" t="s">
        <v>154</v>
      </c>
      <c r="E3" s="66" t="s">
        <v>155</v>
      </c>
      <c r="F3" s="66"/>
      <c r="G3" s="64" t="s">
        <v>156</v>
      </c>
      <c r="H3" s="64" t="s">
        <v>157</v>
      </c>
      <c r="I3" s="65" t="s">
        <v>158</v>
      </c>
      <c r="J3" s="67" t="s">
        <v>159</v>
      </c>
      <c r="K3" s="65" t="s">
        <v>160</v>
      </c>
      <c r="L3" s="65" t="s">
        <v>161</v>
      </c>
      <c r="M3" s="65" t="s">
        <v>162</v>
      </c>
      <c r="N3" s="65" t="s">
        <v>163</v>
      </c>
      <c r="O3" s="68" t="s">
        <v>164</v>
      </c>
      <c r="P3" s="65" t="s">
        <v>165</v>
      </c>
      <c r="Q3" s="69" t="s">
        <v>166</v>
      </c>
      <c r="R3" s="65" t="s">
        <v>167</v>
      </c>
      <c r="S3" s="64" t="s">
        <v>168</v>
      </c>
      <c r="T3" s="70" t="s">
        <v>169</v>
      </c>
      <c r="U3" s="70" t="s">
        <v>170</v>
      </c>
      <c r="V3" s="71" t="s">
        <v>171</v>
      </c>
      <c r="W3" s="72" t="e">
        <f aca="false">+#REF!</f>
        <v>#REF!</v>
      </c>
      <c r="X3" s="73"/>
      <c r="Y3" s="73"/>
    </row>
    <row r="4" customFormat="false" ht="12.75" hidden="false" customHeight="false" outlineLevel="0" collapsed="false">
      <c r="A4" s="86"/>
      <c r="B4" s="47" t="s">
        <v>172</v>
      </c>
      <c r="C4" s="45" t="s">
        <v>258</v>
      </c>
      <c r="D4" s="45" t="s">
        <v>259</v>
      </c>
      <c r="E4" s="46" t="n">
        <v>36617</v>
      </c>
      <c r="F4" s="46" t="n">
        <v>36830</v>
      </c>
      <c r="G4" s="47" t="s">
        <v>260</v>
      </c>
      <c r="H4" s="47" t="s">
        <v>195</v>
      </c>
      <c r="I4" s="45" t="s">
        <v>261</v>
      </c>
      <c r="J4" s="59" t="e">
        <f aca="false">6.238/#REF!</f>
        <v>#REF!</v>
      </c>
      <c r="K4" s="50" t="n">
        <v>0</v>
      </c>
      <c r="L4" s="50" t="n">
        <v>0</v>
      </c>
      <c r="M4" s="50" t="n">
        <v>0</v>
      </c>
      <c r="N4" s="50" t="n">
        <v>0</v>
      </c>
      <c r="O4" s="51" t="n">
        <v>0</v>
      </c>
      <c r="P4" s="50" t="e">
        <f aca="false">SUM(J4:N4)</f>
        <v>#REF!</v>
      </c>
      <c r="Q4" s="52" t="n">
        <v>51407</v>
      </c>
      <c r="R4" s="45" t="n">
        <v>73754</v>
      </c>
      <c r="S4" s="47" t="s">
        <v>262</v>
      </c>
      <c r="T4" s="87"/>
      <c r="U4" s="87"/>
      <c r="V4" s="88" t="n">
        <v>156569</v>
      </c>
      <c r="W4" s="47"/>
      <c r="X4" s="73"/>
      <c r="Y4" s="73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customFormat="false" ht="12.75" hidden="false" customHeight="false" outlineLevel="0" collapsed="false">
      <c r="A5" s="86"/>
      <c r="B5" s="47" t="s">
        <v>172</v>
      </c>
      <c r="C5" s="45" t="s">
        <v>258</v>
      </c>
      <c r="D5" s="45" t="s">
        <v>259</v>
      </c>
      <c r="E5" s="46" t="n">
        <v>36617</v>
      </c>
      <c r="F5" s="46" t="n">
        <v>36830</v>
      </c>
      <c r="G5" s="47" t="s">
        <v>260</v>
      </c>
      <c r="H5" s="47" t="s">
        <v>197</v>
      </c>
      <c r="I5" s="45" t="s">
        <v>261</v>
      </c>
      <c r="J5" s="59" t="e">
        <f aca="false">1.512/#REF!</f>
        <v>#REF!</v>
      </c>
      <c r="K5" s="50" t="n">
        <v>0</v>
      </c>
      <c r="L5" s="50" t="n">
        <v>0</v>
      </c>
      <c r="M5" s="50" t="n">
        <v>0</v>
      </c>
      <c r="N5" s="50" t="n">
        <v>0</v>
      </c>
      <c r="O5" s="51" t="n">
        <v>0</v>
      </c>
      <c r="P5" s="50" t="e">
        <f aca="false">SUM(J5:N5)</f>
        <v>#REF!</v>
      </c>
      <c r="Q5" s="52" t="n">
        <v>51407</v>
      </c>
      <c r="R5" s="45" t="n">
        <v>73754</v>
      </c>
      <c r="S5" s="47" t="s">
        <v>262</v>
      </c>
      <c r="T5" s="87"/>
      <c r="U5" s="87"/>
      <c r="V5" s="88" t="n">
        <v>156569</v>
      </c>
      <c r="W5" s="47"/>
      <c r="X5" s="73"/>
      <c r="Y5" s="73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customFormat="false" ht="12.75" hidden="false" customHeight="false" outlineLevel="0" collapsed="false">
      <c r="A6" s="86"/>
      <c r="B6" s="47" t="s">
        <v>172</v>
      </c>
      <c r="C6" s="45" t="s">
        <v>258</v>
      </c>
      <c r="D6" s="45"/>
      <c r="E6" s="46" t="n">
        <v>36100</v>
      </c>
      <c r="F6" s="46" t="n">
        <v>36830</v>
      </c>
      <c r="G6" s="47" t="s">
        <v>263</v>
      </c>
      <c r="H6" s="47" t="s">
        <v>264</v>
      </c>
      <c r="I6" s="45" t="s">
        <v>88</v>
      </c>
      <c r="J6" s="59" t="n">
        <f aca="false">4.56/J$1</f>
        <v>0.152</v>
      </c>
      <c r="K6" s="50" t="n">
        <v>0.0132</v>
      </c>
      <c r="L6" s="50" t="n">
        <v>0.0022</v>
      </c>
      <c r="M6" s="50" t="n">
        <v>0.0072</v>
      </c>
      <c r="N6" s="50" t="n">
        <v>0</v>
      </c>
      <c r="O6" s="51" t="n">
        <v>0.02116</v>
      </c>
      <c r="P6" s="50" t="n">
        <f aca="false">SUM(J6:N6)</f>
        <v>0.1746</v>
      </c>
      <c r="Q6" s="52" t="n">
        <v>61822</v>
      </c>
      <c r="R6" s="45" t="n">
        <v>4000</v>
      </c>
      <c r="S6" s="47" t="s">
        <v>265</v>
      </c>
      <c r="T6" s="87" t="n">
        <f aca="false">J6*J$1*R6</f>
        <v>18240</v>
      </c>
      <c r="U6" s="87"/>
      <c r="V6" s="88" t="n">
        <v>162284</v>
      </c>
      <c r="W6" s="47"/>
      <c r="X6" s="73"/>
      <c r="Y6" s="73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customFormat="false" ht="12.75" hidden="false" customHeight="false" outlineLevel="0" collapsed="false">
      <c r="A7" s="86"/>
      <c r="B7" s="47"/>
      <c r="C7" s="45"/>
      <c r="D7" s="45"/>
      <c r="E7" s="46"/>
      <c r="F7" s="46"/>
      <c r="G7" s="47"/>
      <c r="H7" s="47"/>
      <c r="I7" s="45"/>
      <c r="J7" s="59"/>
      <c r="K7" s="50"/>
      <c r="L7" s="50"/>
      <c r="M7" s="50"/>
      <c r="N7" s="50"/>
      <c r="O7" s="51"/>
      <c r="P7" s="50"/>
      <c r="Q7" s="52"/>
      <c r="R7" s="45"/>
      <c r="S7" s="47"/>
      <c r="T7" s="87"/>
      <c r="U7" s="87"/>
      <c r="V7" s="88"/>
      <c r="W7" s="47"/>
      <c r="X7" s="73"/>
      <c r="Y7" s="73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customFormat="false" ht="12.75" hidden="false" customHeight="false" outlineLevel="0" collapsed="false">
      <c r="A8" s="163"/>
      <c r="B8" s="164" t="s">
        <v>172</v>
      </c>
      <c r="C8" s="165" t="s">
        <v>258</v>
      </c>
      <c r="D8" s="165" t="s">
        <v>266</v>
      </c>
      <c r="E8" s="166" t="n">
        <v>36526</v>
      </c>
      <c r="F8" s="166" t="n">
        <v>36830</v>
      </c>
      <c r="G8" s="164" t="s">
        <v>267</v>
      </c>
      <c r="H8" s="164" t="s">
        <v>268</v>
      </c>
      <c r="I8" s="165" t="s">
        <v>88</v>
      </c>
      <c r="J8" s="167" t="n">
        <f aca="false">4.56/J$1</f>
        <v>0.152</v>
      </c>
      <c r="K8" s="168" t="n">
        <v>0.0132</v>
      </c>
      <c r="L8" s="168" t="n">
        <v>0.0022</v>
      </c>
      <c r="M8" s="168" t="n">
        <v>0.0075</v>
      </c>
      <c r="N8" s="168" t="n">
        <v>0</v>
      </c>
      <c r="O8" s="169" t="n">
        <v>0.02116</v>
      </c>
      <c r="P8" s="168" t="n">
        <f aca="false">SUM(J8:N8)</f>
        <v>0.1749</v>
      </c>
      <c r="Q8" s="170" t="n">
        <v>61825</v>
      </c>
      <c r="R8" s="165" t="n">
        <v>2000</v>
      </c>
      <c r="S8" s="164" t="s">
        <v>269</v>
      </c>
      <c r="T8" s="171" t="n">
        <f aca="false">J8*J$1*R8</f>
        <v>9120</v>
      </c>
      <c r="U8" s="171"/>
      <c r="V8" s="172" t="n">
        <v>156570</v>
      </c>
      <c r="W8" s="171"/>
      <c r="X8" s="173"/>
      <c r="Y8" s="17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  <c r="DP8" s="163"/>
      <c r="DQ8" s="163"/>
      <c r="DR8" s="163"/>
      <c r="DS8" s="163"/>
      <c r="DT8" s="163"/>
      <c r="DU8" s="163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163"/>
      <c r="IP8" s="163"/>
      <c r="IQ8" s="163"/>
      <c r="IR8" s="163"/>
      <c r="IS8" s="163"/>
      <c r="IT8" s="163"/>
      <c r="IU8" s="163"/>
      <c r="IV8" s="163"/>
      <c r="IW8" s="163"/>
    </row>
    <row r="9" customFormat="false" ht="12.75" hidden="false" customHeight="false" outlineLevel="0" collapsed="false">
      <c r="A9" s="163"/>
      <c r="B9" s="164" t="s">
        <v>172</v>
      </c>
      <c r="C9" s="165" t="s">
        <v>258</v>
      </c>
      <c r="D9" s="165" t="s">
        <v>266</v>
      </c>
      <c r="E9" s="166" t="n">
        <v>36526</v>
      </c>
      <c r="F9" s="166" t="n">
        <v>36830</v>
      </c>
      <c r="G9" s="164" t="s">
        <v>270</v>
      </c>
      <c r="H9" s="164" t="s">
        <v>268</v>
      </c>
      <c r="I9" s="165" t="s">
        <v>88</v>
      </c>
      <c r="J9" s="167" t="n">
        <f aca="false">4.56/J$1</f>
        <v>0.152</v>
      </c>
      <c r="K9" s="168" t="n">
        <v>0.0132</v>
      </c>
      <c r="L9" s="168" t="n">
        <v>0.0022</v>
      </c>
      <c r="M9" s="168" t="n">
        <v>0.0075</v>
      </c>
      <c r="N9" s="168" t="n">
        <v>0</v>
      </c>
      <c r="O9" s="169" t="n">
        <v>0.02116</v>
      </c>
      <c r="P9" s="168" t="n">
        <f aca="false">SUM(J9:N9)</f>
        <v>0.1749</v>
      </c>
      <c r="Q9" s="170" t="n">
        <v>61825</v>
      </c>
      <c r="R9" s="165" t="n">
        <v>5000</v>
      </c>
      <c r="S9" s="164" t="s">
        <v>269</v>
      </c>
      <c r="T9" s="171" t="n">
        <f aca="false">J9*J$1*R9</f>
        <v>22800</v>
      </c>
      <c r="U9" s="171"/>
      <c r="V9" s="172" t="n">
        <v>156570</v>
      </c>
      <c r="W9" s="171"/>
      <c r="X9" s="173"/>
      <c r="Y9" s="17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customFormat="false" ht="12.75" hidden="false" customHeight="false" outlineLevel="0" collapsed="false">
      <c r="A10" s="163"/>
      <c r="B10" s="164" t="s">
        <v>172</v>
      </c>
      <c r="C10" s="165" t="s">
        <v>258</v>
      </c>
      <c r="D10" s="165" t="s">
        <v>266</v>
      </c>
      <c r="E10" s="166" t="n">
        <v>36526</v>
      </c>
      <c r="F10" s="166" t="n">
        <v>36830</v>
      </c>
      <c r="G10" s="164" t="s">
        <v>271</v>
      </c>
      <c r="H10" s="164" t="s">
        <v>268</v>
      </c>
      <c r="I10" s="165" t="s">
        <v>88</v>
      </c>
      <c r="J10" s="167" t="n">
        <f aca="false">4.56/J$1</f>
        <v>0.152</v>
      </c>
      <c r="K10" s="168" t="n">
        <v>0.0132</v>
      </c>
      <c r="L10" s="168" t="n">
        <v>0.0022</v>
      </c>
      <c r="M10" s="168" t="n">
        <v>0.0075</v>
      </c>
      <c r="N10" s="168" t="n">
        <v>0</v>
      </c>
      <c r="O10" s="169" t="n">
        <v>0.02116</v>
      </c>
      <c r="P10" s="168" t="n">
        <f aca="false">SUM(J10:N10)</f>
        <v>0.1749</v>
      </c>
      <c r="Q10" s="170" t="n">
        <v>61825</v>
      </c>
      <c r="R10" s="165" t="n">
        <v>1000</v>
      </c>
      <c r="S10" s="164" t="s">
        <v>269</v>
      </c>
      <c r="T10" s="171" t="n">
        <f aca="false">J10*J$1*R10</f>
        <v>4560</v>
      </c>
      <c r="U10" s="171"/>
      <c r="V10" s="172" t="n">
        <v>156570</v>
      </c>
      <c r="W10" s="171"/>
      <c r="X10" s="173"/>
      <c r="Y10" s="17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customFormat="false" ht="12.75" hidden="false" customHeight="false" outlineLevel="0" collapsed="false">
      <c r="A11" s="174"/>
      <c r="B11" s="175" t="s">
        <v>172</v>
      </c>
      <c r="C11" s="176" t="s">
        <v>258</v>
      </c>
      <c r="D11" s="176" t="s">
        <v>266</v>
      </c>
      <c r="E11" s="177" t="n">
        <v>36831</v>
      </c>
      <c r="F11" s="177" t="n">
        <v>37195</v>
      </c>
      <c r="G11" s="175" t="s">
        <v>267</v>
      </c>
      <c r="H11" s="175" t="s">
        <v>368</v>
      </c>
      <c r="I11" s="176" t="s">
        <v>88</v>
      </c>
      <c r="J11" s="178" t="n">
        <f aca="false">4.56/J$1</f>
        <v>0.152</v>
      </c>
      <c r="K11" s="179" t="n">
        <v>0.0132</v>
      </c>
      <c r="L11" s="179" t="n">
        <v>0.0022</v>
      </c>
      <c r="M11" s="179" t="n">
        <v>0.0075</v>
      </c>
      <c r="N11" s="179" t="n">
        <v>0</v>
      </c>
      <c r="O11" s="180" t="n">
        <v>0.02116</v>
      </c>
      <c r="P11" s="179" t="n">
        <f aca="false">SUM(J11:N11)</f>
        <v>0.1749</v>
      </c>
      <c r="Q11" s="181"/>
      <c r="R11" s="176" t="n">
        <v>1600</v>
      </c>
      <c r="S11" s="175" t="s">
        <v>369</v>
      </c>
      <c r="T11" s="182" t="n">
        <f aca="false">J11*J$1*R11</f>
        <v>7296</v>
      </c>
      <c r="U11" s="182"/>
      <c r="V11" s="183"/>
      <c r="W11" s="182"/>
      <c r="X11" s="184"/>
      <c r="Y11" s="18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</row>
    <row r="12" customFormat="false" ht="12.75" hidden="false" customHeight="false" outlineLevel="0" collapsed="false">
      <c r="A12" s="86"/>
      <c r="B12" s="47"/>
      <c r="C12" s="45"/>
      <c r="D12" s="45"/>
      <c r="E12" s="46"/>
      <c r="F12" s="46"/>
      <c r="G12" s="47"/>
      <c r="H12" s="47"/>
      <c r="I12" s="45"/>
      <c r="J12" s="59"/>
      <c r="K12" s="50"/>
      <c r="L12" s="50"/>
      <c r="M12" s="50"/>
      <c r="N12" s="50"/>
      <c r="O12" s="51"/>
      <c r="P12" s="50"/>
      <c r="Q12" s="52"/>
      <c r="R12" s="45"/>
      <c r="S12" s="47"/>
      <c r="T12" s="87"/>
      <c r="U12" s="87"/>
      <c r="V12" s="88"/>
      <c r="W12" s="87"/>
      <c r="X12" s="73"/>
      <c r="Y12" s="73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customFormat="false" ht="12.75" hidden="false" customHeight="false" outlineLevel="0" collapsed="false">
      <c r="A13" s="86"/>
      <c r="B13" s="47" t="s">
        <v>172</v>
      </c>
      <c r="C13" s="45" t="s">
        <v>258</v>
      </c>
      <c r="D13" s="45"/>
      <c r="E13" s="46" t="n">
        <v>36100</v>
      </c>
      <c r="F13" s="46" t="n">
        <v>36830</v>
      </c>
      <c r="G13" s="47" t="s">
        <v>267</v>
      </c>
      <c r="H13" s="47" t="s">
        <v>272</v>
      </c>
      <c r="I13" s="45" t="s">
        <v>88</v>
      </c>
      <c r="J13" s="59" t="n">
        <f aca="false">4.56/J$1</f>
        <v>0.152</v>
      </c>
      <c r="K13" s="50" t="n">
        <v>0.0132</v>
      </c>
      <c r="L13" s="50" t="n">
        <v>0.0022</v>
      </c>
      <c r="M13" s="50" t="n">
        <v>0.0072</v>
      </c>
      <c r="N13" s="50" t="n">
        <v>0</v>
      </c>
      <c r="O13" s="51" t="n">
        <v>0.02116</v>
      </c>
      <c r="P13" s="50" t="n">
        <f aca="false">SUM(J13:N13)</f>
        <v>0.1746</v>
      </c>
      <c r="Q13" s="52" t="n">
        <v>61838</v>
      </c>
      <c r="R13" s="45" t="n">
        <v>1000</v>
      </c>
      <c r="S13" s="47" t="s">
        <v>273</v>
      </c>
      <c r="T13" s="87" t="n">
        <f aca="false">J13*J$1*R13</f>
        <v>4560</v>
      </c>
      <c r="U13" s="87"/>
      <c r="V13" s="88" t="n">
        <v>156571</v>
      </c>
      <c r="W13" s="47"/>
      <c r="X13" s="73"/>
      <c r="Y13" s="73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customFormat="false" ht="12.75" hidden="false" customHeight="false" outlineLevel="0" collapsed="false">
      <c r="A14" s="86"/>
      <c r="B14" s="47" t="s">
        <v>172</v>
      </c>
      <c r="C14" s="45" t="s">
        <v>258</v>
      </c>
      <c r="D14" s="45" t="s">
        <v>266</v>
      </c>
      <c r="E14" s="46" t="n">
        <v>36526</v>
      </c>
      <c r="F14" s="46" t="n">
        <v>36830</v>
      </c>
      <c r="G14" s="47" t="s">
        <v>267</v>
      </c>
      <c r="H14" s="47" t="s">
        <v>274</v>
      </c>
      <c r="I14" s="45" t="s">
        <v>88</v>
      </c>
      <c r="J14" s="59" t="n">
        <f aca="false">4.56/J$1</f>
        <v>0.152</v>
      </c>
      <c r="K14" s="50" t="n">
        <v>0.0132</v>
      </c>
      <c r="L14" s="50" t="n">
        <v>0.0022</v>
      </c>
      <c r="M14" s="50" t="n">
        <v>0.0075</v>
      </c>
      <c r="N14" s="50" t="n">
        <v>0</v>
      </c>
      <c r="O14" s="51" t="n">
        <v>0.02116</v>
      </c>
      <c r="P14" s="50" t="n">
        <f aca="false">SUM(J14:N14)</f>
        <v>0.1749</v>
      </c>
      <c r="Q14" s="52" t="n">
        <v>61990</v>
      </c>
      <c r="R14" s="45" t="n">
        <v>2000</v>
      </c>
      <c r="S14" s="47" t="s">
        <v>275</v>
      </c>
      <c r="T14" s="87" t="n">
        <f aca="false">J14*J$1*R14</f>
        <v>9120</v>
      </c>
      <c r="U14" s="87"/>
      <c r="V14" s="88" t="n">
        <v>156573</v>
      </c>
      <c r="W14" s="87"/>
      <c r="X14" s="73"/>
      <c r="Y14" s="73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customFormat="false" ht="12.75" hidden="false" customHeight="false" outlineLevel="0" collapsed="false">
      <c r="A15" s="86"/>
      <c r="B15" s="47" t="s">
        <v>172</v>
      </c>
      <c r="C15" s="45" t="s">
        <v>258</v>
      </c>
      <c r="D15" s="45" t="s">
        <v>266</v>
      </c>
      <c r="E15" s="46" t="n">
        <v>36465</v>
      </c>
      <c r="F15" s="46" t="n">
        <v>36891</v>
      </c>
      <c r="G15" s="47"/>
      <c r="H15" s="47" t="s">
        <v>276</v>
      </c>
      <c r="I15" s="45" t="s">
        <v>88</v>
      </c>
      <c r="J15" s="59" t="n">
        <f aca="false">3.0417/30.417</f>
        <v>0.1</v>
      </c>
      <c r="K15" s="50" t="n">
        <v>0.0132</v>
      </c>
      <c r="L15" s="50" t="n">
        <v>0.0022</v>
      </c>
      <c r="M15" s="50" t="n">
        <v>0.0075</v>
      </c>
      <c r="N15" s="50" t="n">
        <v>0</v>
      </c>
      <c r="O15" s="51" t="n">
        <v>0.02116</v>
      </c>
      <c r="P15" s="50" t="n">
        <f aca="false">SUM(J15:N15)</f>
        <v>0.1229</v>
      </c>
      <c r="Q15" s="52" t="n">
        <v>62164</v>
      </c>
      <c r="R15" s="45" t="n">
        <v>2000</v>
      </c>
      <c r="S15" s="47" t="s">
        <v>277</v>
      </c>
      <c r="T15" s="87" t="n">
        <f aca="false">J15*J$1*R15</f>
        <v>6000</v>
      </c>
      <c r="U15" s="88"/>
      <c r="V15" s="73" t="s">
        <v>278</v>
      </c>
      <c r="W15" s="73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customFormat="false" ht="12.75" hidden="false" customHeight="false" outlineLevel="0" collapsed="false">
      <c r="A16" s="86"/>
      <c r="B16" s="47" t="s">
        <v>172</v>
      </c>
      <c r="C16" s="45" t="s">
        <v>258</v>
      </c>
      <c r="D16" s="45" t="s">
        <v>259</v>
      </c>
      <c r="E16" s="46" t="n">
        <v>36800</v>
      </c>
      <c r="F16" s="46" t="n">
        <v>36981</v>
      </c>
      <c r="G16" s="47" t="s">
        <v>260</v>
      </c>
      <c r="H16" s="47" t="s">
        <v>279</v>
      </c>
      <c r="I16" s="45" t="s">
        <v>280</v>
      </c>
      <c r="J16" s="59" t="n">
        <f aca="false">6.029/J$1</f>
        <v>0.200966666666667</v>
      </c>
      <c r="K16" s="50" t="n">
        <v>0.013</v>
      </c>
      <c r="L16" s="50" t="n">
        <v>0.0022</v>
      </c>
      <c r="M16" s="50" t="n">
        <v>0.0072</v>
      </c>
      <c r="N16" s="50" t="n">
        <v>0</v>
      </c>
      <c r="O16" s="51" t="n">
        <v>0.02116</v>
      </c>
      <c r="P16" s="50" t="n">
        <f aca="false">SUM(J16:N16)</f>
        <v>0.223366666666667</v>
      </c>
      <c r="Q16" s="52" t="n">
        <v>67694</v>
      </c>
      <c r="R16" s="45" t="n">
        <v>108648</v>
      </c>
      <c r="S16" s="47" t="s">
        <v>141</v>
      </c>
      <c r="T16" s="87" t="n">
        <f aca="false">J16*J$1*R16</f>
        <v>655038.792</v>
      </c>
      <c r="U16" s="87"/>
      <c r="V16" s="88" t="n">
        <v>231723</v>
      </c>
      <c r="W16" s="47"/>
      <c r="X16" s="73"/>
      <c r="Y16" s="73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customFormat="false" ht="12.75" hidden="false" customHeight="false" outlineLevel="0" collapsed="false">
      <c r="A17" s="86"/>
      <c r="B17" s="47" t="s">
        <v>172</v>
      </c>
      <c r="C17" s="45" t="s">
        <v>258</v>
      </c>
      <c r="D17" s="45" t="s">
        <v>259</v>
      </c>
      <c r="E17" s="46" t="n">
        <v>36617</v>
      </c>
      <c r="F17" s="46" t="n">
        <v>36981</v>
      </c>
      <c r="G17" s="47" t="s">
        <v>260</v>
      </c>
      <c r="H17" s="47" t="s">
        <v>195</v>
      </c>
      <c r="I17" s="45" t="s">
        <v>261</v>
      </c>
      <c r="J17" s="59" t="n">
        <v>0.0293</v>
      </c>
      <c r="K17" s="50" t="n">
        <v>0</v>
      </c>
      <c r="L17" s="50" t="n">
        <v>0</v>
      </c>
      <c r="M17" s="50" t="n">
        <v>0</v>
      </c>
      <c r="N17" s="50" t="n">
        <v>0</v>
      </c>
      <c r="O17" s="51" t="n">
        <v>0</v>
      </c>
      <c r="P17" s="50" t="n">
        <f aca="false">SUM(J17:N17)</f>
        <v>0.0293</v>
      </c>
      <c r="Q17" s="52" t="n">
        <v>67712</v>
      </c>
      <c r="R17" s="45" t="n">
        <v>6050607</v>
      </c>
      <c r="S17" s="47" t="s">
        <v>281</v>
      </c>
      <c r="T17" s="87" t="n">
        <f aca="false">J17*R17</f>
        <v>177282.7851</v>
      </c>
      <c r="U17" s="87"/>
      <c r="V17" s="88" t="n">
        <v>235876</v>
      </c>
      <c r="W17" s="47" t="n">
        <v>231698</v>
      </c>
      <c r="X17" s="73"/>
      <c r="Y17" s="73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customFormat="false" ht="12.75" hidden="false" customHeight="false" outlineLevel="0" collapsed="false">
      <c r="A18" s="86"/>
      <c r="B18" s="47" t="s">
        <v>172</v>
      </c>
      <c r="C18" s="45" t="s">
        <v>258</v>
      </c>
      <c r="D18" s="45" t="s">
        <v>259</v>
      </c>
      <c r="E18" s="46" t="n">
        <v>36617</v>
      </c>
      <c r="F18" s="46" t="n">
        <v>36981</v>
      </c>
      <c r="G18" s="47" t="s">
        <v>260</v>
      </c>
      <c r="H18" s="47" t="s">
        <v>197</v>
      </c>
      <c r="I18" s="45" t="s">
        <v>261</v>
      </c>
      <c r="J18" s="59" t="n">
        <v>1.524</v>
      </c>
      <c r="K18" s="50" t="n">
        <v>0</v>
      </c>
      <c r="L18" s="50" t="n">
        <v>0</v>
      </c>
      <c r="M18" s="50" t="n">
        <v>0</v>
      </c>
      <c r="N18" s="50" t="n">
        <v>0</v>
      </c>
      <c r="O18" s="51" t="n">
        <v>0</v>
      </c>
      <c r="P18" s="50" t="n">
        <f aca="false">SUM(J18:N18)</f>
        <v>1.524</v>
      </c>
      <c r="Q18" s="52" t="n">
        <v>67712</v>
      </c>
      <c r="R18" s="45" t="n">
        <v>108648</v>
      </c>
      <c r="S18" s="47" t="s">
        <v>281</v>
      </c>
      <c r="T18" s="87" t="n">
        <f aca="false">J18*R18</f>
        <v>165579.552</v>
      </c>
      <c r="U18" s="87"/>
      <c r="V18" s="88" t="n">
        <v>235876</v>
      </c>
      <c r="W18" s="47" t="n">
        <v>231698</v>
      </c>
      <c r="X18" s="73"/>
      <c r="Y18" s="73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customFormat="false" ht="12.75" hidden="false" customHeight="false" outlineLevel="0" collapsed="false">
      <c r="A19" s="86"/>
      <c r="B19" s="47" t="s">
        <v>172</v>
      </c>
      <c r="C19" s="45" t="s">
        <v>258</v>
      </c>
      <c r="D19" s="45" t="s">
        <v>259</v>
      </c>
      <c r="E19" s="46" t="n">
        <v>36617</v>
      </c>
      <c r="F19" s="46" t="n">
        <v>36981</v>
      </c>
      <c r="G19" s="47" t="s">
        <v>260</v>
      </c>
      <c r="H19" s="47" t="s">
        <v>195</v>
      </c>
      <c r="I19" s="45" t="s">
        <v>261</v>
      </c>
      <c r="J19" s="59" t="n">
        <v>0</v>
      </c>
      <c r="K19" s="50" t="n">
        <v>0</v>
      </c>
      <c r="L19" s="50" t="n">
        <v>0</v>
      </c>
      <c r="M19" s="50" t="n">
        <v>0</v>
      </c>
      <c r="N19" s="50" t="n">
        <v>0</v>
      </c>
      <c r="O19" s="51" t="n">
        <v>0</v>
      </c>
      <c r="P19" s="50" t="n">
        <f aca="false">SUM(J19:N19)</f>
        <v>0</v>
      </c>
      <c r="Q19" s="52" t="n">
        <v>67713</v>
      </c>
      <c r="R19" s="45" t="n">
        <v>0</v>
      </c>
      <c r="S19" s="47" t="s">
        <v>282</v>
      </c>
      <c r="T19" s="87" t="n">
        <f aca="false">J19*R19</f>
        <v>0</v>
      </c>
      <c r="U19" s="87"/>
      <c r="V19" s="88" t="n">
        <v>235876</v>
      </c>
      <c r="W19" s="47"/>
      <c r="X19" s="73"/>
      <c r="Y19" s="73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customFormat="false" ht="12.75" hidden="false" customHeight="false" outlineLevel="0" collapsed="false">
      <c r="A20" s="86"/>
      <c r="B20" s="47" t="s">
        <v>172</v>
      </c>
      <c r="C20" s="45" t="s">
        <v>258</v>
      </c>
      <c r="D20" s="45" t="s">
        <v>259</v>
      </c>
      <c r="E20" s="46" t="n">
        <v>36617</v>
      </c>
      <c r="F20" s="46" t="n">
        <v>36981</v>
      </c>
      <c r="G20" s="47" t="s">
        <v>260</v>
      </c>
      <c r="H20" s="47" t="s">
        <v>197</v>
      </c>
      <c r="I20" s="45" t="s">
        <v>261</v>
      </c>
      <c r="J20" s="59" t="n">
        <v>0</v>
      </c>
      <c r="K20" s="50" t="n">
        <v>0</v>
      </c>
      <c r="L20" s="50" t="n">
        <v>0</v>
      </c>
      <c r="M20" s="50" t="n">
        <v>0</v>
      </c>
      <c r="N20" s="50" t="n">
        <v>0</v>
      </c>
      <c r="O20" s="51" t="n">
        <v>0</v>
      </c>
      <c r="P20" s="50" t="n">
        <f aca="false">SUM(J20:N20)</f>
        <v>0</v>
      </c>
      <c r="Q20" s="52" t="n">
        <v>67713</v>
      </c>
      <c r="R20" s="45" t="n">
        <v>0</v>
      </c>
      <c r="S20" s="47" t="s">
        <v>282</v>
      </c>
      <c r="T20" s="87" t="n">
        <f aca="false">J20*R20</f>
        <v>0</v>
      </c>
      <c r="U20" s="87"/>
      <c r="V20" s="88" t="n">
        <v>235876</v>
      </c>
      <c r="W20" s="47"/>
      <c r="X20" s="73"/>
      <c r="Y20" s="73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customFormat="false" ht="12.75" hidden="false" customHeight="false" outlineLevel="0" collapsed="false">
      <c r="A21" s="86"/>
      <c r="B21" s="47" t="s">
        <v>172</v>
      </c>
      <c r="C21" s="45" t="s">
        <v>258</v>
      </c>
      <c r="D21" s="45" t="s">
        <v>283</v>
      </c>
      <c r="E21" s="46" t="n">
        <v>36678</v>
      </c>
      <c r="F21" s="46" t="n">
        <v>37042</v>
      </c>
      <c r="G21" s="47" t="s">
        <v>284</v>
      </c>
      <c r="H21" s="47" t="s">
        <v>285</v>
      </c>
      <c r="I21" s="45" t="s">
        <v>88</v>
      </c>
      <c r="J21" s="59" t="n">
        <f aca="false">6.401/J$1</f>
        <v>0.213366666666667</v>
      </c>
      <c r="K21" s="50" t="n">
        <v>0.0132</v>
      </c>
      <c r="L21" s="50" t="n">
        <v>0.0022</v>
      </c>
      <c r="M21" s="50" t="n">
        <v>0.0072</v>
      </c>
      <c r="N21" s="50" t="n">
        <v>0</v>
      </c>
      <c r="O21" s="51" t="n">
        <v>0.02116</v>
      </c>
      <c r="P21" s="50" t="n">
        <f aca="false">SUM(J21:N21)</f>
        <v>0.235966666666667</v>
      </c>
      <c r="Q21" s="52" t="n">
        <v>68359</v>
      </c>
      <c r="R21" s="45" t="n">
        <v>285</v>
      </c>
      <c r="S21" s="47" t="s">
        <v>286</v>
      </c>
      <c r="T21" s="87" t="n">
        <f aca="false">J21*J$1*R21</f>
        <v>1824.285</v>
      </c>
      <c r="U21" s="87"/>
      <c r="V21" s="88" t="n">
        <v>271307</v>
      </c>
      <c r="W21" s="47"/>
      <c r="X21" s="73"/>
      <c r="Y21" s="73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  <row r="22" customFormat="false" ht="12.75" hidden="false" customHeight="false" outlineLevel="0" collapsed="false">
      <c r="A22" s="86"/>
      <c r="B22" s="47" t="s">
        <v>172</v>
      </c>
      <c r="C22" s="45" t="s">
        <v>258</v>
      </c>
      <c r="D22" s="45" t="s">
        <v>287</v>
      </c>
      <c r="E22" s="46" t="n">
        <v>36678</v>
      </c>
      <c r="F22" s="46" t="n">
        <v>37042</v>
      </c>
      <c r="G22" s="47" t="s">
        <v>284</v>
      </c>
      <c r="H22" s="47" t="s">
        <v>288</v>
      </c>
      <c r="I22" s="45" t="s">
        <v>88</v>
      </c>
      <c r="J22" s="59" t="n">
        <f aca="false">6.401/J$1</f>
        <v>0.213366666666667</v>
      </c>
      <c r="K22" s="50" t="n">
        <v>0.0132</v>
      </c>
      <c r="L22" s="50" t="n">
        <v>0.0022</v>
      </c>
      <c r="M22" s="50" t="n">
        <v>0.0072</v>
      </c>
      <c r="N22" s="50" t="n">
        <v>0</v>
      </c>
      <c r="O22" s="51" t="n">
        <v>0.02116</v>
      </c>
      <c r="P22" s="50" t="n">
        <f aca="false">SUM(J22:N22)</f>
        <v>0.235966666666667</v>
      </c>
      <c r="Q22" s="52" t="n">
        <v>68384</v>
      </c>
      <c r="R22" s="45" t="n">
        <v>218</v>
      </c>
      <c r="S22" s="47" t="s">
        <v>289</v>
      </c>
      <c r="T22" s="87" t="n">
        <f aca="false">J22*J$1*R22</f>
        <v>1395.418</v>
      </c>
      <c r="U22" s="87"/>
      <c r="V22" s="88" t="n">
        <v>280570</v>
      </c>
      <c r="W22" s="47"/>
      <c r="X22" s="73"/>
      <c r="Y22" s="73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</row>
    <row r="23" customFormat="false" ht="12.75" hidden="false" customHeight="false" outlineLevel="0" collapsed="false">
      <c r="A23" s="86"/>
      <c r="B23" s="47" t="s">
        <v>172</v>
      </c>
      <c r="C23" s="45" t="s">
        <v>258</v>
      </c>
      <c r="D23" s="45" t="s">
        <v>283</v>
      </c>
      <c r="E23" s="46" t="n">
        <v>36708</v>
      </c>
      <c r="F23" s="46" t="n">
        <v>37072</v>
      </c>
      <c r="G23" s="47" t="s">
        <v>284</v>
      </c>
      <c r="H23" s="47" t="s">
        <v>285</v>
      </c>
      <c r="I23" s="45" t="s">
        <v>88</v>
      </c>
      <c r="J23" s="59" t="n">
        <f aca="false">6.449/J$1</f>
        <v>0.214966666666667</v>
      </c>
      <c r="K23" s="50" t="n">
        <v>0.0132</v>
      </c>
      <c r="L23" s="50" t="n">
        <v>0.0022</v>
      </c>
      <c r="M23" s="50" t="n">
        <v>0.0072</v>
      </c>
      <c r="N23" s="50" t="n">
        <v>0</v>
      </c>
      <c r="O23" s="51" t="n">
        <v>0.02116</v>
      </c>
      <c r="P23" s="50" t="n">
        <f aca="false">SUM(J23:N23)</f>
        <v>0.237566666666667</v>
      </c>
      <c r="Q23" s="52" t="n">
        <v>68616</v>
      </c>
      <c r="R23" s="45" t="n">
        <v>900</v>
      </c>
      <c r="S23" s="47" t="s">
        <v>290</v>
      </c>
      <c r="T23" s="87" t="n">
        <f aca="false">J23*J$1*R23</f>
        <v>5804.1</v>
      </c>
      <c r="U23" s="87"/>
      <c r="V23" s="88" t="n">
        <v>309723</v>
      </c>
      <c r="W23" s="47" t="s">
        <v>291</v>
      </c>
      <c r="X23" s="73"/>
      <c r="Y23" s="73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</row>
    <row r="24" customFormat="false" ht="12.75" hidden="false" customHeight="false" outlineLevel="0" collapsed="false">
      <c r="A24" s="86"/>
      <c r="B24" s="47" t="s">
        <v>172</v>
      </c>
      <c r="C24" s="45" t="s">
        <v>258</v>
      </c>
      <c r="D24" s="45" t="s">
        <v>287</v>
      </c>
      <c r="E24" s="46" t="n">
        <v>36708</v>
      </c>
      <c r="F24" s="46" t="n">
        <v>37072</v>
      </c>
      <c r="G24" s="47" t="s">
        <v>284</v>
      </c>
      <c r="H24" s="47" t="s">
        <v>292</v>
      </c>
      <c r="I24" s="45" t="s">
        <v>88</v>
      </c>
      <c r="J24" s="59" t="n">
        <f aca="false">6.449/J$1</f>
        <v>0.214966666666667</v>
      </c>
      <c r="K24" s="50" t="n">
        <v>0.0132</v>
      </c>
      <c r="L24" s="50" t="n">
        <v>0.0022</v>
      </c>
      <c r="M24" s="50" t="n">
        <v>0.0072</v>
      </c>
      <c r="N24" s="50" t="n">
        <v>0</v>
      </c>
      <c r="O24" s="51" t="n">
        <v>0.02116</v>
      </c>
      <c r="P24" s="50" t="n">
        <f aca="false">SUM(J24:N24)</f>
        <v>0.237566666666667</v>
      </c>
      <c r="Q24" s="52" t="n">
        <v>68635</v>
      </c>
      <c r="R24" s="45" t="n">
        <v>1</v>
      </c>
      <c r="S24" s="47" t="s">
        <v>293</v>
      </c>
      <c r="T24" s="87" t="n">
        <f aca="false">J24*J$1*R24</f>
        <v>6.449</v>
      </c>
      <c r="U24" s="87"/>
      <c r="V24" s="88" t="n">
        <v>312333</v>
      </c>
      <c r="W24" s="47"/>
      <c r="X24" s="73"/>
      <c r="Y24" s="73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</row>
    <row r="25" customFormat="false" ht="12.75" hidden="false" customHeight="false" outlineLevel="0" collapsed="false">
      <c r="A25" s="86"/>
      <c r="B25" s="47" t="s">
        <v>172</v>
      </c>
      <c r="C25" s="45" t="s">
        <v>258</v>
      </c>
      <c r="D25" s="45" t="s">
        <v>287</v>
      </c>
      <c r="E25" s="46" t="n">
        <v>36739</v>
      </c>
      <c r="F25" s="46" t="n">
        <v>37103</v>
      </c>
      <c r="G25" s="47" t="s">
        <v>284</v>
      </c>
      <c r="H25" s="47" t="s">
        <v>285</v>
      </c>
      <c r="I25" s="45" t="s">
        <v>88</v>
      </c>
      <c r="J25" s="59" t="n">
        <f aca="false">6.449/J$1</f>
        <v>0.214966666666667</v>
      </c>
      <c r="K25" s="50" t="n">
        <v>0.0132</v>
      </c>
      <c r="L25" s="50" t="n">
        <v>0.0022</v>
      </c>
      <c r="M25" s="50" t="n">
        <v>0.0072</v>
      </c>
      <c r="N25" s="50" t="n">
        <v>0</v>
      </c>
      <c r="O25" s="51" t="n">
        <v>0.02116</v>
      </c>
      <c r="P25" s="50" t="n">
        <f aca="false">SUM(J25:N25)</f>
        <v>0.237566666666667</v>
      </c>
      <c r="Q25" s="52" t="n">
        <v>64328</v>
      </c>
      <c r="R25" s="45" t="n">
        <v>4</v>
      </c>
      <c r="S25" s="47" t="s">
        <v>329</v>
      </c>
      <c r="T25" s="87" t="n">
        <f aca="false">J25*J$1*R25</f>
        <v>25.796</v>
      </c>
      <c r="U25" s="87"/>
      <c r="V25" s="88" t="n">
        <v>345108</v>
      </c>
      <c r="W25" s="47"/>
      <c r="X25" s="73"/>
      <c r="Y25" s="73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</row>
    <row r="26" customFormat="false" ht="12.75" hidden="false" customHeight="false" outlineLevel="0" collapsed="false">
      <c r="A26" s="86"/>
      <c r="B26" s="47" t="s">
        <v>172</v>
      </c>
      <c r="C26" s="45" t="s">
        <v>258</v>
      </c>
      <c r="D26" s="45" t="s">
        <v>287</v>
      </c>
      <c r="E26" s="46" t="n">
        <v>36739</v>
      </c>
      <c r="F26" s="46" t="n">
        <v>37103</v>
      </c>
      <c r="G26" s="47" t="s">
        <v>284</v>
      </c>
      <c r="H26" s="47" t="s">
        <v>288</v>
      </c>
      <c r="I26" s="45" t="s">
        <v>88</v>
      </c>
      <c r="J26" s="59" t="n">
        <f aca="false">6.401/J$1</f>
        <v>0.213366666666667</v>
      </c>
      <c r="K26" s="50" t="n">
        <v>0.0132</v>
      </c>
      <c r="L26" s="50" t="n">
        <v>0.0022</v>
      </c>
      <c r="M26" s="50" t="n">
        <v>0.0072</v>
      </c>
      <c r="N26" s="50" t="n">
        <v>0</v>
      </c>
      <c r="O26" s="51" t="n">
        <v>0.02116</v>
      </c>
      <c r="P26" s="50" t="n">
        <f aca="false">SUM(J26:N26)</f>
        <v>0.235966666666667</v>
      </c>
      <c r="Q26" s="52" t="n">
        <v>68926</v>
      </c>
      <c r="R26" s="45" t="n">
        <v>4</v>
      </c>
      <c r="S26" s="47" t="s">
        <v>294</v>
      </c>
      <c r="T26" s="87" t="n">
        <f aca="false">J26*J$1*R26</f>
        <v>25.604</v>
      </c>
      <c r="U26" s="87"/>
      <c r="V26" s="88" t="n">
        <v>345125</v>
      </c>
      <c r="W26" s="47"/>
      <c r="X26" s="73"/>
      <c r="Y26" s="73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</row>
    <row r="27" customFormat="false" ht="12.75" hidden="false" customHeight="false" outlineLevel="0" collapsed="false">
      <c r="A27" s="86"/>
      <c r="B27" s="47"/>
      <c r="C27" s="45"/>
      <c r="D27" s="45"/>
      <c r="E27" s="46"/>
      <c r="F27" s="46"/>
      <c r="G27" s="47"/>
      <c r="H27" s="47"/>
      <c r="I27" s="45"/>
      <c r="J27" s="59"/>
      <c r="K27" s="50"/>
      <c r="L27" s="50"/>
      <c r="M27" s="50"/>
      <c r="N27" s="50"/>
      <c r="O27" s="51"/>
      <c r="P27" s="50"/>
      <c r="Q27" s="52"/>
      <c r="R27" s="45"/>
      <c r="S27" s="47"/>
      <c r="T27" s="87"/>
      <c r="U27" s="87"/>
      <c r="V27" s="88"/>
      <c r="W27" s="47"/>
      <c r="X27" s="73"/>
      <c r="Y27" s="73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</row>
    <row r="28" customFormat="false" ht="12.75" hidden="false" customHeight="false" outlineLevel="0" collapsed="false">
      <c r="A28" s="163"/>
      <c r="B28" s="164" t="s">
        <v>172</v>
      </c>
      <c r="C28" s="165" t="s">
        <v>258</v>
      </c>
      <c r="D28" s="165" t="s">
        <v>287</v>
      </c>
      <c r="E28" s="166" t="n">
        <v>36465</v>
      </c>
      <c r="F28" s="166" t="n">
        <v>36830</v>
      </c>
      <c r="G28" s="164" t="s">
        <v>284</v>
      </c>
      <c r="H28" s="164" t="s">
        <v>288</v>
      </c>
      <c r="I28" s="165" t="s">
        <v>88</v>
      </c>
      <c r="J28" s="167" t="n">
        <f aca="false">6.449/J$1</f>
        <v>0.214966666666667</v>
      </c>
      <c r="K28" s="168" t="n">
        <v>0.0132</v>
      </c>
      <c r="L28" s="168" t="n">
        <v>0.0022</v>
      </c>
      <c r="M28" s="168" t="n">
        <v>0.0072</v>
      </c>
      <c r="N28" s="168" t="n">
        <v>0</v>
      </c>
      <c r="O28" s="169" t="n">
        <v>0.02116</v>
      </c>
      <c r="P28" s="168" t="n">
        <f aca="false">SUM(J28:N28)</f>
        <v>0.237566666666667</v>
      </c>
      <c r="Q28" s="170" t="n">
        <v>65026</v>
      </c>
      <c r="R28" s="165" t="n">
        <v>128</v>
      </c>
      <c r="S28" s="164" t="s">
        <v>295</v>
      </c>
      <c r="T28" s="171" t="n">
        <f aca="false">J28*J$1*R28</f>
        <v>825.472</v>
      </c>
      <c r="U28" s="171"/>
      <c r="V28" s="172" t="n">
        <v>162286</v>
      </c>
      <c r="W28" s="164"/>
      <c r="X28" s="173"/>
      <c r="Y28" s="17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3"/>
      <c r="CL28" s="163"/>
      <c r="CM28" s="163"/>
      <c r="CN28" s="163"/>
      <c r="CO28" s="163"/>
      <c r="CP28" s="163"/>
      <c r="CQ28" s="163"/>
      <c r="CR28" s="163"/>
      <c r="CS28" s="163"/>
      <c r="CT28" s="163"/>
      <c r="CU28" s="163"/>
      <c r="CV28" s="163"/>
      <c r="CW28" s="163"/>
      <c r="CX28" s="163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3"/>
      <c r="DJ28" s="163"/>
      <c r="DK28" s="163"/>
      <c r="DL28" s="163"/>
      <c r="DM28" s="163"/>
      <c r="DN28" s="163"/>
      <c r="DO28" s="163"/>
      <c r="DP28" s="163"/>
      <c r="DQ28" s="163"/>
      <c r="DR28" s="163"/>
      <c r="DS28" s="163"/>
      <c r="DT28" s="163"/>
      <c r="DU28" s="163"/>
      <c r="DV28" s="163"/>
      <c r="DW28" s="163"/>
      <c r="DX28" s="163"/>
      <c r="DY28" s="163"/>
      <c r="DZ28" s="163"/>
      <c r="EA28" s="163"/>
      <c r="EB28" s="163"/>
      <c r="EC28" s="163"/>
      <c r="ED28" s="163"/>
      <c r="EE28" s="163"/>
      <c r="EF28" s="163"/>
      <c r="EG28" s="163"/>
      <c r="EH28" s="163"/>
      <c r="EI28" s="163"/>
      <c r="EJ28" s="163"/>
      <c r="EK28" s="163"/>
      <c r="EL28" s="163"/>
      <c r="EM28" s="163"/>
      <c r="EN28" s="163"/>
      <c r="EO28" s="163"/>
      <c r="EP28" s="163"/>
      <c r="EQ28" s="163"/>
      <c r="ER28" s="163"/>
      <c r="ES28" s="163"/>
      <c r="ET28" s="163"/>
      <c r="EU28" s="163"/>
      <c r="EV28" s="163"/>
      <c r="EW28" s="163"/>
      <c r="EX28" s="163"/>
      <c r="EY28" s="163"/>
      <c r="EZ28" s="163"/>
      <c r="FA28" s="163"/>
      <c r="FB28" s="163"/>
      <c r="FC28" s="163"/>
      <c r="FD28" s="163"/>
      <c r="FE28" s="163"/>
      <c r="FF28" s="163"/>
      <c r="FG28" s="163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163"/>
      <c r="FW28" s="163"/>
      <c r="FX28" s="163"/>
      <c r="FY28" s="163"/>
      <c r="FZ28" s="163"/>
      <c r="GA28" s="163"/>
      <c r="GB28" s="163"/>
      <c r="GC28" s="163"/>
      <c r="GD28" s="163"/>
      <c r="GE28" s="163"/>
      <c r="GF28" s="163"/>
      <c r="GG28" s="163"/>
      <c r="GH28" s="163"/>
      <c r="GI28" s="163"/>
      <c r="GJ28" s="163"/>
      <c r="GK28" s="163"/>
      <c r="GL28" s="163"/>
      <c r="GM28" s="163"/>
      <c r="GN28" s="163"/>
      <c r="GO28" s="163"/>
      <c r="GP28" s="163"/>
      <c r="GQ28" s="163"/>
      <c r="GR28" s="163"/>
      <c r="GS28" s="163"/>
      <c r="GT28" s="163"/>
      <c r="GU28" s="163"/>
      <c r="GV28" s="163"/>
      <c r="GW28" s="163"/>
      <c r="GX28" s="163"/>
      <c r="GY28" s="163"/>
      <c r="GZ28" s="163"/>
      <c r="HA28" s="163"/>
      <c r="HB28" s="163"/>
      <c r="HC28" s="163"/>
      <c r="HD28" s="163"/>
      <c r="HE28" s="163"/>
      <c r="HF28" s="163"/>
      <c r="HG28" s="163"/>
      <c r="HH28" s="163"/>
      <c r="HI28" s="163"/>
      <c r="HJ28" s="163"/>
      <c r="HK28" s="163"/>
      <c r="HL28" s="163"/>
      <c r="HM28" s="163"/>
      <c r="HN28" s="163"/>
      <c r="HO28" s="163"/>
      <c r="HP28" s="163"/>
      <c r="HQ28" s="163"/>
      <c r="HR28" s="163"/>
      <c r="HS28" s="163"/>
      <c r="HT28" s="163"/>
      <c r="HU28" s="163"/>
      <c r="HV28" s="163"/>
      <c r="HW28" s="163"/>
      <c r="HX28" s="163"/>
      <c r="HY28" s="163"/>
      <c r="HZ28" s="163"/>
      <c r="IA28" s="163"/>
      <c r="IB28" s="163"/>
      <c r="IC28" s="163"/>
      <c r="ID28" s="163"/>
      <c r="IE28" s="163"/>
      <c r="IF28" s="163"/>
      <c r="IG28" s="163"/>
      <c r="IH28" s="163"/>
      <c r="II28" s="163"/>
      <c r="IJ28" s="163"/>
      <c r="IK28" s="163"/>
      <c r="IL28" s="163"/>
      <c r="IM28" s="163"/>
      <c r="IN28" s="163"/>
      <c r="IO28" s="163"/>
      <c r="IP28" s="163"/>
      <c r="IQ28" s="163"/>
      <c r="IR28" s="163"/>
      <c r="IS28" s="163"/>
      <c r="IT28" s="163"/>
      <c r="IU28" s="163"/>
      <c r="IV28" s="163"/>
      <c r="IW28" s="163"/>
    </row>
    <row r="29" customFormat="false" ht="12.75" hidden="false" customHeight="false" outlineLevel="0" collapsed="false">
      <c r="A29" s="174"/>
      <c r="B29" s="175" t="s">
        <v>172</v>
      </c>
      <c r="C29" s="176" t="s">
        <v>258</v>
      </c>
      <c r="D29" s="176" t="s">
        <v>287</v>
      </c>
      <c r="E29" s="177" t="n">
        <v>36831</v>
      </c>
      <c r="F29" s="177" t="n">
        <v>37195</v>
      </c>
      <c r="G29" s="175" t="s">
        <v>284</v>
      </c>
      <c r="H29" s="175" t="s">
        <v>370</v>
      </c>
      <c r="I29" s="176" t="s">
        <v>88</v>
      </c>
      <c r="J29" s="178" t="n">
        <f aca="false">6.449/J$1</f>
        <v>0.214966666666667</v>
      </c>
      <c r="K29" s="179" t="n">
        <v>0.0132</v>
      </c>
      <c r="L29" s="179" t="n">
        <v>0.0022</v>
      </c>
      <c r="M29" s="179" t="n">
        <v>0.0072</v>
      </c>
      <c r="N29" s="179" t="n">
        <v>0</v>
      </c>
      <c r="O29" s="180" t="n">
        <v>0.02116</v>
      </c>
      <c r="P29" s="179" t="n">
        <f aca="false">SUM(J29:N29)</f>
        <v>0.237566666666667</v>
      </c>
      <c r="Q29" s="181"/>
      <c r="R29" s="176" t="n">
        <v>13</v>
      </c>
      <c r="S29" s="175" t="s">
        <v>371</v>
      </c>
      <c r="T29" s="182" t="n">
        <f aca="false">J29*J$1*R29</f>
        <v>83.837</v>
      </c>
      <c r="U29" s="182"/>
      <c r="V29" s="183"/>
      <c r="W29" s="175"/>
      <c r="X29" s="184"/>
      <c r="Y29" s="18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4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4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4"/>
      <c r="HI29" s="174"/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174"/>
      <c r="HV29" s="174"/>
      <c r="HW29" s="174"/>
      <c r="HX29" s="174"/>
      <c r="HY29" s="174"/>
      <c r="HZ29" s="174"/>
      <c r="IA29" s="174"/>
      <c r="IB29" s="174"/>
      <c r="IC29" s="174"/>
      <c r="ID29" s="174"/>
      <c r="IE29" s="174"/>
      <c r="IF29" s="174"/>
      <c r="IG29" s="174"/>
      <c r="IH29" s="174"/>
      <c r="II29" s="174"/>
      <c r="IJ29" s="174"/>
      <c r="IK29" s="174"/>
      <c r="IL29" s="174"/>
      <c r="IM29" s="174"/>
      <c r="IN29" s="174"/>
      <c r="IO29" s="174"/>
      <c r="IP29" s="174"/>
      <c r="IQ29" s="174"/>
      <c r="IR29" s="174"/>
      <c r="IS29" s="174"/>
      <c r="IT29" s="174"/>
      <c r="IU29" s="174"/>
      <c r="IV29" s="174"/>
      <c r="IW29" s="174"/>
    </row>
    <row r="30" customFormat="false" ht="12.75" hidden="false" customHeight="false" outlineLevel="0" collapsed="false">
      <c r="A30" s="174"/>
      <c r="B30" s="175" t="s">
        <v>172</v>
      </c>
      <c r="C30" s="176" t="s">
        <v>258</v>
      </c>
      <c r="D30" s="176" t="s">
        <v>287</v>
      </c>
      <c r="E30" s="177" t="n">
        <v>36831</v>
      </c>
      <c r="F30" s="177" t="n">
        <v>37195</v>
      </c>
      <c r="G30" s="175" t="s">
        <v>284</v>
      </c>
      <c r="H30" s="175" t="s">
        <v>372</v>
      </c>
      <c r="I30" s="176" t="s">
        <v>88</v>
      </c>
      <c r="J30" s="178" t="n">
        <f aca="false">6.449/J$1</f>
        <v>0.214966666666667</v>
      </c>
      <c r="K30" s="179" t="n">
        <v>0.0132</v>
      </c>
      <c r="L30" s="179" t="n">
        <v>0.0022</v>
      </c>
      <c r="M30" s="179" t="n">
        <v>0.0072</v>
      </c>
      <c r="N30" s="179" t="n">
        <v>0</v>
      </c>
      <c r="O30" s="180" t="n">
        <v>0.02116</v>
      </c>
      <c r="P30" s="179" t="n">
        <f aca="false">SUM(J30:N30)</f>
        <v>0.237566666666667</v>
      </c>
      <c r="Q30" s="181"/>
      <c r="R30" s="176" t="n">
        <v>63</v>
      </c>
      <c r="S30" s="175" t="s">
        <v>371</v>
      </c>
      <c r="T30" s="182" t="n">
        <f aca="false">J30*J$1*R30</f>
        <v>406.287</v>
      </c>
      <c r="U30" s="182"/>
      <c r="V30" s="183"/>
      <c r="W30" s="175"/>
      <c r="X30" s="184"/>
      <c r="Y30" s="18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4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4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4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4"/>
      <c r="HI30" s="174"/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174"/>
      <c r="HV30" s="174"/>
      <c r="HW30" s="174"/>
      <c r="HX30" s="174"/>
      <c r="HY30" s="174"/>
      <c r="HZ30" s="174"/>
      <c r="IA30" s="174"/>
      <c r="IB30" s="174"/>
      <c r="IC30" s="174"/>
      <c r="ID30" s="174"/>
      <c r="IE30" s="174"/>
      <c r="IF30" s="174"/>
      <c r="IG30" s="174"/>
      <c r="IH30" s="174"/>
      <c r="II30" s="174"/>
      <c r="IJ30" s="174"/>
      <c r="IK30" s="174"/>
      <c r="IL30" s="174"/>
      <c r="IM30" s="174"/>
      <c r="IN30" s="174"/>
      <c r="IO30" s="174"/>
      <c r="IP30" s="174"/>
      <c r="IQ30" s="174"/>
      <c r="IR30" s="174"/>
      <c r="IS30" s="174"/>
      <c r="IT30" s="174"/>
      <c r="IU30" s="174"/>
      <c r="IV30" s="174"/>
      <c r="IW30" s="174"/>
    </row>
    <row r="31" customFormat="false" ht="12.75" hidden="false" customHeight="false" outlineLevel="0" collapsed="false">
      <c r="A31" s="174"/>
      <c r="B31" s="175" t="s">
        <v>172</v>
      </c>
      <c r="C31" s="176" t="s">
        <v>258</v>
      </c>
      <c r="D31" s="176" t="s">
        <v>287</v>
      </c>
      <c r="E31" s="177" t="n">
        <v>36831</v>
      </c>
      <c r="F31" s="177" t="n">
        <v>37195</v>
      </c>
      <c r="G31" s="175" t="s">
        <v>284</v>
      </c>
      <c r="H31" s="175" t="s">
        <v>373</v>
      </c>
      <c r="I31" s="176" t="s">
        <v>88</v>
      </c>
      <c r="J31" s="178" t="n">
        <f aca="false">6.449/J$1</f>
        <v>0.214966666666667</v>
      </c>
      <c r="K31" s="179" t="n">
        <v>0.0132</v>
      </c>
      <c r="L31" s="179" t="n">
        <v>0.0022</v>
      </c>
      <c r="M31" s="179" t="n">
        <v>0.0072</v>
      </c>
      <c r="N31" s="179" t="n">
        <v>0</v>
      </c>
      <c r="O31" s="180" t="n">
        <v>0.02116</v>
      </c>
      <c r="P31" s="179" t="n">
        <f aca="false">SUM(J31:N31)</f>
        <v>0.237566666666667</v>
      </c>
      <c r="Q31" s="181"/>
      <c r="R31" s="176" t="n">
        <v>14</v>
      </c>
      <c r="S31" s="175" t="s">
        <v>371</v>
      </c>
      <c r="T31" s="182" t="n">
        <f aca="false">J31*J$1*R31</f>
        <v>90.286</v>
      </c>
      <c r="U31" s="182"/>
      <c r="V31" s="183"/>
      <c r="W31" s="175"/>
      <c r="X31" s="184"/>
      <c r="Y31" s="18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4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4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4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4"/>
      <c r="HI31" s="174"/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174"/>
      <c r="HV31" s="174"/>
      <c r="HW31" s="174"/>
      <c r="HX31" s="174"/>
      <c r="HY31" s="174"/>
      <c r="HZ31" s="174"/>
      <c r="IA31" s="174"/>
      <c r="IB31" s="174"/>
      <c r="IC31" s="174"/>
      <c r="ID31" s="174"/>
      <c r="IE31" s="174"/>
      <c r="IF31" s="174"/>
      <c r="IG31" s="174"/>
      <c r="IH31" s="174"/>
      <c r="II31" s="174"/>
      <c r="IJ31" s="174"/>
      <c r="IK31" s="174"/>
      <c r="IL31" s="174"/>
      <c r="IM31" s="174"/>
      <c r="IN31" s="174"/>
      <c r="IO31" s="174"/>
      <c r="IP31" s="174"/>
      <c r="IQ31" s="174"/>
      <c r="IR31" s="174"/>
      <c r="IS31" s="174"/>
      <c r="IT31" s="174"/>
      <c r="IU31" s="174"/>
      <c r="IV31" s="174"/>
      <c r="IW31" s="174"/>
    </row>
    <row r="32" customFormat="false" ht="12.75" hidden="false" customHeight="false" outlineLevel="0" collapsed="false">
      <c r="A32" s="174"/>
      <c r="B32" s="175" t="s">
        <v>172</v>
      </c>
      <c r="C32" s="176" t="s">
        <v>258</v>
      </c>
      <c r="D32" s="176" t="s">
        <v>287</v>
      </c>
      <c r="E32" s="177" t="n">
        <v>36831</v>
      </c>
      <c r="F32" s="177" t="n">
        <v>37195</v>
      </c>
      <c r="G32" s="175" t="s">
        <v>284</v>
      </c>
      <c r="H32" s="175" t="s">
        <v>374</v>
      </c>
      <c r="I32" s="176" t="s">
        <v>88</v>
      </c>
      <c r="J32" s="178" t="n">
        <f aca="false">6.449/J$1</f>
        <v>0.214966666666667</v>
      </c>
      <c r="K32" s="179" t="n">
        <v>0.0132</v>
      </c>
      <c r="L32" s="179" t="n">
        <v>0.0022</v>
      </c>
      <c r="M32" s="179" t="n">
        <v>0.0072</v>
      </c>
      <c r="N32" s="179" t="n">
        <v>0</v>
      </c>
      <c r="O32" s="180" t="n">
        <v>0.02116</v>
      </c>
      <c r="P32" s="179" t="n">
        <f aca="false">SUM(J32:N32)</f>
        <v>0.237566666666667</v>
      </c>
      <c r="Q32" s="181"/>
      <c r="R32" s="176" t="n">
        <v>36</v>
      </c>
      <c r="S32" s="175" t="s">
        <v>371</v>
      </c>
      <c r="T32" s="182" t="n">
        <f aca="false">J32*J$1*R32</f>
        <v>232.164</v>
      </c>
      <c r="U32" s="182"/>
      <c r="V32" s="183"/>
      <c r="W32" s="175"/>
      <c r="X32" s="184"/>
      <c r="Y32" s="18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4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4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4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4"/>
      <c r="HI32" s="174"/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174"/>
      <c r="HV32" s="174"/>
      <c r="HW32" s="174"/>
      <c r="HX32" s="174"/>
      <c r="HY32" s="174"/>
      <c r="HZ32" s="174"/>
      <c r="IA32" s="174"/>
      <c r="IB32" s="174"/>
      <c r="IC32" s="174"/>
      <c r="ID32" s="174"/>
      <c r="IE32" s="174"/>
      <c r="IF32" s="174"/>
      <c r="IG32" s="174"/>
      <c r="IH32" s="174"/>
      <c r="II32" s="174"/>
      <c r="IJ32" s="174"/>
      <c r="IK32" s="174"/>
      <c r="IL32" s="174"/>
      <c r="IM32" s="174"/>
      <c r="IN32" s="174"/>
      <c r="IO32" s="174"/>
      <c r="IP32" s="174"/>
      <c r="IQ32" s="174"/>
      <c r="IR32" s="174"/>
      <c r="IS32" s="174"/>
      <c r="IT32" s="174"/>
      <c r="IU32" s="174"/>
      <c r="IV32" s="174"/>
      <c r="IW32" s="174"/>
    </row>
    <row r="33" customFormat="false" ht="12.75" hidden="false" customHeight="false" outlineLevel="0" collapsed="false">
      <c r="A33" s="86"/>
      <c r="B33" s="47"/>
      <c r="C33" s="45"/>
      <c r="D33" s="45"/>
      <c r="E33" s="46"/>
      <c r="F33" s="46"/>
      <c r="G33" s="47"/>
      <c r="H33" s="47"/>
      <c r="I33" s="45"/>
      <c r="J33" s="59"/>
      <c r="K33" s="50"/>
      <c r="L33" s="50"/>
      <c r="M33" s="50"/>
      <c r="N33" s="50"/>
      <c r="O33" s="51"/>
      <c r="P33" s="50"/>
      <c r="Q33" s="52"/>
      <c r="R33" s="45"/>
      <c r="S33" s="47"/>
      <c r="T33" s="87"/>
      <c r="U33" s="87"/>
      <c r="V33" s="88"/>
      <c r="W33" s="47"/>
      <c r="X33" s="73"/>
      <c r="Y33" s="73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</row>
    <row r="34" customFormat="false" ht="12.75" hidden="false" customHeight="false" outlineLevel="0" collapsed="false">
      <c r="A34" s="163"/>
      <c r="B34" s="164" t="s">
        <v>172</v>
      </c>
      <c r="C34" s="165" t="s">
        <v>258</v>
      </c>
      <c r="D34" s="165" t="s">
        <v>296</v>
      </c>
      <c r="E34" s="166" t="n">
        <v>36465</v>
      </c>
      <c r="F34" s="166" t="n">
        <v>36830</v>
      </c>
      <c r="G34" s="164" t="s">
        <v>284</v>
      </c>
      <c r="H34" s="164" t="s">
        <v>297</v>
      </c>
      <c r="I34" s="165" t="s">
        <v>88</v>
      </c>
      <c r="J34" s="167" t="n">
        <f aca="false">6.449/J$1</f>
        <v>0.214966666666667</v>
      </c>
      <c r="K34" s="168" t="n">
        <v>0.0132</v>
      </c>
      <c r="L34" s="168" t="n">
        <v>0.0022</v>
      </c>
      <c r="M34" s="168" t="n">
        <v>0.0072</v>
      </c>
      <c r="N34" s="168" t="n">
        <v>0</v>
      </c>
      <c r="O34" s="169" t="n">
        <v>0.02116</v>
      </c>
      <c r="P34" s="168" t="n">
        <f aca="false">SUM(J34:N34)</f>
        <v>0.237566666666667</v>
      </c>
      <c r="Q34" s="170" t="n">
        <v>65041</v>
      </c>
      <c r="R34" s="165" t="n">
        <v>9619</v>
      </c>
      <c r="S34" s="164" t="s">
        <v>298</v>
      </c>
      <c r="T34" s="171" t="n">
        <f aca="false">J34*J$1*R34</f>
        <v>62032.931</v>
      </c>
      <c r="U34" s="171"/>
      <c r="V34" s="172" t="n">
        <v>162285</v>
      </c>
      <c r="W34" s="164"/>
      <c r="X34" s="173"/>
      <c r="Y34" s="17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  <c r="CR34" s="163"/>
      <c r="CS34" s="163"/>
      <c r="CT34" s="163"/>
      <c r="CU34" s="163"/>
      <c r="CV34" s="163"/>
      <c r="CW34" s="163"/>
      <c r="CX34" s="163"/>
      <c r="CY34" s="163"/>
      <c r="CZ34" s="163"/>
      <c r="DA34" s="163"/>
      <c r="DB34" s="163"/>
      <c r="DC34" s="163"/>
      <c r="DD34" s="163"/>
      <c r="DE34" s="163"/>
      <c r="DF34" s="163"/>
      <c r="DG34" s="163"/>
      <c r="DH34" s="163"/>
      <c r="DI34" s="163"/>
      <c r="DJ34" s="163"/>
      <c r="DK34" s="163"/>
      <c r="DL34" s="163"/>
      <c r="DM34" s="163"/>
      <c r="DN34" s="163"/>
      <c r="DO34" s="163"/>
      <c r="DP34" s="163"/>
      <c r="DQ34" s="163"/>
      <c r="DR34" s="163"/>
      <c r="DS34" s="163"/>
      <c r="DT34" s="163"/>
      <c r="DU34" s="163"/>
      <c r="DV34" s="163"/>
      <c r="DW34" s="163"/>
      <c r="DX34" s="163"/>
      <c r="DY34" s="163"/>
      <c r="DZ34" s="163"/>
      <c r="EA34" s="163"/>
      <c r="EB34" s="163"/>
      <c r="EC34" s="163"/>
      <c r="ED34" s="163"/>
      <c r="EE34" s="163"/>
      <c r="EF34" s="163"/>
      <c r="EG34" s="163"/>
      <c r="EH34" s="163"/>
      <c r="EI34" s="163"/>
      <c r="EJ34" s="163"/>
      <c r="EK34" s="163"/>
      <c r="EL34" s="163"/>
      <c r="EM34" s="163"/>
      <c r="EN34" s="163"/>
      <c r="EO34" s="163"/>
      <c r="EP34" s="163"/>
      <c r="EQ34" s="163"/>
      <c r="ER34" s="163"/>
      <c r="ES34" s="163"/>
      <c r="ET34" s="163"/>
      <c r="EU34" s="163"/>
      <c r="EV34" s="163"/>
      <c r="EW34" s="163"/>
      <c r="EX34" s="163"/>
      <c r="EY34" s="163"/>
      <c r="EZ34" s="163"/>
      <c r="FA34" s="163"/>
      <c r="FB34" s="163"/>
      <c r="FC34" s="163"/>
      <c r="FD34" s="163"/>
      <c r="FE34" s="163"/>
      <c r="FF34" s="163"/>
      <c r="FG34" s="163"/>
      <c r="FH34" s="163"/>
      <c r="FI34" s="163"/>
      <c r="FJ34" s="163"/>
      <c r="FK34" s="163"/>
      <c r="FL34" s="163"/>
      <c r="FM34" s="163"/>
      <c r="FN34" s="163"/>
      <c r="FO34" s="163"/>
      <c r="FP34" s="163"/>
      <c r="FQ34" s="163"/>
      <c r="FR34" s="163"/>
      <c r="FS34" s="163"/>
      <c r="FT34" s="163"/>
      <c r="FU34" s="163"/>
      <c r="FV34" s="163"/>
      <c r="FW34" s="163"/>
      <c r="FX34" s="163"/>
      <c r="FY34" s="163"/>
      <c r="FZ34" s="163"/>
      <c r="GA34" s="163"/>
      <c r="GB34" s="163"/>
      <c r="GC34" s="163"/>
      <c r="GD34" s="163"/>
      <c r="GE34" s="163"/>
      <c r="GF34" s="163"/>
      <c r="GG34" s="163"/>
      <c r="GH34" s="163"/>
      <c r="GI34" s="163"/>
      <c r="GJ34" s="163"/>
      <c r="GK34" s="163"/>
      <c r="GL34" s="163"/>
      <c r="GM34" s="163"/>
      <c r="GN34" s="163"/>
      <c r="GO34" s="163"/>
      <c r="GP34" s="163"/>
      <c r="GQ34" s="163"/>
      <c r="GR34" s="163"/>
      <c r="GS34" s="163"/>
      <c r="GT34" s="163"/>
      <c r="GU34" s="163"/>
      <c r="GV34" s="163"/>
      <c r="GW34" s="163"/>
      <c r="GX34" s="163"/>
      <c r="GY34" s="163"/>
      <c r="GZ34" s="163"/>
      <c r="HA34" s="163"/>
      <c r="HB34" s="163"/>
      <c r="HC34" s="163"/>
      <c r="HD34" s="163"/>
      <c r="HE34" s="163"/>
      <c r="HF34" s="163"/>
      <c r="HG34" s="163"/>
      <c r="HH34" s="163"/>
      <c r="HI34" s="163"/>
      <c r="HJ34" s="163"/>
      <c r="HK34" s="163"/>
      <c r="HL34" s="163"/>
      <c r="HM34" s="163"/>
      <c r="HN34" s="163"/>
      <c r="HO34" s="163"/>
      <c r="HP34" s="163"/>
      <c r="HQ34" s="163"/>
      <c r="HR34" s="163"/>
      <c r="HS34" s="163"/>
      <c r="HT34" s="163"/>
      <c r="HU34" s="163"/>
      <c r="HV34" s="163"/>
      <c r="HW34" s="163"/>
      <c r="HX34" s="163"/>
      <c r="HY34" s="163"/>
      <c r="HZ34" s="163"/>
      <c r="IA34" s="163"/>
      <c r="IB34" s="163"/>
      <c r="IC34" s="163"/>
      <c r="ID34" s="163"/>
      <c r="IE34" s="163"/>
      <c r="IF34" s="163"/>
      <c r="IG34" s="163"/>
      <c r="IH34" s="163"/>
      <c r="II34" s="163"/>
      <c r="IJ34" s="163"/>
      <c r="IK34" s="163"/>
      <c r="IL34" s="163"/>
      <c r="IM34" s="163"/>
      <c r="IN34" s="163"/>
      <c r="IO34" s="163"/>
      <c r="IP34" s="163"/>
      <c r="IQ34" s="163"/>
      <c r="IR34" s="163"/>
      <c r="IS34" s="163"/>
      <c r="IT34" s="163"/>
      <c r="IU34" s="163"/>
      <c r="IV34" s="163"/>
      <c r="IW34" s="163"/>
    </row>
    <row r="35" customFormat="false" ht="12.75" hidden="false" customHeight="false" outlineLevel="0" collapsed="false">
      <c r="A35" s="174"/>
      <c r="B35" s="175" t="s">
        <v>172</v>
      </c>
      <c r="C35" s="176" t="s">
        <v>258</v>
      </c>
      <c r="D35" s="176" t="s">
        <v>287</v>
      </c>
      <c r="E35" s="177" t="n">
        <v>36831</v>
      </c>
      <c r="F35" s="177" t="n">
        <v>37195</v>
      </c>
      <c r="G35" s="175" t="s">
        <v>375</v>
      </c>
      <c r="H35" s="175" t="s">
        <v>376</v>
      </c>
      <c r="I35" s="176" t="s">
        <v>88</v>
      </c>
      <c r="J35" s="178" t="n">
        <f aca="false">6.449/J$1</f>
        <v>0.214966666666667</v>
      </c>
      <c r="K35" s="179" t="n">
        <v>0.0132</v>
      </c>
      <c r="L35" s="179" t="n">
        <v>0.0022</v>
      </c>
      <c r="M35" s="179" t="n">
        <v>0.0072</v>
      </c>
      <c r="N35" s="179" t="n">
        <v>0</v>
      </c>
      <c r="O35" s="180" t="n">
        <v>0.02116</v>
      </c>
      <c r="P35" s="179" t="n">
        <f aca="false">SUM(J35:N35)</f>
        <v>0.237566666666667</v>
      </c>
      <c r="Q35" s="181"/>
      <c r="R35" s="176" t="n">
        <v>3630</v>
      </c>
      <c r="S35" s="175" t="s">
        <v>377</v>
      </c>
      <c r="T35" s="182" t="n">
        <f aca="false">J35*J$1*R35</f>
        <v>23409.87</v>
      </c>
      <c r="U35" s="182"/>
      <c r="V35" s="183"/>
      <c r="W35" s="175"/>
      <c r="X35" s="184"/>
      <c r="Y35" s="18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12.75" hidden="false" customHeight="false" outlineLevel="0" collapsed="false">
      <c r="A36" s="174"/>
      <c r="B36" s="175" t="s">
        <v>172</v>
      </c>
      <c r="C36" s="176" t="s">
        <v>258</v>
      </c>
      <c r="D36" s="176" t="s">
        <v>287</v>
      </c>
      <c r="E36" s="177" t="n">
        <v>36831</v>
      </c>
      <c r="F36" s="177" t="n">
        <v>37195</v>
      </c>
      <c r="G36" s="175" t="s">
        <v>378</v>
      </c>
      <c r="H36" s="175" t="s">
        <v>376</v>
      </c>
      <c r="I36" s="176" t="s">
        <v>88</v>
      </c>
      <c r="J36" s="178" t="n">
        <f aca="false">6.449/J$1</f>
        <v>0.214966666666667</v>
      </c>
      <c r="K36" s="179" t="n">
        <v>0.0132</v>
      </c>
      <c r="L36" s="179" t="n">
        <v>0.0022</v>
      </c>
      <c r="M36" s="179" t="n">
        <v>0.0072</v>
      </c>
      <c r="N36" s="179" t="n">
        <v>0</v>
      </c>
      <c r="O36" s="180" t="n">
        <v>0.02116</v>
      </c>
      <c r="P36" s="179" t="n">
        <f aca="false">SUM(J36:N36)</f>
        <v>0.237566666666667</v>
      </c>
      <c r="Q36" s="181"/>
      <c r="R36" s="176" t="n">
        <v>2795</v>
      </c>
      <c r="S36" s="175" t="s">
        <v>377</v>
      </c>
      <c r="T36" s="182" t="n">
        <f aca="false">J36*J$1*R36</f>
        <v>18024.955</v>
      </c>
      <c r="U36" s="182"/>
      <c r="V36" s="183"/>
      <c r="W36" s="175"/>
      <c r="X36" s="184"/>
      <c r="Y36" s="18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4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4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4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4"/>
      <c r="HI36" s="174"/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174"/>
      <c r="HV36" s="174"/>
      <c r="HW36" s="174"/>
      <c r="HX36" s="174"/>
      <c r="HY36" s="174"/>
      <c r="HZ36" s="174"/>
      <c r="IA36" s="174"/>
      <c r="IB36" s="174"/>
      <c r="IC36" s="174"/>
      <c r="ID36" s="174"/>
      <c r="IE36" s="174"/>
      <c r="IF36" s="174"/>
      <c r="IG36" s="174"/>
      <c r="IH36" s="174"/>
      <c r="II36" s="174"/>
      <c r="IJ36" s="174"/>
      <c r="IK36" s="174"/>
      <c r="IL36" s="174"/>
      <c r="IM36" s="174"/>
      <c r="IN36" s="174"/>
      <c r="IO36" s="174"/>
      <c r="IP36" s="174"/>
      <c r="IQ36" s="174"/>
      <c r="IR36" s="174"/>
      <c r="IS36" s="174"/>
      <c r="IT36" s="174"/>
      <c r="IU36" s="174"/>
      <c r="IV36" s="174"/>
      <c r="IW36" s="174"/>
    </row>
    <row r="37" customFormat="false" ht="12.75" hidden="false" customHeight="false" outlineLevel="0" collapsed="false">
      <c r="A37" s="174"/>
      <c r="B37" s="175" t="s">
        <v>172</v>
      </c>
      <c r="C37" s="176" t="s">
        <v>258</v>
      </c>
      <c r="D37" s="176" t="s">
        <v>287</v>
      </c>
      <c r="E37" s="177" t="n">
        <v>36831</v>
      </c>
      <c r="F37" s="177" t="n">
        <v>37195</v>
      </c>
      <c r="G37" s="175" t="s">
        <v>284</v>
      </c>
      <c r="H37" s="175" t="s">
        <v>376</v>
      </c>
      <c r="I37" s="176" t="s">
        <v>88</v>
      </c>
      <c r="J37" s="178" t="n">
        <f aca="false">6.449/J$1</f>
        <v>0.214966666666667</v>
      </c>
      <c r="K37" s="179" t="n">
        <v>0.0132</v>
      </c>
      <c r="L37" s="179" t="n">
        <v>0.0022</v>
      </c>
      <c r="M37" s="179" t="n">
        <v>0.0072</v>
      </c>
      <c r="N37" s="179" t="n">
        <v>0</v>
      </c>
      <c r="O37" s="180" t="n">
        <v>0.02116</v>
      </c>
      <c r="P37" s="179" t="n">
        <f aca="false">SUM(J37:N37)</f>
        <v>0.237566666666667</v>
      </c>
      <c r="Q37" s="181"/>
      <c r="R37" s="176" t="n">
        <v>2759</v>
      </c>
      <c r="S37" s="175" t="s">
        <v>377</v>
      </c>
      <c r="T37" s="182" t="n">
        <f aca="false">J37*J$1*R37</f>
        <v>17792.791</v>
      </c>
      <c r="U37" s="182"/>
      <c r="V37" s="183"/>
      <c r="W37" s="175"/>
      <c r="X37" s="184"/>
      <c r="Y37" s="18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4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4"/>
      <c r="GD37" s="174"/>
      <c r="GE37" s="174"/>
      <c r="GF37" s="174"/>
      <c r="GG37" s="174"/>
      <c r="GH37" s="174"/>
      <c r="GI37" s="174"/>
      <c r="GJ37" s="174"/>
      <c r="GK37" s="174"/>
      <c r="GL37" s="174"/>
      <c r="GM37" s="174"/>
      <c r="GN37" s="174"/>
      <c r="GO37" s="174"/>
      <c r="GP37" s="174"/>
      <c r="GQ37" s="174"/>
      <c r="GR37" s="174"/>
      <c r="GS37" s="174"/>
      <c r="GT37" s="174"/>
      <c r="GU37" s="174"/>
      <c r="GV37" s="174"/>
      <c r="GW37" s="174"/>
      <c r="GX37" s="174"/>
      <c r="GY37" s="174"/>
      <c r="GZ37" s="174"/>
      <c r="HA37" s="174"/>
      <c r="HB37" s="174"/>
      <c r="HC37" s="174"/>
      <c r="HD37" s="174"/>
      <c r="HE37" s="174"/>
      <c r="HF37" s="174"/>
      <c r="HG37" s="174"/>
      <c r="HH37" s="174"/>
      <c r="HI37" s="174"/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174"/>
      <c r="HV37" s="174"/>
      <c r="HW37" s="174"/>
      <c r="HX37" s="174"/>
      <c r="HY37" s="174"/>
      <c r="HZ37" s="174"/>
      <c r="IA37" s="174"/>
      <c r="IB37" s="174"/>
      <c r="IC37" s="174"/>
      <c r="ID37" s="174"/>
      <c r="IE37" s="174"/>
      <c r="IF37" s="174"/>
      <c r="IG37" s="174"/>
      <c r="IH37" s="174"/>
      <c r="II37" s="174"/>
      <c r="IJ37" s="174"/>
      <c r="IK37" s="174"/>
      <c r="IL37" s="174"/>
      <c r="IM37" s="174"/>
      <c r="IN37" s="174"/>
      <c r="IO37" s="174"/>
      <c r="IP37" s="174"/>
      <c r="IQ37" s="174"/>
      <c r="IR37" s="174"/>
      <c r="IS37" s="174"/>
      <c r="IT37" s="174"/>
      <c r="IU37" s="174"/>
      <c r="IV37" s="174"/>
      <c r="IW37" s="174"/>
    </row>
    <row r="38" customFormat="false" ht="12.75" hidden="false" customHeight="false" outlineLevel="0" collapsed="false">
      <c r="A38" s="86"/>
      <c r="B38" s="47"/>
      <c r="C38" s="45"/>
      <c r="D38" s="45"/>
      <c r="E38" s="46"/>
      <c r="F38" s="46"/>
      <c r="G38" s="47"/>
      <c r="H38" s="47"/>
      <c r="I38" s="45"/>
      <c r="J38" s="59"/>
      <c r="K38" s="50"/>
      <c r="L38" s="50"/>
      <c r="M38" s="50"/>
      <c r="N38" s="50"/>
      <c r="O38" s="51"/>
      <c r="P38" s="50"/>
      <c r="Q38" s="52"/>
      <c r="R38" s="45"/>
      <c r="S38" s="47"/>
      <c r="T38" s="87"/>
      <c r="U38" s="87"/>
      <c r="V38" s="88"/>
      <c r="W38" s="47"/>
      <c r="X38" s="73"/>
      <c r="Y38" s="73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</row>
    <row r="39" customFormat="false" ht="12.75" hidden="false" customHeight="false" outlineLevel="0" collapsed="false">
      <c r="A39" s="163"/>
      <c r="B39" s="164" t="s">
        <v>172</v>
      </c>
      <c r="C39" s="165" t="s">
        <v>258</v>
      </c>
      <c r="D39" s="165" t="s">
        <v>296</v>
      </c>
      <c r="E39" s="166" t="n">
        <v>36465</v>
      </c>
      <c r="F39" s="166" t="n">
        <v>36830</v>
      </c>
      <c r="G39" s="164" t="s">
        <v>284</v>
      </c>
      <c r="H39" s="164" t="s">
        <v>299</v>
      </c>
      <c r="I39" s="165" t="s">
        <v>88</v>
      </c>
      <c r="J39" s="167" t="n">
        <f aca="false">6.449/J$1</f>
        <v>0.214966666666667</v>
      </c>
      <c r="K39" s="168" t="n">
        <v>0.0132</v>
      </c>
      <c r="L39" s="168" t="n">
        <v>0.0022</v>
      </c>
      <c r="M39" s="168" t="n">
        <v>0.0072</v>
      </c>
      <c r="N39" s="168" t="n">
        <v>0</v>
      </c>
      <c r="O39" s="169" t="n">
        <v>0.02116</v>
      </c>
      <c r="P39" s="168" t="n">
        <f aca="false">SUM(J39:N39)</f>
        <v>0.237566666666667</v>
      </c>
      <c r="Q39" s="170" t="n">
        <v>65042</v>
      </c>
      <c r="R39" s="165" t="n">
        <v>4427</v>
      </c>
      <c r="S39" s="164" t="s">
        <v>300</v>
      </c>
      <c r="T39" s="171" t="n">
        <f aca="false">J39*J$1*R39</f>
        <v>28549.723</v>
      </c>
      <c r="U39" s="171"/>
      <c r="V39" s="172" t="n">
        <v>162287</v>
      </c>
      <c r="W39" s="164"/>
      <c r="X39" s="173"/>
      <c r="Y39" s="17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3"/>
      <c r="EG39" s="163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163"/>
      <c r="ES39" s="163"/>
      <c r="ET39" s="163"/>
      <c r="EU39" s="163"/>
      <c r="EV39" s="163"/>
      <c r="EW39" s="163"/>
      <c r="EX39" s="163"/>
      <c r="EY39" s="163"/>
      <c r="EZ39" s="163"/>
      <c r="FA39" s="163"/>
      <c r="FB39" s="163"/>
      <c r="FC39" s="163"/>
      <c r="FD39" s="163"/>
      <c r="FE39" s="163"/>
      <c r="FF39" s="163"/>
      <c r="FG39" s="163"/>
      <c r="FH39" s="163"/>
      <c r="FI39" s="163"/>
      <c r="FJ39" s="163"/>
      <c r="FK39" s="163"/>
      <c r="FL39" s="163"/>
      <c r="FM39" s="163"/>
      <c r="FN39" s="163"/>
      <c r="FO39" s="163"/>
      <c r="FP39" s="163"/>
      <c r="FQ39" s="163"/>
      <c r="FR39" s="163"/>
      <c r="FS39" s="163"/>
      <c r="FT39" s="163"/>
      <c r="FU39" s="163"/>
      <c r="FV39" s="163"/>
      <c r="FW39" s="163"/>
      <c r="FX39" s="163"/>
      <c r="FY39" s="163"/>
      <c r="FZ39" s="163"/>
      <c r="GA39" s="163"/>
      <c r="GB39" s="163"/>
      <c r="GC39" s="163"/>
      <c r="GD39" s="163"/>
      <c r="GE39" s="163"/>
      <c r="GF39" s="163"/>
      <c r="GG39" s="163"/>
      <c r="GH39" s="163"/>
      <c r="GI39" s="163"/>
      <c r="GJ39" s="163"/>
      <c r="GK39" s="163"/>
      <c r="GL39" s="163"/>
      <c r="GM39" s="163"/>
      <c r="GN39" s="163"/>
      <c r="GO39" s="163"/>
      <c r="GP39" s="163"/>
      <c r="GQ39" s="163"/>
      <c r="GR39" s="163"/>
      <c r="GS39" s="163"/>
      <c r="GT39" s="163"/>
      <c r="GU39" s="163"/>
      <c r="GV39" s="163"/>
      <c r="GW39" s="163"/>
      <c r="GX39" s="163"/>
      <c r="GY39" s="163"/>
      <c r="GZ39" s="163"/>
      <c r="HA39" s="163"/>
      <c r="HB39" s="163"/>
      <c r="HC39" s="163"/>
      <c r="HD39" s="163"/>
      <c r="HE39" s="163"/>
      <c r="HF39" s="163"/>
      <c r="HG39" s="163"/>
      <c r="HH39" s="163"/>
      <c r="HI39" s="163"/>
      <c r="HJ39" s="163"/>
      <c r="HK39" s="163"/>
      <c r="HL39" s="163"/>
      <c r="HM39" s="163"/>
      <c r="HN39" s="163"/>
      <c r="HO39" s="163"/>
      <c r="HP39" s="163"/>
      <c r="HQ39" s="163"/>
      <c r="HR39" s="163"/>
      <c r="HS39" s="163"/>
      <c r="HT39" s="163"/>
      <c r="HU39" s="163"/>
      <c r="HV39" s="163"/>
      <c r="HW39" s="163"/>
      <c r="HX39" s="163"/>
      <c r="HY39" s="163"/>
      <c r="HZ39" s="163"/>
      <c r="IA39" s="163"/>
      <c r="IB39" s="163"/>
      <c r="IC39" s="163"/>
      <c r="ID39" s="163"/>
      <c r="IE39" s="163"/>
      <c r="IF39" s="163"/>
      <c r="IG39" s="163"/>
      <c r="IH39" s="163"/>
      <c r="II39" s="163"/>
      <c r="IJ39" s="163"/>
      <c r="IK39" s="163"/>
      <c r="IL39" s="163"/>
      <c r="IM39" s="163"/>
      <c r="IN39" s="163"/>
      <c r="IO39" s="163"/>
      <c r="IP39" s="163"/>
      <c r="IQ39" s="163"/>
      <c r="IR39" s="163"/>
      <c r="IS39" s="163"/>
      <c r="IT39" s="163"/>
      <c r="IU39" s="163"/>
      <c r="IV39" s="163"/>
      <c r="IW39" s="163"/>
    </row>
    <row r="40" customFormat="false" ht="12.75" hidden="false" customHeight="false" outlineLevel="0" collapsed="false">
      <c r="A40" s="174"/>
      <c r="B40" s="175" t="s">
        <v>172</v>
      </c>
      <c r="C40" s="176" t="s">
        <v>258</v>
      </c>
      <c r="D40" s="176" t="s">
        <v>296</v>
      </c>
      <c r="E40" s="177" t="n">
        <v>36831</v>
      </c>
      <c r="F40" s="177" t="n">
        <v>37195</v>
      </c>
      <c r="G40" s="175" t="s">
        <v>284</v>
      </c>
      <c r="H40" s="175" t="s">
        <v>299</v>
      </c>
      <c r="I40" s="176" t="s">
        <v>88</v>
      </c>
      <c r="J40" s="178" t="n">
        <f aca="false">6.449/J$1</f>
        <v>0.214966666666667</v>
      </c>
      <c r="K40" s="179" t="n">
        <v>0.0132</v>
      </c>
      <c r="L40" s="179" t="n">
        <v>0.0022</v>
      </c>
      <c r="M40" s="179" t="n">
        <v>0.0072</v>
      </c>
      <c r="N40" s="179" t="n">
        <v>0</v>
      </c>
      <c r="O40" s="180" t="n">
        <v>0.02116</v>
      </c>
      <c r="P40" s="179" t="n">
        <f aca="false">SUM(J40:N40)</f>
        <v>0.237566666666667</v>
      </c>
      <c r="Q40" s="181"/>
      <c r="R40" s="176" t="n">
        <v>4018</v>
      </c>
      <c r="S40" s="175" t="s">
        <v>379</v>
      </c>
      <c r="T40" s="182" t="n">
        <f aca="false">J40*J$1*R40</f>
        <v>25912.082</v>
      </c>
      <c r="U40" s="182"/>
      <c r="V40" s="183" t="n">
        <v>162287</v>
      </c>
      <c r="W40" s="175"/>
      <c r="X40" s="184"/>
      <c r="Y40" s="18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4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4"/>
      <c r="FD40" s="174"/>
      <c r="FE40" s="174"/>
      <c r="FF40" s="174"/>
      <c r="FG40" s="174"/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4"/>
      <c r="FS40" s="174"/>
      <c r="FT40" s="174"/>
      <c r="FU40" s="174"/>
      <c r="FV40" s="174"/>
      <c r="FW40" s="174"/>
      <c r="FX40" s="174"/>
      <c r="FY40" s="174"/>
      <c r="FZ40" s="174"/>
      <c r="GA40" s="174"/>
      <c r="GB40" s="174"/>
      <c r="GC40" s="174"/>
      <c r="GD40" s="174"/>
      <c r="GE40" s="174"/>
      <c r="GF40" s="174"/>
      <c r="GG40" s="174"/>
      <c r="GH40" s="174"/>
      <c r="GI40" s="174"/>
      <c r="GJ40" s="174"/>
      <c r="GK40" s="174"/>
      <c r="GL40" s="174"/>
      <c r="GM40" s="174"/>
      <c r="GN40" s="174"/>
      <c r="GO40" s="174"/>
      <c r="GP40" s="174"/>
      <c r="GQ40" s="174"/>
      <c r="GR40" s="174"/>
      <c r="GS40" s="174"/>
      <c r="GT40" s="174"/>
      <c r="GU40" s="174"/>
      <c r="GV40" s="174"/>
      <c r="GW40" s="174"/>
      <c r="GX40" s="174"/>
      <c r="GY40" s="174"/>
      <c r="GZ40" s="174"/>
      <c r="HA40" s="174"/>
      <c r="HB40" s="174"/>
      <c r="HC40" s="174"/>
      <c r="HD40" s="174"/>
      <c r="HE40" s="174"/>
      <c r="HF40" s="174"/>
      <c r="HG40" s="174"/>
      <c r="HH40" s="174"/>
      <c r="HI40" s="174"/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174"/>
      <c r="HV40" s="174"/>
      <c r="HW40" s="174"/>
      <c r="HX40" s="174"/>
      <c r="HY40" s="174"/>
      <c r="HZ40" s="174"/>
      <c r="IA40" s="174"/>
      <c r="IB40" s="174"/>
      <c r="IC40" s="174"/>
      <c r="ID40" s="174"/>
      <c r="IE40" s="174"/>
      <c r="IF40" s="174"/>
      <c r="IG40" s="174"/>
      <c r="IH40" s="174"/>
      <c r="II40" s="174"/>
      <c r="IJ40" s="174"/>
      <c r="IK40" s="174"/>
      <c r="IL40" s="174"/>
      <c r="IM40" s="174"/>
      <c r="IN40" s="174"/>
      <c r="IO40" s="174"/>
      <c r="IP40" s="174"/>
      <c r="IQ40" s="174"/>
      <c r="IR40" s="174"/>
      <c r="IS40" s="174"/>
      <c r="IT40" s="174"/>
      <c r="IU40" s="174"/>
      <c r="IV40" s="174"/>
      <c r="IW40" s="174"/>
    </row>
    <row r="41" customFormat="false" ht="12.75" hidden="false" customHeight="false" outlineLevel="0" collapsed="false">
      <c r="A41" s="86"/>
      <c r="B41" s="47"/>
      <c r="C41" s="45"/>
      <c r="D41" s="45"/>
      <c r="E41" s="46"/>
      <c r="F41" s="46"/>
      <c r="G41" s="47"/>
      <c r="H41" s="47"/>
      <c r="I41" s="45"/>
      <c r="J41" s="59"/>
      <c r="K41" s="50"/>
      <c r="L41" s="50"/>
      <c r="M41" s="50"/>
      <c r="N41" s="50"/>
      <c r="O41" s="51"/>
      <c r="P41" s="50"/>
      <c r="Q41" s="52"/>
      <c r="R41" s="45"/>
      <c r="S41" s="47"/>
      <c r="T41" s="87"/>
      <c r="U41" s="87"/>
      <c r="V41" s="88"/>
      <c r="W41" s="47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  <c r="IW41" s="86"/>
    </row>
    <row r="42" customFormat="false" ht="12.75" hidden="false" customHeight="false" outlineLevel="0" collapsed="false">
      <c r="A42" s="86"/>
      <c r="B42" s="47" t="s">
        <v>172</v>
      </c>
      <c r="C42" s="45" t="s">
        <v>258</v>
      </c>
      <c r="D42" s="45" t="s">
        <v>301</v>
      </c>
      <c r="E42" s="46" t="n">
        <v>36465</v>
      </c>
      <c r="F42" s="46" t="n">
        <v>37011</v>
      </c>
      <c r="G42" s="47" t="s">
        <v>284</v>
      </c>
      <c r="H42" s="47" t="s">
        <v>302</v>
      </c>
      <c r="I42" s="45" t="s">
        <v>88</v>
      </c>
      <c r="J42" s="59" t="n">
        <f aca="false">6.449/J$1</f>
        <v>0.214966666666667</v>
      </c>
      <c r="K42" s="50" t="n">
        <v>0.0132</v>
      </c>
      <c r="L42" s="50" t="n">
        <v>0.0022</v>
      </c>
      <c r="M42" s="50" t="n">
        <v>0.0072</v>
      </c>
      <c r="N42" s="50" t="n">
        <v>0</v>
      </c>
      <c r="O42" s="51" t="n">
        <v>0.02116</v>
      </c>
      <c r="P42" s="50" t="n">
        <f aca="false">SUM(J42:N42)</f>
        <v>0.237566666666667</v>
      </c>
      <c r="Q42" s="52" t="n">
        <v>65108</v>
      </c>
      <c r="R42" s="45" t="n">
        <v>5000</v>
      </c>
      <c r="S42" s="47" t="s">
        <v>303</v>
      </c>
      <c r="T42" s="87" t="n">
        <f aca="false">J42*J$1*R42</f>
        <v>32245</v>
      </c>
      <c r="U42" s="87"/>
      <c r="V42" s="88" t="n">
        <v>163001</v>
      </c>
      <c r="W42" s="47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  <c r="IW42" s="86"/>
    </row>
    <row r="43" customFormat="false" ht="12.75" hidden="false" customHeight="false" outlineLevel="0" collapsed="false">
      <c r="A43" s="86"/>
      <c r="B43" s="47" t="s">
        <v>172</v>
      </c>
      <c r="C43" s="45" t="s">
        <v>258</v>
      </c>
      <c r="D43" s="45"/>
      <c r="E43" s="46" t="n">
        <v>36557</v>
      </c>
      <c r="F43" s="46" t="n">
        <v>36830</v>
      </c>
      <c r="G43" s="47" t="s">
        <v>270</v>
      </c>
      <c r="H43" s="47" t="s">
        <v>264</v>
      </c>
      <c r="I43" s="45" t="s">
        <v>88</v>
      </c>
      <c r="J43" s="59" t="n">
        <f aca="false">4.563/J$1</f>
        <v>0.1521</v>
      </c>
      <c r="K43" s="50" t="n">
        <v>0.0132</v>
      </c>
      <c r="L43" s="50" t="n">
        <v>0.0022</v>
      </c>
      <c r="M43" s="50" t="n">
        <v>0.0072</v>
      </c>
      <c r="N43" s="50" t="n">
        <v>0</v>
      </c>
      <c r="O43" s="51" t="n">
        <v>0.02116</v>
      </c>
      <c r="P43" s="50" t="n">
        <f aca="false">SUM(J43:N43)</f>
        <v>0.1747</v>
      </c>
      <c r="Q43" s="52" t="n">
        <v>65418</v>
      </c>
      <c r="R43" s="45" t="n">
        <v>500</v>
      </c>
      <c r="S43" s="47" t="s">
        <v>304</v>
      </c>
      <c r="T43" s="87" t="n">
        <f aca="false">J43*J$1*R43</f>
        <v>2281.5</v>
      </c>
      <c r="U43" s="87"/>
      <c r="V43" s="88" t="n">
        <v>156599</v>
      </c>
      <c r="W43" s="47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</row>
    <row r="44" customFormat="false" ht="12.75" hidden="false" customHeight="false" outlineLevel="0" collapsed="false">
      <c r="A44" s="86"/>
      <c r="B44" s="47" t="s">
        <v>172</v>
      </c>
      <c r="C44" s="45" t="s">
        <v>258</v>
      </c>
      <c r="D44" s="45" t="s">
        <v>287</v>
      </c>
      <c r="E44" s="46" t="n">
        <v>36557</v>
      </c>
      <c r="F44" s="46" t="n">
        <v>36860</v>
      </c>
      <c r="G44" s="47" t="s">
        <v>284</v>
      </c>
      <c r="H44" s="47" t="s">
        <v>288</v>
      </c>
      <c r="I44" s="45" t="s">
        <v>88</v>
      </c>
      <c r="J44" s="59" t="n">
        <f aca="false">6.449/J$1</f>
        <v>0.214966666666667</v>
      </c>
      <c r="K44" s="50" t="n">
        <v>0.0132</v>
      </c>
      <c r="L44" s="50" t="n">
        <v>0.0022</v>
      </c>
      <c r="M44" s="50" t="n">
        <v>0.0072</v>
      </c>
      <c r="N44" s="50" t="n">
        <v>0</v>
      </c>
      <c r="O44" s="51" t="n">
        <v>0.02116</v>
      </c>
      <c r="P44" s="50" t="n">
        <f aca="false">SUM(J44:N44)</f>
        <v>0.237566666666667</v>
      </c>
      <c r="Q44" s="52" t="n">
        <v>65556</v>
      </c>
      <c r="R44" s="45" t="n">
        <v>3</v>
      </c>
      <c r="S44" s="47" t="s">
        <v>305</v>
      </c>
      <c r="T44" s="87" t="n">
        <f aca="false">J44*J$1*R44</f>
        <v>19.347</v>
      </c>
      <c r="U44" s="87"/>
      <c r="V44" s="88" t="n">
        <v>156602</v>
      </c>
      <c r="W44" s="47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</row>
    <row r="45" customFormat="false" ht="12.75" hidden="false" customHeight="false" outlineLevel="0" collapsed="false">
      <c r="A45" s="86"/>
      <c r="B45" s="47" t="s">
        <v>172</v>
      </c>
      <c r="C45" s="45" t="s">
        <v>258</v>
      </c>
      <c r="D45" s="45" t="s">
        <v>178</v>
      </c>
      <c r="E45" s="46" t="n">
        <v>36557</v>
      </c>
      <c r="F45" s="46" t="n">
        <v>36922</v>
      </c>
      <c r="G45" s="47" t="s">
        <v>306</v>
      </c>
      <c r="H45" s="47" t="s">
        <v>307</v>
      </c>
      <c r="I45" s="45" t="s">
        <v>88</v>
      </c>
      <c r="J45" s="59" t="n">
        <f aca="false">6.449/J$1</f>
        <v>0.214966666666667</v>
      </c>
      <c r="K45" s="50"/>
      <c r="L45" s="50"/>
      <c r="M45" s="50"/>
      <c r="N45" s="50"/>
      <c r="O45" s="51"/>
      <c r="P45" s="50"/>
      <c r="Q45" s="52" t="n">
        <v>66280</v>
      </c>
      <c r="R45" s="45" t="n">
        <v>1</v>
      </c>
      <c r="S45" s="47" t="s">
        <v>308</v>
      </c>
      <c r="T45" s="87" t="n">
        <f aca="false">J45*J$1*R45</f>
        <v>6.449</v>
      </c>
      <c r="U45" s="87"/>
      <c r="V45" s="88" t="n">
        <v>156606</v>
      </c>
      <c r="W45" s="47"/>
      <c r="X45" s="73"/>
      <c r="Y45" s="73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</row>
    <row r="46" customFormat="false" ht="12.75" hidden="false" customHeight="false" outlineLevel="0" collapsed="false">
      <c r="A46" s="86"/>
      <c r="B46" s="47" t="s">
        <v>172</v>
      </c>
      <c r="C46" s="45" t="s">
        <v>258</v>
      </c>
      <c r="D46" s="45" t="s">
        <v>178</v>
      </c>
      <c r="E46" s="46" t="n">
        <v>36557</v>
      </c>
      <c r="F46" s="46" t="n">
        <v>36922</v>
      </c>
      <c r="G46" s="47" t="s">
        <v>306</v>
      </c>
      <c r="H46" s="47" t="s">
        <v>309</v>
      </c>
      <c r="I46" s="45" t="s">
        <v>88</v>
      </c>
      <c r="J46" s="59" t="n">
        <f aca="false">6.449/J$1</f>
        <v>0.214966666666667</v>
      </c>
      <c r="K46" s="50"/>
      <c r="L46" s="50"/>
      <c r="M46" s="50"/>
      <c r="N46" s="50"/>
      <c r="O46" s="51"/>
      <c r="P46" s="50"/>
      <c r="Q46" s="52" t="n">
        <v>66280</v>
      </c>
      <c r="R46" s="45" t="n">
        <v>4</v>
      </c>
      <c r="S46" s="47" t="s">
        <v>308</v>
      </c>
      <c r="T46" s="87" t="n">
        <f aca="false">J46*J$1*R46</f>
        <v>25.796</v>
      </c>
      <c r="U46" s="87"/>
      <c r="V46" s="88" t="n">
        <v>156606</v>
      </c>
      <c r="W46" s="47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  <c r="IW46" s="86"/>
    </row>
    <row r="47" customFormat="false" ht="12.75" hidden="false" customHeight="false" outlineLevel="0" collapsed="false">
      <c r="A47" s="86"/>
      <c r="B47" s="47" t="s">
        <v>172</v>
      </c>
      <c r="C47" s="45" t="s">
        <v>258</v>
      </c>
      <c r="D47" s="45" t="s">
        <v>178</v>
      </c>
      <c r="E47" s="46" t="n">
        <v>36656</v>
      </c>
      <c r="F47" s="46" t="n">
        <v>36950</v>
      </c>
      <c r="G47" s="47" t="s">
        <v>306</v>
      </c>
      <c r="H47" s="47" t="s">
        <v>307</v>
      </c>
      <c r="I47" s="45" t="s">
        <v>88</v>
      </c>
      <c r="J47" s="59" t="n">
        <v>6.449</v>
      </c>
      <c r="K47" s="50"/>
      <c r="L47" s="50"/>
      <c r="M47" s="50"/>
      <c r="N47" s="50"/>
      <c r="O47" s="51"/>
      <c r="P47" s="50"/>
      <c r="Q47" s="52" t="n">
        <v>68308</v>
      </c>
      <c r="R47" s="45" t="n">
        <v>5</v>
      </c>
      <c r="S47" s="47" t="s">
        <v>310</v>
      </c>
      <c r="T47" s="87" t="n">
        <f aca="false">+R47*J47</f>
        <v>32.245</v>
      </c>
      <c r="U47" s="87"/>
      <c r="V47" s="88" t="n">
        <v>262094</v>
      </c>
      <c r="W47" s="47"/>
      <c r="X47" s="73"/>
      <c r="Y47" s="73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</row>
    <row r="48" customFormat="false" ht="12.75" hidden="false" customHeight="false" outlineLevel="0" collapsed="false">
      <c r="A48" s="86"/>
      <c r="B48" s="47" t="s">
        <v>172</v>
      </c>
      <c r="C48" s="45" t="s">
        <v>258</v>
      </c>
      <c r="D48" s="45" t="s">
        <v>178</v>
      </c>
      <c r="E48" s="46" t="n">
        <v>36656</v>
      </c>
      <c r="F48" s="46" t="n">
        <v>36950</v>
      </c>
      <c r="G48" s="47" t="s">
        <v>306</v>
      </c>
      <c r="H48" s="47" t="s">
        <v>309</v>
      </c>
      <c r="I48" s="45" t="s">
        <v>88</v>
      </c>
      <c r="J48" s="59" t="n">
        <v>6.449</v>
      </c>
      <c r="K48" s="50"/>
      <c r="L48" s="50"/>
      <c r="M48" s="50"/>
      <c r="N48" s="50"/>
      <c r="O48" s="51"/>
      <c r="P48" s="50"/>
      <c r="Q48" s="52" t="n">
        <v>68308</v>
      </c>
      <c r="R48" s="45" t="n">
        <v>4</v>
      </c>
      <c r="S48" s="47" t="s">
        <v>310</v>
      </c>
      <c r="T48" s="87" t="n">
        <f aca="false">+R48*J48</f>
        <v>25.796</v>
      </c>
      <c r="U48" s="87"/>
      <c r="V48" s="88" t="n">
        <v>262094</v>
      </c>
      <c r="W48" s="47"/>
      <c r="X48" s="73"/>
      <c r="Y48" s="73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  <c r="IW48" s="86"/>
    </row>
    <row r="49" customFormat="false" ht="12.75" hidden="false" customHeight="false" outlineLevel="0" collapsed="false">
      <c r="A49" s="86"/>
      <c r="B49" s="47" t="s">
        <v>172</v>
      </c>
      <c r="C49" s="45" t="s">
        <v>258</v>
      </c>
      <c r="D49" s="45" t="s">
        <v>178</v>
      </c>
      <c r="E49" s="46" t="n">
        <v>36708</v>
      </c>
      <c r="F49" s="46" t="n">
        <v>37072</v>
      </c>
      <c r="G49" s="47" t="s">
        <v>175</v>
      </c>
      <c r="H49" s="47" t="s">
        <v>176</v>
      </c>
      <c r="I49" s="45" t="s">
        <v>177</v>
      </c>
      <c r="J49" s="59" t="n">
        <f aca="false">3.145/J$1</f>
        <v>0.104833333333333</v>
      </c>
      <c r="K49" s="50" t="n">
        <v>0.0132</v>
      </c>
      <c r="L49" s="50" t="n">
        <v>0.0022</v>
      </c>
      <c r="M49" s="50" t="n">
        <v>0</v>
      </c>
      <c r="N49" s="50" t="n">
        <v>0</v>
      </c>
      <c r="O49" s="51" t="n">
        <v>0.02116</v>
      </c>
      <c r="P49" s="50" t="n">
        <f aca="false">SUM(J49:N49)</f>
        <v>0.120233333333333</v>
      </c>
      <c r="Q49" s="52" t="n">
        <v>68635</v>
      </c>
      <c r="R49" s="45" t="n">
        <v>1</v>
      </c>
      <c r="S49" s="47" t="s">
        <v>380</v>
      </c>
      <c r="T49" s="87" t="n">
        <f aca="false">J49*J$1*R49</f>
        <v>3.145</v>
      </c>
      <c r="U49" s="87"/>
      <c r="V49" s="88" t="n">
        <v>312333</v>
      </c>
      <c r="W49" s="47"/>
      <c r="X49" s="73"/>
      <c r="Y49" s="73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  <c r="IW49" s="86"/>
    </row>
    <row r="50" customFormat="false" ht="12.75" hidden="false" customHeight="false" outlineLevel="0" collapsed="false">
      <c r="A50" s="86"/>
      <c r="B50" s="47" t="s">
        <v>172</v>
      </c>
      <c r="C50" s="45" t="s">
        <v>258</v>
      </c>
      <c r="D50" s="45" t="s">
        <v>311</v>
      </c>
      <c r="E50" s="46" t="n">
        <v>36617</v>
      </c>
      <c r="F50" s="46" t="s">
        <v>312</v>
      </c>
      <c r="G50" s="47" t="s">
        <v>313</v>
      </c>
      <c r="H50" s="47"/>
      <c r="I50" s="45" t="s">
        <v>314</v>
      </c>
      <c r="J50" s="59"/>
      <c r="K50" s="50"/>
      <c r="L50" s="50"/>
      <c r="M50" s="50"/>
      <c r="N50" s="50"/>
      <c r="O50" s="51"/>
      <c r="P50" s="50"/>
      <c r="Q50" s="52" t="n">
        <v>66917</v>
      </c>
      <c r="R50" s="45"/>
      <c r="S50" s="47"/>
      <c r="T50" s="87"/>
      <c r="U50" s="87"/>
      <c r="V50" s="88" t="n">
        <v>228085</v>
      </c>
      <c r="W50" s="47"/>
      <c r="X50" s="73"/>
      <c r="Y50" s="73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  <c r="IW50" s="86"/>
    </row>
    <row r="51" customFormat="false" ht="12.75" hidden="false" customHeight="false" outlineLevel="0" collapsed="false">
      <c r="A51" s="86"/>
      <c r="B51" s="47" t="s">
        <v>172</v>
      </c>
      <c r="C51" s="45" t="s">
        <v>258</v>
      </c>
      <c r="D51" s="45" t="s">
        <v>178</v>
      </c>
      <c r="E51" s="46" t="n">
        <v>36617</v>
      </c>
      <c r="F51" s="46" t="n">
        <v>36981</v>
      </c>
      <c r="G51" s="47" t="s">
        <v>306</v>
      </c>
      <c r="H51" s="47" t="s">
        <v>307</v>
      </c>
      <c r="I51" s="45" t="s">
        <v>88</v>
      </c>
      <c r="J51" s="59" t="n">
        <f aca="false">6.401/$J$1</f>
        <v>0.213366666666667</v>
      </c>
      <c r="K51" s="50"/>
      <c r="L51" s="50"/>
      <c r="M51" s="50"/>
      <c r="N51" s="50"/>
      <c r="O51" s="51"/>
      <c r="P51" s="50"/>
      <c r="Q51" s="52" t="n">
        <v>66939</v>
      </c>
      <c r="R51" s="45" t="n">
        <v>5</v>
      </c>
      <c r="S51" s="47" t="s">
        <v>315</v>
      </c>
      <c r="T51" s="87" t="n">
        <f aca="false">+R51*J51</f>
        <v>1.06683333333333</v>
      </c>
      <c r="U51" s="87"/>
      <c r="V51" s="88"/>
      <c r="W51" s="47"/>
      <c r="X51" s="73"/>
      <c r="Y51" s="73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  <c r="IV51" s="86"/>
      <c r="IW51" s="86"/>
    </row>
    <row r="52" customFormat="false" ht="12.75" hidden="false" customHeight="false" outlineLevel="0" collapsed="false">
      <c r="A52" s="86"/>
      <c r="B52" s="47" t="s">
        <v>172</v>
      </c>
      <c r="C52" s="45" t="s">
        <v>258</v>
      </c>
      <c r="D52" s="45" t="s">
        <v>178</v>
      </c>
      <c r="E52" s="46" t="n">
        <v>36617</v>
      </c>
      <c r="F52" s="46" t="n">
        <v>36981</v>
      </c>
      <c r="G52" s="47" t="s">
        <v>306</v>
      </c>
      <c r="H52" s="47" t="s">
        <v>309</v>
      </c>
      <c r="I52" s="45" t="s">
        <v>88</v>
      </c>
      <c r="J52" s="59" t="n">
        <f aca="false">6.401/$J$1</f>
        <v>0.213366666666667</v>
      </c>
      <c r="K52" s="50"/>
      <c r="L52" s="50"/>
      <c r="M52" s="50"/>
      <c r="N52" s="50"/>
      <c r="O52" s="51"/>
      <c r="P52" s="50"/>
      <c r="Q52" s="52" t="n">
        <v>66939</v>
      </c>
      <c r="R52" s="45" t="n">
        <v>27</v>
      </c>
      <c r="S52" s="47" t="s">
        <v>315</v>
      </c>
      <c r="T52" s="87" t="n">
        <f aca="false">+R52*J52</f>
        <v>5.7609</v>
      </c>
      <c r="U52" s="87"/>
      <c r="V52" s="88"/>
      <c r="W52" s="47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</row>
    <row r="53" customFormat="false" ht="12.75" hidden="false" customHeight="false" outlineLevel="0" collapsed="false">
      <c r="A53" s="86"/>
      <c r="B53" s="47" t="s">
        <v>172</v>
      </c>
      <c r="C53" s="45" t="s">
        <v>258</v>
      </c>
      <c r="D53" s="45" t="s">
        <v>178</v>
      </c>
      <c r="E53" s="46" t="n">
        <v>36617</v>
      </c>
      <c r="F53" s="46" t="n">
        <v>36981</v>
      </c>
      <c r="G53" s="47" t="s">
        <v>306</v>
      </c>
      <c r="H53" s="47" t="s">
        <v>316</v>
      </c>
      <c r="I53" s="45" t="s">
        <v>88</v>
      </c>
      <c r="J53" s="59" t="n">
        <f aca="false">6.401/$J$1</f>
        <v>0.213366666666667</v>
      </c>
      <c r="K53" s="50"/>
      <c r="L53" s="50"/>
      <c r="M53" s="50"/>
      <c r="N53" s="50"/>
      <c r="O53" s="51"/>
      <c r="P53" s="50"/>
      <c r="Q53" s="52" t="n">
        <v>66939</v>
      </c>
      <c r="R53" s="45" t="n">
        <v>3</v>
      </c>
      <c r="S53" s="47" t="s">
        <v>315</v>
      </c>
      <c r="T53" s="87" t="n">
        <f aca="false">+R53*J53</f>
        <v>0.6401</v>
      </c>
      <c r="U53" s="87"/>
      <c r="V53" s="88"/>
      <c r="W53" s="47"/>
      <c r="X53" s="73"/>
      <c r="Y53" s="73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  <c r="IW53" s="86"/>
    </row>
    <row r="54" customFormat="false" ht="12.75" hidden="false" customHeight="false" outlineLevel="0" collapsed="false">
      <c r="A54" s="86"/>
      <c r="B54" s="47" t="s">
        <v>172</v>
      </c>
      <c r="C54" s="45" t="s">
        <v>258</v>
      </c>
      <c r="D54" s="45" t="s">
        <v>178</v>
      </c>
      <c r="E54" s="46" t="n">
        <v>36617</v>
      </c>
      <c r="F54" s="46" t="n">
        <v>36981</v>
      </c>
      <c r="G54" s="47" t="s">
        <v>306</v>
      </c>
      <c r="H54" s="47" t="s">
        <v>317</v>
      </c>
      <c r="I54" s="45" t="s">
        <v>88</v>
      </c>
      <c r="J54" s="59" t="n">
        <f aca="false">6.401/$J$1</f>
        <v>0.213366666666667</v>
      </c>
      <c r="K54" s="50"/>
      <c r="L54" s="50"/>
      <c r="M54" s="50"/>
      <c r="N54" s="50"/>
      <c r="O54" s="51"/>
      <c r="P54" s="50"/>
      <c r="Q54" s="52" t="n">
        <v>66939</v>
      </c>
      <c r="R54" s="45" t="n">
        <v>17</v>
      </c>
      <c r="S54" s="47" t="s">
        <v>315</v>
      </c>
      <c r="T54" s="87" t="n">
        <f aca="false">+R54*J54</f>
        <v>3.62723333333333</v>
      </c>
      <c r="U54" s="87"/>
      <c r="V54" s="88"/>
      <c r="W54" s="47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  <c r="IW54" s="86"/>
    </row>
    <row r="55" customFormat="false" ht="12.75" hidden="false" customHeight="false" outlineLevel="0" collapsed="false">
      <c r="A55" s="86"/>
      <c r="B55" s="47" t="s">
        <v>172</v>
      </c>
      <c r="C55" s="45" t="s">
        <v>258</v>
      </c>
      <c r="D55" s="45" t="s">
        <v>318</v>
      </c>
      <c r="E55" s="46" t="n">
        <v>36617</v>
      </c>
      <c r="F55" s="46" t="n">
        <v>36981</v>
      </c>
      <c r="G55" s="47" t="s">
        <v>306</v>
      </c>
      <c r="H55" s="47" t="s">
        <v>319</v>
      </c>
      <c r="I55" s="45" t="s">
        <v>88</v>
      </c>
      <c r="J55" s="59" t="n">
        <f aca="false">6.401/$J$1</f>
        <v>0.213366666666667</v>
      </c>
      <c r="K55" s="50"/>
      <c r="L55" s="50"/>
      <c r="M55" s="50"/>
      <c r="N55" s="50"/>
      <c r="O55" s="51"/>
      <c r="P55" s="50"/>
      <c r="Q55" s="52" t="n">
        <v>66940</v>
      </c>
      <c r="R55" s="45" t="n">
        <v>1</v>
      </c>
      <c r="S55" s="47" t="s">
        <v>320</v>
      </c>
      <c r="T55" s="87" t="n">
        <f aca="false">+R55*J55</f>
        <v>0.213366666666667</v>
      </c>
      <c r="U55" s="87"/>
      <c r="V55" s="88" t="n">
        <v>228134</v>
      </c>
      <c r="W55" s="47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</row>
    <row r="56" customFormat="false" ht="12.75" hidden="false" customHeight="false" outlineLevel="0" collapsed="false">
      <c r="A56" s="86"/>
      <c r="B56" s="47" t="s">
        <v>172</v>
      </c>
      <c r="C56" s="45" t="s">
        <v>258</v>
      </c>
      <c r="D56" s="45" t="s">
        <v>318</v>
      </c>
      <c r="E56" s="46" t="n">
        <v>36617</v>
      </c>
      <c r="F56" s="46" t="n">
        <v>36981</v>
      </c>
      <c r="G56" s="47" t="s">
        <v>306</v>
      </c>
      <c r="H56" s="47" t="s">
        <v>321</v>
      </c>
      <c r="I56" s="45" t="s">
        <v>88</v>
      </c>
      <c r="J56" s="59" t="n">
        <f aca="false">6.401/$J$1</f>
        <v>0.213366666666667</v>
      </c>
      <c r="K56" s="50"/>
      <c r="L56" s="50"/>
      <c r="M56" s="50"/>
      <c r="N56" s="50"/>
      <c r="O56" s="51"/>
      <c r="P56" s="50"/>
      <c r="Q56" s="52" t="n">
        <v>66940</v>
      </c>
      <c r="R56" s="45" t="n">
        <v>1</v>
      </c>
      <c r="S56" s="47" t="s">
        <v>320</v>
      </c>
      <c r="T56" s="87" t="n">
        <f aca="false">+R56*J56</f>
        <v>0.213366666666667</v>
      </c>
      <c r="U56" s="87"/>
      <c r="V56" s="88" t="n">
        <v>228134</v>
      </c>
      <c r="W56" s="47"/>
      <c r="X56" s="73"/>
      <c r="Y56" s="73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</row>
    <row r="57" customFormat="false" ht="12.75" hidden="false" customHeight="false" outlineLevel="0" collapsed="false">
      <c r="A57" s="86"/>
      <c r="B57" s="47" t="s">
        <v>172</v>
      </c>
      <c r="C57" s="45" t="s">
        <v>258</v>
      </c>
      <c r="D57" s="45" t="s">
        <v>318</v>
      </c>
      <c r="E57" s="46" t="n">
        <v>36647</v>
      </c>
      <c r="F57" s="46" t="n">
        <v>37011</v>
      </c>
      <c r="G57" s="47" t="s">
        <v>322</v>
      </c>
      <c r="H57" s="47" t="s">
        <v>323</v>
      </c>
      <c r="I57" s="45" t="s">
        <v>88</v>
      </c>
      <c r="J57" s="59" t="e">
        <f aca="false">6.401/#REF!</f>
        <v>#REF!</v>
      </c>
      <c r="K57" s="50"/>
      <c r="L57" s="50"/>
      <c r="M57" s="50"/>
      <c r="N57" s="50"/>
      <c r="O57" s="51"/>
      <c r="P57" s="50"/>
      <c r="Q57" s="52" t="n">
        <v>68188</v>
      </c>
      <c r="R57" s="45" t="n">
        <v>1</v>
      </c>
      <c r="S57" s="47" t="s">
        <v>324</v>
      </c>
      <c r="T57" s="87" t="e">
        <f aca="false">+J57*R57*13</f>
        <v>#REF!</v>
      </c>
      <c r="U57" s="87"/>
      <c r="V57" s="88" t="n">
        <v>253195</v>
      </c>
      <c r="W57" s="47"/>
      <c r="X57" s="73"/>
      <c r="Y57" s="73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  <c r="IU57" s="86"/>
      <c r="IV57" s="86"/>
      <c r="IW57" s="86"/>
    </row>
    <row r="58" customFormat="false" ht="12.75" hidden="false" customHeight="false" outlineLevel="0" collapsed="false">
      <c r="A58" s="140"/>
      <c r="B58" s="56" t="s">
        <v>172</v>
      </c>
      <c r="C58" s="125" t="s">
        <v>258</v>
      </c>
      <c r="D58" s="125" t="s">
        <v>37</v>
      </c>
      <c r="E58" s="141" t="n">
        <v>36312</v>
      </c>
      <c r="F58" s="141" t="n">
        <v>37011</v>
      </c>
      <c r="G58" s="56" t="s">
        <v>284</v>
      </c>
      <c r="H58" s="56" t="s">
        <v>325</v>
      </c>
      <c r="I58" s="125" t="s">
        <v>88</v>
      </c>
      <c r="J58" s="142"/>
      <c r="K58" s="89"/>
      <c r="L58" s="89"/>
      <c r="M58" s="89"/>
      <c r="N58" s="89"/>
      <c r="O58" s="143"/>
      <c r="P58" s="89"/>
      <c r="Q58" s="122" t="n">
        <v>65403</v>
      </c>
      <c r="R58" s="125"/>
      <c r="S58" s="56" t="s">
        <v>326</v>
      </c>
      <c r="T58" s="54"/>
      <c r="U58" s="54"/>
      <c r="V58" s="55"/>
      <c r="W58" s="56" t="s">
        <v>327</v>
      </c>
      <c r="X58" s="57"/>
      <c r="Y58" s="57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140"/>
      <c r="CQ58" s="140"/>
      <c r="CR58" s="140"/>
      <c r="CS58" s="140"/>
      <c r="CT58" s="140"/>
      <c r="CU58" s="140"/>
      <c r="CV58" s="140"/>
      <c r="CW58" s="140"/>
      <c r="CX58" s="140"/>
      <c r="CY58" s="140"/>
      <c r="CZ58" s="140"/>
      <c r="DA58" s="140"/>
      <c r="DB58" s="140"/>
      <c r="DC58" s="140"/>
      <c r="DD58" s="140"/>
      <c r="DE58" s="140"/>
      <c r="DF58" s="140"/>
      <c r="DG58" s="140"/>
      <c r="DH58" s="140"/>
      <c r="DI58" s="140"/>
      <c r="DJ58" s="140"/>
      <c r="DK58" s="140"/>
      <c r="DL58" s="140"/>
      <c r="DM58" s="140"/>
      <c r="DN58" s="140"/>
      <c r="DO58" s="140"/>
      <c r="DP58" s="140"/>
      <c r="DQ58" s="140"/>
      <c r="DR58" s="140"/>
      <c r="DS58" s="140"/>
      <c r="DT58" s="140"/>
      <c r="DU58" s="140"/>
      <c r="DV58" s="140"/>
      <c r="DW58" s="140"/>
      <c r="DX58" s="140"/>
      <c r="DY58" s="140"/>
      <c r="DZ58" s="140"/>
      <c r="EA58" s="140"/>
      <c r="EB58" s="140"/>
      <c r="EC58" s="140"/>
      <c r="ED58" s="140"/>
      <c r="EE58" s="140"/>
      <c r="EF58" s="140"/>
      <c r="EG58" s="140"/>
      <c r="EH58" s="140"/>
      <c r="EI58" s="140"/>
      <c r="EJ58" s="140"/>
      <c r="EK58" s="140"/>
      <c r="EL58" s="140"/>
      <c r="EM58" s="140"/>
      <c r="EN58" s="140"/>
      <c r="EO58" s="140"/>
      <c r="EP58" s="140"/>
      <c r="EQ58" s="140"/>
      <c r="ER58" s="140"/>
      <c r="ES58" s="140"/>
      <c r="ET58" s="140"/>
      <c r="EU58" s="140"/>
      <c r="EV58" s="140"/>
      <c r="EW58" s="140"/>
      <c r="EX58" s="140"/>
      <c r="EY58" s="140"/>
      <c r="EZ58" s="140"/>
      <c r="FA58" s="140"/>
      <c r="FB58" s="140"/>
      <c r="FC58" s="140"/>
      <c r="FD58" s="140"/>
      <c r="FE58" s="140"/>
      <c r="FF58" s="140"/>
      <c r="FG58" s="140"/>
      <c r="FH58" s="140"/>
      <c r="FI58" s="140"/>
      <c r="FJ58" s="140"/>
      <c r="FK58" s="140"/>
      <c r="FL58" s="140"/>
      <c r="FM58" s="140"/>
      <c r="FN58" s="140"/>
      <c r="FO58" s="140"/>
      <c r="FP58" s="140"/>
      <c r="FQ58" s="140"/>
      <c r="FR58" s="140"/>
      <c r="FS58" s="140"/>
      <c r="FT58" s="140"/>
      <c r="FU58" s="140"/>
      <c r="FV58" s="140"/>
      <c r="FW58" s="140"/>
      <c r="FX58" s="140"/>
      <c r="FY58" s="140"/>
      <c r="FZ58" s="140"/>
      <c r="GA58" s="140"/>
      <c r="GB58" s="140"/>
      <c r="GC58" s="140"/>
      <c r="GD58" s="140"/>
      <c r="GE58" s="140"/>
      <c r="GF58" s="140"/>
      <c r="GG58" s="140"/>
      <c r="GH58" s="140"/>
      <c r="GI58" s="140"/>
      <c r="GJ58" s="140"/>
      <c r="GK58" s="140"/>
      <c r="GL58" s="140"/>
      <c r="GM58" s="140"/>
      <c r="GN58" s="140"/>
      <c r="GO58" s="140"/>
      <c r="GP58" s="140"/>
      <c r="GQ58" s="140"/>
      <c r="GR58" s="140"/>
      <c r="GS58" s="140"/>
      <c r="GT58" s="140"/>
      <c r="GU58" s="140"/>
      <c r="GV58" s="140"/>
      <c r="GW58" s="140"/>
      <c r="GX58" s="140"/>
      <c r="GY58" s="140"/>
      <c r="GZ58" s="140"/>
      <c r="HA58" s="140"/>
      <c r="HB58" s="140"/>
      <c r="HC58" s="140"/>
      <c r="HD58" s="140"/>
      <c r="HE58" s="140"/>
      <c r="HF58" s="140"/>
      <c r="HG58" s="140"/>
      <c r="HH58" s="140"/>
      <c r="HI58" s="140"/>
      <c r="HJ58" s="140"/>
      <c r="HK58" s="140"/>
      <c r="HL58" s="140"/>
      <c r="HM58" s="140"/>
      <c r="HN58" s="140"/>
      <c r="HO58" s="140"/>
      <c r="HP58" s="140"/>
      <c r="HQ58" s="140"/>
      <c r="HR58" s="140"/>
      <c r="HS58" s="140"/>
      <c r="HT58" s="140"/>
      <c r="HU58" s="140"/>
      <c r="HV58" s="140"/>
      <c r="HW58" s="140"/>
      <c r="HX58" s="140"/>
      <c r="HY58" s="140"/>
      <c r="HZ58" s="140"/>
      <c r="IA58" s="140"/>
      <c r="IB58" s="140"/>
      <c r="IC58" s="140"/>
      <c r="ID58" s="140"/>
      <c r="IE58" s="140"/>
      <c r="IF58" s="140"/>
      <c r="IG58" s="140"/>
      <c r="IH58" s="140"/>
      <c r="II58" s="140"/>
      <c r="IJ58" s="140"/>
      <c r="IK58" s="140"/>
      <c r="IL58" s="140"/>
      <c r="IM58" s="140"/>
      <c r="IN58" s="140"/>
      <c r="IO58" s="140"/>
      <c r="IP58" s="140"/>
      <c r="IQ58" s="140"/>
      <c r="IR58" s="140"/>
      <c r="IS58" s="140"/>
      <c r="IT58" s="140"/>
      <c r="IU58" s="140"/>
      <c r="IV58" s="140"/>
      <c r="IW58" s="140"/>
    </row>
    <row r="59" customFormat="false" ht="12.75" hidden="false" customHeight="false" outlineLevel="0" collapsed="false">
      <c r="A59" s="140"/>
      <c r="B59" s="56" t="s">
        <v>172</v>
      </c>
      <c r="C59" s="125" t="s">
        <v>258</v>
      </c>
      <c r="D59" s="125" t="s">
        <v>174</v>
      </c>
      <c r="E59" s="141" t="n">
        <v>36739</v>
      </c>
      <c r="F59" s="141" t="n">
        <v>37103</v>
      </c>
      <c r="G59" s="56" t="s">
        <v>306</v>
      </c>
      <c r="H59" s="56" t="s">
        <v>328</v>
      </c>
      <c r="I59" s="125" t="s">
        <v>88</v>
      </c>
      <c r="J59" s="59" t="n">
        <f aca="false">6.401/$J$1</f>
        <v>0.213366666666667</v>
      </c>
      <c r="K59" s="89"/>
      <c r="L59" s="89"/>
      <c r="M59" s="89"/>
      <c r="N59" s="89"/>
      <c r="O59" s="143"/>
      <c r="P59" s="89"/>
      <c r="Q59" s="122" t="n">
        <v>68928</v>
      </c>
      <c r="R59" s="125" t="n">
        <v>47</v>
      </c>
      <c r="S59" s="56" t="s">
        <v>329</v>
      </c>
      <c r="T59" s="54" t="n">
        <f aca="false">+J59*R59</f>
        <v>10.0282333333333</v>
      </c>
      <c r="U59" s="54"/>
      <c r="V59" s="55" t="n">
        <v>351966</v>
      </c>
      <c r="W59" s="56"/>
      <c r="X59" s="57"/>
      <c r="Y59" s="57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  <c r="IA59" s="140"/>
      <c r="IB59" s="140"/>
      <c r="IC59" s="140"/>
      <c r="ID59" s="140"/>
      <c r="IE59" s="140"/>
      <c r="IF59" s="140"/>
      <c r="IG59" s="140"/>
      <c r="IH59" s="140"/>
      <c r="II59" s="140"/>
      <c r="IJ59" s="140"/>
      <c r="IK59" s="140"/>
      <c r="IL59" s="140"/>
      <c r="IM59" s="140"/>
      <c r="IN59" s="140"/>
      <c r="IO59" s="140"/>
      <c r="IP59" s="140"/>
      <c r="IQ59" s="140"/>
      <c r="IR59" s="140"/>
      <c r="IS59" s="140"/>
      <c r="IT59" s="140"/>
      <c r="IU59" s="140"/>
      <c r="IV59" s="140"/>
      <c r="IW59" s="140"/>
    </row>
    <row r="60" customFormat="false" ht="12.75" hidden="false" customHeight="false" outlineLevel="0" collapsed="false">
      <c r="A60" s="140"/>
      <c r="B60" s="56" t="s">
        <v>172</v>
      </c>
      <c r="C60" s="125" t="s">
        <v>258</v>
      </c>
      <c r="D60" s="125" t="s">
        <v>178</v>
      </c>
      <c r="E60" s="141" t="n">
        <v>36770</v>
      </c>
      <c r="F60" s="141" t="n">
        <v>37134</v>
      </c>
      <c r="G60" s="56" t="s">
        <v>306</v>
      </c>
      <c r="H60" s="56" t="s">
        <v>330</v>
      </c>
      <c r="I60" s="125" t="s">
        <v>88</v>
      </c>
      <c r="J60" s="59" t="n">
        <f aca="false">6.401/$J$1</f>
        <v>0.213366666666667</v>
      </c>
      <c r="K60" s="89"/>
      <c r="L60" s="89"/>
      <c r="M60" s="89"/>
      <c r="N60" s="89"/>
      <c r="O60" s="143"/>
      <c r="P60" s="89"/>
      <c r="Q60" s="122" t="n">
        <v>69144</v>
      </c>
      <c r="R60" s="125" t="n">
        <v>62</v>
      </c>
      <c r="S60" s="56" t="s">
        <v>331</v>
      </c>
      <c r="T60" s="54" t="n">
        <f aca="false">+J60*R60</f>
        <v>13.2287333333333</v>
      </c>
      <c r="U60" s="54"/>
      <c r="V60" s="55"/>
      <c r="W60" s="56"/>
      <c r="X60" s="57"/>
      <c r="Y60" s="57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  <c r="EY60" s="140"/>
      <c r="EZ60" s="140"/>
      <c r="FA60" s="140"/>
      <c r="FB60" s="140"/>
      <c r="FC60" s="140"/>
      <c r="FD60" s="140"/>
      <c r="FE60" s="140"/>
      <c r="FF60" s="140"/>
      <c r="FG60" s="140"/>
      <c r="FH60" s="140"/>
      <c r="FI60" s="140"/>
      <c r="FJ60" s="140"/>
      <c r="FK60" s="140"/>
      <c r="FL60" s="140"/>
      <c r="FM60" s="140"/>
      <c r="FN60" s="140"/>
      <c r="FO60" s="140"/>
      <c r="FP60" s="140"/>
      <c r="FQ60" s="140"/>
      <c r="FR60" s="140"/>
      <c r="FS60" s="140"/>
      <c r="FT60" s="140"/>
      <c r="FU60" s="140"/>
      <c r="FV60" s="140"/>
      <c r="FW60" s="140"/>
      <c r="FX60" s="140"/>
      <c r="FY60" s="140"/>
      <c r="FZ60" s="140"/>
      <c r="GA60" s="140"/>
      <c r="GB60" s="140"/>
      <c r="GC60" s="140"/>
      <c r="GD60" s="140"/>
      <c r="GE60" s="140"/>
      <c r="GF60" s="140"/>
      <c r="GG60" s="140"/>
      <c r="GH60" s="140"/>
      <c r="GI60" s="140"/>
      <c r="GJ60" s="140"/>
      <c r="GK60" s="140"/>
      <c r="GL60" s="140"/>
      <c r="GM60" s="140"/>
      <c r="GN60" s="140"/>
      <c r="GO60" s="140"/>
      <c r="GP60" s="140"/>
      <c r="GQ60" s="140"/>
      <c r="GR60" s="140"/>
      <c r="GS60" s="140"/>
      <c r="GT60" s="140"/>
      <c r="GU60" s="140"/>
      <c r="GV60" s="140"/>
      <c r="GW60" s="140"/>
      <c r="GX60" s="140"/>
      <c r="GY60" s="140"/>
      <c r="GZ60" s="140"/>
      <c r="HA60" s="140"/>
      <c r="HB60" s="140"/>
      <c r="HC60" s="140"/>
      <c r="HD60" s="140"/>
      <c r="HE60" s="140"/>
      <c r="HF60" s="140"/>
      <c r="HG60" s="140"/>
      <c r="HH60" s="140"/>
      <c r="HI60" s="140"/>
      <c r="HJ60" s="140"/>
      <c r="HK60" s="140"/>
      <c r="HL60" s="140"/>
      <c r="HM60" s="140"/>
      <c r="HN60" s="140"/>
      <c r="HO60" s="140"/>
      <c r="HP60" s="140"/>
      <c r="HQ60" s="140"/>
      <c r="HR60" s="140"/>
      <c r="HS60" s="140"/>
      <c r="HT60" s="140"/>
      <c r="HU60" s="140"/>
      <c r="HV60" s="140"/>
      <c r="HW60" s="140"/>
      <c r="HX60" s="140"/>
      <c r="HY60" s="140"/>
      <c r="HZ60" s="140"/>
      <c r="IA60" s="140"/>
      <c r="IB60" s="140"/>
      <c r="IC60" s="140"/>
      <c r="ID60" s="140"/>
      <c r="IE60" s="140"/>
      <c r="IF60" s="140"/>
      <c r="IG60" s="140"/>
      <c r="IH60" s="140"/>
      <c r="II60" s="140"/>
      <c r="IJ60" s="140"/>
      <c r="IK60" s="140"/>
      <c r="IL60" s="140"/>
      <c r="IM60" s="140"/>
      <c r="IN60" s="140"/>
      <c r="IO60" s="140"/>
      <c r="IP60" s="140"/>
      <c r="IQ60" s="140"/>
      <c r="IR60" s="140"/>
      <c r="IS60" s="140"/>
      <c r="IT60" s="140"/>
      <c r="IU60" s="140"/>
      <c r="IV60" s="140"/>
      <c r="IW60" s="140"/>
    </row>
    <row r="61" customFormat="false" ht="12.75" hidden="false" customHeight="false" outlineLevel="0" collapsed="false">
      <c r="A61" s="140"/>
      <c r="B61" s="56" t="s">
        <v>172</v>
      </c>
      <c r="C61" s="125" t="s">
        <v>258</v>
      </c>
      <c r="D61" s="125" t="s">
        <v>178</v>
      </c>
      <c r="E61" s="141" t="n">
        <v>36800</v>
      </c>
      <c r="F61" s="141" t="n">
        <v>37164</v>
      </c>
      <c r="G61" s="56" t="s">
        <v>306</v>
      </c>
      <c r="H61" s="56" t="s">
        <v>332</v>
      </c>
      <c r="I61" s="125" t="s">
        <v>88</v>
      </c>
      <c r="J61" s="142" t="e">
        <f aca="false">6.401/#REF!</f>
        <v>#REF!</v>
      </c>
      <c r="K61" s="89"/>
      <c r="L61" s="89"/>
      <c r="M61" s="89"/>
      <c r="N61" s="89"/>
      <c r="O61" s="143"/>
      <c r="P61" s="89"/>
      <c r="Q61" s="122" t="n">
        <v>69424</v>
      </c>
      <c r="R61" s="125" t="n">
        <v>13</v>
      </c>
      <c r="S61" s="56" t="s">
        <v>333</v>
      </c>
      <c r="T61" s="54" t="e">
        <f aca="false">+J61*R61</f>
        <v>#REF!</v>
      </c>
      <c r="U61" s="54"/>
      <c r="V61" s="55" t="n">
        <v>418221</v>
      </c>
      <c r="W61" s="56"/>
      <c r="X61" s="57"/>
      <c r="Y61" s="57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  <c r="CP61" s="140"/>
      <c r="CQ61" s="140"/>
      <c r="CR61" s="140"/>
      <c r="CS61" s="140"/>
      <c r="CT61" s="140"/>
      <c r="CU61" s="140"/>
      <c r="CV61" s="140"/>
      <c r="CW61" s="140"/>
      <c r="CX61" s="140"/>
      <c r="CY61" s="140"/>
      <c r="CZ61" s="140"/>
      <c r="DA61" s="140"/>
      <c r="DB61" s="140"/>
      <c r="DC61" s="140"/>
      <c r="DD61" s="140"/>
      <c r="DE61" s="140"/>
      <c r="DF61" s="140"/>
      <c r="DG61" s="140"/>
      <c r="DH61" s="140"/>
      <c r="DI61" s="140"/>
      <c r="DJ61" s="140"/>
      <c r="DK61" s="140"/>
      <c r="DL61" s="140"/>
      <c r="DM61" s="140"/>
      <c r="DN61" s="140"/>
      <c r="DO61" s="140"/>
      <c r="DP61" s="140"/>
      <c r="DQ61" s="140"/>
      <c r="DR61" s="140"/>
      <c r="DS61" s="140"/>
      <c r="DT61" s="140"/>
      <c r="DU61" s="140"/>
      <c r="DV61" s="140"/>
      <c r="DW61" s="140"/>
      <c r="DX61" s="140"/>
      <c r="DY61" s="140"/>
      <c r="DZ61" s="140"/>
      <c r="EA61" s="140"/>
      <c r="EB61" s="140"/>
      <c r="EC61" s="140"/>
      <c r="ED61" s="140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40"/>
      <c r="EP61" s="140"/>
      <c r="EQ61" s="140"/>
      <c r="ER61" s="140"/>
      <c r="ES61" s="140"/>
      <c r="ET61" s="140"/>
      <c r="EU61" s="140"/>
      <c r="EV61" s="140"/>
      <c r="EW61" s="140"/>
      <c r="EX61" s="140"/>
      <c r="EY61" s="140"/>
      <c r="EZ61" s="140"/>
      <c r="FA61" s="140"/>
      <c r="FB61" s="140"/>
      <c r="FC61" s="140"/>
      <c r="FD61" s="140"/>
      <c r="FE61" s="140"/>
      <c r="FF61" s="140"/>
      <c r="FG61" s="140"/>
      <c r="FH61" s="140"/>
      <c r="FI61" s="140"/>
      <c r="FJ61" s="140"/>
      <c r="FK61" s="140"/>
      <c r="FL61" s="140"/>
      <c r="FM61" s="140"/>
      <c r="FN61" s="140"/>
      <c r="FO61" s="140"/>
      <c r="FP61" s="140"/>
      <c r="FQ61" s="140"/>
      <c r="FR61" s="140"/>
      <c r="FS61" s="140"/>
      <c r="FT61" s="140"/>
      <c r="FU61" s="140"/>
      <c r="FV61" s="140"/>
      <c r="FW61" s="140"/>
      <c r="FX61" s="140"/>
      <c r="FY61" s="140"/>
      <c r="FZ61" s="140"/>
      <c r="GA61" s="140"/>
      <c r="GB61" s="140"/>
      <c r="GC61" s="140"/>
      <c r="GD61" s="140"/>
      <c r="GE61" s="140"/>
      <c r="GF61" s="140"/>
      <c r="GG61" s="140"/>
      <c r="GH61" s="140"/>
      <c r="GI61" s="140"/>
      <c r="GJ61" s="140"/>
      <c r="GK61" s="140"/>
      <c r="GL61" s="140"/>
      <c r="GM61" s="140"/>
      <c r="GN61" s="140"/>
      <c r="GO61" s="140"/>
      <c r="GP61" s="140"/>
      <c r="GQ61" s="140"/>
      <c r="GR61" s="140"/>
      <c r="GS61" s="140"/>
      <c r="GT61" s="140"/>
      <c r="GU61" s="140"/>
      <c r="GV61" s="140"/>
      <c r="GW61" s="140"/>
      <c r="GX61" s="140"/>
      <c r="GY61" s="140"/>
      <c r="GZ61" s="140"/>
      <c r="HA61" s="140"/>
      <c r="HB61" s="140"/>
      <c r="HC61" s="140"/>
      <c r="HD61" s="140"/>
      <c r="HE61" s="140"/>
      <c r="HF61" s="140"/>
      <c r="HG61" s="140"/>
      <c r="HH61" s="140"/>
      <c r="HI61" s="140"/>
      <c r="HJ61" s="140"/>
      <c r="HK61" s="140"/>
      <c r="HL61" s="140"/>
      <c r="HM61" s="140"/>
      <c r="HN61" s="140"/>
      <c r="HO61" s="140"/>
      <c r="HP61" s="140"/>
      <c r="HQ61" s="140"/>
      <c r="HR61" s="140"/>
      <c r="HS61" s="140"/>
      <c r="HT61" s="140"/>
      <c r="HU61" s="140"/>
      <c r="HV61" s="140"/>
      <c r="HW61" s="140"/>
      <c r="HX61" s="140"/>
      <c r="HY61" s="140"/>
      <c r="HZ61" s="140"/>
      <c r="IA61" s="140"/>
      <c r="IB61" s="140"/>
      <c r="IC61" s="140"/>
      <c r="ID61" s="140"/>
      <c r="IE61" s="140"/>
      <c r="IF61" s="140"/>
      <c r="IG61" s="140"/>
      <c r="IH61" s="140"/>
      <c r="II61" s="140"/>
      <c r="IJ61" s="140"/>
      <c r="IK61" s="140"/>
      <c r="IL61" s="140"/>
      <c r="IM61" s="140"/>
      <c r="IN61" s="140"/>
      <c r="IO61" s="140"/>
      <c r="IP61" s="140"/>
      <c r="IQ61" s="140"/>
      <c r="IR61" s="140"/>
      <c r="IS61" s="140"/>
      <c r="IT61" s="140"/>
      <c r="IU61" s="140"/>
      <c r="IV61" s="140"/>
      <c r="IW61" s="140"/>
    </row>
    <row r="62" customFormat="false" ht="12.75" hidden="false" customHeight="false" outlineLevel="0" collapsed="false">
      <c r="A62" s="140"/>
      <c r="B62" s="56" t="s">
        <v>172</v>
      </c>
      <c r="C62" s="125" t="s">
        <v>258</v>
      </c>
      <c r="D62" s="125" t="s">
        <v>174</v>
      </c>
      <c r="E62" s="141" t="n">
        <v>36647</v>
      </c>
      <c r="F62" s="141" t="n">
        <v>37011</v>
      </c>
      <c r="G62" s="56" t="s">
        <v>306</v>
      </c>
      <c r="H62" s="56" t="s">
        <v>334</v>
      </c>
      <c r="I62" s="125" t="s">
        <v>88</v>
      </c>
      <c r="J62" s="59" t="n">
        <f aca="false">6.401/$J$1</f>
        <v>0.213366666666667</v>
      </c>
      <c r="K62" s="89"/>
      <c r="L62" s="89"/>
      <c r="M62" s="89"/>
      <c r="N62" s="89"/>
      <c r="O62" s="143"/>
      <c r="P62" s="89"/>
      <c r="Q62" s="122" t="n">
        <v>68257</v>
      </c>
      <c r="R62" s="125" t="n">
        <v>21</v>
      </c>
      <c r="S62" s="56" t="s">
        <v>335</v>
      </c>
      <c r="T62" s="54" t="n">
        <f aca="false">+R62*J62</f>
        <v>4.4807</v>
      </c>
      <c r="U62" s="54"/>
      <c r="V62" s="55" t="n">
        <v>254718</v>
      </c>
      <c r="W62" s="56"/>
      <c r="X62" s="57"/>
      <c r="Y62" s="57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  <c r="CP62" s="140"/>
      <c r="CQ62" s="140"/>
      <c r="CR62" s="140"/>
      <c r="CS62" s="140"/>
      <c r="CT62" s="140"/>
      <c r="CU62" s="140"/>
      <c r="CV62" s="140"/>
      <c r="CW62" s="140"/>
      <c r="CX62" s="140"/>
      <c r="CY62" s="140"/>
      <c r="CZ62" s="140"/>
      <c r="DA62" s="140"/>
      <c r="DB62" s="140"/>
      <c r="DC62" s="140"/>
      <c r="DD62" s="140"/>
      <c r="DE62" s="140"/>
      <c r="DF62" s="140"/>
      <c r="DG62" s="140"/>
      <c r="DH62" s="140"/>
      <c r="DI62" s="140"/>
      <c r="DJ62" s="140"/>
      <c r="DK62" s="140"/>
      <c r="DL62" s="140"/>
      <c r="DM62" s="140"/>
      <c r="DN62" s="140"/>
      <c r="DO62" s="140"/>
      <c r="DP62" s="140"/>
      <c r="DQ62" s="140"/>
      <c r="DR62" s="140"/>
      <c r="DS62" s="140"/>
      <c r="DT62" s="140"/>
      <c r="DU62" s="140"/>
      <c r="DV62" s="140"/>
      <c r="DW62" s="140"/>
      <c r="DX62" s="140"/>
      <c r="DY62" s="140"/>
      <c r="DZ62" s="140"/>
      <c r="EA62" s="140"/>
      <c r="EB62" s="140"/>
      <c r="EC62" s="140"/>
      <c r="ED62" s="140"/>
      <c r="EE62" s="140"/>
      <c r="EF62" s="140"/>
      <c r="EG62" s="140"/>
      <c r="EH62" s="140"/>
      <c r="EI62" s="140"/>
      <c r="EJ62" s="140"/>
      <c r="EK62" s="140"/>
      <c r="EL62" s="140"/>
      <c r="EM62" s="140"/>
      <c r="EN62" s="140"/>
      <c r="EO62" s="140"/>
      <c r="EP62" s="140"/>
      <c r="EQ62" s="140"/>
      <c r="ER62" s="140"/>
      <c r="ES62" s="140"/>
      <c r="ET62" s="140"/>
      <c r="EU62" s="140"/>
      <c r="EV62" s="140"/>
      <c r="EW62" s="140"/>
      <c r="EX62" s="140"/>
      <c r="EY62" s="140"/>
      <c r="EZ62" s="140"/>
      <c r="FA62" s="140"/>
      <c r="FB62" s="140"/>
      <c r="FC62" s="140"/>
      <c r="FD62" s="140"/>
      <c r="FE62" s="140"/>
      <c r="FF62" s="140"/>
      <c r="FG62" s="140"/>
      <c r="FH62" s="140"/>
      <c r="FI62" s="140"/>
      <c r="FJ62" s="140"/>
      <c r="FK62" s="140"/>
      <c r="FL62" s="140"/>
      <c r="FM62" s="140"/>
      <c r="FN62" s="140"/>
      <c r="FO62" s="140"/>
      <c r="FP62" s="140"/>
      <c r="FQ62" s="140"/>
      <c r="FR62" s="140"/>
      <c r="FS62" s="140"/>
      <c r="FT62" s="140"/>
      <c r="FU62" s="140"/>
      <c r="FV62" s="140"/>
      <c r="FW62" s="140"/>
      <c r="FX62" s="140"/>
      <c r="FY62" s="140"/>
      <c r="FZ62" s="140"/>
      <c r="GA62" s="140"/>
      <c r="GB62" s="140"/>
      <c r="GC62" s="140"/>
      <c r="GD62" s="140"/>
      <c r="GE62" s="140"/>
      <c r="GF62" s="140"/>
      <c r="GG62" s="140"/>
      <c r="GH62" s="140"/>
      <c r="GI62" s="140"/>
      <c r="GJ62" s="140"/>
      <c r="GK62" s="140"/>
      <c r="GL62" s="140"/>
      <c r="GM62" s="140"/>
      <c r="GN62" s="140"/>
      <c r="GO62" s="140"/>
      <c r="GP62" s="140"/>
      <c r="GQ62" s="140"/>
      <c r="GR62" s="140"/>
      <c r="GS62" s="140"/>
      <c r="GT62" s="140"/>
      <c r="GU62" s="140"/>
      <c r="GV62" s="140"/>
      <c r="GW62" s="140"/>
      <c r="GX62" s="140"/>
      <c r="GY62" s="140"/>
      <c r="GZ62" s="140"/>
      <c r="HA62" s="140"/>
      <c r="HB62" s="140"/>
      <c r="HC62" s="140"/>
      <c r="HD62" s="140"/>
      <c r="HE62" s="140"/>
      <c r="HF62" s="140"/>
      <c r="HG62" s="140"/>
      <c r="HH62" s="140"/>
      <c r="HI62" s="140"/>
      <c r="HJ62" s="140"/>
      <c r="HK62" s="140"/>
      <c r="HL62" s="140"/>
      <c r="HM62" s="140"/>
      <c r="HN62" s="140"/>
      <c r="HO62" s="140"/>
      <c r="HP62" s="140"/>
      <c r="HQ62" s="140"/>
      <c r="HR62" s="140"/>
      <c r="HS62" s="140"/>
      <c r="HT62" s="140"/>
      <c r="HU62" s="140"/>
      <c r="HV62" s="140"/>
      <c r="HW62" s="140"/>
      <c r="HX62" s="140"/>
      <c r="HY62" s="140"/>
      <c r="HZ62" s="140"/>
      <c r="IA62" s="140"/>
      <c r="IB62" s="140"/>
      <c r="IC62" s="140"/>
      <c r="ID62" s="140"/>
      <c r="IE62" s="140"/>
      <c r="IF62" s="140"/>
      <c r="IG62" s="140"/>
      <c r="IH62" s="140"/>
      <c r="II62" s="140"/>
      <c r="IJ62" s="140"/>
      <c r="IK62" s="140"/>
      <c r="IL62" s="140"/>
      <c r="IM62" s="140"/>
      <c r="IN62" s="140"/>
      <c r="IO62" s="140"/>
      <c r="IP62" s="140"/>
      <c r="IQ62" s="140"/>
      <c r="IR62" s="140"/>
      <c r="IS62" s="140"/>
      <c r="IT62" s="140"/>
      <c r="IU62" s="140"/>
      <c r="IV62" s="140"/>
      <c r="IW62" s="140"/>
    </row>
    <row r="63" customFormat="false" ht="12.75" hidden="false" customHeight="false" outlineLevel="0" collapsed="false">
      <c r="G63" s="41"/>
      <c r="H63" s="41"/>
      <c r="O63" s="42"/>
      <c r="T63" s="87" t="n">
        <f aca="false">+R63*J63</f>
        <v>0</v>
      </c>
      <c r="V63" s="43"/>
      <c r="W63" s="41"/>
      <c r="X63" s="43"/>
      <c r="Y63" s="43"/>
    </row>
    <row r="64" customFormat="false" ht="12.75" hidden="false" customHeight="false" outlineLevel="0" collapsed="false">
      <c r="B64" s="129" t="s">
        <v>141</v>
      </c>
      <c r="C64" s="130" t="s">
        <v>141</v>
      </c>
      <c r="D64" s="130" t="s">
        <v>141</v>
      </c>
      <c r="E64" s="132" t="s">
        <v>141</v>
      </c>
      <c r="F64" s="132" t="s">
        <v>141</v>
      </c>
      <c r="G64" s="129" t="s">
        <v>141</v>
      </c>
      <c r="H64" s="133" t="s">
        <v>141</v>
      </c>
      <c r="I64" s="130" t="s">
        <v>141</v>
      </c>
      <c r="J64" s="134"/>
      <c r="K64" s="135"/>
      <c r="L64" s="135"/>
      <c r="M64" s="135"/>
      <c r="N64" s="135"/>
      <c r="O64" s="136"/>
      <c r="P64" s="135"/>
      <c r="Q64" s="137" t="s">
        <v>141</v>
      </c>
      <c r="R64" s="130" t="n">
        <f aca="false">SUM(R19:R62)</f>
        <v>34630</v>
      </c>
      <c r="S64" s="129" t="s">
        <v>141</v>
      </c>
      <c r="T64" s="138" t="e">
        <f aca="false">SUM(T4:T62)</f>
        <v>#REF!</v>
      </c>
      <c r="U64" s="138" t="e">
        <f aca="false">SUM(#REF!)</f>
        <v>#REF!</v>
      </c>
      <c r="V64" s="139"/>
      <c r="W64" s="133"/>
      <c r="X64" s="73"/>
      <c r="Y64" s="73"/>
    </row>
    <row r="67" customFormat="false" ht="12.75" hidden="false" customHeight="false" outlineLevel="0" collapsed="false">
      <c r="B67" s="64" t="s">
        <v>152</v>
      </c>
      <c r="C67" s="65" t="s">
        <v>153</v>
      </c>
      <c r="D67" s="65" t="s">
        <v>154</v>
      </c>
      <c r="E67" s="66" t="s">
        <v>155</v>
      </c>
      <c r="F67" s="66"/>
      <c r="G67" s="64" t="s">
        <v>156</v>
      </c>
      <c r="H67" s="64" t="s">
        <v>157</v>
      </c>
      <c r="I67" s="65" t="s">
        <v>158</v>
      </c>
      <c r="J67" s="67" t="s">
        <v>159</v>
      </c>
      <c r="K67" s="65" t="s">
        <v>160</v>
      </c>
      <c r="L67" s="65" t="s">
        <v>161</v>
      </c>
      <c r="M67" s="65" t="s">
        <v>162</v>
      </c>
      <c r="N67" s="65" t="s">
        <v>163</v>
      </c>
      <c r="O67" s="68" t="s">
        <v>164</v>
      </c>
      <c r="P67" s="65" t="s">
        <v>165</v>
      </c>
      <c r="Q67" s="69" t="s">
        <v>166</v>
      </c>
      <c r="R67" s="65" t="s">
        <v>167</v>
      </c>
      <c r="S67" s="64" t="s">
        <v>168</v>
      </c>
      <c r="T67" s="70" t="s">
        <v>169</v>
      </c>
      <c r="U67" s="70" t="s">
        <v>170</v>
      </c>
      <c r="V67" s="71" t="s">
        <v>171</v>
      </c>
      <c r="W67" s="72" t="e">
        <f aca="false">+#REF!</f>
        <v>#REF!</v>
      </c>
      <c r="X67" s="73"/>
      <c r="Y67" s="73"/>
    </row>
    <row r="68" customFormat="false" ht="12.75" hidden="false" customHeight="false" outlineLevel="0" collapsed="false">
      <c r="A68" s="86"/>
      <c r="B68" s="47" t="s">
        <v>172</v>
      </c>
      <c r="C68" s="45" t="s">
        <v>173</v>
      </c>
      <c r="D68" s="45" t="s">
        <v>174</v>
      </c>
      <c r="E68" s="46" t="n">
        <v>36678</v>
      </c>
      <c r="F68" s="46" t="n">
        <v>37042</v>
      </c>
      <c r="G68" s="47" t="s">
        <v>175</v>
      </c>
      <c r="H68" s="47" t="s">
        <v>176</v>
      </c>
      <c r="I68" s="45" t="s">
        <v>177</v>
      </c>
      <c r="J68" s="59" t="n">
        <f aca="false">3.145/J$1</f>
        <v>0.104833333333333</v>
      </c>
      <c r="K68" s="50" t="n">
        <v>0.0132</v>
      </c>
      <c r="L68" s="50" t="n">
        <v>0.0022</v>
      </c>
      <c r="M68" s="50" t="n">
        <v>0</v>
      </c>
      <c r="N68" s="50" t="n">
        <v>0</v>
      </c>
      <c r="O68" s="51" t="n">
        <v>0.02116</v>
      </c>
      <c r="P68" s="50" t="n">
        <f aca="false">SUM(J68:N68)</f>
        <v>0.120233333333333</v>
      </c>
      <c r="Q68" s="52" t="n">
        <v>68360</v>
      </c>
      <c r="R68" s="45" t="n">
        <v>291</v>
      </c>
      <c r="S68" s="47"/>
      <c r="T68" s="87" t="n">
        <f aca="false">J68*J$1*R68</f>
        <v>915.195</v>
      </c>
      <c r="U68" s="87"/>
      <c r="V68" s="88" t="n">
        <v>271311</v>
      </c>
      <c r="W68" s="47"/>
      <c r="X68" s="73"/>
      <c r="Y68" s="73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  <c r="IW68" s="86"/>
    </row>
    <row r="69" customFormat="false" ht="12.75" hidden="false" customHeight="false" outlineLevel="0" collapsed="false">
      <c r="A69" s="86"/>
      <c r="B69" s="47" t="s">
        <v>172</v>
      </c>
      <c r="C69" s="45" t="s">
        <v>173</v>
      </c>
      <c r="D69" s="45" t="s">
        <v>178</v>
      </c>
      <c r="E69" s="46" t="n">
        <v>36678</v>
      </c>
      <c r="F69" s="46" t="n">
        <v>37042</v>
      </c>
      <c r="G69" s="47" t="s">
        <v>175</v>
      </c>
      <c r="H69" s="47" t="s">
        <v>176</v>
      </c>
      <c r="I69" s="45" t="s">
        <v>177</v>
      </c>
      <c r="J69" s="59" t="n">
        <f aca="false">3.145/J$1</f>
        <v>0.104833333333333</v>
      </c>
      <c r="K69" s="50" t="n">
        <v>0.0132</v>
      </c>
      <c r="L69" s="50" t="n">
        <v>0.0022</v>
      </c>
      <c r="M69" s="50" t="n">
        <v>0</v>
      </c>
      <c r="N69" s="50" t="n">
        <v>0</v>
      </c>
      <c r="O69" s="51" t="n">
        <v>0.02116</v>
      </c>
      <c r="P69" s="50" t="n">
        <f aca="false">SUM(J69:N69)</f>
        <v>0.120233333333333</v>
      </c>
      <c r="Q69" s="52" t="n">
        <v>68385</v>
      </c>
      <c r="R69" s="45" t="n">
        <v>223</v>
      </c>
      <c r="S69" s="47"/>
      <c r="T69" s="87" t="n">
        <f aca="false">J69*J$1*R69</f>
        <v>701.335</v>
      </c>
      <c r="U69" s="87"/>
      <c r="V69" s="88" t="n">
        <v>280550</v>
      </c>
      <c r="W69" s="47"/>
      <c r="X69" s="73"/>
      <c r="Y69" s="73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  <c r="IT69" s="86"/>
      <c r="IU69" s="86"/>
      <c r="IV69" s="86"/>
      <c r="IW69" s="86"/>
    </row>
    <row r="70" customFormat="false" ht="12.75" hidden="false" customHeight="false" outlineLevel="0" collapsed="false">
      <c r="A70" s="86"/>
      <c r="B70" s="47" t="s">
        <v>172</v>
      </c>
      <c r="C70" s="45" t="s">
        <v>173</v>
      </c>
      <c r="D70" s="45" t="s">
        <v>174</v>
      </c>
      <c r="E70" s="46" t="n">
        <v>36708</v>
      </c>
      <c r="F70" s="46" t="n">
        <v>37072</v>
      </c>
      <c r="G70" s="47" t="s">
        <v>175</v>
      </c>
      <c r="H70" s="47" t="s">
        <v>176</v>
      </c>
      <c r="I70" s="45" t="s">
        <v>177</v>
      </c>
      <c r="J70" s="59" t="n">
        <f aca="false">3.145/J$1</f>
        <v>0.104833333333333</v>
      </c>
      <c r="K70" s="50" t="n">
        <v>0.0132</v>
      </c>
      <c r="L70" s="50" t="n">
        <v>0.0022</v>
      </c>
      <c r="M70" s="50" t="n">
        <v>0</v>
      </c>
      <c r="N70" s="50" t="n">
        <v>0</v>
      </c>
      <c r="O70" s="51" t="n">
        <v>0.02116</v>
      </c>
      <c r="P70" s="50" t="n">
        <f aca="false">SUM(J70:N70)</f>
        <v>0.120233333333333</v>
      </c>
      <c r="Q70" s="52" t="n">
        <v>68615</v>
      </c>
      <c r="R70" s="45" t="n">
        <v>920</v>
      </c>
      <c r="S70" s="47"/>
      <c r="T70" s="87" t="n">
        <f aca="false">J70*J$1*R70</f>
        <v>2893.4</v>
      </c>
      <c r="U70" s="87"/>
      <c r="V70" s="88" t="n">
        <v>309873</v>
      </c>
      <c r="W70" s="47"/>
      <c r="X70" s="73"/>
      <c r="Y70" s="73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  <c r="FX70" s="86"/>
      <c r="FY70" s="86"/>
      <c r="FZ70" s="86"/>
      <c r="GA70" s="86"/>
      <c r="GB70" s="86"/>
      <c r="GC70" s="86"/>
      <c r="GD70" s="86"/>
      <c r="GE70" s="86"/>
      <c r="GF70" s="86"/>
      <c r="GG70" s="86"/>
      <c r="GH70" s="86"/>
      <c r="GI70" s="86"/>
      <c r="GJ70" s="86"/>
      <c r="GK70" s="86"/>
      <c r="GL70" s="86"/>
      <c r="GM70" s="86"/>
      <c r="GN70" s="86"/>
      <c r="GO70" s="86"/>
      <c r="GP70" s="86"/>
      <c r="GQ70" s="86"/>
      <c r="GR70" s="86"/>
      <c r="GS70" s="86"/>
      <c r="GT70" s="86"/>
      <c r="GU70" s="86"/>
      <c r="GV70" s="86"/>
      <c r="GW70" s="86"/>
      <c r="GX70" s="86"/>
      <c r="GY70" s="86"/>
      <c r="GZ70" s="86"/>
      <c r="HA70" s="86"/>
      <c r="HB70" s="86"/>
      <c r="HC70" s="86"/>
      <c r="HD70" s="86"/>
      <c r="HE70" s="86"/>
      <c r="HF70" s="86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6"/>
      <c r="IC70" s="86"/>
      <c r="ID70" s="86"/>
      <c r="IE70" s="86"/>
      <c r="IF70" s="86"/>
      <c r="IG70" s="86"/>
      <c r="IH70" s="86"/>
      <c r="II70" s="86"/>
      <c r="IJ70" s="86"/>
      <c r="IK70" s="86"/>
      <c r="IL70" s="86"/>
      <c r="IM70" s="86"/>
      <c r="IN70" s="86"/>
      <c r="IO70" s="86"/>
      <c r="IP70" s="86"/>
      <c r="IQ70" s="86"/>
      <c r="IR70" s="86"/>
      <c r="IS70" s="86"/>
      <c r="IT70" s="86"/>
      <c r="IU70" s="86"/>
      <c r="IV70" s="86"/>
      <c r="IW70" s="86"/>
    </row>
    <row r="71" customFormat="false" ht="12.75" hidden="false" customHeight="false" outlineLevel="0" collapsed="false">
      <c r="A71" s="86"/>
      <c r="B71" s="47"/>
      <c r="C71" s="45"/>
      <c r="D71" s="45"/>
      <c r="E71" s="46"/>
      <c r="F71" s="46"/>
      <c r="G71" s="47"/>
      <c r="H71" s="47"/>
      <c r="I71" s="45"/>
      <c r="J71" s="59"/>
      <c r="K71" s="50"/>
      <c r="L71" s="50"/>
      <c r="M71" s="50"/>
      <c r="N71" s="50"/>
      <c r="O71" s="51"/>
      <c r="P71" s="50"/>
      <c r="Q71" s="52"/>
      <c r="R71" s="45"/>
      <c r="S71" s="47"/>
      <c r="T71" s="87"/>
      <c r="U71" s="87"/>
      <c r="V71" s="88"/>
      <c r="W71" s="47"/>
      <c r="X71" s="73"/>
      <c r="Y71" s="73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  <c r="IT71" s="86"/>
      <c r="IU71" s="86"/>
      <c r="IV71" s="86"/>
      <c r="IW71" s="86"/>
    </row>
    <row r="72" customFormat="false" ht="12.75" hidden="false" customHeight="false" outlineLevel="0" collapsed="false">
      <c r="A72" s="163"/>
      <c r="B72" s="164" t="s">
        <v>172</v>
      </c>
      <c r="C72" s="165" t="s">
        <v>173</v>
      </c>
      <c r="D72" s="165" t="s">
        <v>178</v>
      </c>
      <c r="E72" s="166" t="n">
        <v>36465</v>
      </c>
      <c r="F72" s="166" t="n">
        <v>36830</v>
      </c>
      <c r="G72" s="164" t="s">
        <v>175</v>
      </c>
      <c r="H72" s="164" t="s">
        <v>176</v>
      </c>
      <c r="I72" s="165" t="s">
        <v>177</v>
      </c>
      <c r="J72" s="167" t="n">
        <f aca="false">3.145/J$1</f>
        <v>0.104833333333333</v>
      </c>
      <c r="K72" s="168" t="n">
        <v>0.0132</v>
      </c>
      <c r="L72" s="168" t="n">
        <v>0.0022</v>
      </c>
      <c r="M72" s="168" t="n">
        <v>0</v>
      </c>
      <c r="N72" s="168" t="n">
        <v>0</v>
      </c>
      <c r="O72" s="169" t="n">
        <v>0.02116</v>
      </c>
      <c r="P72" s="168" t="n">
        <f aca="false">SUM(J72:N72)</f>
        <v>0.120233333333333</v>
      </c>
      <c r="Q72" s="170" t="n">
        <v>65027</v>
      </c>
      <c r="R72" s="165" t="n">
        <v>131</v>
      </c>
      <c r="S72" s="164" t="s">
        <v>179</v>
      </c>
      <c r="T72" s="171" t="n">
        <f aca="false">J72*J$1*R72</f>
        <v>411.995</v>
      </c>
      <c r="U72" s="171"/>
      <c r="V72" s="172" t="n">
        <v>156666</v>
      </c>
      <c r="W72" s="164" t="s">
        <v>180</v>
      </c>
      <c r="X72" s="173"/>
      <c r="Y72" s="17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12.75" hidden="false" customHeight="false" outlineLevel="0" collapsed="false">
      <c r="A73" s="174"/>
      <c r="B73" s="175" t="s">
        <v>266</v>
      </c>
      <c r="C73" s="176" t="s">
        <v>173</v>
      </c>
      <c r="D73" s="176" t="s">
        <v>178</v>
      </c>
      <c r="E73" s="177" t="n">
        <v>36831</v>
      </c>
      <c r="F73" s="177" t="n">
        <v>37195</v>
      </c>
      <c r="G73" s="175" t="s">
        <v>175</v>
      </c>
      <c r="H73" s="175" t="s">
        <v>176</v>
      </c>
      <c r="I73" s="176" t="s">
        <v>177</v>
      </c>
      <c r="J73" s="178" t="n">
        <f aca="false">3.145/J$1</f>
        <v>0.104833333333333</v>
      </c>
      <c r="K73" s="179" t="n">
        <v>0.0132</v>
      </c>
      <c r="L73" s="179" t="n">
        <v>0.0022</v>
      </c>
      <c r="M73" s="179" t="n">
        <v>0</v>
      </c>
      <c r="N73" s="179" t="n">
        <v>0</v>
      </c>
      <c r="O73" s="180" t="n">
        <v>0.02116</v>
      </c>
      <c r="P73" s="179" t="n">
        <f aca="false">SUM(J73:N73)</f>
        <v>0.120233333333333</v>
      </c>
      <c r="Q73" s="181"/>
      <c r="R73" s="176" t="n">
        <v>129</v>
      </c>
      <c r="S73" s="175" t="s">
        <v>381</v>
      </c>
      <c r="T73" s="182" t="n">
        <f aca="false">J73*J$1*R73</f>
        <v>405.705</v>
      </c>
      <c r="U73" s="182"/>
      <c r="V73" s="183" t="n">
        <v>156666</v>
      </c>
      <c r="W73" s="175" t="s">
        <v>180</v>
      </c>
      <c r="X73" s="184"/>
      <c r="Y73" s="18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174"/>
      <c r="BW73" s="174"/>
      <c r="BX73" s="174"/>
      <c r="BY73" s="174"/>
      <c r="BZ73" s="174"/>
      <c r="CA73" s="174"/>
      <c r="CB73" s="174"/>
      <c r="CC73" s="174"/>
      <c r="CD73" s="174"/>
      <c r="CE73" s="174"/>
      <c r="CF73" s="174"/>
      <c r="CG73" s="174"/>
      <c r="CH73" s="174"/>
      <c r="CI73" s="174"/>
      <c r="CJ73" s="174"/>
      <c r="CK73" s="174"/>
      <c r="CL73" s="174"/>
      <c r="CM73" s="174"/>
      <c r="CN73" s="174"/>
      <c r="CO73" s="174"/>
      <c r="CP73" s="174"/>
      <c r="CQ73" s="174"/>
      <c r="CR73" s="174"/>
      <c r="CS73" s="174"/>
      <c r="CT73" s="174"/>
      <c r="CU73" s="174"/>
      <c r="CV73" s="174"/>
      <c r="CW73" s="174"/>
      <c r="CX73" s="174"/>
      <c r="CY73" s="174"/>
      <c r="CZ73" s="174"/>
      <c r="DA73" s="174"/>
      <c r="DB73" s="174"/>
      <c r="DC73" s="174"/>
      <c r="DD73" s="174"/>
      <c r="DE73" s="174"/>
      <c r="DF73" s="174"/>
      <c r="DG73" s="174"/>
      <c r="DH73" s="174"/>
      <c r="DI73" s="174"/>
      <c r="DJ73" s="174"/>
      <c r="DK73" s="174"/>
      <c r="DL73" s="174"/>
      <c r="DM73" s="174"/>
      <c r="DN73" s="174"/>
      <c r="DO73" s="174"/>
      <c r="DP73" s="174"/>
      <c r="DQ73" s="174"/>
      <c r="DR73" s="174"/>
      <c r="DS73" s="174"/>
      <c r="DT73" s="174"/>
      <c r="DU73" s="174"/>
      <c r="DV73" s="174"/>
      <c r="DW73" s="174"/>
      <c r="DX73" s="174"/>
      <c r="DY73" s="174"/>
      <c r="DZ73" s="174"/>
      <c r="EA73" s="174"/>
      <c r="EB73" s="174"/>
      <c r="EC73" s="174"/>
      <c r="ED73" s="174"/>
      <c r="EE73" s="174"/>
      <c r="EF73" s="174"/>
      <c r="EG73" s="174"/>
      <c r="EH73" s="174"/>
      <c r="EI73" s="174"/>
      <c r="EJ73" s="174"/>
      <c r="EK73" s="174"/>
      <c r="EL73" s="174"/>
      <c r="EM73" s="174"/>
      <c r="EN73" s="174"/>
      <c r="EO73" s="174"/>
      <c r="EP73" s="174"/>
      <c r="EQ73" s="174"/>
      <c r="ER73" s="174"/>
      <c r="ES73" s="174"/>
      <c r="ET73" s="174"/>
      <c r="EU73" s="174"/>
      <c r="EV73" s="174"/>
      <c r="EW73" s="174"/>
      <c r="EX73" s="174"/>
      <c r="EY73" s="174"/>
      <c r="EZ73" s="174"/>
      <c r="FA73" s="174"/>
      <c r="FB73" s="174"/>
      <c r="FC73" s="174"/>
      <c r="FD73" s="174"/>
      <c r="FE73" s="174"/>
      <c r="FF73" s="174"/>
      <c r="FG73" s="174"/>
      <c r="FH73" s="174"/>
      <c r="FI73" s="174"/>
      <c r="FJ73" s="174"/>
      <c r="FK73" s="174"/>
      <c r="FL73" s="174"/>
      <c r="FM73" s="174"/>
      <c r="FN73" s="174"/>
      <c r="FO73" s="174"/>
      <c r="FP73" s="174"/>
      <c r="FQ73" s="174"/>
      <c r="FR73" s="174"/>
      <c r="FS73" s="174"/>
      <c r="FT73" s="174"/>
      <c r="FU73" s="174"/>
      <c r="FV73" s="174"/>
      <c r="FW73" s="174"/>
      <c r="FX73" s="174"/>
      <c r="FY73" s="174"/>
      <c r="FZ73" s="174"/>
      <c r="GA73" s="174"/>
      <c r="GB73" s="174"/>
      <c r="GC73" s="174"/>
      <c r="GD73" s="174"/>
      <c r="GE73" s="174"/>
      <c r="GF73" s="174"/>
      <c r="GG73" s="174"/>
      <c r="GH73" s="174"/>
      <c r="GI73" s="174"/>
      <c r="GJ73" s="174"/>
      <c r="GK73" s="174"/>
      <c r="GL73" s="174"/>
      <c r="GM73" s="174"/>
      <c r="GN73" s="174"/>
      <c r="GO73" s="174"/>
      <c r="GP73" s="174"/>
      <c r="GQ73" s="174"/>
      <c r="GR73" s="174"/>
      <c r="GS73" s="174"/>
      <c r="GT73" s="174"/>
      <c r="GU73" s="174"/>
      <c r="GV73" s="174"/>
      <c r="GW73" s="174"/>
      <c r="GX73" s="174"/>
      <c r="GY73" s="174"/>
      <c r="GZ73" s="174"/>
      <c r="HA73" s="174"/>
      <c r="HB73" s="174"/>
      <c r="HC73" s="174"/>
      <c r="HD73" s="174"/>
      <c r="HE73" s="174"/>
      <c r="HF73" s="174"/>
      <c r="HG73" s="174"/>
      <c r="HH73" s="174"/>
      <c r="HI73" s="174"/>
      <c r="HJ73" s="174"/>
      <c r="HK73" s="174"/>
      <c r="HL73" s="174"/>
      <c r="HM73" s="174"/>
      <c r="HN73" s="174"/>
      <c r="HO73" s="174"/>
      <c r="HP73" s="174"/>
      <c r="HQ73" s="174"/>
      <c r="HR73" s="174"/>
      <c r="HS73" s="174"/>
      <c r="HT73" s="174"/>
      <c r="HU73" s="174"/>
      <c r="HV73" s="174"/>
      <c r="HW73" s="174"/>
      <c r="HX73" s="174"/>
      <c r="HY73" s="174"/>
      <c r="HZ73" s="174"/>
      <c r="IA73" s="174"/>
      <c r="IB73" s="174"/>
      <c r="IC73" s="174"/>
      <c r="ID73" s="174"/>
      <c r="IE73" s="174"/>
      <c r="IF73" s="174"/>
      <c r="IG73" s="174"/>
      <c r="IH73" s="174"/>
      <c r="II73" s="174"/>
      <c r="IJ73" s="174"/>
      <c r="IK73" s="174"/>
      <c r="IL73" s="174"/>
      <c r="IM73" s="174"/>
      <c r="IN73" s="174"/>
      <c r="IO73" s="174"/>
      <c r="IP73" s="174"/>
      <c r="IQ73" s="174"/>
      <c r="IR73" s="174"/>
      <c r="IS73" s="174"/>
      <c r="IT73" s="174"/>
      <c r="IU73" s="174"/>
      <c r="IV73" s="174"/>
      <c r="IW73" s="174"/>
    </row>
    <row r="74" customFormat="false" ht="12.75" hidden="false" customHeight="false" outlineLevel="0" collapsed="false">
      <c r="A74" s="86"/>
      <c r="B74" s="47"/>
      <c r="C74" s="45"/>
      <c r="D74" s="45"/>
      <c r="E74" s="46"/>
      <c r="F74" s="46"/>
      <c r="G74" s="47"/>
      <c r="H74" s="47"/>
      <c r="I74" s="45"/>
      <c r="J74" s="59"/>
      <c r="K74" s="50"/>
      <c r="L74" s="50"/>
      <c r="M74" s="50"/>
      <c r="N74" s="50"/>
      <c r="O74" s="51"/>
      <c r="P74" s="50"/>
      <c r="Q74" s="52"/>
      <c r="R74" s="45"/>
      <c r="S74" s="47"/>
      <c r="T74" s="87"/>
      <c r="U74" s="87"/>
      <c r="V74" s="88"/>
      <c r="W74" s="47"/>
      <c r="X74" s="73"/>
      <c r="Y74" s="73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6"/>
      <c r="IC74" s="86"/>
      <c r="ID74" s="86"/>
      <c r="IE74" s="86"/>
      <c r="IF74" s="86"/>
      <c r="IG74" s="86"/>
      <c r="IH74" s="86"/>
      <c r="II74" s="86"/>
      <c r="IJ74" s="86"/>
      <c r="IK74" s="86"/>
      <c r="IL74" s="86"/>
      <c r="IM74" s="86"/>
      <c r="IN74" s="86"/>
      <c r="IO74" s="86"/>
      <c r="IP74" s="86"/>
      <c r="IQ74" s="86"/>
      <c r="IR74" s="86"/>
      <c r="IS74" s="86"/>
      <c r="IT74" s="86"/>
      <c r="IU74" s="86"/>
      <c r="IV74" s="86"/>
      <c r="IW74" s="86"/>
    </row>
    <row r="75" customFormat="false" ht="12.75" hidden="false" customHeight="false" outlineLevel="0" collapsed="false">
      <c r="A75" s="86"/>
      <c r="B75" s="47" t="s">
        <v>172</v>
      </c>
      <c r="C75" s="45" t="s">
        <v>173</v>
      </c>
      <c r="D75" s="45" t="s">
        <v>178</v>
      </c>
      <c r="E75" s="46" t="n">
        <v>36495</v>
      </c>
      <c r="F75" s="46" t="n">
        <v>36860</v>
      </c>
      <c r="G75" s="47" t="s">
        <v>175</v>
      </c>
      <c r="H75" s="47" t="s">
        <v>176</v>
      </c>
      <c r="I75" s="45" t="s">
        <v>177</v>
      </c>
      <c r="J75" s="59" t="n">
        <f aca="false">3.145/J$1</f>
        <v>0.104833333333333</v>
      </c>
      <c r="K75" s="50" t="n">
        <v>0.0132</v>
      </c>
      <c r="L75" s="50" t="n">
        <v>0.0022</v>
      </c>
      <c r="M75" s="50" t="n">
        <v>0</v>
      </c>
      <c r="N75" s="50" t="n">
        <v>0</v>
      </c>
      <c r="O75" s="51" t="n">
        <v>0.02116</v>
      </c>
      <c r="P75" s="50" t="n">
        <f aca="false">SUM(J75:N75)</f>
        <v>0.120233333333333</v>
      </c>
      <c r="Q75" s="52" t="n">
        <v>65557</v>
      </c>
      <c r="R75" s="45" t="n">
        <v>3</v>
      </c>
      <c r="S75" s="47"/>
      <c r="T75" s="87" t="n">
        <f aca="false">J75*J$1*R75</f>
        <v>9.435</v>
      </c>
      <c r="U75" s="87"/>
      <c r="V75" s="88" t="n">
        <v>156669</v>
      </c>
      <c r="W75" s="47"/>
      <c r="X75" s="73"/>
      <c r="Y75" s="73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6"/>
      <c r="IN75" s="86"/>
      <c r="IO75" s="86"/>
      <c r="IP75" s="86"/>
      <c r="IQ75" s="86"/>
      <c r="IR75" s="86"/>
      <c r="IS75" s="86"/>
      <c r="IT75" s="86"/>
      <c r="IU75" s="86"/>
      <c r="IV75" s="86"/>
      <c r="IW75" s="86"/>
    </row>
    <row r="76" customFormat="false" ht="12.75" hidden="false" customHeight="false" outlineLevel="0" collapsed="false">
      <c r="A76" s="86"/>
      <c r="B76" s="47" t="s">
        <v>172</v>
      </c>
      <c r="C76" s="45" t="s">
        <v>173</v>
      </c>
      <c r="D76" s="45" t="s">
        <v>174</v>
      </c>
      <c r="E76" s="46" t="n">
        <v>36708</v>
      </c>
      <c r="F76" s="46" t="s">
        <v>182</v>
      </c>
      <c r="G76" s="47" t="s">
        <v>175</v>
      </c>
      <c r="H76" s="47" t="s">
        <v>176</v>
      </c>
      <c r="I76" s="45" t="s">
        <v>177</v>
      </c>
      <c r="J76" s="59" t="e">
        <f aca="false">3.145/J57</f>
        <v>#REF!</v>
      </c>
      <c r="K76" s="50"/>
      <c r="L76" s="50"/>
      <c r="M76" s="50"/>
      <c r="N76" s="50"/>
      <c r="O76" s="51"/>
      <c r="P76" s="50"/>
      <c r="Q76" s="52" t="n">
        <v>68634</v>
      </c>
      <c r="R76" s="45" t="n">
        <v>1</v>
      </c>
      <c r="S76" s="47"/>
      <c r="T76" s="87" t="e">
        <f aca="false">J76*J$1*R76</f>
        <v>#REF!</v>
      </c>
      <c r="U76" s="87"/>
      <c r="V76" s="88" t="n">
        <v>312338</v>
      </c>
      <c r="W76" s="47"/>
      <c r="X76" s="73"/>
      <c r="Y76" s="73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  <c r="IW76" s="86"/>
    </row>
    <row r="77" customFormat="false" ht="12.75" hidden="false" customHeight="false" outlineLevel="0" collapsed="false">
      <c r="A77" s="86"/>
      <c r="B77" s="47" t="s">
        <v>172</v>
      </c>
      <c r="C77" s="45" t="s">
        <v>173</v>
      </c>
      <c r="D77" s="45" t="s">
        <v>178</v>
      </c>
      <c r="E77" s="46" t="n">
        <v>36557</v>
      </c>
      <c r="F77" s="46" t="n">
        <v>36922</v>
      </c>
      <c r="G77" s="47" t="s">
        <v>175</v>
      </c>
      <c r="H77" s="47" t="s">
        <v>176</v>
      </c>
      <c r="I77" s="45" t="s">
        <v>177</v>
      </c>
      <c r="J77" s="59" t="n">
        <f aca="false">3.145/31</f>
        <v>0.101451612903226</v>
      </c>
      <c r="K77" s="50"/>
      <c r="L77" s="50"/>
      <c r="M77" s="50"/>
      <c r="N77" s="50"/>
      <c r="O77" s="51"/>
      <c r="P77" s="50"/>
      <c r="Q77" s="52" t="n">
        <v>66283</v>
      </c>
      <c r="R77" s="45" t="n">
        <v>5</v>
      </c>
      <c r="S77" s="47"/>
      <c r="T77" s="185" t="n">
        <f aca="false">+J77*R77*31</f>
        <v>15.725</v>
      </c>
      <c r="U77" s="87"/>
      <c r="V77" s="88" t="n">
        <v>156674</v>
      </c>
      <c r="W77" s="47"/>
      <c r="X77" s="73"/>
      <c r="Y77" s="73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6"/>
      <c r="IN77" s="86"/>
      <c r="IO77" s="86"/>
      <c r="IP77" s="86"/>
      <c r="IQ77" s="86"/>
      <c r="IR77" s="86"/>
      <c r="IS77" s="86"/>
      <c r="IT77" s="86"/>
      <c r="IU77" s="86"/>
      <c r="IV77" s="86"/>
      <c r="IW77" s="86"/>
    </row>
    <row r="78" customFormat="false" ht="12.75" hidden="false" customHeight="false" outlineLevel="0" collapsed="false">
      <c r="A78" s="86"/>
      <c r="B78" s="47" t="s">
        <v>172</v>
      </c>
      <c r="C78" s="45" t="s">
        <v>173</v>
      </c>
      <c r="D78" s="45" t="s">
        <v>178</v>
      </c>
      <c r="E78" s="46" t="n">
        <v>36617</v>
      </c>
      <c r="F78" s="46" t="n">
        <v>36981</v>
      </c>
      <c r="G78" s="47" t="s">
        <v>175</v>
      </c>
      <c r="H78" s="47" t="s">
        <v>176</v>
      </c>
      <c r="I78" s="45" t="s">
        <v>177</v>
      </c>
      <c r="J78" s="59" t="e">
        <f aca="false">3.15/J57</f>
        <v>#REF!</v>
      </c>
      <c r="K78" s="50"/>
      <c r="L78" s="50"/>
      <c r="M78" s="50"/>
      <c r="N78" s="50"/>
      <c r="O78" s="51"/>
      <c r="P78" s="50"/>
      <c r="Q78" s="52" t="n">
        <v>66941</v>
      </c>
      <c r="R78" s="45" t="n">
        <v>53</v>
      </c>
      <c r="S78" s="47"/>
      <c r="T78" s="185" t="e">
        <f aca="false">+J78*R78*31</f>
        <v>#REF!</v>
      </c>
      <c r="U78" s="87"/>
      <c r="V78" s="88" t="n">
        <v>228122</v>
      </c>
      <c r="W78" s="47"/>
      <c r="X78" s="73"/>
      <c r="Y78" s="73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6"/>
      <c r="IN78" s="86"/>
      <c r="IO78" s="86"/>
      <c r="IP78" s="86"/>
      <c r="IQ78" s="86"/>
      <c r="IR78" s="86"/>
      <c r="IS78" s="86"/>
      <c r="IT78" s="86"/>
      <c r="IU78" s="86"/>
      <c r="IV78" s="86"/>
      <c r="IW78" s="86"/>
    </row>
    <row r="79" customFormat="false" ht="12.75" hidden="false" customHeight="false" outlineLevel="0" collapsed="false">
      <c r="A79" s="86"/>
      <c r="B79" s="47" t="s">
        <v>172</v>
      </c>
      <c r="C79" s="45" t="s">
        <v>173</v>
      </c>
      <c r="D79" s="45" t="s">
        <v>178</v>
      </c>
      <c r="E79" s="46" t="n">
        <v>36656</v>
      </c>
      <c r="F79" s="46" t="n">
        <v>36950</v>
      </c>
      <c r="G79" s="47" t="s">
        <v>175</v>
      </c>
      <c r="H79" s="47" t="s">
        <v>176</v>
      </c>
      <c r="I79" s="45" t="s">
        <v>177</v>
      </c>
      <c r="J79" s="59" t="e">
        <f aca="false">3.145/J57</f>
        <v>#REF!</v>
      </c>
      <c r="K79" s="50"/>
      <c r="L79" s="50"/>
      <c r="M79" s="50"/>
      <c r="N79" s="50"/>
      <c r="O79" s="51"/>
      <c r="P79" s="50"/>
      <c r="Q79" s="52" t="n">
        <v>68309</v>
      </c>
      <c r="R79" s="45" t="n">
        <v>9</v>
      </c>
      <c r="S79" s="47"/>
      <c r="T79" s="87" t="e">
        <f aca="false">+R79*J79*$J$1</f>
        <v>#REF!</v>
      </c>
      <c r="U79" s="87"/>
      <c r="V79" s="88" t="n">
        <v>262090</v>
      </c>
      <c r="W79" s="47" t="s">
        <v>185</v>
      </c>
      <c r="X79" s="73"/>
      <c r="Y79" s="73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6"/>
      <c r="EJ79" s="86"/>
      <c r="EK79" s="86"/>
      <c r="EL79" s="86"/>
      <c r="EM79" s="86"/>
      <c r="EN79" s="86"/>
      <c r="EO79" s="86"/>
      <c r="EP79" s="86"/>
      <c r="EQ79" s="86"/>
      <c r="ER79" s="86"/>
      <c r="ES79" s="86"/>
      <c r="ET79" s="86"/>
      <c r="EU79" s="86"/>
      <c r="EV79" s="86"/>
      <c r="EW79" s="86"/>
      <c r="EX79" s="86"/>
      <c r="EY79" s="86"/>
      <c r="EZ79" s="86"/>
      <c r="FA79" s="86"/>
      <c r="FB79" s="86"/>
      <c r="FC79" s="86"/>
      <c r="FD79" s="86"/>
      <c r="FE79" s="86"/>
      <c r="FF79" s="86"/>
      <c r="FG79" s="86"/>
      <c r="FH79" s="86"/>
      <c r="FI79" s="86"/>
      <c r="FJ79" s="86"/>
      <c r="FK79" s="86"/>
      <c r="FL79" s="86"/>
      <c r="FM79" s="86"/>
      <c r="FN79" s="86"/>
      <c r="FO79" s="86"/>
      <c r="FP79" s="86"/>
      <c r="FQ79" s="86"/>
      <c r="FR79" s="86"/>
      <c r="FS79" s="86"/>
      <c r="FT79" s="86"/>
      <c r="FU79" s="86"/>
      <c r="FV79" s="86"/>
      <c r="FW79" s="86"/>
      <c r="FX79" s="86"/>
      <c r="FY79" s="86"/>
      <c r="FZ79" s="86"/>
      <c r="GA79" s="86"/>
      <c r="GB79" s="86"/>
      <c r="GC79" s="86"/>
      <c r="GD79" s="86"/>
      <c r="GE79" s="86"/>
      <c r="GF79" s="86"/>
      <c r="GG79" s="86"/>
      <c r="GH79" s="86"/>
      <c r="GI79" s="86"/>
      <c r="GJ79" s="86"/>
      <c r="GK79" s="86"/>
      <c r="GL79" s="86"/>
      <c r="GM79" s="86"/>
      <c r="GN79" s="86"/>
      <c r="GO79" s="86"/>
      <c r="GP79" s="86"/>
      <c r="GQ79" s="86"/>
      <c r="GR79" s="86"/>
      <c r="GS79" s="86"/>
      <c r="GT79" s="86"/>
      <c r="GU79" s="86"/>
      <c r="GV79" s="86"/>
      <c r="GW79" s="86"/>
      <c r="GX79" s="86"/>
      <c r="GY79" s="86"/>
      <c r="GZ79" s="86"/>
      <c r="HA79" s="86"/>
      <c r="HB79" s="86"/>
      <c r="HC79" s="86"/>
      <c r="HD79" s="86"/>
      <c r="HE79" s="86"/>
      <c r="HF79" s="86"/>
      <c r="HG79" s="86"/>
      <c r="HH79" s="86"/>
      <c r="HI79" s="86"/>
      <c r="HJ79" s="86"/>
      <c r="HK79" s="86"/>
      <c r="HL79" s="86"/>
      <c r="HM79" s="86"/>
      <c r="HN79" s="86"/>
      <c r="HO79" s="86"/>
      <c r="HP79" s="86"/>
      <c r="HQ79" s="86"/>
      <c r="HR79" s="86"/>
      <c r="HS79" s="86"/>
      <c r="HT79" s="86"/>
      <c r="HU79" s="86"/>
      <c r="HV79" s="86"/>
      <c r="HW79" s="86"/>
      <c r="HX79" s="86"/>
      <c r="HY79" s="86"/>
      <c r="HZ79" s="86"/>
      <c r="IA79" s="86"/>
      <c r="IB79" s="86"/>
      <c r="IC79" s="86"/>
      <c r="ID79" s="86"/>
      <c r="IE79" s="86"/>
      <c r="IF79" s="86"/>
      <c r="IG79" s="86"/>
      <c r="IH79" s="86"/>
      <c r="II79" s="86"/>
      <c r="IJ79" s="86"/>
      <c r="IK79" s="86"/>
      <c r="IL79" s="86"/>
      <c r="IM79" s="86"/>
      <c r="IN79" s="86"/>
      <c r="IO79" s="86"/>
      <c r="IP79" s="86"/>
      <c r="IQ79" s="86"/>
      <c r="IR79" s="86"/>
      <c r="IS79" s="86"/>
      <c r="IT79" s="86"/>
      <c r="IU79" s="86"/>
      <c r="IV79" s="86"/>
      <c r="IW79" s="86"/>
    </row>
    <row r="80" customFormat="false" ht="12.75" hidden="false" customHeight="false" outlineLevel="0" collapsed="false">
      <c r="A80" s="86"/>
      <c r="B80" s="47" t="s">
        <v>172</v>
      </c>
      <c r="C80" s="45" t="s">
        <v>173</v>
      </c>
      <c r="D80" s="45" t="s">
        <v>178</v>
      </c>
      <c r="E80" s="46" t="n">
        <v>36739</v>
      </c>
      <c r="F80" s="46" t="n">
        <v>36738</v>
      </c>
      <c r="G80" s="47" t="s">
        <v>175</v>
      </c>
      <c r="H80" s="47" t="s">
        <v>176</v>
      </c>
      <c r="I80" s="45" t="s">
        <v>177</v>
      </c>
      <c r="J80" s="59" t="e">
        <f aca="false">3.145/J57</f>
        <v>#REF!</v>
      </c>
      <c r="K80" s="50"/>
      <c r="L80" s="50"/>
      <c r="M80" s="50"/>
      <c r="N80" s="50"/>
      <c r="O80" s="51"/>
      <c r="P80" s="50"/>
      <c r="Q80" s="52" t="n">
        <v>68929</v>
      </c>
      <c r="R80" s="45" t="n">
        <v>48</v>
      </c>
      <c r="S80" s="47" t="s">
        <v>186</v>
      </c>
      <c r="T80" s="87" t="e">
        <f aca="false">+R80*J80*$J$1</f>
        <v>#REF!</v>
      </c>
      <c r="U80" s="87"/>
      <c r="V80" s="88" t="n">
        <v>345091</v>
      </c>
      <c r="W80" s="47"/>
      <c r="X80" s="73"/>
      <c r="Y80" s="73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  <c r="DK80" s="86"/>
      <c r="DL80" s="86"/>
      <c r="DM80" s="86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  <c r="EE80" s="86"/>
      <c r="EF80" s="86"/>
      <c r="EG80" s="86"/>
      <c r="EH80" s="86"/>
      <c r="EI80" s="86"/>
      <c r="EJ80" s="86"/>
      <c r="EK80" s="86"/>
      <c r="EL80" s="86"/>
      <c r="EM80" s="86"/>
      <c r="EN80" s="86"/>
      <c r="EO80" s="86"/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86"/>
      <c r="FG80" s="86"/>
      <c r="FH80" s="86"/>
      <c r="FI80" s="86"/>
      <c r="FJ80" s="86"/>
      <c r="FK80" s="86"/>
      <c r="FL80" s="86"/>
      <c r="FM80" s="86"/>
      <c r="FN80" s="86"/>
      <c r="FO80" s="86"/>
      <c r="FP80" s="86"/>
      <c r="FQ80" s="86"/>
      <c r="FR80" s="86"/>
      <c r="FS80" s="86"/>
      <c r="FT80" s="86"/>
      <c r="FU80" s="86"/>
      <c r="FV80" s="86"/>
      <c r="FW80" s="86"/>
      <c r="FX80" s="86"/>
      <c r="FY80" s="86"/>
      <c r="FZ80" s="86"/>
      <c r="GA80" s="86"/>
      <c r="GB80" s="86"/>
      <c r="GC80" s="86"/>
      <c r="GD80" s="86"/>
      <c r="GE80" s="86"/>
      <c r="GF80" s="86"/>
      <c r="GG80" s="86"/>
      <c r="GH80" s="86"/>
      <c r="GI80" s="86"/>
      <c r="GJ80" s="86"/>
      <c r="GK80" s="86"/>
      <c r="GL80" s="86"/>
      <c r="GM80" s="86"/>
      <c r="GN80" s="86"/>
      <c r="GO80" s="86"/>
      <c r="GP80" s="86"/>
      <c r="GQ80" s="86"/>
      <c r="GR80" s="86"/>
      <c r="GS80" s="86"/>
      <c r="GT80" s="86"/>
      <c r="GU80" s="86"/>
      <c r="GV80" s="86"/>
      <c r="GW80" s="86"/>
      <c r="GX80" s="86"/>
      <c r="GY80" s="86"/>
      <c r="GZ80" s="86"/>
      <c r="HA80" s="86"/>
      <c r="HB80" s="86"/>
      <c r="HC80" s="86"/>
      <c r="HD80" s="86"/>
      <c r="HE80" s="86"/>
      <c r="HF80" s="86"/>
      <c r="HG80" s="86"/>
      <c r="HH80" s="86"/>
      <c r="HI80" s="86"/>
      <c r="HJ80" s="86"/>
      <c r="HK80" s="86"/>
      <c r="HL80" s="86"/>
      <c r="HM80" s="86"/>
      <c r="HN80" s="86"/>
      <c r="HO80" s="86"/>
      <c r="HP80" s="86"/>
      <c r="HQ80" s="86"/>
      <c r="HR80" s="86"/>
      <c r="HS80" s="86"/>
      <c r="HT80" s="86"/>
      <c r="HU80" s="86"/>
      <c r="HV80" s="86"/>
      <c r="HW80" s="86"/>
      <c r="HX80" s="86"/>
      <c r="HY80" s="86"/>
      <c r="HZ80" s="86"/>
      <c r="IA80" s="86"/>
      <c r="IB80" s="86"/>
      <c r="IC80" s="86"/>
      <c r="ID80" s="86"/>
      <c r="IE80" s="86"/>
      <c r="IF80" s="86"/>
      <c r="IG80" s="86"/>
      <c r="IH80" s="86"/>
      <c r="II80" s="86"/>
      <c r="IJ80" s="86"/>
      <c r="IK80" s="86"/>
      <c r="IL80" s="86"/>
      <c r="IM80" s="86"/>
      <c r="IN80" s="86"/>
      <c r="IO80" s="86"/>
      <c r="IP80" s="86"/>
      <c r="IQ80" s="86"/>
      <c r="IR80" s="86"/>
      <c r="IS80" s="86"/>
      <c r="IT80" s="86"/>
      <c r="IU80" s="86"/>
      <c r="IV80" s="86"/>
      <c r="IW80" s="86"/>
    </row>
    <row r="81" customFormat="false" ht="12.75" hidden="false" customHeight="false" outlineLevel="0" collapsed="false">
      <c r="A81" s="86"/>
      <c r="B81" s="47" t="s">
        <v>172</v>
      </c>
      <c r="C81" s="45" t="s">
        <v>173</v>
      </c>
      <c r="D81" s="45" t="s">
        <v>178</v>
      </c>
      <c r="E81" s="46" t="n">
        <v>36739</v>
      </c>
      <c r="F81" s="46" t="n">
        <v>37103</v>
      </c>
      <c r="G81" s="47" t="s">
        <v>175</v>
      </c>
      <c r="H81" s="47" t="s">
        <v>176</v>
      </c>
      <c r="I81" s="45" t="s">
        <v>177</v>
      </c>
      <c r="J81" s="59" t="e">
        <f aca="false">3.145/J57</f>
        <v>#REF!</v>
      </c>
      <c r="K81" s="50"/>
      <c r="L81" s="50"/>
      <c r="M81" s="50"/>
      <c r="N81" s="50"/>
      <c r="O81" s="51"/>
      <c r="P81" s="50"/>
      <c r="Q81" s="52" t="n">
        <v>68927</v>
      </c>
      <c r="R81" s="45" t="n">
        <v>4</v>
      </c>
      <c r="S81" s="47" t="s">
        <v>187</v>
      </c>
      <c r="T81" s="87" t="e">
        <f aca="false">+R81*J81*$J$1</f>
        <v>#REF!</v>
      </c>
      <c r="U81" s="87"/>
      <c r="V81" s="88" t="n">
        <v>345112</v>
      </c>
      <c r="W81" s="47"/>
      <c r="X81" s="73"/>
      <c r="Y81" s="73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  <c r="EE81" s="86"/>
      <c r="EF81" s="86"/>
      <c r="EG81" s="86"/>
      <c r="EH81" s="86"/>
      <c r="EI81" s="86"/>
      <c r="EJ81" s="86"/>
      <c r="EK81" s="86"/>
      <c r="EL81" s="86"/>
      <c r="EM81" s="86"/>
      <c r="EN81" s="86"/>
      <c r="EO81" s="86"/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86"/>
      <c r="FG81" s="86"/>
      <c r="FH81" s="86"/>
      <c r="FI81" s="86"/>
      <c r="FJ81" s="86"/>
      <c r="FK81" s="86"/>
      <c r="FL81" s="86"/>
      <c r="FM81" s="86"/>
      <c r="FN81" s="86"/>
      <c r="FO81" s="86"/>
      <c r="FP81" s="86"/>
      <c r="FQ81" s="86"/>
      <c r="FR81" s="86"/>
      <c r="FS81" s="86"/>
      <c r="FT81" s="86"/>
      <c r="FU81" s="86"/>
      <c r="FV81" s="86"/>
      <c r="FW81" s="86"/>
      <c r="FX81" s="86"/>
      <c r="FY81" s="86"/>
      <c r="FZ81" s="86"/>
      <c r="GA81" s="86"/>
      <c r="GB81" s="86"/>
      <c r="GC81" s="86"/>
      <c r="GD81" s="86"/>
      <c r="GE81" s="86"/>
      <c r="GF81" s="86"/>
      <c r="GG81" s="86"/>
      <c r="GH81" s="86"/>
      <c r="GI81" s="86"/>
      <c r="GJ81" s="86"/>
      <c r="GK81" s="86"/>
      <c r="GL81" s="86"/>
      <c r="GM81" s="86"/>
      <c r="GN81" s="86"/>
      <c r="GO81" s="86"/>
      <c r="GP81" s="86"/>
      <c r="GQ81" s="86"/>
      <c r="GR81" s="86"/>
      <c r="GS81" s="86"/>
      <c r="GT81" s="86"/>
      <c r="GU81" s="86"/>
      <c r="GV81" s="86"/>
      <c r="GW81" s="86"/>
      <c r="GX81" s="86"/>
      <c r="GY81" s="86"/>
      <c r="GZ81" s="86"/>
      <c r="HA81" s="86"/>
      <c r="HB81" s="86"/>
      <c r="HC81" s="86"/>
      <c r="HD81" s="86"/>
      <c r="HE81" s="86"/>
      <c r="HF81" s="86"/>
      <c r="HG81" s="86"/>
      <c r="HH81" s="86"/>
      <c r="HI81" s="86"/>
      <c r="HJ81" s="86"/>
      <c r="HK81" s="86"/>
      <c r="HL81" s="86"/>
      <c r="HM81" s="86"/>
      <c r="HN81" s="86"/>
      <c r="HO81" s="86"/>
      <c r="HP81" s="86"/>
      <c r="HQ81" s="86"/>
      <c r="HR81" s="86"/>
      <c r="HS81" s="86"/>
      <c r="HT81" s="86"/>
      <c r="HU81" s="86"/>
      <c r="HV81" s="86"/>
      <c r="HW81" s="86"/>
      <c r="HX81" s="86"/>
      <c r="HY81" s="86"/>
      <c r="HZ81" s="86"/>
      <c r="IA81" s="86"/>
      <c r="IB81" s="86"/>
      <c r="IC81" s="86"/>
      <c r="ID81" s="86"/>
      <c r="IE81" s="86"/>
      <c r="IF81" s="86"/>
      <c r="IG81" s="86"/>
      <c r="IH81" s="86"/>
      <c r="II81" s="86"/>
      <c r="IJ81" s="86"/>
      <c r="IK81" s="86"/>
      <c r="IL81" s="86"/>
      <c r="IM81" s="86"/>
      <c r="IN81" s="86"/>
      <c r="IO81" s="86"/>
      <c r="IP81" s="86"/>
      <c r="IQ81" s="86"/>
      <c r="IR81" s="86"/>
      <c r="IS81" s="86"/>
      <c r="IT81" s="86"/>
      <c r="IU81" s="86"/>
      <c r="IV81" s="86"/>
      <c r="IW81" s="86"/>
    </row>
    <row r="82" customFormat="false" ht="12.75" hidden="false" customHeight="false" outlineLevel="0" collapsed="false">
      <c r="A82" s="86"/>
      <c r="B82" s="47" t="s">
        <v>172</v>
      </c>
      <c r="C82" s="45" t="s">
        <v>173</v>
      </c>
      <c r="D82" s="45" t="s">
        <v>178</v>
      </c>
      <c r="E82" s="46" t="n">
        <v>36770</v>
      </c>
      <c r="F82" s="46" t="n">
        <v>37104</v>
      </c>
      <c r="G82" s="47" t="s">
        <v>175</v>
      </c>
      <c r="H82" s="47" t="s">
        <v>176</v>
      </c>
      <c r="I82" s="45" t="s">
        <v>177</v>
      </c>
      <c r="J82" s="59" t="e">
        <f aca="false">3.145/J57</f>
        <v>#REF!</v>
      </c>
      <c r="K82" s="50"/>
      <c r="L82" s="50"/>
      <c r="M82" s="50"/>
      <c r="N82" s="50"/>
      <c r="O82" s="51"/>
      <c r="P82" s="50"/>
      <c r="Q82" s="52" t="n">
        <v>69145</v>
      </c>
      <c r="R82" s="45" t="n">
        <v>63</v>
      </c>
      <c r="S82" s="47" t="s">
        <v>188</v>
      </c>
      <c r="T82" s="87" t="e">
        <f aca="false">+R82*J82*J57</f>
        <v>#REF!</v>
      </c>
      <c r="U82" s="87"/>
      <c r="V82" s="88" t="n">
        <v>372169</v>
      </c>
      <c r="W82" s="47"/>
      <c r="X82" s="73"/>
      <c r="Y82" s="73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  <c r="HU82" s="86"/>
      <c r="HV82" s="86"/>
      <c r="HW82" s="86"/>
      <c r="HX82" s="86"/>
      <c r="HY82" s="86"/>
      <c r="HZ82" s="86"/>
      <c r="IA82" s="86"/>
      <c r="IB82" s="86"/>
      <c r="IC82" s="86"/>
      <c r="ID82" s="86"/>
      <c r="IE82" s="86"/>
      <c r="IF82" s="86"/>
      <c r="IG82" s="86"/>
      <c r="IH82" s="86"/>
      <c r="II82" s="86"/>
      <c r="IJ82" s="86"/>
      <c r="IK82" s="86"/>
      <c r="IL82" s="86"/>
      <c r="IM82" s="86"/>
      <c r="IN82" s="86"/>
      <c r="IO82" s="86"/>
      <c r="IP82" s="86"/>
      <c r="IQ82" s="86"/>
      <c r="IR82" s="86"/>
      <c r="IS82" s="86"/>
      <c r="IT82" s="86"/>
      <c r="IU82" s="86"/>
      <c r="IV82" s="86"/>
      <c r="IW82" s="86"/>
    </row>
    <row r="83" customFormat="false" ht="12.75" hidden="false" customHeight="false" outlineLevel="0" collapsed="false">
      <c r="A83" s="86"/>
      <c r="B83" s="47" t="s">
        <v>172</v>
      </c>
      <c r="C83" s="45" t="s">
        <v>173</v>
      </c>
      <c r="D83" s="45" t="s">
        <v>178</v>
      </c>
      <c r="E83" s="46" t="n">
        <v>36800</v>
      </c>
      <c r="F83" s="46" t="n">
        <v>36799</v>
      </c>
      <c r="G83" s="47" t="s">
        <v>175</v>
      </c>
      <c r="H83" s="47" t="s">
        <v>176</v>
      </c>
      <c r="I83" s="45" t="s">
        <v>177</v>
      </c>
      <c r="J83" s="59" t="e">
        <f aca="false">3.145/J57</f>
        <v>#REF!</v>
      </c>
      <c r="K83" s="50"/>
      <c r="L83" s="50"/>
      <c r="M83" s="50"/>
      <c r="N83" s="50"/>
      <c r="O83" s="51"/>
      <c r="P83" s="50"/>
      <c r="Q83" s="52" t="n">
        <v>69357</v>
      </c>
      <c r="R83" s="45" t="n">
        <v>13</v>
      </c>
      <c r="S83" s="47" t="s">
        <v>189</v>
      </c>
      <c r="T83" s="87" t="e">
        <f aca="false">+R83*J83*J57</f>
        <v>#REF!</v>
      </c>
      <c r="U83" s="87"/>
      <c r="V83" s="88" t="n">
        <v>418249</v>
      </c>
      <c r="W83" s="47"/>
      <c r="X83" s="73"/>
      <c r="Y83" s="73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86"/>
      <c r="CZ83" s="86"/>
      <c r="DA83" s="86"/>
      <c r="DB83" s="86"/>
      <c r="DC83" s="86"/>
      <c r="DD83" s="86"/>
      <c r="DE83" s="86"/>
      <c r="DF83" s="86"/>
      <c r="DG83" s="86"/>
      <c r="DH83" s="86"/>
      <c r="DI83" s="86"/>
      <c r="DJ83" s="86"/>
      <c r="DK83" s="86"/>
      <c r="DL83" s="86"/>
      <c r="DM83" s="86"/>
      <c r="DN83" s="86"/>
      <c r="DO83" s="86"/>
      <c r="DP83" s="86"/>
      <c r="DQ83" s="86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86"/>
      <c r="EC83" s="86"/>
      <c r="ED83" s="86"/>
      <c r="EE83" s="86"/>
      <c r="EF83" s="86"/>
      <c r="EG83" s="86"/>
      <c r="EH83" s="86"/>
      <c r="EI83" s="86"/>
      <c r="EJ83" s="86"/>
      <c r="EK83" s="86"/>
      <c r="EL83" s="86"/>
      <c r="EM83" s="86"/>
      <c r="EN83" s="86"/>
      <c r="EO83" s="86"/>
      <c r="EP83" s="86"/>
      <c r="EQ83" s="86"/>
      <c r="ER83" s="86"/>
      <c r="ES83" s="86"/>
      <c r="ET83" s="86"/>
      <c r="EU83" s="86"/>
      <c r="EV83" s="86"/>
      <c r="EW83" s="86"/>
      <c r="EX83" s="86"/>
      <c r="EY83" s="86"/>
      <c r="EZ83" s="86"/>
      <c r="FA83" s="86"/>
      <c r="FB83" s="86"/>
      <c r="FC83" s="86"/>
      <c r="FD83" s="86"/>
      <c r="FE83" s="86"/>
      <c r="FF83" s="86"/>
      <c r="FG83" s="86"/>
      <c r="FH83" s="86"/>
      <c r="FI83" s="86"/>
      <c r="FJ83" s="86"/>
      <c r="FK83" s="86"/>
      <c r="FL83" s="86"/>
      <c r="FM83" s="86"/>
      <c r="FN83" s="86"/>
      <c r="FO83" s="86"/>
      <c r="FP83" s="86"/>
      <c r="FQ83" s="86"/>
      <c r="FR83" s="86"/>
      <c r="FS83" s="86"/>
      <c r="FT83" s="86"/>
      <c r="FU83" s="86"/>
      <c r="FV83" s="86"/>
      <c r="FW83" s="86"/>
      <c r="FX83" s="86"/>
      <c r="FY83" s="86"/>
      <c r="FZ83" s="86"/>
      <c r="GA83" s="86"/>
      <c r="GB83" s="86"/>
      <c r="GC83" s="86"/>
      <c r="GD83" s="86"/>
      <c r="GE83" s="86"/>
      <c r="GF83" s="86"/>
      <c r="GG83" s="86"/>
      <c r="GH83" s="86"/>
      <c r="GI83" s="86"/>
      <c r="GJ83" s="86"/>
      <c r="GK83" s="86"/>
      <c r="GL83" s="86"/>
      <c r="GM83" s="86"/>
      <c r="GN83" s="86"/>
      <c r="GO83" s="86"/>
      <c r="GP83" s="86"/>
      <c r="GQ83" s="86"/>
      <c r="GR83" s="86"/>
      <c r="GS83" s="86"/>
      <c r="GT83" s="86"/>
      <c r="GU83" s="86"/>
      <c r="GV83" s="86"/>
      <c r="GW83" s="86"/>
      <c r="GX83" s="86"/>
      <c r="GY83" s="86"/>
      <c r="GZ83" s="86"/>
      <c r="HA83" s="86"/>
      <c r="HB83" s="86"/>
      <c r="HC83" s="86"/>
      <c r="HD83" s="86"/>
      <c r="HE83" s="86"/>
      <c r="HF83" s="86"/>
      <c r="HG83" s="86"/>
      <c r="HH83" s="86"/>
      <c r="HI83" s="86"/>
      <c r="HJ83" s="86"/>
      <c r="HK83" s="86"/>
      <c r="HL83" s="86"/>
      <c r="HM83" s="86"/>
      <c r="HN83" s="86"/>
      <c r="HO83" s="86"/>
      <c r="HP83" s="86"/>
      <c r="HQ83" s="86"/>
      <c r="HR83" s="86"/>
      <c r="HS83" s="86"/>
      <c r="HT83" s="86"/>
      <c r="HU83" s="86"/>
      <c r="HV83" s="86"/>
      <c r="HW83" s="86"/>
      <c r="HX83" s="86"/>
      <c r="HY83" s="86"/>
      <c r="HZ83" s="86"/>
      <c r="IA83" s="86"/>
      <c r="IB83" s="86"/>
      <c r="IC83" s="86"/>
      <c r="ID83" s="86"/>
      <c r="IE83" s="86"/>
      <c r="IF83" s="86"/>
      <c r="IG83" s="86"/>
      <c r="IH83" s="86"/>
      <c r="II83" s="86"/>
      <c r="IJ83" s="86"/>
      <c r="IK83" s="86"/>
      <c r="IL83" s="86"/>
      <c r="IM83" s="86"/>
      <c r="IN83" s="86"/>
      <c r="IO83" s="86"/>
      <c r="IP83" s="86"/>
      <c r="IQ83" s="86"/>
      <c r="IR83" s="86"/>
      <c r="IS83" s="86"/>
      <c r="IT83" s="86"/>
      <c r="IU83" s="86"/>
      <c r="IV83" s="86"/>
      <c r="IW83" s="86"/>
    </row>
    <row r="84" customFormat="false" ht="12.75" hidden="false" customHeight="false" outlineLevel="0" collapsed="false">
      <c r="A84" s="86"/>
      <c r="B84" s="47" t="s">
        <v>172</v>
      </c>
      <c r="C84" s="45" t="s">
        <v>173</v>
      </c>
      <c r="D84" s="45" t="s">
        <v>174</v>
      </c>
      <c r="E84" s="46" t="n">
        <v>36647</v>
      </c>
      <c r="F84" s="46" t="n">
        <v>37011</v>
      </c>
      <c r="G84" s="47" t="s">
        <v>175</v>
      </c>
      <c r="H84" s="47" t="s">
        <v>176</v>
      </c>
      <c r="I84" s="45" t="s">
        <v>177</v>
      </c>
      <c r="J84" s="59" t="e">
        <f aca="false">3.154/J57</f>
        <v>#REF!</v>
      </c>
      <c r="K84" s="50"/>
      <c r="L84" s="50"/>
      <c r="M84" s="50"/>
      <c r="N84" s="50"/>
      <c r="O84" s="51"/>
      <c r="P84" s="50"/>
      <c r="Q84" s="52" t="n">
        <v>68281</v>
      </c>
      <c r="R84" s="45" t="n">
        <v>21</v>
      </c>
      <c r="S84" s="47" t="s">
        <v>190</v>
      </c>
      <c r="T84" s="87" t="e">
        <f aca="false">+R84*J84*$J$1</f>
        <v>#REF!</v>
      </c>
      <c r="U84" s="87"/>
      <c r="V84" s="88" t="n">
        <v>256413</v>
      </c>
      <c r="W84" s="47"/>
      <c r="X84" s="73"/>
      <c r="Y84" s="73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6"/>
      <c r="EJ84" s="86"/>
      <c r="EK84" s="86"/>
      <c r="EL84" s="86"/>
      <c r="EM84" s="86"/>
      <c r="EN84" s="86"/>
      <c r="EO84" s="86"/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86"/>
      <c r="FG84" s="86"/>
      <c r="FH84" s="86"/>
      <c r="FI84" s="86"/>
      <c r="FJ84" s="86"/>
      <c r="FK84" s="86"/>
      <c r="FL84" s="86"/>
      <c r="FM84" s="86"/>
      <c r="FN84" s="86"/>
      <c r="FO84" s="86"/>
      <c r="FP84" s="86"/>
      <c r="FQ84" s="86"/>
      <c r="FR84" s="86"/>
      <c r="FS84" s="86"/>
      <c r="FT84" s="86"/>
      <c r="FU84" s="86"/>
      <c r="FV84" s="86"/>
      <c r="FW84" s="86"/>
      <c r="FX84" s="86"/>
      <c r="FY84" s="86"/>
      <c r="FZ84" s="86"/>
      <c r="GA84" s="86"/>
      <c r="GB84" s="86"/>
      <c r="GC84" s="86"/>
      <c r="GD84" s="86"/>
      <c r="GE84" s="86"/>
      <c r="GF84" s="86"/>
      <c r="GG84" s="86"/>
      <c r="GH84" s="86"/>
      <c r="GI84" s="86"/>
      <c r="GJ84" s="86"/>
      <c r="GK84" s="86"/>
      <c r="GL84" s="86"/>
      <c r="GM84" s="86"/>
      <c r="GN84" s="86"/>
      <c r="GO84" s="86"/>
      <c r="GP84" s="86"/>
      <c r="GQ84" s="86"/>
      <c r="GR84" s="86"/>
      <c r="GS84" s="86"/>
      <c r="GT84" s="86"/>
      <c r="GU84" s="86"/>
      <c r="GV84" s="86"/>
      <c r="GW84" s="86"/>
      <c r="GX84" s="86"/>
      <c r="GY84" s="86"/>
      <c r="GZ84" s="86"/>
      <c r="HA84" s="86"/>
      <c r="HB84" s="86"/>
      <c r="HC84" s="86"/>
      <c r="HD84" s="86"/>
      <c r="HE84" s="86"/>
      <c r="HF84" s="86"/>
      <c r="HG84" s="86"/>
      <c r="HH84" s="86"/>
      <c r="HI84" s="86"/>
      <c r="HJ84" s="86"/>
      <c r="HK84" s="86"/>
      <c r="HL84" s="86"/>
      <c r="HM84" s="86"/>
      <c r="HN84" s="86"/>
      <c r="HO84" s="86"/>
      <c r="HP84" s="86"/>
      <c r="HQ84" s="86"/>
      <c r="HR84" s="86"/>
      <c r="HS84" s="86"/>
      <c r="HT84" s="86"/>
      <c r="HU84" s="86"/>
      <c r="HV84" s="86"/>
      <c r="HW84" s="86"/>
      <c r="HX84" s="86"/>
      <c r="HY84" s="86"/>
      <c r="HZ84" s="86"/>
      <c r="IA84" s="86"/>
      <c r="IB84" s="86"/>
      <c r="IC84" s="86"/>
      <c r="ID84" s="86"/>
      <c r="IE84" s="86"/>
      <c r="IF84" s="86"/>
      <c r="IG84" s="86"/>
      <c r="IH84" s="86"/>
      <c r="II84" s="86"/>
      <c r="IJ84" s="86"/>
      <c r="IK84" s="86"/>
      <c r="IL84" s="86"/>
      <c r="IM84" s="86"/>
      <c r="IN84" s="86"/>
      <c r="IO84" s="86"/>
      <c r="IP84" s="86"/>
      <c r="IQ84" s="86"/>
      <c r="IR84" s="86"/>
      <c r="IS84" s="86"/>
      <c r="IT84" s="86"/>
      <c r="IU84" s="86"/>
      <c r="IV84" s="86"/>
      <c r="IW84" s="86"/>
    </row>
    <row r="85" customFormat="false" ht="12.75" hidden="false" customHeight="false" outlineLevel="0" collapsed="false">
      <c r="G85" s="41"/>
      <c r="H85" s="41"/>
      <c r="O85" s="42"/>
      <c r="V85" s="43"/>
      <c r="W85" s="41"/>
      <c r="X85" s="43"/>
      <c r="Y85" s="43"/>
    </row>
    <row r="86" customFormat="false" ht="12.75" hidden="false" customHeight="false" outlineLevel="0" collapsed="false">
      <c r="A86" s="86"/>
      <c r="B86" s="47"/>
      <c r="C86" s="45"/>
      <c r="D86" s="45"/>
      <c r="E86" s="46"/>
      <c r="F86" s="46"/>
      <c r="G86" s="47"/>
      <c r="H86" s="47"/>
      <c r="I86" s="45"/>
      <c r="J86" s="59"/>
      <c r="K86" s="50"/>
      <c r="L86" s="50"/>
      <c r="M86" s="50"/>
      <c r="N86" s="50"/>
      <c r="O86" s="51"/>
      <c r="P86" s="50"/>
      <c r="Q86" s="52"/>
      <c r="R86" s="45"/>
      <c r="S86" s="47"/>
      <c r="T86" s="87"/>
      <c r="U86" s="87"/>
      <c r="V86" s="88"/>
      <c r="W86" s="47"/>
      <c r="X86" s="73"/>
      <c r="Y86" s="73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  <c r="HU86" s="86"/>
      <c r="HV86" s="86"/>
      <c r="HW86" s="86"/>
      <c r="HX86" s="86"/>
      <c r="HY86" s="86"/>
      <c r="HZ86" s="86"/>
      <c r="IA86" s="86"/>
      <c r="IB86" s="86"/>
      <c r="IC86" s="86"/>
      <c r="ID86" s="86"/>
      <c r="IE86" s="86"/>
      <c r="IF86" s="86"/>
      <c r="IG86" s="86"/>
      <c r="IH86" s="86"/>
      <c r="II86" s="86"/>
      <c r="IJ86" s="86"/>
      <c r="IK86" s="86"/>
      <c r="IL86" s="86"/>
      <c r="IM86" s="86"/>
      <c r="IN86" s="86"/>
      <c r="IO86" s="86"/>
      <c r="IP86" s="86"/>
      <c r="IQ86" s="86"/>
      <c r="IR86" s="86"/>
      <c r="IS86" s="86"/>
      <c r="IT86" s="86"/>
      <c r="IU86" s="86"/>
      <c r="IV86" s="86"/>
      <c r="IW86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2000-10-24T16:48:59Z</cp:lastPrinted>
  <cp:revision>0</cp:revision>
  <dc:subject/>
  <dc:title/>
</cp:coreProperties>
</file>