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ing Notes" sheetId="1" state="visible" r:id="rId3"/>
    <sheet name="Spot Deals" sheetId="2" state="visible" r:id="rId4"/>
    <sheet name="CGAS" sheetId="3" state="visible" r:id="rId5"/>
    <sheet name="Pricing" sheetId="4" state="visible" r:id="rId6"/>
    <sheet name="CES Retail East" sheetId="5" state="visible" r:id="rId7"/>
    <sheet name="CES Retail Mrkt" sheetId="6" state="visible" r:id="rId8"/>
    <sheet name="Sheet1" sheetId="7" state="visible" r:id="rId9"/>
    <sheet name="Sheet2" sheetId="8" state="visible" r:id="rId10"/>
  </sheets>
  <definedNames>
    <definedName function="false" hidden="false" localSheetId="4" name="_xlnm.Print_Area" vbProcedure="false">'CES Retail East'!$A$1:$AC$94</definedName>
    <definedName function="false" hidden="false" localSheetId="5" name="_xlnm.Print_Area" vbProcedure="false">'CES Retail Mrkt'!$A$18:$W$63</definedName>
    <definedName function="false" hidden="false" localSheetId="0" name="_xlnm.Print_Area" vbProcedure="false">'Pricing Notes'!$A$1:$N$72</definedName>
    <definedName function="false" hidden="false" localSheetId="6" name="_xlnm.Print_Titles" vbProcedure="false">Sheet1!$1:$1</definedName>
    <definedName function="false" hidden="false" localSheetId="6" name="TABLE" vbProcedure="false">Sheet1!$B$2:$Q$78</definedName>
    <definedName function="false" hidden="false" localSheetId="6" name="TABLE_2" vbProcedure="false">Sheet1!$B$2:$Q$78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Purchased from New Power at $5.32, deal 431846.  Bookout with deal 431849.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10</xdr:row>
                <xdr:rowOff>7</xdr:rowOff>
              </xdr:from>
              <xdr:to>
                <xdr:col>7</xdr:col>
                <xdr:colOff>52</xdr:colOff>
                <xdr:row>15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<sst xmlns="http://schemas.openxmlformats.org/spreadsheetml/2006/main" count="1756" uniqueCount="393">
  <si>
    <t xml:space="preserve">Pricing Notes</t>
  </si>
  <si>
    <t xml:space="preserve">ENA will give CES the right to swing +/- 25% from their FOM volumes for the month of May, 2000.</t>
  </si>
  <si>
    <t xml:space="preserve">Some of the pricing for the swing volumes is shown below.</t>
  </si>
  <si>
    <t xml:space="preserve">Variable cost will be based on the apllicable FOM index price</t>
  </si>
  <si>
    <t xml:space="preserve">Volumes less than the FOM volumes will be defined as Undertakes.</t>
  </si>
  <si>
    <t xml:space="preserve">Volumes greater than the FOM volumes will be defined as Overtakes.</t>
  </si>
  <si>
    <t xml:space="preserve">Example:</t>
  </si>
  <si>
    <t xml:space="preserve">If the FOM Tetco M3 volume is 4,000 dt/day</t>
  </si>
  <si>
    <t xml:space="preserve">CES will be able to swing from 3,000 dt/day to 5,000 dt/day.</t>
  </si>
  <si>
    <t xml:space="preserve">For the 30th, ENA will pay CES $3.1700  for undertakes and $3.1900 for overtakes.</t>
  </si>
  <si>
    <t xml:space="preserve">If CES's volume for Tetco M3 on the 30th is 3176, then ENA bill CES for 4,000 dt at the Exhibit 1 price</t>
  </si>
  <si>
    <t xml:space="preserve">and ENA will buy from CES 824 dt at $3.1700</t>
  </si>
  <si>
    <t xml:space="preserve">If CES's volume for Tetco M3 on the 30th is 4300, then ENA will bill CES for 4,000 dt at the Exhibit 1 price </t>
  </si>
  <si>
    <t xml:space="preserve">and ENA will bill CES for 300 dt at $3.1900</t>
  </si>
  <si>
    <t xml:space="preserve">Pipeline</t>
  </si>
  <si>
    <t xml:space="preserve">FOM Volumes</t>
  </si>
  <si>
    <t xml:space="preserve">Deal Ticket #</t>
  </si>
  <si>
    <t xml:space="preserve">GD Posting</t>
  </si>
  <si>
    <t xml:space="preserve">Price</t>
  </si>
  <si>
    <t xml:space="preserve">Undertakes</t>
  </si>
  <si>
    <t xml:space="preserve">Overtakes</t>
  </si>
  <si>
    <t xml:space="preserve">Algonquin</t>
  </si>
  <si>
    <t xml:space="preserve">GD Algon Others</t>
  </si>
  <si>
    <t xml:space="preserve">GD Algo Citygate + .02</t>
  </si>
  <si>
    <t xml:space="preserve">      Buy Back</t>
  </si>
  <si>
    <t xml:space="preserve">      Overtakes</t>
  </si>
  <si>
    <t xml:space="preserve">CGAS Onshore</t>
  </si>
  <si>
    <t xml:space="preserve">GD Columbia - .01</t>
  </si>
  <si>
    <t xml:space="preserve">GD Columbia + .01</t>
  </si>
  <si>
    <t xml:space="preserve">CGAS Mainline</t>
  </si>
  <si>
    <t xml:space="preserve">GD Columbia, Mainline - .01</t>
  </si>
  <si>
    <t xml:space="preserve">GD Columbia, Mainline + .01</t>
  </si>
  <si>
    <t xml:space="preserve">CNG North Citygate</t>
  </si>
  <si>
    <t xml:space="preserve">GD CNG South Point - .01 plus variable</t>
  </si>
  <si>
    <t xml:space="preserve">GD CNG South Point + .025 plus variable</t>
  </si>
  <si>
    <t xml:space="preserve">CNG South Citygate</t>
  </si>
  <si>
    <t xml:space="preserve">GD CNG South Point + .01 plus variable</t>
  </si>
  <si>
    <t xml:space="preserve">CGAS</t>
  </si>
  <si>
    <t xml:space="preserve">GD CGAS App - .01 plus variable</t>
  </si>
  <si>
    <t xml:space="preserve">GD CGAS App + .02 plus variable</t>
  </si>
  <si>
    <t xml:space="preserve">Texas Gas Z4</t>
  </si>
  <si>
    <t xml:space="preserve">GD TGT Zone Gas SL - $.01 plus variable</t>
  </si>
  <si>
    <t xml:space="preserve">GD TGT Zone Gas SL + $.01 plus variable, up to CES's max available transport on TGT</t>
  </si>
  <si>
    <t xml:space="preserve">GD CNG South Point for all volumes greater than CES's max available transport</t>
  </si>
  <si>
    <t xml:space="preserve">Texas Eastern M3</t>
  </si>
  <si>
    <t xml:space="preserve">GD M3 - .01</t>
  </si>
  <si>
    <t xml:space="preserve">GD M3 + .01</t>
  </si>
  <si>
    <t xml:space="preserve">Texas Eastern Ela (UGI)</t>
  </si>
  <si>
    <t xml:space="preserve">GD Tetco Ela - .01</t>
  </si>
  <si>
    <t xml:space="preserve">GD Tetco Ela + .01</t>
  </si>
  <si>
    <t xml:space="preserve">Tenn Z6</t>
  </si>
  <si>
    <t xml:space="preserve">GD Tenn Z6(delivered) - .015</t>
  </si>
  <si>
    <t xml:space="preserve">GD Tenn Z6 (delivered) + .015</t>
  </si>
  <si>
    <t xml:space="preserve">Transco Z6 Non-New York</t>
  </si>
  <si>
    <t xml:space="preserve">GD Transco NNY - .02</t>
  </si>
  <si>
    <t xml:space="preserve">GD Transco NNY + .02</t>
  </si>
  <si>
    <t xml:space="preserve">Transco Z5 </t>
  </si>
  <si>
    <t xml:space="preserve">Must negotiate daily pricing</t>
  </si>
  <si>
    <t xml:space="preserve">Transco Z6 New York</t>
  </si>
  <si>
    <t xml:space="preserve">This includes deliveries to Bug, Con Ed, Lilco, and PSE&amp;G</t>
  </si>
  <si>
    <t xml:space="preserve">Equitrans</t>
  </si>
  <si>
    <t xml:space="preserve">Atlanta Gas Light Program</t>
  </si>
  <si>
    <t xml:space="preserve">Transco</t>
  </si>
  <si>
    <t xml:space="preserve">Sonat</t>
  </si>
  <si>
    <t xml:space="preserve">E Tenn</t>
  </si>
  <si>
    <t xml:space="preserve">A</t>
  </si>
  <si>
    <t xml:space="preserve">B</t>
  </si>
  <si>
    <t xml:space="preserve">C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</si>
  <si>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</si>
  <si>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</si>
  <si>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</si>
  <si>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</si>
  <si>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</si>
  <si>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</si>
  <si>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</si>
  <si>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</si>
  <si>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</si>
  <si>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</si>
  <si>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</si>
  <si>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</si>
  <si>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</si>
  <si>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</si>
  <si>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</si>
  <si>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</si>
  <si>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</si>
  <si>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</si>
  <si>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</si>
  <si>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</si>
  <si>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</si>
  <si>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A+B+C</t>
  </si>
  <si>
    <t xml:space="preserve">Storage</t>
  </si>
  <si>
    <t xml:space="preserve">F-I</t>
  </si>
  <si>
    <t xml:space="preserve">CES Retail</t>
  </si>
  <si>
    <t xml:space="preserve">Calp</t>
  </si>
  <si>
    <t xml:space="preserve">Dayton</t>
  </si>
  <si>
    <t xml:space="preserve">Total</t>
  </si>
  <si>
    <t xml:space="preserve">Gross</t>
  </si>
  <si>
    <t xml:space="preserve">Net</t>
  </si>
  <si>
    <t xml:space="preserve">Exhibit 1</t>
  </si>
  <si>
    <t xml:space="preserve">1st of Month</t>
  </si>
  <si>
    <t xml:space="preserve">Strg Vol</t>
  </si>
  <si>
    <t xml:space="preserve">Total Req</t>
  </si>
  <si>
    <t xml:space="preserve">O-K</t>
  </si>
  <si>
    <t xml:space="preserve">Gas Daily</t>
  </si>
  <si>
    <t xml:space="preserve">n/a</t>
  </si>
  <si>
    <t xml:space="preserve"> &lt;== Total Undertakes</t>
  </si>
  <si>
    <t xml:space="preserve">CNG</t>
  </si>
  <si>
    <t xml:space="preserve">FT</t>
  </si>
  <si>
    <t xml:space="preserve">Index</t>
  </si>
  <si>
    <t xml:space="preserve">Index Prem</t>
  </si>
  <si>
    <t xml:space="preserve">Comm</t>
  </si>
  <si>
    <t xml:space="preserve">Surcharges</t>
  </si>
  <si>
    <t xml:space="preserve">Fuel</t>
  </si>
  <si>
    <t xml:space="preserve">Transport</t>
  </si>
  <si>
    <t xml:space="preserve">Demand For ENA Trans</t>
  </si>
  <si>
    <t xml:space="preserve">Deal 384397</t>
  </si>
  <si>
    <t xml:space="preserve">FTS</t>
  </si>
  <si>
    <t xml:space="preserve">ENA Trsp</t>
  </si>
  <si>
    <t xml:space="preserve">Storage Injection:</t>
  </si>
  <si>
    <t xml:space="preserve">Inj Comm</t>
  </si>
  <si>
    <t xml:space="preserve">Deal 377076</t>
  </si>
  <si>
    <t xml:space="preserve">Deal 377245</t>
  </si>
  <si>
    <t xml:space="preserve">Does not apply for September.</t>
  </si>
  <si>
    <t xml:space="preserve">Other Deals</t>
  </si>
  <si>
    <t xml:space="preserve">Bookout - deal 289587 with deal 376880.  Deal 376880 is a NYMX plus sale to New Power.  ENA purchased the gas back</t>
  </si>
  <si>
    <t xml:space="preserve">at CGAS IF + $.0075 at the pool and includes the volume in the FOM citygate deal.</t>
  </si>
  <si>
    <t xml:space="preserve">Bookout - deal 378935 with deal 377268.   Deal 377268 is a NYMX plus deal for deliveries to WGL.  New Power is taking all deliveries to WGL</t>
  </si>
  <si>
    <t xml:space="preserve">on CGAS with CGAS FOM pricing.  I will purchase the TRCO gas back at the FOM CGAS citygate price of $4.9476.</t>
  </si>
  <si>
    <t xml:space="preserve">Bookout - deal 378939 with deal 377264.   Deal 377264 is a NYMX plus deal for deliveries to WGL.  New Power is taking all deliveries to WGL</t>
  </si>
  <si>
    <t xml:space="preserve">CGLF</t>
  </si>
  <si>
    <t xml:space="preserve">FT-1</t>
  </si>
  <si>
    <t xml:space="preserve">Volume</t>
  </si>
  <si>
    <t xml:space="preserve">Deal 378894 (bookout with deal 380571)</t>
  </si>
  <si>
    <t xml:space="preserve">Deals 433359 and 433385</t>
  </si>
  <si>
    <t xml:space="preserve">Deal 227081, 227113</t>
  </si>
  <si>
    <t xml:space="preserve">Note:  New Power purchased gas from ENA at CGLF Mainline (deal 202939).  ENA will buy this gas back at the CGLF Onshore Index plus $.05,</t>
  </si>
  <si>
    <t xml:space="preserve">and sell the gas back to New Power at CGAS pool at CGLFOnshore Index +$.05 + variable cost from Mainline to Leach.</t>
  </si>
  <si>
    <t xml:space="preserve">ENA will buy the CGAS Pool gas back at the FOM price for CGAS.</t>
  </si>
  <si>
    <t xml:space="preserve">IT</t>
  </si>
  <si>
    <t xml:space="preserve">Delivered Price</t>
  </si>
  <si>
    <t xml:space="preserve">Deal 229988  CES has 1,000 dth of FTS, price 1,000 day at the FTS rate, balance at the IT rate.</t>
  </si>
  <si>
    <t xml:space="preserve">Tenn Z1 - Z5</t>
  </si>
  <si>
    <t xml:space="preserve">Z1</t>
  </si>
  <si>
    <t xml:space="preserve">Deal 229573, 234424</t>
  </si>
  <si>
    <t xml:space="preserve">Ela</t>
  </si>
  <si>
    <t xml:space="preserve">Deal 228296 ENA will bill CES 895 dth/day at Ela + $.01 + transport</t>
  </si>
  <si>
    <t xml:space="preserve">The balance of the volumes on this deal will be billed Tetco M3 IF + $.01</t>
  </si>
  <si>
    <t xml:space="preserve">CES has 895 dt of Access to M3 space.</t>
  </si>
  <si>
    <t xml:space="preserve">FT Z3-Z6</t>
  </si>
  <si>
    <t xml:space="preserve">St 65</t>
  </si>
  <si>
    <t xml:space="preserve">Deal 232619</t>
  </si>
  <si>
    <t xml:space="preserve">FT Z3-Z4</t>
  </si>
  <si>
    <t xml:space="preserve">Deal 231742</t>
  </si>
  <si>
    <t xml:space="preserve">FT Z4-Z4 Rate Schedule FTSR No. 37F</t>
  </si>
  <si>
    <t xml:space="preserve">FT Z4-Z4 Rate Schedule FTCHR No. 37M</t>
  </si>
  <si>
    <t xml:space="preserve">St 85</t>
  </si>
  <si>
    <t xml:space="preserve">(excluded Great Plains)</t>
  </si>
  <si>
    <t xml:space="preserve">Deal 231741</t>
  </si>
  <si>
    <t xml:space="preserve">Deal 206266</t>
  </si>
  <si>
    <t xml:space="preserve">FT Z4-Z5 PSNC Volumetric Release</t>
  </si>
  <si>
    <t xml:space="preserve">Deal 158693.  PSNC sends ENA an invoice for this gas.  ENA will forward this to PSNC each month.</t>
  </si>
  <si>
    <t xml:space="preserve">Volumetric Demand</t>
  </si>
  <si>
    <t xml:space="preserve">Deal 157591.  Because this is a volumetric contract, the demand charge</t>
  </si>
  <si>
    <t xml:space="preserve">for the capacity is included in the sales price.  There should not be a demand</t>
  </si>
  <si>
    <t xml:space="preserve">charge for this contract on the capacity worksheet.</t>
  </si>
  <si>
    <t xml:space="preserve">FT Z3-Z5</t>
  </si>
  <si>
    <t xml:space="preserve">Deal 232614</t>
  </si>
  <si>
    <t xml:space="preserve">Texas Gas</t>
  </si>
  <si>
    <t xml:space="preserve">SL</t>
  </si>
  <si>
    <t xml:space="preserve"> </t>
  </si>
  <si>
    <t xml:space="preserve">La</t>
  </si>
  <si>
    <t xml:space="preserve">Deal 231744</t>
  </si>
  <si>
    <t xml:space="preserve">CES East Desk Transportation Capacity for October, 2000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</si>
  <si>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</si>
  <si>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</si>
  <si>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</si>
  <si>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</si>
  <si>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</si>
  <si>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</si>
  <si>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</si>
  <si>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</si>
  <si>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</si>
  <si>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</si>
  <si>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</si>
  <si>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</si>
  <si>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</si>
  <si>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</si>
  <si>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</si>
  <si>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</si>
  <si>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</si>
  <si>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</si>
  <si>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</si>
  <si>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</si>
  <si>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</si>
  <si>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</si>
  <si>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</si>
  <si>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</si>
  <si>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</si>
  <si>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</si>
  <si>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</si>
  <si>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ENA</t>
  </si>
  <si>
    <t xml:space="preserve">Col Gulf</t>
  </si>
  <si>
    <t xml:space="preserve">CVA</t>
  </si>
  <si>
    <t xml:space="preserve">Rayne</t>
  </si>
  <si>
    <t xml:space="preserve">Leach</t>
  </si>
  <si>
    <t xml:space="preserve">FTS-1</t>
  </si>
  <si>
    <t xml:space="preserve">CMD</t>
  </si>
  <si>
    <t xml:space="preserve">Bought to serve retail requirements, feeds K#65026</t>
  </si>
  <si>
    <t xml:space="preserve">Commodity and fuel  on sheet looks like CGAS .  CGLF rate and fuel is $.017 and 2.988%</t>
  </si>
  <si>
    <t xml:space="preserve">6/31/01</t>
  </si>
  <si>
    <t xml:space="preserve">From CES #66615</t>
  </si>
  <si>
    <t xml:space="preserve">#29638</t>
  </si>
  <si>
    <t xml:space="preserve">#29637</t>
  </si>
  <si>
    <t xml:space="preserve">#29879</t>
  </si>
  <si>
    <t xml:space="preserve">#30177</t>
  </si>
  <si>
    <t xml:space="preserve">#28632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</si>
  <si>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</si>
  <si>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</si>
  <si>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</si>
  <si>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</si>
  <si>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</si>
  <si>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2000001931</t>
  </si>
  <si>
    <t xml:space="preserve">MDWQ</t>
  </si>
  <si>
    <t xml:space="preserve">2000001942</t>
  </si>
  <si>
    <t xml:space="preserve">Z3</t>
  </si>
  <si>
    <t xml:space="preserve">FSNG101</t>
  </si>
  <si>
    <t xml:space="preserve">2000001980</t>
  </si>
  <si>
    <t xml:space="preserve">2000001653</t>
  </si>
  <si>
    <t xml:space="preserve">Z2</t>
  </si>
  <si>
    <t xml:space="preserve">z3</t>
  </si>
  <si>
    <t xml:space="preserve">2000001977</t>
  </si>
  <si>
    <t xml:space="preserve">2000001914</t>
  </si>
  <si>
    <t xml:space="preserve">2000001890</t>
  </si>
  <si>
    <t xml:space="preserve">SGA</t>
  </si>
  <si>
    <t xml:space="preserve">FSGA25</t>
  </si>
  <si>
    <t xml:space="preserve">2000002078</t>
  </si>
  <si>
    <t xml:space="preserve">2000001952</t>
  </si>
  <si>
    <t xml:space="preserve">Tenn</t>
  </si>
  <si>
    <t xml:space="preserve">Atlanta</t>
  </si>
  <si>
    <t xml:space="preserve">10/31/000</t>
  </si>
  <si>
    <t xml:space="preserve">Various</t>
  </si>
  <si>
    <t xml:space="preserve">020042 East Lobelville</t>
  </si>
  <si>
    <t xml:space="preserve">FT-A</t>
  </si>
  <si>
    <t xml:space="preserve">max demand</t>
  </si>
  <si>
    <t xml:space="preserve">Released month to month</t>
  </si>
  <si>
    <t xml:space="preserve">East Tenn</t>
  </si>
  <si>
    <t xml:space="preserve">Lobelville</t>
  </si>
  <si>
    <t xml:space="preserve">Bear Creek</t>
  </si>
  <si>
    <t xml:space="preserve">Stor</t>
  </si>
  <si>
    <t xml:space="preserve">Portland Storage</t>
  </si>
  <si>
    <t xml:space="preserve">FS-MA</t>
  </si>
  <si>
    <t xml:space="preserve">St 30</t>
  </si>
  <si>
    <t xml:space="preserve">6484 Atlanta</t>
  </si>
  <si>
    <t xml:space="preserve">FT -R</t>
  </si>
  <si>
    <t xml:space="preserve">#021351</t>
  </si>
  <si>
    <t xml:space="preserve">St 45</t>
  </si>
  <si>
    <t xml:space="preserve">#021608</t>
  </si>
  <si>
    <t xml:space="preserve">10/31/00.</t>
  </si>
  <si>
    <t xml:space="preserve">#021349</t>
  </si>
  <si>
    <t xml:space="preserve">6971 St 85</t>
  </si>
  <si>
    <t xml:space="preserve">FTCHR</t>
  </si>
  <si>
    <t xml:space="preserve">#021350</t>
  </si>
  <si>
    <t xml:space="preserve">#021609</t>
  </si>
  <si>
    <t xml:space="preserve">#021610</t>
  </si>
  <si>
    <t xml:space="preserve">WSR Capacity</t>
  </si>
  <si>
    <t xml:space="preserve">WSR</t>
  </si>
  <si>
    <t xml:space="preserve">#021646</t>
  </si>
  <si>
    <t xml:space="preserve">WSR Demand</t>
  </si>
  <si>
    <t xml:space="preserve">#021378</t>
  </si>
  <si>
    <t xml:space="preserve">9/31/2003</t>
  </si>
  <si>
    <t xml:space="preserve">ESR Capacity</t>
  </si>
  <si>
    <t xml:space="preserve">ESR</t>
  </si>
  <si>
    <t xml:space="preserve">#021377</t>
  </si>
  <si>
    <t xml:space="preserve">ESR Demand</t>
  </si>
  <si>
    <t xml:space="preserve">#021645</t>
  </si>
  <si>
    <t xml:space="preserve">#21645</t>
  </si>
  <si>
    <t xml:space="preserve">Deal 211642</t>
  </si>
  <si>
    <t xml:space="preserve">100% Reimbursed from CES</t>
  </si>
  <si>
    <t xml:space="preserve">Cust / LDC</t>
  </si>
  <si>
    <t xml:space="preserve">Questions</t>
  </si>
  <si>
    <t xml:space="preserve">GSSTE</t>
  </si>
  <si>
    <t xml:space="preserve">#14174</t>
  </si>
  <si>
    <t xml:space="preserve">#14376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</si>
  <si>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</si>
  <si>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</si>
  <si>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</si>
  <si>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</si>
  <si>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</si>
  <si>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734462 Cygnet</t>
  </si>
  <si>
    <t xml:space="preserve">23N-7 Sandusky</t>
  </si>
  <si>
    <t xml:space="preserve">#22429</t>
  </si>
  <si>
    <t xml:space="preserve">CES</t>
  </si>
  <si>
    <t xml:space="preserve">A3 Maumee</t>
  </si>
  <si>
    <t xml:space="preserve">23N-2 COH 5</t>
  </si>
  <si>
    <t xml:space="preserve">#22428; Primary to Op 5, ROFR</t>
  </si>
  <si>
    <t xml:space="preserve">F4 Monclova</t>
  </si>
  <si>
    <t xml:space="preserve">734462 Crossroads</t>
  </si>
  <si>
    <t xml:space="preserve">23-4 COH-07 Alliance</t>
  </si>
  <si>
    <t xml:space="preserve">#22422</t>
  </si>
  <si>
    <t xml:space="preserve">23-4 COH-07-4</t>
  </si>
  <si>
    <t xml:space="preserve">#22747; Primary to contrained Op 7, ROFR</t>
  </si>
  <si>
    <t xml:space="preserve">Coh 7-9</t>
  </si>
  <si>
    <t xml:space="preserve">#23652</t>
  </si>
  <si>
    <t xml:space="preserve">Just added to march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</si>
  <si>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</si>
  <si>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</si>
  <si>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</si>
  <si>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</si>
  <si>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CES / CVA</t>
  </si>
  <si>
    <t xml:space="preserve">801 - Leach</t>
  </si>
  <si>
    <t xml:space="preserve">CGV-30</t>
  </si>
  <si>
    <t xml:space="preserve">#28933</t>
  </si>
  <si>
    <t xml:space="preserve">CES / CMD</t>
  </si>
  <si>
    <t xml:space="preserve">CMD-08, CMD-04</t>
  </si>
  <si>
    <t xml:space="preserve">#28962</t>
  </si>
  <si>
    <t xml:space="preserve">#29281</t>
  </si>
  <si>
    <t xml:space="preserve">Original Parcel #68613</t>
  </si>
  <si>
    <t xml:space="preserve">CMD-08</t>
  </si>
  <si>
    <t xml:space="preserve">#29291</t>
  </si>
  <si>
    <t xml:space="preserve">#29636</t>
  </si>
  <si>
    <t xml:space="preserve">#29635</t>
  </si>
  <si>
    <t xml:space="preserve">#26726</t>
  </si>
  <si>
    <t xml:space="preserve">CES / CPA</t>
  </si>
  <si>
    <t xml:space="preserve">CPA-08</t>
  </si>
  <si>
    <t xml:space="preserve">#26754</t>
  </si>
  <si>
    <t xml:space="preserve">CPA-04</t>
  </si>
  <si>
    <t xml:space="preserve">#26753</t>
  </si>
  <si>
    <t xml:space="preserve">CES / BG&amp;E</t>
  </si>
  <si>
    <t xml:space="preserve">BG&amp;E-10</t>
  </si>
  <si>
    <t xml:space="preserve">No offer</t>
  </si>
  <si>
    <t xml:space="preserve">#26722</t>
  </si>
  <si>
    <t xml:space="preserve">#27127</t>
  </si>
  <si>
    <t xml:space="preserve">801-Leach</t>
  </si>
  <si>
    <t xml:space="preserve">19-26</t>
  </si>
  <si>
    <t xml:space="preserve">#27772</t>
  </si>
  <si>
    <t xml:space="preserve">19-27</t>
  </si>
  <si>
    <t xml:space="preserve">#27991</t>
  </si>
  <si>
    <t xml:space="preserve">#29290</t>
  </si>
  <si>
    <t xml:space="preserve">TCO</t>
  </si>
  <si>
    <t xml:space="preserve">evergreen</t>
  </si>
  <si>
    <t xml:space="preserve">AS Pooling Agreement</t>
  </si>
  <si>
    <t xml:space="preserve">AS</t>
  </si>
  <si>
    <t xml:space="preserve">#28332</t>
  </si>
  <si>
    <t xml:space="preserve">19-32</t>
  </si>
  <si>
    <t xml:space="preserve">19E</t>
  </si>
  <si>
    <t xml:space="preserve">CPA</t>
  </si>
  <si>
    <t xml:space="preserve">25-36</t>
  </si>
  <si>
    <t xml:space="preserve">#28331</t>
  </si>
  <si>
    <t xml:space="preserve">25-39</t>
  </si>
  <si>
    <t xml:space="preserve">a05-Delmont</t>
  </si>
  <si>
    <t xml:space="preserve">25-26</t>
  </si>
  <si>
    <t xml:space="preserve">#28742</t>
  </si>
  <si>
    <t xml:space="preserve">4 BG&amp;E</t>
  </si>
  <si>
    <t xml:space="preserve">#26714 ENA purchased from CES</t>
  </si>
  <si>
    <t xml:space="preserve">ENA Bought 19,293 @.18 see annuity deal 327906</t>
  </si>
  <si>
    <t xml:space="preserve">CGV-10-30</t>
  </si>
  <si>
    <t xml:space="preserve">19e, 19-32, 19-27, 19-26</t>
  </si>
  <si>
    <t xml:space="preserve">#29880</t>
  </si>
  <si>
    <t xml:space="preserve">19-26, 19-27, 19e</t>
  </si>
  <si>
    <t xml:space="preserve">#30178</t>
  </si>
  <si>
    <t xml:space="preserve">46-30 OPT 10-30</t>
  </si>
  <si>
    <t xml:space="preserve">#28631</t>
  </si>
  <si>
    <t xml:space="preserve">Equit</t>
  </si>
  <si>
    <t xml:space="preserve">Envirogas</t>
  </si>
  <si>
    <t xml:space="preserve">11089</t>
  </si>
  <si>
    <t xml:space="preserve">TEPE 0144</t>
  </si>
  <si>
    <t xml:space="preserve">TSP</t>
  </si>
  <si>
    <t xml:space="preserve">Svc Contract</t>
  </si>
  <si>
    <t xml:space="preserve">Rate</t>
  </si>
  <si>
    <t xml:space="preserve">Park/Lend</t>
  </si>
  <si>
    <t xml:space="preserve">OPT</t>
  </si>
  <si>
    <t xml:space="preserve">Term Start</t>
  </si>
  <si>
    <t xml:space="preserve">Term end</t>
  </si>
  <si>
    <t xml:space="preserve">Offer</t>
  </si>
  <si>
    <t xml:space="preserve">MDQ</t>
  </si>
  <si>
    <t xml:space="preserve">SCQ</t>
  </si>
  <si>
    <t xml:space="preserve">Available MDQ</t>
  </si>
  <si>
    <t xml:space="preserve">Released</t>
  </si>
  <si>
    <t xml:space="preserve">Recall</t>
  </si>
  <si>
    <t xml:space="preserve"> TCO</t>
  </si>
  <si>
    <t xml:space="preserve">IPP</t>
  </si>
  <si>
    <t xml:space="preserve"> </t>
  </si>
  <si>
    <t xml:space="preserve">SIT</t>
  </si>
  <si>
    <t xml:space="preserve">IGS</t>
  </si>
  <si>
    <t xml:space="preserve">ITS</t>
  </si>
  <si>
    <t xml:space="preserve">KOT</t>
  </si>
  <si>
    <t xml:space="preserve">PAL</t>
  </si>
  <si>
    <t xml:space="preserve">LEND</t>
  </si>
  <si>
    <t xml:space="preserve"> COLUMBIA GULF</t>
  </si>
  <si>
    <t xml:space="preserve">FTS2</t>
  </si>
  <si>
    <t xml:space="preserve">ITS2</t>
  </si>
  <si>
    <t xml:space="preserve">FTS1</t>
  </si>
  <si>
    <t xml:space="preserve">ITS1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</si>
</sst>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_);_(* \(#,##0\);_(* \-??_);_(@_)"/>
    <numFmt numFmtId="169" formatCode="\$#,##0.0000_);&quot;($&quot;#,##0.0000\)"/>
    <numFmt numFmtId="170" formatCode="0%"/>
    <numFmt numFmtId="171" formatCode="0.0000%"/>
    <numFmt numFmtId="172" formatCode="\$#,##0.00_);&quot;($&quot;#,##0.00\)"/>
    <numFmt numFmtId="173" formatCode="0.00%"/>
    <numFmt numFmtId="174" formatCode="0.000%"/>
    <numFmt numFmtId="175" formatCode="[$-409]#,##0_);[RED]\(#,##0\)"/>
    <numFmt numFmtId="176" formatCode="[$-409]m/d/yyyy"/>
    <numFmt numFmtId="177" formatCode="#,##0"/>
    <numFmt numFmtId="178" formatCode="\$#,##0.0000_);[RED]&quot;($&quot;#,##0.0000\)"/>
    <numFmt numFmtId="179" formatCode="0"/>
    <numFmt numFmtId="180" formatCode="#,##0.00000"/>
    <numFmt numFmtId="181" formatCode="@"/>
    <numFmt numFmtId="182" formatCode="[$-409]d\-mmm"/>
    <numFmt numFmtId="183" formatCode="[$-409]#,##0.00_);[RED]\(#,##0.00\)"/>
    <numFmt numFmtId="184" formatCode="0_);[RED]\(0\)"/>
    <numFmt numFmtId="185" formatCode="0.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0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2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2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7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3" min="2" style="0" width="17.56"/>
    <col collapsed="false" customWidth="true" hidden="false" outlineLevel="0" max="4" min="4" style="0" width="14.14"/>
    <col collapsed="false" customWidth="true" hidden="false" outlineLevel="0" max="5" min="5" style="1" width="11.7"/>
    <col collapsed="false" customWidth="true" hidden="false" outlineLevel="0" max="6" min="6" style="1" width="10.41"/>
    <col collapsed="false" customWidth="true" hidden="false" outlineLevel="0" max="7" min="7" style="0" width="38.56"/>
    <col collapsed="false" customWidth="true" hidden="false" outlineLevel="0" max="9" min="8" style="1" width="11.42"/>
  </cols>
  <sheetData>
    <row r="1" customFormat="false" ht="12.75" hidden="false" customHeight="false" outlineLevel="0" collapsed="false">
      <c r="A1" s="2" t="s">
        <v>0</v>
      </c>
      <c r="B1" s="2"/>
      <c r="C1" s="2"/>
      <c r="E1" s="1" t="s">
        <v>1</v>
      </c>
    </row>
    <row r="2" customFormat="false" ht="12.75" hidden="false" customHeight="false" outlineLevel="0" collapsed="false">
      <c r="E2" s="1" t="s">
        <v>2</v>
      </c>
    </row>
    <row r="3" customFormat="false" ht="12.75" hidden="false" customHeight="false" outlineLevel="0" collapsed="false">
      <c r="E3" s="1" t="s">
        <v>3</v>
      </c>
    </row>
    <row r="4" customFormat="false" ht="12.75" hidden="false" customHeight="false" outlineLevel="0" collapsed="false">
      <c r="E4" s="1" t="s">
        <v>4</v>
      </c>
    </row>
    <row r="5" customFormat="false" ht="12.75" hidden="false" customHeight="false" outlineLevel="0" collapsed="false">
      <c r="E5" s="1" t="s">
        <v>5</v>
      </c>
    </row>
    <row r="7" customFormat="false" ht="12.75" hidden="false" customHeight="false" outlineLevel="0" collapsed="false">
      <c r="D7" s="0" t="s">
        <v>6</v>
      </c>
      <c r="E7" s="1" t="s">
        <v>7</v>
      </c>
    </row>
    <row r="8" customFormat="false" ht="12.75" hidden="false" customHeight="false" outlineLevel="0" collapsed="false">
      <c r="E8" s="1" t="s">
        <v>8</v>
      </c>
    </row>
    <row r="9" customFormat="false" ht="12.75" hidden="false" customHeight="false" outlineLevel="0" collapsed="false">
      <c r="E9" s="1" t="s">
        <v>9</v>
      </c>
    </row>
    <row r="10" customFormat="false" ht="12.75" hidden="false" customHeight="false" outlineLevel="0" collapsed="false">
      <c r="E10" s="1" t="s">
        <v>10</v>
      </c>
    </row>
    <row r="11" customFormat="false" ht="12.75" hidden="false" customHeight="false" outlineLevel="0" collapsed="false">
      <c r="F11" s="1" t="s">
        <v>11</v>
      </c>
    </row>
    <row r="12" customFormat="false" ht="12.75" hidden="false" customHeight="false" outlineLevel="0" collapsed="false">
      <c r="E12" s="1" t="s">
        <v>12</v>
      </c>
    </row>
    <row r="13" customFormat="false" ht="12.75" hidden="false" customHeight="false" outlineLevel="0" collapsed="false">
      <c r="F13" s="1" t="s">
        <v>13</v>
      </c>
    </row>
    <row r="16" customFormat="false" ht="12.75" hidden="false" customHeight="false" outlineLevel="0" collapsed="false">
      <c r="A16" s="2" t="s">
        <v>14</v>
      </c>
      <c r="B16" s="2" t="s">
        <v>15</v>
      </c>
      <c r="C16" s="2" t="s">
        <v>16</v>
      </c>
      <c r="E16" s="3" t="s">
        <v>17</v>
      </c>
      <c r="F16" s="3" t="s">
        <v>18</v>
      </c>
      <c r="G16" s="2" t="s">
        <v>19</v>
      </c>
      <c r="H16" s="3" t="s">
        <v>17</v>
      </c>
      <c r="I16" s="3" t="s">
        <v>18</v>
      </c>
      <c r="J16" s="2" t="s">
        <v>20</v>
      </c>
    </row>
    <row r="18" customFormat="false" ht="12.75" hidden="false" customHeight="false" outlineLevel="0" collapsed="false">
      <c r="A18" s="0" t="s">
        <v>21</v>
      </c>
      <c r="B18" s="4" t="n">
        <v>2159</v>
      </c>
      <c r="C18" s="0" t="n">
        <v>228293</v>
      </c>
      <c r="E18" s="1" t="n">
        <v>3.1</v>
      </c>
      <c r="F18" s="1" t="n">
        <v>3.1</v>
      </c>
      <c r="G18" s="0" t="s">
        <v>22</v>
      </c>
      <c r="H18" s="1" t="n">
        <v>3.155</v>
      </c>
      <c r="I18" s="1" t="n">
        <f aca="false">3.155+0.02</f>
        <v>3.175</v>
      </c>
      <c r="J18" s="0" t="s">
        <v>23</v>
      </c>
    </row>
    <row r="19" customFormat="false" ht="12.75" hidden="false" customHeight="false" outlineLevel="0" collapsed="false">
      <c r="A19" s="0" t="s">
        <v>24</v>
      </c>
      <c r="B19" s="4"/>
      <c r="C19" s="0" t="n">
        <v>248838</v>
      </c>
    </row>
    <row r="20" customFormat="false" ht="12.75" hidden="false" customHeight="false" outlineLevel="0" collapsed="false">
      <c r="A20" s="0" t="s">
        <v>25</v>
      </c>
      <c r="B20" s="4"/>
      <c r="C20" s="0" t="n">
        <v>251539</v>
      </c>
    </row>
    <row r="21" customFormat="false" ht="14.25" hidden="false" customHeight="true" outlineLevel="0" collapsed="false">
      <c r="B21" s="4"/>
    </row>
    <row r="22" customFormat="false" ht="12.75" hidden="false" customHeight="false" outlineLevel="0" collapsed="false">
      <c r="A22" s="0" t="s">
        <v>26</v>
      </c>
      <c r="B22" s="4"/>
      <c r="G22" s="0" t="s">
        <v>27</v>
      </c>
      <c r="J22" s="0" t="s">
        <v>28</v>
      </c>
    </row>
    <row r="23" customFormat="false" ht="12.75" hidden="false" customHeight="false" outlineLevel="0" collapsed="false">
      <c r="A23" s="0" t="s">
        <v>24</v>
      </c>
      <c r="B23" s="4"/>
    </row>
    <row r="24" customFormat="false" ht="12.75" hidden="false" customHeight="false" outlineLevel="0" collapsed="false">
      <c r="A24" s="0" t="s">
        <v>25</v>
      </c>
      <c r="B24" s="4"/>
    </row>
    <row r="25" customFormat="false" ht="12.75" hidden="false" customHeight="false" outlineLevel="0" collapsed="false">
      <c r="B25" s="4"/>
    </row>
    <row r="26" customFormat="false" ht="12.75" hidden="false" customHeight="false" outlineLevel="0" collapsed="false">
      <c r="A26" s="0" t="s">
        <v>29</v>
      </c>
      <c r="B26" s="4"/>
      <c r="G26" s="0" t="s">
        <v>30</v>
      </c>
      <c r="J26" s="0" t="s">
        <v>31</v>
      </c>
    </row>
    <row r="27" customFormat="false" ht="12.75" hidden="false" customHeight="false" outlineLevel="0" collapsed="false">
      <c r="A27" s="0" t="s">
        <v>24</v>
      </c>
      <c r="B27" s="4"/>
    </row>
    <row r="28" customFormat="false" ht="12.75" hidden="false" customHeight="false" outlineLevel="0" collapsed="false">
      <c r="A28" s="0" t="s">
        <v>25</v>
      </c>
      <c r="B28" s="4"/>
    </row>
    <row r="29" customFormat="false" ht="14.25" hidden="false" customHeight="true" outlineLevel="0" collapsed="false">
      <c r="B29" s="4"/>
    </row>
    <row r="30" customFormat="false" ht="12.75" hidden="false" customHeight="false" outlineLevel="0" collapsed="false">
      <c r="A30" s="0" t="s">
        <v>32</v>
      </c>
      <c r="B30" s="4" t="n">
        <v>3054</v>
      </c>
      <c r="C30" s="0" t="n">
        <v>228246</v>
      </c>
      <c r="E30" s="1" t="n">
        <v>3.14</v>
      </c>
      <c r="G30" s="0" t="s">
        <v>33</v>
      </c>
      <c r="H30" s="1" t="n">
        <v>3.14</v>
      </c>
      <c r="J30" s="0" t="s">
        <v>34</v>
      </c>
    </row>
    <row r="31" customFormat="false" ht="12.75" hidden="false" customHeight="false" outlineLevel="0" collapsed="false">
      <c r="A31" s="0" t="s">
        <v>24</v>
      </c>
      <c r="B31" s="4"/>
      <c r="C31" s="0" t="n">
        <v>251635</v>
      </c>
    </row>
    <row r="32" customFormat="false" ht="12.75" hidden="false" customHeight="false" outlineLevel="0" collapsed="false">
      <c r="A32" s="0" t="s">
        <v>25</v>
      </c>
      <c r="B32" s="4"/>
      <c r="C32" s="0" t="n">
        <v>251633</v>
      </c>
    </row>
    <row r="33" customFormat="false" ht="12.75" hidden="false" customHeight="false" outlineLevel="0" collapsed="false">
      <c r="B33" s="4"/>
    </row>
    <row r="34" customFormat="false" ht="12.75" hidden="false" customHeight="false" outlineLevel="0" collapsed="false">
      <c r="A34" s="0" t="s">
        <v>35</v>
      </c>
      <c r="B34" s="4" t="n">
        <v>3960</v>
      </c>
      <c r="C34" s="0" t="n">
        <v>228234</v>
      </c>
      <c r="E34" s="1" t="n">
        <v>3.14</v>
      </c>
      <c r="G34" s="0" t="s">
        <v>33</v>
      </c>
      <c r="H34" s="1" t="n">
        <v>3.14</v>
      </c>
      <c r="J34" s="0" t="s">
        <v>36</v>
      </c>
    </row>
    <row r="35" customFormat="false" ht="12.75" hidden="false" customHeight="false" outlineLevel="0" collapsed="false">
      <c r="A35" s="0" t="s">
        <v>24</v>
      </c>
      <c r="B35" s="4"/>
      <c r="C35" s="0" t="n">
        <v>251630</v>
      </c>
    </row>
    <row r="36" customFormat="false" ht="12.75" hidden="false" customHeight="false" outlineLevel="0" collapsed="false">
      <c r="A36" s="0" t="s">
        <v>25</v>
      </c>
      <c r="B36" s="4"/>
      <c r="C36" s="0" t="n">
        <v>251620</v>
      </c>
    </row>
    <row r="37" customFormat="false" ht="12.75" hidden="false" customHeight="false" outlineLevel="0" collapsed="false">
      <c r="B37" s="4"/>
    </row>
    <row r="38" customFormat="false" ht="12.75" hidden="false" customHeight="false" outlineLevel="0" collapsed="false">
      <c r="A38" s="0" t="s">
        <v>37</v>
      </c>
      <c r="B38" s="4" t="n">
        <v>111210</v>
      </c>
      <c r="E38" s="1" t="n">
        <v>3.035</v>
      </c>
      <c r="G38" s="0" t="s">
        <v>38</v>
      </c>
      <c r="H38" s="1" t="n">
        <v>3.035</v>
      </c>
      <c r="J38" s="0" t="s">
        <v>39</v>
      </c>
    </row>
    <row r="39" customFormat="false" ht="12.75" hidden="false" customHeight="false" outlineLevel="0" collapsed="false">
      <c r="B39" s="4"/>
    </row>
    <row r="40" customFormat="false" ht="12.75" hidden="false" customHeight="false" outlineLevel="0" collapsed="false">
      <c r="A40" s="0" t="s">
        <v>40</v>
      </c>
      <c r="B40" s="4" t="n">
        <v>1665</v>
      </c>
      <c r="C40" s="0" t="n">
        <v>251753</v>
      </c>
      <c r="G40" s="0" t="s">
        <v>41</v>
      </c>
      <c r="H40" s="1" t="n">
        <f aca="false">3.035+0.02</f>
        <v>3.055</v>
      </c>
      <c r="J40" s="0" t="s">
        <v>42</v>
      </c>
    </row>
    <row r="41" customFormat="false" ht="12.75" hidden="false" customHeight="false" outlineLevel="0" collapsed="false">
      <c r="A41" s="0" t="s">
        <v>24</v>
      </c>
      <c r="B41" s="4"/>
      <c r="C41" s="0" t="n">
        <v>251755</v>
      </c>
      <c r="J41" s="0" t="s">
        <v>43</v>
      </c>
    </row>
    <row r="42" customFormat="false" ht="12.75" hidden="false" customHeight="false" outlineLevel="0" collapsed="false">
      <c r="A42" s="0" t="s">
        <v>25</v>
      </c>
      <c r="B42" s="4"/>
      <c r="C42" s="0" t="n">
        <v>251757</v>
      </c>
    </row>
    <row r="43" customFormat="false" ht="12.75" hidden="false" customHeight="false" outlineLevel="0" collapsed="false">
      <c r="B43" s="4"/>
    </row>
    <row r="44" customFormat="false" ht="12.75" hidden="false" customHeight="false" outlineLevel="0" collapsed="false">
      <c r="A44" s="0" t="s">
        <v>44</v>
      </c>
      <c r="B44" s="4" t="n">
        <v>4717</v>
      </c>
      <c r="C44" s="0" t="n">
        <v>250260</v>
      </c>
      <c r="E44" s="1" t="n">
        <f aca="false">3.18</f>
        <v>3.18</v>
      </c>
      <c r="F44" s="1" t="n">
        <f aca="false">3.18-0.01</f>
        <v>3.17</v>
      </c>
      <c r="G44" s="0" t="s">
        <v>45</v>
      </c>
      <c r="H44" s="1" t="n">
        <f aca="false">3.18</f>
        <v>3.18</v>
      </c>
      <c r="I44" s="1" t="n">
        <f aca="false">3.18+0.01</f>
        <v>3.19</v>
      </c>
      <c r="J44" s="0" t="s">
        <v>46</v>
      </c>
    </row>
    <row r="45" customFormat="false" ht="12.75" hidden="false" customHeight="false" outlineLevel="0" collapsed="false">
      <c r="A45" s="0" t="s">
        <v>24</v>
      </c>
      <c r="B45" s="4"/>
      <c r="C45" s="0" t="n">
        <v>251295</v>
      </c>
    </row>
    <row r="46" customFormat="false" ht="12.75" hidden="false" customHeight="false" outlineLevel="0" collapsed="false">
      <c r="A46" s="0" t="s">
        <v>25</v>
      </c>
      <c r="B46" s="4"/>
      <c r="C46" s="0" t="n">
        <v>251268</v>
      </c>
    </row>
    <row r="47" customFormat="false" ht="12.75" hidden="false" customHeight="false" outlineLevel="0" collapsed="false">
      <c r="B47" s="4"/>
    </row>
    <row r="48" customFormat="false" ht="12.75" hidden="false" customHeight="false" outlineLevel="0" collapsed="false">
      <c r="A48" s="0" t="s">
        <v>47</v>
      </c>
      <c r="B48" s="4"/>
      <c r="C48" s="0" t="n">
        <v>250257</v>
      </c>
      <c r="E48" s="1" t="n">
        <f aca="false">2.83</f>
        <v>2.83</v>
      </c>
      <c r="F48" s="1" t="n">
        <f aca="false">2.83-0.01</f>
        <v>2.82</v>
      </c>
      <c r="G48" s="0" t="s">
        <v>48</v>
      </c>
      <c r="H48" s="1" t="n">
        <f aca="false">2.83</f>
        <v>2.83</v>
      </c>
      <c r="I48" s="1" t="n">
        <f aca="false">2.83+0.01</f>
        <v>2.84</v>
      </c>
      <c r="J48" s="0" t="s">
        <v>49</v>
      </c>
    </row>
    <row r="49" customFormat="false" ht="12.75" hidden="false" customHeight="false" outlineLevel="0" collapsed="false">
      <c r="A49" s="0" t="s">
        <v>24</v>
      </c>
      <c r="B49" s="4"/>
      <c r="C49" s="0" t="n">
        <v>251732</v>
      </c>
    </row>
    <row r="50" customFormat="false" ht="12.75" hidden="false" customHeight="false" outlineLevel="0" collapsed="false">
      <c r="A50" s="0" t="s">
        <v>25</v>
      </c>
      <c r="B50" s="4"/>
      <c r="C50" s="0" t="n">
        <v>251736</v>
      </c>
    </row>
    <row r="51" customFormat="false" ht="12.75" hidden="false" customHeight="false" outlineLevel="0" collapsed="false">
      <c r="B51" s="4"/>
    </row>
    <row r="52" customFormat="false" ht="12.75" hidden="false" customHeight="false" outlineLevel="0" collapsed="false">
      <c r="A52" s="0" t="s">
        <v>50</v>
      </c>
      <c r="B52" s="4" t="n">
        <v>2330</v>
      </c>
      <c r="C52" s="0" t="n">
        <v>229573</v>
      </c>
      <c r="G52" s="0" t="s">
        <v>51</v>
      </c>
      <c r="J52" s="0" t="s">
        <v>52</v>
      </c>
    </row>
    <row r="53" customFormat="false" ht="12.75" hidden="false" customHeight="false" outlineLevel="0" collapsed="false">
      <c r="A53" s="0" t="s">
        <v>24</v>
      </c>
      <c r="B53" s="4"/>
      <c r="C53" s="0" t="n">
        <v>250281</v>
      </c>
    </row>
    <row r="54" customFormat="false" ht="12.75" hidden="false" customHeight="false" outlineLevel="0" collapsed="false">
      <c r="A54" s="0" t="s">
        <v>25</v>
      </c>
      <c r="B54" s="4"/>
      <c r="C54" s="0" t="n">
        <v>250290</v>
      </c>
    </row>
    <row r="55" customFormat="false" ht="12.75" hidden="false" customHeight="false" outlineLevel="0" collapsed="false">
      <c r="B55" s="4"/>
    </row>
    <row r="56" customFormat="false" ht="12.75" hidden="false" customHeight="false" outlineLevel="0" collapsed="false">
      <c r="A56" s="0" t="s">
        <v>53</v>
      </c>
      <c r="B56" s="4" t="n">
        <v>145</v>
      </c>
      <c r="C56" s="0" t="n">
        <v>253490</v>
      </c>
      <c r="E56" s="1" t="n">
        <f aca="false">3.135</f>
        <v>3.135</v>
      </c>
      <c r="F56" s="1" t="n">
        <f aca="false">3.135-0.02</f>
        <v>3.115</v>
      </c>
      <c r="G56" s="0" t="s">
        <v>54</v>
      </c>
      <c r="H56" s="1" t="n">
        <f aca="false">3.135</f>
        <v>3.135</v>
      </c>
      <c r="I56" s="1" t="n">
        <f aca="false">3.135+0.02</f>
        <v>3.155</v>
      </c>
      <c r="J56" s="0" t="s">
        <v>55</v>
      </c>
    </row>
    <row r="57" customFormat="false" ht="12.75" hidden="false" customHeight="false" outlineLevel="0" collapsed="false">
      <c r="B57" s="4"/>
    </row>
    <row r="58" customFormat="false" ht="12.75" hidden="false" customHeight="false" outlineLevel="0" collapsed="false">
      <c r="B58" s="4"/>
    </row>
    <row r="59" customFormat="false" ht="12.75" hidden="false" customHeight="false" outlineLevel="0" collapsed="false">
      <c r="B59" s="4"/>
    </row>
    <row r="60" customFormat="false" ht="12.75" hidden="false" customHeight="false" outlineLevel="0" collapsed="false">
      <c r="A60" s="0" t="s">
        <v>56</v>
      </c>
      <c r="B60" s="4" t="n">
        <v>279</v>
      </c>
      <c r="C60" s="0" t="n">
        <v>253486</v>
      </c>
      <c r="G60" s="0" t="s">
        <v>57</v>
      </c>
      <c r="J60" s="0" t="s">
        <v>57</v>
      </c>
    </row>
    <row r="61" customFormat="false" ht="12.75" hidden="false" customHeight="false" outlineLevel="0" collapsed="false">
      <c r="B61" s="4"/>
    </row>
    <row r="62" customFormat="false" ht="12.75" hidden="false" customHeight="false" outlineLevel="0" collapsed="false">
      <c r="A62" s="0" t="s">
        <v>58</v>
      </c>
      <c r="B62" s="4" t="n">
        <v>311</v>
      </c>
      <c r="C62" s="0" t="n">
        <v>253493</v>
      </c>
      <c r="G62" s="0" t="s">
        <v>57</v>
      </c>
      <c r="J62" s="0" t="s">
        <v>57</v>
      </c>
    </row>
    <row r="63" customFormat="false" ht="12.75" hidden="false" customHeight="false" outlineLevel="0" collapsed="false">
      <c r="B63" s="4"/>
      <c r="D63" s="0" t="s">
        <v>59</v>
      </c>
    </row>
    <row r="64" customFormat="false" ht="12.75" hidden="false" customHeight="false" outlineLevel="0" collapsed="false">
      <c r="B64" s="4"/>
    </row>
    <row r="65" customFormat="false" ht="12.75" hidden="false" customHeight="false" outlineLevel="0" collapsed="false">
      <c r="A65" s="0" t="s">
        <v>60</v>
      </c>
      <c r="B65" s="4" t="n">
        <v>2478</v>
      </c>
      <c r="C65" s="0" t="n">
        <v>250456</v>
      </c>
      <c r="G65" s="0" t="s">
        <v>57</v>
      </c>
      <c r="J65" s="0" t="s">
        <v>57</v>
      </c>
    </row>
    <row r="66" customFormat="false" ht="12.75" hidden="false" customHeight="false" outlineLevel="0" collapsed="false">
      <c r="B66" s="4"/>
    </row>
    <row r="67" customFormat="false" ht="12.75" hidden="false" customHeight="false" outlineLevel="0" collapsed="false">
      <c r="A67" s="2" t="s">
        <v>61</v>
      </c>
      <c r="B67" s="2"/>
      <c r="C67" s="2"/>
    </row>
    <row r="68" customFormat="false" ht="12.75" hidden="false" customHeight="false" outlineLevel="0" collapsed="false">
      <c r="A68" s="0" t="s">
        <v>62</v>
      </c>
      <c r="B68" s="4" t="n">
        <v>10006</v>
      </c>
      <c r="G68" s="0" t="s">
        <v>57</v>
      </c>
      <c r="J68" s="0" t="s">
        <v>57</v>
      </c>
    </row>
    <row r="69" customFormat="false" ht="12.75" hidden="false" customHeight="false" outlineLevel="0" collapsed="false">
      <c r="A69" s="0" t="s">
        <v>63</v>
      </c>
      <c r="B69" s="4" t="n">
        <v>10799</v>
      </c>
      <c r="G69" s="0" t="s">
        <v>57</v>
      </c>
      <c r="J69" s="0" t="s">
        <v>57</v>
      </c>
    </row>
    <row r="70" customFormat="false" ht="12.75" hidden="false" customHeight="false" outlineLevel="0" collapsed="false">
      <c r="A70" s="0" t="s">
        <v>64</v>
      </c>
      <c r="B70" s="4"/>
      <c r="G70" s="0" t="s">
        <v>57</v>
      </c>
      <c r="J70" s="0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0" width="14.99"/>
  </cols>
  <sheetData>
    <row r="2" customFormat="false" ht="12.75" hidden="false" customHeight="false" outlineLevel="0" collapsed="false">
      <c r="A2" s="5"/>
    </row>
    <row r="3" customFormat="false" ht="12.75" hidden="false" customHeight="false" outlineLevel="0" collapsed="false">
      <c r="A3" s="5"/>
    </row>
    <row r="4" customFormat="false" ht="12.75" hidden="false" customHeight="false" outlineLevel="0" collapsed="false">
      <c r="A4" s="5"/>
    </row>
    <row r="5" customFormat="false" ht="12.75" hidden="false" customHeight="false" outlineLevel="0" collapsed="false">
      <c r="A5" s="5"/>
    </row>
    <row r="6" customFormat="false" ht="12.75" hidden="false" customHeight="false" outlineLevel="0" collapsed="false">
      <c r="A6" s="5" t="n">
        <v>1</v>
      </c>
      <c r="B6" s="0" t="n">
        <v>0</v>
      </c>
    </row>
    <row r="7" customFormat="false" ht="12.75" hidden="false" customHeight="false" outlineLevel="0" collapsed="false">
      <c r="A7" s="5" t="n">
        <f aca="false">+A6+1</f>
        <v>2</v>
      </c>
      <c r="B7" s="0" t="n">
        <f aca="false">+B6</f>
        <v>0</v>
      </c>
    </row>
    <row r="8" customFormat="false" ht="12.75" hidden="false" customHeight="false" outlineLevel="0" collapsed="false">
      <c r="A8" s="5" t="n">
        <f aca="false">+A7+1</f>
        <v>3</v>
      </c>
      <c r="B8" s="0" t="n">
        <f aca="false">+B7</f>
        <v>0</v>
      </c>
    </row>
    <row r="9" customFormat="false" ht="12.75" hidden="false" customHeight="false" outlineLevel="0" collapsed="false">
      <c r="A9" s="5" t="n">
        <f aca="false">+A8+1</f>
        <v>4</v>
      </c>
      <c r="B9" s="0" t="n">
        <f aca="false">+B8</f>
        <v>0</v>
      </c>
    </row>
    <row r="10" customFormat="false" ht="12.75" hidden="false" customHeight="false" outlineLevel="0" collapsed="false">
      <c r="A10" s="5" t="n">
        <f aca="false">+A9+1</f>
        <v>5</v>
      </c>
      <c r="B10" s="0" t="n">
        <f aca="false">+B9</f>
        <v>0</v>
      </c>
    </row>
    <row r="11" customFormat="false" ht="12.75" hidden="false" customHeight="false" outlineLevel="0" collapsed="false">
      <c r="A11" s="5" t="n">
        <f aca="false">+A10+1</f>
        <v>6</v>
      </c>
      <c r="B11" s="0" t="n">
        <f aca="false">+B10</f>
        <v>0</v>
      </c>
    </row>
    <row r="12" customFormat="false" ht="12.75" hidden="false" customHeight="false" outlineLevel="0" collapsed="false">
      <c r="A12" s="5" t="n">
        <f aca="false">+A11+1</f>
        <v>7</v>
      </c>
      <c r="B12" s="0" t="n">
        <v>10000</v>
      </c>
    </row>
    <row r="13" customFormat="false" ht="12.75" hidden="false" customHeight="false" outlineLevel="0" collapsed="false">
      <c r="A13" s="5" t="n">
        <f aca="false">+A12+1</f>
        <v>8</v>
      </c>
      <c r="B13" s="0" t="n">
        <f aca="false">+B12</f>
        <v>10000</v>
      </c>
    </row>
    <row r="14" customFormat="false" ht="12.75" hidden="false" customHeight="false" outlineLevel="0" collapsed="false">
      <c r="A14" s="5" t="n">
        <f aca="false">+A13+1</f>
        <v>9</v>
      </c>
      <c r="B14" s="0" t="n">
        <f aca="false">+B13</f>
        <v>10000</v>
      </c>
    </row>
    <row r="15" customFormat="false" ht="12.75" hidden="false" customHeight="false" outlineLevel="0" collapsed="false">
      <c r="A15" s="5" t="n">
        <f aca="false">+A14+1</f>
        <v>10</v>
      </c>
      <c r="B15" s="0" t="n">
        <f aca="false">+B14</f>
        <v>10000</v>
      </c>
    </row>
    <row r="16" customFormat="false" ht="12.75" hidden="false" customHeight="false" outlineLevel="0" collapsed="false">
      <c r="A16" s="5" t="n">
        <f aca="false">+A15+1</f>
        <v>11</v>
      </c>
      <c r="B16" s="0" t="n">
        <f aca="false">+B15</f>
        <v>10000</v>
      </c>
    </row>
    <row r="17" customFormat="false" ht="12.75" hidden="false" customHeight="false" outlineLevel="0" collapsed="false">
      <c r="A17" s="5" t="n">
        <f aca="false">+A16+1</f>
        <v>12</v>
      </c>
      <c r="B17" s="0" t="n">
        <f aca="false">+B16</f>
        <v>10000</v>
      </c>
    </row>
    <row r="18" customFormat="false" ht="12.75" hidden="false" customHeight="false" outlineLevel="0" collapsed="false">
      <c r="A18" s="5" t="n">
        <f aca="false">+A17+1</f>
        <v>13</v>
      </c>
      <c r="B18" s="0" t="n">
        <f aca="false">+B17</f>
        <v>10000</v>
      </c>
    </row>
    <row r="19" customFormat="false" ht="12.75" hidden="false" customHeight="false" outlineLevel="0" collapsed="false">
      <c r="A19" s="5" t="n">
        <f aca="false">+A18+1</f>
        <v>14</v>
      </c>
      <c r="B19" s="0" t="n">
        <f aca="false">+B18</f>
        <v>10000</v>
      </c>
    </row>
    <row r="20" customFormat="false" ht="12.75" hidden="false" customHeight="false" outlineLevel="0" collapsed="false">
      <c r="A20" s="5" t="n">
        <f aca="false">+A19+1</f>
        <v>15</v>
      </c>
      <c r="B20" s="0" t="n">
        <f aca="false">+B19</f>
        <v>10000</v>
      </c>
    </row>
    <row r="21" customFormat="false" ht="12.75" hidden="false" customHeight="false" outlineLevel="0" collapsed="false">
      <c r="A21" s="5" t="n">
        <f aca="false">+A20+1</f>
        <v>16</v>
      </c>
      <c r="B21" s="0" t="n">
        <f aca="false">+B20</f>
        <v>10000</v>
      </c>
    </row>
    <row r="22" customFormat="false" ht="12.75" hidden="false" customHeight="false" outlineLevel="0" collapsed="false">
      <c r="A22" s="5" t="n">
        <f aca="false">+A21+1</f>
        <v>17</v>
      </c>
      <c r="B22" s="0" t="n">
        <f aca="false">+B21</f>
        <v>10000</v>
      </c>
    </row>
    <row r="23" customFormat="false" ht="12.75" hidden="false" customHeight="false" outlineLevel="0" collapsed="false">
      <c r="A23" s="5" t="n">
        <f aca="false">+A22+1</f>
        <v>18</v>
      </c>
      <c r="B23" s="0" t="n">
        <f aca="false">+B22</f>
        <v>10000</v>
      </c>
    </row>
    <row r="24" customFormat="false" ht="12.75" hidden="false" customHeight="false" outlineLevel="0" collapsed="false">
      <c r="A24" s="5" t="n">
        <f aca="false">+A23+1</f>
        <v>19</v>
      </c>
      <c r="B24" s="0" t="n">
        <f aca="false">+B23</f>
        <v>10000</v>
      </c>
    </row>
    <row r="25" customFormat="false" ht="12.75" hidden="false" customHeight="false" outlineLevel="0" collapsed="false">
      <c r="A25" s="5" t="n">
        <f aca="false">+A24+1</f>
        <v>20</v>
      </c>
      <c r="B25" s="0" t="n">
        <f aca="false">+B24</f>
        <v>10000</v>
      </c>
    </row>
    <row r="26" customFormat="false" ht="12.75" hidden="false" customHeight="false" outlineLevel="0" collapsed="false">
      <c r="A26" s="5" t="n">
        <f aca="false">+A25+1</f>
        <v>21</v>
      </c>
      <c r="B26" s="0" t="n">
        <f aca="false">+B25</f>
        <v>10000</v>
      </c>
    </row>
    <row r="27" customFormat="false" ht="12.75" hidden="false" customHeight="false" outlineLevel="0" collapsed="false">
      <c r="A27" s="5" t="n">
        <f aca="false">+A26+1</f>
        <v>22</v>
      </c>
      <c r="B27" s="0" t="n">
        <f aca="false">+B26</f>
        <v>10000</v>
      </c>
    </row>
    <row r="28" customFormat="false" ht="12.75" hidden="false" customHeight="false" outlineLevel="0" collapsed="false">
      <c r="A28" s="5" t="n">
        <f aca="false">+A27+1</f>
        <v>23</v>
      </c>
      <c r="B28" s="0" t="n">
        <f aca="false">+B27</f>
        <v>10000</v>
      </c>
    </row>
    <row r="29" customFormat="false" ht="12.75" hidden="false" customHeight="false" outlineLevel="0" collapsed="false">
      <c r="A29" s="5" t="n">
        <f aca="false">+A28+1</f>
        <v>24</v>
      </c>
      <c r="B29" s="0" t="n">
        <f aca="false">+B28</f>
        <v>10000</v>
      </c>
    </row>
    <row r="30" customFormat="false" ht="12.75" hidden="false" customHeight="false" outlineLevel="0" collapsed="false">
      <c r="A30" s="5" t="n">
        <f aca="false">+A29+1</f>
        <v>25</v>
      </c>
      <c r="B30" s="0" t="n">
        <f aca="false">+B29</f>
        <v>10000</v>
      </c>
    </row>
    <row r="31" customFormat="false" ht="12.75" hidden="false" customHeight="false" outlineLevel="0" collapsed="false">
      <c r="A31" s="5" t="n">
        <f aca="false">+A30+1</f>
        <v>26</v>
      </c>
      <c r="B31" s="0" t="n">
        <f aca="false">+B30</f>
        <v>10000</v>
      </c>
    </row>
    <row r="32" customFormat="false" ht="12.75" hidden="false" customHeight="false" outlineLevel="0" collapsed="false">
      <c r="A32" s="5" t="n">
        <f aca="false">+A31+1</f>
        <v>27</v>
      </c>
      <c r="B32" s="0" t="n">
        <f aca="false">+B31</f>
        <v>10000</v>
      </c>
    </row>
    <row r="33" customFormat="false" ht="12.75" hidden="false" customHeight="false" outlineLevel="0" collapsed="false">
      <c r="A33" s="5" t="n">
        <f aca="false">+A32+1</f>
        <v>28</v>
      </c>
      <c r="B33" s="0" t="n">
        <f aca="false">+B32</f>
        <v>10000</v>
      </c>
    </row>
    <row r="34" customFormat="false" ht="12.75" hidden="false" customHeight="false" outlineLevel="0" collapsed="false">
      <c r="A34" s="5" t="n">
        <f aca="false">+A33+1</f>
        <v>29</v>
      </c>
      <c r="B34" s="0" t="n">
        <f aca="false">+B33</f>
        <v>10000</v>
      </c>
    </row>
    <row r="35" customFormat="false" ht="12.75" hidden="false" customHeight="false" outlineLevel="0" collapsed="false">
      <c r="A35" s="5" t="n">
        <f aca="false">+A34+1</f>
        <v>30</v>
      </c>
      <c r="B35" s="0" t="n">
        <f aca="false">+B34</f>
        <v>10000</v>
      </c>
    </row>
    <row r="36" customFormat="false" ht="12.75" hidden="false" customHeight="false" outlineLevel="0" collapsed="false">
      <c r="A36" s="5" t="n">
        <f aca="false">+A35+1</f>
        <v>31</v>
      </c>
      <c r="B36" s="0" t="n">
        <f aca="false">+B35</f>
        <v>10000</v>
      </c>
    </row>
    <row r="37" customFormat="false" ht="12.75" hidden="false" customHeight="false" outlineLevel="0" collapsed="false">
      <c r="A37" s="5"/>
    </row>
    <row r="38" customFormat="false" ht="12.75" hidden="false" customHeight="false" outlineLevel="0" collapsed="false">
      <c r="A3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A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5.71"/>
    <col collapsed="false" customWidth="true" hidden="false" outlineLevel="0" max="2" min="2" style="4" width="10.99"/>
    <col collapsed="false" customWidth="true" hidden="false" outlineLevel="0" max="4" min="3" style="4" width="11.28"/>
    <col collapsed="false" customWidth="true" hidden="false" outlineLevel="0" max="5" min="5" style="4" width="3.28"/>
    <col collapsed="false" customWidth="true" hidden="false" outlineLevel="0" max="6" min="6" style="4" width="12.85"/>
    <col collapsed="false" customWidth="true" hidden="false" outlineLevel="0" max="7" min="7" style="4" width="4.7"/>
    <col collapsed="false" customWidth="true" hidden="false" outlineLevel="0" max="8" min="8" style="4" width="12.85"/>
    <col collapsed="false" customWidth="true" hidden="false" outlineLevel="0" max="9" min="9" style="4" width="10.41"/>
    <col collapsed="false" customWidth="true" hidden="false" outlineLevel="0" max="10" min="10" style="4" width="3.28"/>
    <col collapsed="false" customWidth="true" hidden="false" outlineLevel="0" max="11" min="11" style="4" width="12.85"/>
    <col collapsed="false" customWidth="false" hidden="false" outlineLevel="0" max="12" min="12" style="4" width="9.14"/>
    <col collapsed="false" customWidth="true" hidden="false" outlineLevel="0" max="13" min="13" style="4" width="10.56"/>
    <col collapsed="false" customWidth="false" hidden="false" outlineLevel="0" max="14" min="14" style="4" width="9.14"/>
    <col collapsed="false" customWidth="true" hidden="false" outlineLevel="0" max="15" min="15" style="4" width="11.28"/>
    <col collapsed="false" customWidth="true" hidden="false" outlineLevel="0" max="16" min="16" style="4" width="10.28"/>
    <col collapsed="false" customWidth="true" hidden="false" outlineLevel="0" max="17" min="17" style="4" width="11.13"/>
    <col collapsed="false" customWidth="true" hidden="false" outlineLevel="0" max="18" min="18" style="4" width="3.56"/>
    <col collapsed="false" customWidth="true" hidden="false" outlineLevel="0" max="19" min="19" style="4" width="12.99"/>
    <col collapsed="false" customWidth="true" hidden="false" outlineLevel="0" max="20" min="20" style="4" width="4.14"/>
    <col collapsed="false" customWidth="true" hidden="false" outlineLevel="0" max="21" min="21" style="4" width="12.28"/>
    <col collapsed="false" customWidth="true" hidden="false" outlineLevel="0" max="22" min="22" style="4" width="13.85"/>
    <col collapsed="false" customWidth="false" hidden="false" outlineLevel="0" max="25" min="23" style="4" width="9.14"/>
    <col collapsed="false" customWidth="true" hidden="false" outlineLevel="0" max="26" min="26" style="4" width="13.85"/>
    <col collapsed="false" customWidth="false" hidden="false" outlineLevel="0" max="257" min="27" style="4" width="9.14"/>
  </cols>
  <sheetData>
    <row r="2" customFormat="false" ht="12.75" hidden="false" customHeight="false" outlineLevel="0" collapsed="false">
      <c r="A2" s="5"/>
      <c r="B2" s="5" t="s">
        <v>65</v>
      </c>
      <c r="C2" s="5" t="s">
        <v>66</v>
      </c>
      <c r="D2" s="5" t="s">
        <v>67</v>
      </c>
      <c r="E2" s="5" t="s">
        <v>68</v>
      </c>
      <c r="F2" s="5" t="s">
        <v>69</v>
      </c>
      <c r="G2" s="5" t="s">
        <v>70</v>
      </c>
      <c r="H2" s="5" t="s">
        <v>71</v>
      </c>
      <c r="I2" s="5" t="s">
        <v>72</v>
      </c>
      <c r="J2" s="5" t="s">
        <v>73</v>
      </c>
      <c r="K2" s="5" t="s">
        <v>74</v>
      </c>
      <c r="L2" s="5" t="s">
        <v>75</v>
      </c>
      <c r="M2" s="5" t="s">
        <v>76</v>
      </c>
      <c r="N2" s="5" t="s">
        <v>77</v>
      </c>
      <c r="O2" s="5" t="s">
        <v>78</v>
      </c>
      <c r="P2" s="5" t="s">
        <v>79</v>
      </c>
      <c r="Q2" s="5" t="s">
        <v>80</v>
      </c>
      <c r="R2" s="5" t="s">
        <v>81</v>
      </c>
      <c r="S2" s="5" t="s">
        <v>82</v>
      </c>
      <c r="T2" s="5" t="s">
        <v>83</v>
      </c>
      <c r="U2" s="5" t="s">
        <v>84</v>
      </c>
      <c r="V2" s="5" t="s">
        <v>85</v>
      </c>
      <c r="W2" s="5" t="s">
        <v>86</v>
      </c>
      <c r="X2" s="5" t="s">
        <v>87</v>
      </c>
      <c r="Y2" s="5" t="s">
        <v>88</v>
      </c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false" outlineLevel="0" collapsed="false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2.75" hidden="false" customHeight="false" outlineLevel="0" collapsed="false">
      <c r="A4" s="5"/>
      <c r="B4" s="5"/>
      <c r="C4" s="5"/>
      <c r="D4" s="5"/>
      <c r="E4" s="5"/>
      <c r="F4" s="5" t="s">
        <v>89</v>
      </c>
      <c r="G4" s="5"/>
      <c r="H4" s="6" t="s">
        <v>90</v>
      </c>
      <c r="I4" s="7" t="s">
        <v>90</v>
      </c>
      <c r="J4" s="5"/>
      <c r="K4" s="5" t="s">
        <v>91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customFormat="false" ht="12.75" hidden="false" customHeight="false" outlineLevel="0" collapsed="false">
      <c r="A5" s="5"/>
      <c r="B5" s="5" t="s">
        <v>92</v>
      </c>
      <c r="C5" s="5" t="s">
        <v>93</v>
      </c>
      <c r="D5" s="5" t="s">
        <v>94</v>
      </c>
      <c r="E5" s="5"/>
      <c r="F5" s="5" t="s">
        <v>95</v>
      </c>
      <c r="G5" s="5"/>
      <c r="H5" s="8" t="s">
        <v>96</v>
      </c>
      <c r="I5" s="9" t="s">
        <v>97</v>
      </c>
      <c r="J5" s="5"/>
      <c r="K5" s="5"/>
      <c r="L5" s="5"/>
      <c r="M5" s="5" t="s">
        <v>98</v>
      </c>
      <c r="N5" s="5"/>
      <c r="O5" s="6" t="s">
        <v>99</v>
      </c>
      <c r="P5" s="10" t="s">
        <v>100</v>
      </c>
      <c r="Q5" s="7" t="s">
        <v>101</v>
      </c>
      <c r="R5" s="5"/>
      <c r="S5" s="5" t="s">
        <v>102</v>
      </c>
      <c r="T5" s="5"/>
      <c r="U5" s="5" t="s">
        <v>103</v>
      </c>
      <c r="V5" s="5"/>
    </row>
    <row r="6" customFormat="false" ht="12.75" hidden="false" customHeight="false" outlineLevel="0" collapsed="false">
      <c r="A6" s="5" t="n">
        <v>1</v>
      </c>
      <c r="B6" s="5" t="n">
        <v>135955</v>
      </c>
      <c r="C6" s="5" t="n">
        <v>11185</v>
      </c>
      <c r="D6" s="5" t="n">
        <v>13262</v>
      </c>
      <c r="E6" s="5"/>
      <c r="F6" s="5" t="n">
        <f aca="false">SUM(B6:D6)</f>
        <v>160402</v>
      </c>
      <c r="G6" s="5"/>
      <c r="H6" s="5" t="n">
        <v>33135</v>
      </c>
      <c r="I6" s="5" t="n">
        <f aca="false">ROUND(+H6*(1-0.02116),0)</f>
        <v>32434</v>
      </c>
      <c r="J6" s="5"/>
      <c r="K6" s="5" t="n">
        <f aca="false">+F6-I6</f>
        <v>127968</v>
      </c>
      <c r="L6" s="5"/>
      <c r="M6" s="5" t="s">
        <v>104</v>
      </c>
      <c r="N6" s="5"/>
      <c r="O6" s="11" t="n">
        <f aca="false">188693-36124</f>
        <v>152569</v>
      </c>
      <c r="P6" s="5" t="n">
        <v>36124</v>
      </c>
      <c r="Q6" s="12" t="n">
        <f aca="false">+P6+O6</f>
        <v>188693</v>
      </c>
      <c r="R6" s="5"/>
      <c r="S6" s="5" t="n">
        <f aca="false">+O6-K6</f>
        <v>24601</v>
      </c>
      <c r="T6" s="5"/>
      <c r="U6" s="13" t="n">
        <v>2.77</v>
      </c>
      <c r="V6" s="14" t="n">
        <f aca="false">+U6*S6</f>
        <v>68144.77</v>
      </c>
    </row>
    <row r="7" customFormat="false" ht="12.75" hidden="false" customHeight="false" outlineLevel="0" collapsed="false">
      <c r="A7" s="5" t="n">
        <f aca="false">+A6+1</f>
        <v>2</v>
      </c>
      <c r="B7" s="5" t="n">
        <v>172800</v>
      </c>
      <c r="C7" s="5" t="n">
        <v>11168</v>
      </c>
      <c r="D7" s="5" t="n">
        <f aca="false">+D6</f>
        <v>13262</v>
      </c>
      <c r="E7" s="5"/>
      <c r="F7" s="5" t="n">
        <f aca="false">SUM(B7:D7)</f>
        <v>197230</v>
      </c>
      <c r="G7" s="5"/>
      <c r="H7" s="5" t="n">
        <v>44907</v>
      </c>
      <c r="I7" s="5" t="n">
        <f aca="false">ROUND(+H7*(1-0.02116),0)</f>
        <v>43957</v>
      </c>
      <c r="J7" s="5"/>
      <c r="K7" s="5" t="n">
        <f aca="false">+F7-I7</f>
        <v>153273</v>
      </c>
      <c r="L7" s="5"/>
      <c r="M7" s="5" t="s">
        <v>104</v>
      </c>
      <c r="N7" s="5"/>
      <c r="O7" s="11" t="n">
        <f aca="false">+O6</f>
        <v>152569</v>
      </c>
      <c r="P7" s="5" t="n">
        <f aca="false">+P6</f>
        <v>36124</v>
      </c>
      <c r="Q7" s="12" t="n">
        <f aca="false">+P7+O7</f>
        <v>188693</v>
      </c>
      <c r="R7" s="5"/>
      <c r="S7" s="5" t="n">
        <f aca="false">+O7-K7</f>
        <v>-704</v>
      </c>
      <c r="T7" s="5"/>
      <c r="U7" s="13" t="n">
        <v>2.9</v>
      </c>
      <c r="V7" s="14" t="n">
        <f aca="false">+U7*S7</f>
        <v>-2041.6</v>
      </c>
    </row>
    <row r="8" customFormat="false" ht="12.75" hidden="false" customHeight="false" outlineLevel="0" collapsed="false">
      <c r="A8" s="5" t="n">
        <f aca="false">+A7+1</f>
        <v>3</v>
      </c>
      <c r="B8" s="5" t="n">
        <v>158218</v>
      </c>
      <c r="C8" s="5" t="n">
        <v>10419</v>
      </c>
      <c r="D8" s="5" t="n">
        <f aca="false">+D7</f>
        <v>13262</v>
      </c>
      <c r="E8" s="5"/>
      <c r="F8" s="5" t="n">
        <f aca="false">SUM(B8:D8)</f>
        <v>181899</v>
      </c>
      <c r="G8" s="5"/>
      <c r="H8" s="5" t="n">
        <v>40994</v>
      </c>
      <c r="I8" s="5" t="n">
        <f aca="false">ROUND(+H8*(1-0.02116),0)</f>
        <v>40127</v>
      </c>
      <c r="J8" s="5"/>
      <c r="K8" s="5" t="n">
        <f aca="false">+F8-I8</f>
        <v>141772</v>
      </c>
      <c r="L8" s="5"/>
      <c r="M8" s="5" t="s">
        <v>104</v>
      </c>
      <c r="N8" s="5"/>
      <c r="O8" s="11" t="n">
        <f aca="false">+O7</f>
        <v>152569</v>
      </c>
      <c r="P8" s="5" t="n">
        <f aca="false">+P7</f>
        <v>36124</v>
      </c>
      <c r="Q8" s="12" t="n">
        <f aca="false">+P8+O8</f>
        <v>188693</v>
      </c>
      <c r="R8" s="5"/>
      <c r="S8" s="5" t="n">
        <f aca="false">+O8-K8</f>
        <v>10797</v>
      </c>
      <c r="T8" s="5"/>
      <c r="U8" s="13" t="n">
        <v>2.985</v>
      </c>
      <c r="V8" s="14" t="n">
        <f aca="false">+U8*S8</f>
        <v>32229.045</v>
      </c>
    </row>
    <row r="9" customFormat="false" ht="12.75" hidden="false" customHeight="false" outlineLevel="0" collapsed="false">
      <c r="A9" s="5" t="n">
        <f aca="false">+A8+1</f>
        <v>4</v>
      </c>
      <c r="B9" s="5" t="n">
        <v>135473</v>
      </c>
      <c r="C9" s="5" t="n">
        <v>10363</v>
      </c>
      <c r="D9" s="5" t="n">
        <f aca="false">+D8</f>
        <v>13262</v>
      </c>
      <c r="E9" s="5"/>
      <c r="F9" s="5" t="n">
        <f aca="false">SUM(B9:D9)</f>
        <v>159098</v>
      </c>
      <c r="G9" s="5"/>
      <c r="H9" s="5" t="n">
        <v>30645</v>
      </c>
      <c r="I9" s="5" t="n">
        <f aca="false">ROUND(+H9*(1-0.02116),0)</f>
        <v>29997</v>
      </c>
      <c r="J9" s="5"/>
      <c r="K9" s="5" t="n">
        <f aca="false">+F9-I9</f>
        <v>129101</v>
      </c>
      <c r="L9" s="5"/>
      <c r="M9" s="5" t="s">
        <v>104</v>
      </c>
      <c r="N9" s="5"/>
      <c r="O9" s="11" t="n">
        <f aca="false">+O8</f>
        <v>152569</v>
      </c>
      <c r="P9" s="5" t="n">
        <f aca="false">+P8</f>
        <v>36124</v>
      </c>
      <c r="Q9" s="12" t="n">
        <f aca="false">+P9+O9</f>
        <v>188693</v>
      </c>
      <c r="R9" s="5"/>
      <c r="S9" s="5" t="n">
        <f aca="false">+O9-K9</f>
        <v>23468</v>
      </c>
      <c r="T9" s="5"/>
      <c r="U9" s="13" t="n">
        <v>2.92</v>
      </c>
      <c r="V9" s="14" t="n">
        <f aca="false">+U9*S9</f>
        <v>68526.56</v>
      </c>
    </row>
    <row r="10" customFormat="false" ht="12.75" hidden="false" customHeight="false" outlineLevel="0" collapsed="false">
      <c r="A10" s="5" t="n">
        <f aca="false">+A9+1</f>
        <v>5</v>
      </c>
      <c r="B10" s="5" t="n">
        <v>130408</v>
      </c>
      <c r="C10" s="5" t="n">
        <v>10383</v>
      </c>
      <c r="D10" s="5" t="n">
        <f aca="false">+D9</f>
        <v>13262</v>
      </c>
      <c r="E10" s="5"/>
      <c r="F10" s="5" t="n">
        <f aca="false">SUM(B10:D10)</f>
        <v>154053</v>
      </c>
      <c r="G10" s="5"/>
      <c r="H10" s="5" t="n">
        <v>36820</v>
      </c>
      <c r="I10" s="5" t="n">
        <f aca="false">ROUND(+H10*(1-0.02116),0)</f>
        <v>36041</v>
      </c>
      <c r="J10" s="5"/>
      <c r="K10" s="5" t="n">
        <f aca="false">+F10-I10</f>
        <v>118012</v>
      </c>
      <c r="L10" s="5"/>
      <c r="M10" s="5" t="s">
        <v>104</v>
      </c>
      <c r="N10" s="5"/>
      <c r="O10" s="11" t="n">
        <f aca="false">+O9</f>
        <v>152569</v>
      </c>
      <c r="P10" s="5" t="n">
        <f aca="false">+P9</f>
        <v>36124</v>
      </c>
      <c r="Q10" s="12" t="n">
        <f aca="false">+P10+O10</f>
        <v>188693</v>
      </c>
      <c r="R10" s="5"/>
      <c r="S10" s="5" t="n">
        <f aca="false">+O10-K10</f>
        <v>34557</v>
      </c>
      <c r="T10" s="5"/>
      <c r="U10" s="13" t="n">
        <v>2.895</v>
      </c>
      <c r="V10" s="14" t="n">
        <f aca="false">+U10*S10</f>
        <v>100042.515</v>
      </c>
    </row>
    <row r="11" customFormat="false" ht="12.75" hidden="false" customHeight="false" outlineLevel="0" collapsed="false">
      <c r="A11" s="5" t="n">
        <f aca="false">+A10+1</f>
        <v>6</v>
      </c>
      <c r="B11" s="5" t="n">
        <v>0</v>
      </c>
      <c r="C11" s="5" t="n">
        <v>0</v>
      </c>
      <c r="D11" s="5" t="n">
        <v>0</v>
      </c>
      <c r="E11" s="5"/>
      <c r="F11" s="5" t="n">
        <f aca="false">SUM(B11:D11)</f>
        <v>0</v>
      </c>
      <c r="G11" s="5"/>
      <c r="H11" s="5" t="n">
        <v>0</v>
      </c>
      <c r="I11" s="5" t="n">
        <f aca="false">ROUND(+H11*(1-0.02116),0)</f>
        <v>0</v>
      </c>
      <c r="J11" s="5"/>
      <c r="K11" s="5" t="n">
        <f aca="false">+F11-I11</f>
        <v>0</v>
      </c>
      <c r="L11" s="5"/>
      <c r="M11" s="5" t="s">
        <v>104</v>
      </c>
      <c r="N11" s="5"/>
      <c r="O11" s="11" t="n">
        <f aca="false">+O10</f>
        <v>152569</v>
      </c>
      <c r="P11" s="5" t="n">
        <f aca="false">+P10</f>
        <v>36124</v>
      </c>
      <c r="Q11" s="12" t="n">
        <f aca="false">+P11+O11</f>
        <v>188693</v>
      </c>
      <c r="R11" s="5"/>
      <c r="S11" s="5" t="n">
        <f aca="false">+O11-K11</f>
        <v>152569</v>
      </c>
      <c r="T11" s="5"/>
      <c r="U11" s="13" t="n">
        <v>2.895</v>
      </c>
      <c r="V11" s="14" t="n">
        <f aca="false">+U11*S11</f>
        <v>441687.255</v>
      </c>
    </row>
    <row r="12" customFormat="false" ht="12.75" hidden="false" customHeight="false" outlineLevel="0" collapsed="false">
      <c r="A12" s="5" t="n">
        <f aca="false">+A11+1</f>
        <v>7</v>
      </c>
      <c r="B12" s="5" t="n">
        <f aca="false">+B11</f>
        <v>0</v>
      </c>
      <c r="C12" s="5" t="n">
        <f aca="false">+C11</f>
        <v>0</v>
      </c>
      <c r="D12" s="5" t="n">
        <f aca="false">+D11</f>
        <v>0</v>
      </c>
      <c r="E12" s="5"/>
      <c r="F12" s="5" t="n">
        <f aca="false">SUM(B12:D12)</f>
        <v>0</v>
      </c>
      <c r="G12" s="5"/>
      <c r="H12" s="5" t="n">
        <f aca="false">+H11</f>
        <v>0</v>
      </c>
      <c r="I12" s="5" t="n">
        <f aca="false">ROUND(+H12*(1-0.02116),0)</f>
        <v>0</v>
      </c>
      <c r="J12" s="5"/>
      <c r="K12" s="5" t="n">
        <f aca="false">+F12-I12</f>
        <v>0</v>
      </c>
      <c r="L12" s="5"/>
      <c r="M12" s="5" t="s">
        <v>104</v>
      </c>
      <c r="N12" s="5"/>
      <c r="O12" s="11" t="n">
        <f aca="false">+O11</f>
        <v>152569</v>
      </c>
      <c r="P12" s="5" t="n">
        <f aca="false">+P11</f>
        <v>36124</v>
      </c>
      <c r="Q12" s="12" t="n">
        <f aca="false">+P12+O12</f>
        <v>188693</v>
      </c>
      <c r="R12" s="5"/>
      <c r="S12" s="5" t="n">
        <f aca="false">+O12-K12</f>
        <v>152569</v>
      </c>
      <c r="T12" s="5"/>
      <c r="U12" s="13" t="n">
        <v>2.895</v>
      </c>
      <c r="V12" s="14" t="n">
        <f aca="false">+U12*S12</f>
        <v>441687.255</v>
      </c>
    </row>
    <row r="13" customFormat="false" ht="12.75" hidden="false" customHeight="false" outlineLevel="0" collapsed="false">
      <c r="A13" s="5" t="n">
        <f aca="false">+A12+1</f>
        <v>8</v>
      </c>
      <c r="B13" s="5" t="n">
        <f aca="false">+B12</f>
        <v>0</v>
      </c>
      <c r="C13" s="5" t="n">
        <f aca="false">+C12</f>
        <v>0</v>
      </c>
      <c r="D13" s="5" t="n">
        <f aca="false">+D12</f>
        <v>0</v>
      </c>
      <c r="E13" s="5"/>
      <c r="F13" s="5" t="n">
        <f aca="false">SUM(B13:D13)</f>
        <v>0</v>
      </c>
      <c r="G13" s="5"/>
      <c r="H13" s="5" t="n">
        <f aca="false">+H12</f>
        <v>0</v>
      </c>
      <c r="I13" s="5" t="n">
        <f aca="false">ROUND(+H13*(1-0.02116),0)</f>
        <v>0</v>
      </c>
      <c r="J13" s="5"/>
      <c r="K13" s="5" t="n">
        <f aca="false">+F13-I13</f>
        <v>0</v>
      </c>
      <c r="L13" s="5"/>
      <c r="M13" s="5" t="s">
        <v>104</v>
      </c>
      <c r="N13" s="5"/>
      <c r="O13" s="11" t="n">
        <f aca="false">+O12</f>
        <v>152569</v>
      </c>
      <c r="P13" s="5" t="n">
        <f aca="false">+P12</f>
        <v>36124</v>
      </c>
      <c r="Q13" s="12" t="n">
        <f aca="false">+P13+O13</f>
        <v>188693</v>
      </c>
      <c r="R13" s="5"/>
      <c r="S13" s="5" t="n">
        <f aca="false">+O13-K13</f>
        <v>152569</v>
      </c>
      <c r="T13" s="5"/>
      <c r="U13" s="13" t="n">
        <v>2.93</v>
      </c>
      <c r="V13" s="14" t="n">
        <f aca="false">+U13*S13</f>
        <v>447027.17</v>
      </c>
    </row>
    <row r="14" customFormat="false" ht="12.75" hidden="false" customHeight="false" outlineLevel="0" collapsed="false">
      <c r="A14" s="5" t="n">
        <f aca="false">+A13+1</f>
        <v>9</v>
      </c>
      <c r="B14" s="5" t="n">
        <f aca="false">+B13</f>
        <v>0</v>
      </c>
      <c r="C14" s="5" t="n">
        <f aca="false">+C13</f>
        <v>0</v>
      </c>
      <c r="D14" s="5" t="n">
        <f aca="false">+D13</f>
        <v>0</v>
      </c>
      <c r="E14" s="5"/>
      <c r="F14" s="5" t="n">
        <f aca="false">SUM(B14:D14)</f>
        <v>0</v>
      </c>
      <c r="G14" s="5"/>
      <c r="H14" s="5" t="n">
        <f aca="false">+H13</f>
        <v>0</v>
      </c>
      <c r="I14" s="5" t="n">
        <f aca="false">ROUND(+H14*(1-0.02116),0)</f>
        <v>0</v>
      </c>
      <c r="J14" s="5"/>
      <c r="K14" s="5" t="n">
        <f aca="false">+F14-I14</f>
        <v>0</v>
      </c>
      <c r="L14" s="5"/>
      <c r="M14" s="5" t="s">
        <v>104</v>
      </c>
      <c r="N14" s="5"/>
      <c r="O14" s="11" t="n">
        <f aca="false">+O13</f>
        <v>152569</v>
      </c>
      <c r="P14" s="5" t="n">
        <f aca="false">+P13</f>
        <v>36124</v>
      </c>
      <c r="Q14" s="12" t="n">
        <f aca="false">+P14+O14</f>
        <v>188693</v>
      </c>
      <c r="R14" s="5"/>
      <c r="S14" s="5" t="n">
        <f aca="false">+O14-K14</f>
        <v>152569</v>
      </c>
      <c r="T14" s="5"/>
      <c r="U14" s="13" t="n">
        <v>2.99</v>
      </c>
      <c r="V14" s="14" t="n">
        <f aca="false">+U14*S14</f>
        <v>456181.31</v>
      </c>
    </row>
    <row r="15" customFormat="false" ht="12.75" hidden="false" customHeight="false" outlineLevel="0" collapsed="false">
      <c r="A15" s="5" t="n">
        <f aca="false">+A14+1</f>
        <v>10</v>
      </c>
      <c r="B15" s="5" t="n">
        <f aca="false">+B14</f>
        <v>0</v>
      </c>
      <c r="C15" s="5" t="n">
        <f aca="false">+C14</f>
        <v>0</v>
      </c>
      <c r="D15" s="5" t="n">
        <f aca="false">+D14</f>
        <v>0</v>
      </c>
      <c r="E15" s="5"/>
      <c r="F15" s="5" t="n">
        <f aca="false">SUM(B15:D15)</f>
        <v>0</v>
      </c>
      <c r="G15" s="5"/>
      <c r="H15" s="5" t="n">
        <f aca="false">+H14</f>
        <v>0</v>
      </c>
      <c r="I15" s="5" t="n">
        <f aca="false">ROUND(+H15*(1-0.02116),0)</f>
        <v>0</v>
      </c>
      <c r="J15" s="5"/>
      <c r="K15" s="5" t="n">
        <f aca="false">+F15-I15</f>
        <v>0</v>
      </c>
      <c r="L15" s="5"/>
      <c r="M15" s="5" t="s">
        <v>104</v>
      </c>
      <c r="N15" s="5"/>
      <c r="O15" s="11" t="n">
        <f aca="false">+O14</f>
        <v>152569</v>
      </c>
      <c r="P15" s="5" t="n">
        <f aca="false">+P14</f>
        <v>36124</v>
      </c>
      <c r="Q15" s="12" t="n">
        <f aca="false">+P15+O15</f>
        <v>188693</v>
      </c>
      <c r="R15" s="5"/>
      <c r="S15" s="5" t="n">
        <f aca="false">+O15-K15</f>
        <v>152569</v>
      </c>
      <c r="T15" s="5"/>
      <c r="U15" s="13" t="n">
        <v>2.76</v>
      </c>
      <c r="V15" s="14" t="n">
        <f aca="false">+U15*S15</f>
        <v>421090.44</v>
      </c>
    </row>
    <row r="16" customFormat="false" ht="12.75" hidden="false" customHeight="false" outlineLevel="0" collapsed="false">
      <c r="A16" s="5" t="n">
        <f aca="false">+A15+1</f>
        <v>11</v>
      </c>
      <c r="B16" s="5" t="n">
        <f aca="false">+B15</f>
        <v>0</v>
      </c>
      <c r="C16" s="5" t="n">
        <f aca="false">+C15</f>
        <v>0</v>
      </c>
      <c r="D16" s="5" t="n">
        <f aca="false">+D15</f>
        <v>0</v>
      </c>
      <c r="E16" s="5"/>
      <c r="F16" s="5" t="n">
        <f aca="false">SUM(B16:D16)</f>
        <v>0</v>
      </c>
      <c r="G16" s="5"/>
      <c r="H16" s="5" t="n">
        <f aca="false">+H15</f>
        <v>0</v>
      </c>
      <c r="I16" s="5" t="n">
        <f aca="false">ROUND(+H16*(1-0.02116),0)</f>
        <v>0</v>
      </c>
      <c r="J16" s="5"/>
      <c r="K16" s="5" t="n">
        <f aca="false">+F16-I16</f>
        <v>0</v>
      </c>
      <c r="L16" s="5"/>
      <c r="M16" s="5" t="s">
        <v>104</v>
      </c>
      <c r="N16" s="5"/>
      <c r="O16" s="11" t="n">
        <f aca="false">+O15</f>
        <v>152569</v>
      </c>
      <c r="P16" s="5" t="n">
        <f aca="false">+P15</f>
        <v>36124</v>
      </c>
      <c r="Q16" s="12" t="n">
        <f aca="false">+P16+O16</f>
        <v>188693</v>
      </c>
      <c r="R16" s="5"/>
      <c r="S16" s="5" t="n">
        <f aca="false">+O16-K16</f>
        <v>152569</v>
      </c>
      <c r="T16" s="5"/>
      <c r="U16" s="13" t="n">
        <v>2.77</v>
      </c>
      <c r="V16" s="14" t="n">
        <f aca="false">+U16*S16</f>
        <v>422616.13</v>
      </c>
    </row>
    <row r="17" customFormat="false" ht="12.75" hidden="false" customHeight="false" outlineLevel="0" collapsed="false">
      <c r="A17" s="5" t="n">
        <f aca="false">+A16+1</f>
        <v>12</v>
      </c>
      <c r="B17" s="5" t="n">
        <f aca="false">+B16</f>
        <v>0</v>
      </c>
      <c r="C17" s="5" t="n">
        <f aca="false">+C16</f>
        <v>0</v>
      </c>
      <c r="D17" s="5" t="n">
        <f aca="false">+D16</f>
        <v>0</v>
      </c>
      <c r="E17" s="5"/>
      <c r="F17" s="5" t="n">
        <f aca="false">SUM(B17:D17)</f>
        <v>0</v>
      </c>
      <c r="G17" s="5"/>
      <c r="H17" s="5" t="n">
        <f aca="false">+H16</f>
        <v>0</v>
      </c>
      <c r="I17" s="5" t="n">
        <f aca="false">ROUND(+H17*(1-0.02116),0)</f>
        <v>0</v>
      </c>
      <c r="J17" s="5"/>
      <c r="K17" s="5" t="n">
        <f aca="false">+F17-I17</f>
        <v>0</v>
      </c>
      <c r="L17" s="5"/>
      <c r="M17" s="5" t="s">
        <v>104</v>
      </c>
      <c r="N17" s="5"/>
      <c r="O17" s="11" t="n">
        <f aca="false">+O16</f>
        <v>152569</v>
      </c>
      <c r="P17" s="5" t="n">
        <f aca="false">+P16</f>
        <v>36124</v>
      </c>
      <c r="Q17" s="12" t="n">
        <f aca="false">+P17+O17</f>
        <v>188693</v>
      </c>
      <c r="R17" s="5"/>
      <c r="S17" s="5" t="n">
        <f aca="false">+O17-K17</f>
        <v>152569</v>
      </c>
      <c r="T17" s="5"/>
      <c r="U17" s="13" t="n">
        <v>2.775</v>
      </c>
      <c r="V17" s="14" t="n">
        <f aca="false">+U17*S17</f>
        <v>423378.975</v>
      </c>
    </row>
    <row r="18" customFormat="false" ht="12.75" hidden="false" customHeight="false" outlineLevel="0" collapsed="false">
      <c r="A18" s="5" t="n">
        <f aca="false">+A17+1</f>
        <v>13</v>
      </c>
      <c r="B18" s="5" t="n">
        <f aca="false">+B17</f>
        <v>0</v>
      </c>
      <c r="C18" s="5" t="n">
        <f aca="false">+C17</f>
        <v>0</v>
      </c>
      <c r="D18" s="5" t="n">
        <f aca="false">+D17</f>
        <v>0</v>
      </c>
      <c r="E18" s="5"/>
      <c r="F18" s="5" t="n">
        <f aca="false">SUM(B18:D18)</f>
        <v>0</v>
      </c>
      <c r="G18" s="5"/>
      <c r="H18" s="5" t="n">
        <f aca="false">+H17</f>
        <v>0</v>
      </c>
      <c r="I18" s="5" t="n">
        <f aca="false">ROUND(+H18*(1-0.02116),0)</f>
        <v>0</v>
      </c>
      <c r="J18" s="5"/>
      <c r="K18" s="5" t="n">
        <f aca="false">+F18-I18</f>
        <v>0</v>
      </c>
      <c r="L18" s="5"/>
      <c r="M18" s="5" t="s">
        <v>104</v>
      </c>
      <c r="N18" s="5"/>
      <c r="O18" s="11" t="n">
        <f aca="false">+O17</f>
        <v>152569</v>
      </c>
      <c r="P18" s="5" t="n">
        <f aca="false">+P17</f>
        <v>36124</v>
      </c>
      <c r="Q18" s="12" t="n">
        <f aca="false">+P18+O18</f>
        <v>188693</v>
      </c>
      <c r="R18" s="5"/>
      <c r="S18" s="5" t="n">
        <f aca="false">+O18-K18</f>
        <v>152569</v>
      </c>
      <c r="T18" s="5"/>
      <c r="U18" s="13" t="n">
        <v>2.775</v>
      </c>
      <c r="V18" s="14" t="n">
        <f aca="false">+U18*S18</f>
        <v>423378.975</v>
      </c>
    </row>
    <row r="19" customFormat="false" ht="12.75" hidden="false" customHeight="false" outlineLevel="0" collapsed="false">
      <c r="A19" s="5" t="n">
        <f aca="false">+A18+1</f>
        <v>14</v>
      </c>
      <c r="B19" s="5" t="n">
        <f aca="false">+B18</f>
        <v>0</v>
      </c>
      <c r="C19" s="5" t="n">
        <f aca="false">+C18</f>
        <v>0</v>
      </c>
      <c r="D19" s="5" t="n">
        <f aca="false">+D18</f>
        <v>0</v>
      </c>
      <c r="E19" s="5"/>
      <c r="F19" s="5" t="n">
        <f aca="false">SUM(B19:D19)</f>
        <v>0</v>
      </c>
      <c r="G19" s="5"/>
      <c r="H19" s="5" t="n">
        <f aca="false">+H18</f>
        <v>0</v>
      </c>
      <c r="I19" s="5" t="n">
        <f aca="false">ROUND(+H19*(1-0.02116),0)</f>
        <v>0</v>
      </c>
      <c r="J19" s="5"/>
      <c r="K19" s="5" t="n">
        <f aca="false">+F19-I19</f>
        <v>0</v>
      </c>
      <c r="L19" s="5"/>
      <c r="M19" s="5" t="s">
        <v>104</v>
      </c>
      <c r="N19" s="5"/>
      <c r="O19" s="11" t="n">
        <f aca="false">+O18</f>
        <v>152569</v>
      </c>
      <c r="P19" s="5" t="n">
        <f aca="false">+P18</f>
        <v>36124</v>
      </c>
      <c r="Q19" s="12" t="n">
        <f aca="false">+P19+O19</f>
        <v>188693</v>
      </c>
      <c r="R19" s="5"/>
      <c r="S19" s="5" t="n">
        <f aca="false">+O19-K19</f>
        <v>152569</v>
      </c>
      <c r="T19" s="5"/>
      <c r="U19" s="13" t="n">
        <v>2.775</v>
      </c>
      <c r="V19" s="14" t="n">
        <f aca="false">+U19*S19</f>
        <v>423378.975</v>
      </c>
    </row>
    <row r="20" customFormat="false" ht="12.75" hidden="false" customHeight="false" outlineLevel="0" collapsed="false">
      <c r="A20" s="5" t="n">
        <f aca="false">+A19+1</f>
        <v>15</v>
      </c>
      <c r="B20" s="5" t="n">
        <f aca="false">+B19</f>
        <v>0</v>
      </c>
      <c r="C20" s="5" t="n">
        <f aca="false">+C19</f>
        <v>0</v>
      </c>
      <c r="D20" s="5" t="n">
        <f aca="false">+D19</f>
        <v>0</v>
      </c>
      <c r="E20" s="5"/>
      <c r="F20" s="5" t="n">
        <f aca="false">SUM(B20:D20)</f>
        <v>0</v>
      </c>
      <c r="G20" s="5"/>
      <c r="H20" s="5" t="n">
        <f aca="false">+H19</f>
        <v>0</v>
      </c>
      <c r="I20" s="5" t="n">
        <f aca="false">ROUND(+H20*(1-0.02116),0)</f>
        <v>0</v>
      </c>
      <c r="J20" s="5"/>
      <c r="K20" s="5" t="n">
        <f aca="false">+F20-I20</f>
        <v>0</v>
      </c>
      <c r="L20" s="5"/>
      <c r="M20" s="5" t="s">
        <v>104</v>
      </c>
      <c r="N20" s="5"/>
      <c r="O20" s="11" t="n">
        <f aca="false">+O19</f>
        <v>152569</v>
      </c>
      <c r="P20" s="5" t="n">
        <f aca="false">+P19</f>
        <v>36124</v>
      </c>
      <c r="Q20" s="12" t="n">
        <f aca="false">+P20+O20</f>
        <v>188693</v>
      </c>
      <c r="R20" s="5"/>
      <c r="S20" s="5" t="n">
        <f aca="false">+O20-K20</f>
        <v>152569</v>
      </c>
      <c r="T20" s="5"/>
      <c r="U20" s="13" t="n">
        <v>2.745</v>
      </c>
      <c r="V20" s="14" t="n">
        <f aca="false">+U20*S20</f>
        <v>418801.905</v>
      </c>
    </row>
    <row r="21" customFormat="false" ht="12.75" hidden="false" customHeight="false" outlineLevel="0" collapsed="false">
      <c r="A21" s="5" t="n">
        <f aca="false">+A20+1</f>
        <v>16</v>
      </c>
      <c r="B21" s="5" t="n">
        <f aca="false">+B20</f>
        <v>0</v>
      </c>
      <c r="C21" s="5" t="n">
        <f aca="false">+C20</f>
        <v>0</v>
      </c>
      <c r="D21" s="5" t="n">
        <f aca="false">+D20</f>
        <v>0</v>
      </c>
      <c r="E21" s="5"/>
      <c r="F21" s="5" t="n">
        <f aca="false">SUM(B21:D21)</f>
        <v>0</v>
      </c>
      <c r="G21" s="5"/>
      <c r="H21" s="5" t="n">
        <f aca="false">+H20</f>
        <v>0</v>
      </c>
      <c r="I21" s="5" t="n">
        <f aca="false">ROUND(+H21*(1-0.02116),0)</f>
        <v>0</v>
      </c>
      <c r="J21" s="5"/>
      <c r="K21" s="5" t="n">
        <f aca="false">+F21-I21</f>
        <v>0</v>
      </c>
      <c r="L21" s="5"/>
      <c r="M21" s="5" t="s">
        <v>104</v>
      </c>
      <c r="N21" s="5"/>
      <c r="O21" s="11" t="n">
        <f aca="false">+O20</f>
        <v>152569</v>
      </c>
      <c r="P21" s="5" t="n">
        <f aca="false">+P20</f>
        <v>36124</v>
      </c>
      <c r="Q21" s="12" t="n">
        <f aca="false">+P21+O21</f>
        <v>188693</v>
      </c>
      <c r="R21" s="5"/>
      <c r="S21" s="5" t="n">
        <f aca="false">+O21-K21</f>
        <v>152569</v>
      </c>
      <c r="T21" s="5"/>
      <c r="U21" s="13" t="n">
        <v>2.755</v>
      </c>
      <c r="V21" s="14" t="n">
        <f aca="false">+U21*S21</f>
        <v>420327.595</v>
      </c>
    </row>
    <row r="22" customFormat="false" ht="12.75" hidden="false" customHeight="false" outlineLevel="0" collapsed="false">
      <c r="A22" s="5" t="n">
        <f aca="false">+A21+1</f>
        <v>17</v>
      </c>
      <c r="B22" s="5" t="n">
        <f aca="false">+B21</f>
        <v>0</v>
      </c>
      <c r="C22" s="5" t="n">
        <f aca="false">+C21</f>
        <v>0</v>
      </c>
      <c r="D22" s="5" t="n">
        <f aca="false">+D21</f>
        <v>0</v>
      </c>
      <c r="E22" s="5"/>
      <c r="F22" s="5" t="n">
        <f aca="false">SUM(B22:D22)</f>
        <v>0</v>
      </c>
      <c r="G22" s="5"/>
      <c r="H22" s="5" t="n">
        <f aca="false">+H21</f>
        <v>0</v>
      </c>
      <c r="I22" s="5" t="n">
        <f aca="false">ROUND(+H22*(1-0.02116),0)</f>
        <v>0</v>
      </c>
      <c r="J22" s="5"/>
      <c r="K22" s="5" t="n">
        <f aca="false">+F22-I22</f>
        <v>0</v>
      </c>
      <c r="L22" s="5"/>
      <c r="M22" s="5" t="s">
        <v>104</v>
      </c>
      <c r="N22" s="5"/>
      <c r="O22" s="11" t="n">
        <f aca="false">+O21</f>
        <v>152569</v>
      </c>
      <c r="P22" s="5" t="n">
        <f aca="false">+P21</f>
        <v>36124</v>
      </c>
      <c r="Q22" s="12" t="n">
        <f aca="false">+P22+O22</f>
        <v>188693</v>
      </c>
      <c r="R22" s="5"/>
      <c r="S22" s="5" t="n">
        <f aca="false">+O22-K22</f>
        <v>152569</v>
      </c>
      <c r="T22" s="5"/>
      <c r="U22" s="13" t="n">
        <v>2.785</v>
      </c>
      <c r="V22" s="14" t="n">
        <f aca="false">+U22*S22</f>
        <v>424904.665</v>
      </c>
    </row>
    <row r="23" customFormat="false" ht="12.75" hidden="false" customHeight="false" outlineLevel="0" collapsed="false">
      <c r="A23" s="5" t="n">
        <f aca="false">+A22+1</f>
        <v>18</v>
      </c>
      <c r="B23" s="5" t="n">
        <f aca="false">+B22</f>
        <v>0</v>
      </c>
      <c r="C23" s="5" t="n">
        <f aca="false">+C22</f>
        <v>0</v>
      </c>
      <c r="D23" s="5" t="n">
        <f aca="false">+D22</f>
        <v>0</v>
      </c>
      <c r="E23" s="5"/>
      <c r="F23" s="5" t="n">
        <f aca="false">SUM(B23:D23)</f>
        <v>0</v>
      </c>
      <c r="G23" s="5"/>
      <c r="H23" s="5" t="n">
        <f aca="false">+H22</f>
        <v>0</v>
      </c>
      <c r="I23" s="5" t="n">
        <f aca="false">ROUND(+H23*(1-0.02116),0)</f>
        <v>0</v>
      </c>
      <c r="J23" s="5"/>
      <c r="K23" s="5" t="n">
        <f aca="false">+F23-I23</f>
        <v>0</v>
      </c>
      <c r="L23" s="5"/>
      <c r="M23" s="5" t="s">
        <v>104</v>
      </c>
      <c r="N23" s="5"/>
      <c r="O23" s="11" t="n">
        <f aca="false">+O22</f>
        <v>152569</v>
      </c>
      <c r="P23" s="5" t="n">
        <f aca="false">+P22</f>
        <v>36124</v>
      </c>
      <c r="Q23" s="12" t="n">
        <f aca="false">+P23+O23</f>
        <v>188693</v>
      </c>
      <c r="R23" s="5"/>
      <c r="S23" s="5" t="n">
        <f aca="false">+O23-K23</f>
        <v>152569</v>
      </c>
      <c r="T23" s="5"/>
      <c r="U23" s="13" t="n">
        <v>2.79</v>
      </c>
      <c r="V23" s="14" t="n">
        <f aca="false">+U23*S23</f>
        <v>425667.51</v>
      </c>
    </row>
    <row r="24" customFormat="false" ht="12.75" hidden="false" customHeight="false" outlineLevel="0" collapsed="false">
      <c r="A24" s="5" t="n">
        <f aca="false">+A23+1</f>
        <v>19</v>
      </c>
      <c r="B24" s="5" t="n">
        <f aca="false">+B23</f>
        <v>0</v>
      </c>
      <c r="C24" s="5" t="n">
        <f aca="false">+C23</f>
        <v>0</v>
      </c>
      <c r="D24" s="5" t="n">
        <f aca="false">+D23</f>
        <v>0</v>
      </c>
      <c r="E24" s="5"/>
      <c r="F24" s="5" t="n">
        <f aca="false">SUM(B24:D24)</f>
        <v>0</v>
      </c>
      <c r="G24" s="5"/>
      <c r="H24" s="5" t="n">
        <f aca="false">+H23</f>
        <v>0</v>
      </c>
      <c r="I24" s="5" t="n">
        <f aca="false">ROUND(+H24*(1-0.02116),0)</f>
        <v>0</v>
      </c>
      <c r="J24" s="5"/>
      <c r="K24" s="5" t="n">
        <f aca="false">+F24-I24</f>
        <v>0</v>
      </c>
      <c r="L24" s="5"/>
      <c r="M24" s="5" t="s">
        <v>104</v>
      </c>
      <c r="N24" s="5"/>
      <c r="O24" s="11" t="n">
        <f aca="false">+O23</f>
        <v>152569</v>
      </c>
      <c r="P24" s="5" t="n">
        <f aca="false">+P23</f>
        <v>36124</v>
      </c>
      <c r="Q24" s="12" t="n">
        <f aca="false">+P24+O24</f>
        <v>188693</v>
      </c>
      <c r="R24" s="5"/>
      <c r="S24" s="5" t="n">
        <f aca="false">+O24-K24</f>
        <v>152569</v>
      </c>
      <c r="T24" s="5"/>
      <c r="U24" s="13" t="n">
        <v>2.78</v>
      </c>
      <c r="V24" s="14" t="n">
        <f aca="false">+U24*S24</f>
        <v>424141.82</v>
      </c>
    </row>
    <row r="25" customFormat="false" ht="12.75" hidden="false" customHeight="false" outlineLevel="0" collapsed="false">
      <c r="A25" s="5" t="n">
        <f aca="false">+A24+1</f>
        <v>20</v>
      </c>
      <c r="B25" s="5" t="n">
        <f aca="false">+B24</f>
        <v>0</v>
      </c>
      <c r="C25" s="5" t="n">
        <f aca="false">+C24</f>
        <v>0</v>
      </c>
      <c r="D25" s="5" t="n">
        <f aca="false">+D24</f>
        <v>0</v>
      </c>
      <c r="E25" s="5"/>
      <c r="F25" s="5" t="n">
        <f aca="false">SUM(B25:D25)</f>
        <v>0</v>
      </c>
      <c r="G25" s="5"/>
      <c r="H25" s="5" t="n">
        <f aca="false">+H24</f>
        <v>0</v>
      </c>
      <c r="I25" s="5" t="n">
        <f aca="false">ROUND(+H25*(1-0.02116),0)</f>
        <v>0</v>
      </c>
      <c r="J25" s="5"/>
      <c r="K25" s="5" t="n">
        <f aca="false">+F25-I25</f>
        <v>0</v>
      </c>
      <c r="L25" s="5"/>
      <c r="M25" s="5" t="s">
        <v>104</v>
      </c>
      <c r="N25" s="5"/>
      <c r="O25" s="11" t="n">
        <f aca="false">+O24</f>
        <v>152569</v>
      </c>
      <c r="P25" s="5" t="n">
        <f aca="false">+P24</f>
        <v>36124</v>
      </c>
      <c r="Q25" s="12" t="n">
        <f aca="false">+P25+O25</f>
        <v>188693</v>
      </c>
      <c r="R25" s="5"/>
      <c r="S25" s="5" t="n">
        <f aca="false">+O25-K25</f>
        <v>152569</v>
      </c>
      <c r="T25" s="5"/>
      <c r="U25" s="13" t="n">
        <v>2.78</v>
      </c>
      <c r="V25" s="14" t="n">
        <f aca="false">+U25*S25</f>
        <v>424141.82</v>
      </c>
    </row>
    <row r="26" customFormat="false" ht="12.75" hidden="false" customHeight="false" outlineLevel="0" collapsed="false">
      <c r="A26" s="5" t="n">
        <f aca="false">+A25+1</f>
        <v>21</v>
      </c>
      <c r="B26" s="5" t="n">
        <f aca="false">+B25</f>
        <v>0</v>
      </c>
      <c r="C26" s="5" t="n">
        <f aca="false">+C25</f>
        <v>0</v>
      </c>
      <c r="D26" s="5" t="n">
        <f aca="false">+D25</f>
        <v>0</v>
      </c>
      <c r="E26" s="5"/>
      <c r="F26" s="5" t="n">
        <f aca="false">SUM(B26:D26)</f>
        <v>0</v>
      </c>
      <c r="G26" s="5"/>
      <c r="H26" s="5" t="n">
        <f aca="false">+H25</f>
        <v>0</v>
      </c>
      <c r="I26" s="5" t="n">
        <f aca="false">ROUND(+H26*(1-0.02116),0)</f>
        <v>0</v>
      </c>
      <c r="J26" s="5"/>
      <c r="K26" s="5" t="n">
        <f aca="false">+F26-I26</f>
        <v>0</v>
      </c>
      <c r="L26" s="5"/>
      <c r="M26" s="5" t="s">
        <v>104</v>
      </c>
      <c r="N26" s="5"/>
      <c r="O26" s="11" t="n">
        <f aca="false">+O25</f>
        <v>152569</v>
      </c>
      <c r="P26" s="5" t="n">
        <f aca="false">+P25</f>
        <v>36124</v>
      </c>
      <c r="Q26" s="12" t="n">
        <f aca="false">+P26+O26</f>
        <v>188693</v>
      </c>
      <c r="R26" s="5"/>
      <c r="S26" s="5" t="n">
        <f aca="false">+O26-K26</f>
        <v>152569</v>
      </c>
      <c r="T26" s="5"/>
      <c r="U26" s="13" t="n">
        <v>2.78</v>
      </c>
      <c r="V26" s="14" t="n">
        <f aca="false">+U26*S26</f>
        <v>424141.82</v>
      </c>
    </row>
    <row r="27" customFormat="false" ht="12.75" hidden="false" customHeight="false" outlineLevel="0" collapsed="false">
      <c r="A27" s="5" t="n">
        <f aca="false">+A26+1</f>
        <v>22</v>
      </c>
      <c r="B27" s="5" t="n">
        <f aca="false">+B26</f>
        <v>0</v>
      </c>
      <c r="C27" s="5" t="n">
        <f aca="false">+C26</f>
        <v>0</v>
      </c>
      <c r="D27" s="5" t="n">
        <f aca="false">+D26</f>
        <v>0</v>
      </c>
      <c r="E27" s="5"/>
      <c r="F27" s="5" t="n">
        <f aca="false">SUM(B27:D27)</f>
        <v>0</v>
      </c>
      <c r="G27" s="5"/>
      <c r="H27" s="5" t="n">
        <f aca="false">+H26</f>
        <v>0</v>
      </c>
      <c r="I27" s="5" t="n">
        <f aca="false">ROUND(+H27*(1-0.02116),0)</f>
        <v>0</v>
      </c>
      <c r="J27" s="5"/>
      <c r="K27" s="5" t="n">
        <f aca="false">+F27-I27</f>
        <v>0</v>
      </c>
      <c r="L27" s="5"/>
      <c r="M27" s="5" t="s">
        <v>104</v>
      </c>
      <c r="N27" s="5"/>
      <c r="O27" s="11" t="n">
        <f aca="false">+O26</f>
        <v>152569</v>
      </c>
      <c r="P27" s="5" t="n">
        <f aca="false">+P26</f>
        <v>36124</v>
      </c>
      <c r="Q27" s="12" t="n">
        <f aca="false">+P27+O27</f>
        <v>188693</v>
      </c>
      <c r="R27" s="5"/>
      <c r="S27" s="5" t="n">
        <f aca="false">+O27-K27</f>
        <v>152569</v>
      </c>
      <c r="T27" s="5"/>
      <c r="U27" s="13" t="n">
        <v>2.78</v>
      </c>
      <c r="V27" s="14" t="n">
        <f aca="false">+U27*S27</f>
        <v>424141.82</v>
      </c>
    </row>
    <row r="28" customFormat="false" ht="12.75" hidden="false" customHeight="false" outlineLevel="0" collapsed="false">
      <c r="A28" s="5" t="n">
        <f aca="false">+A27+1</f>
        <v>23</v>
      </c>
      <c r="B28" s="5" t="n">
        <f aca="false">+B27</f>
        <v>0</v>
      </c>
      <c r="C28" s="5" t="n">
        <f aca="false">+C27</f>
        <v>0</v>
      </c>
      <c r="D28" s="5" t="n">
        <f aca="false">+D27</f>
        <v>0</v>
      </c>
      <c r="E28" s="5"/>
      <c r="F28" s="5" t="n">
        <f aca="false">SUM(B28:D28)</f>
        <v>0</v>
      </c>
      <c r="G28" s="5"/>
      <c r="H28" s="5" t="n">
        <f aca="false">+H27</f>
        <v>0</v>
      </c>
      <c r="I28" s="5" t="n">
        <f aca="false">ROUND(+H28*(1-0.02116),0)</f>
        <v>0</v>
      </c>
      <c r="J28" s="5"/>
      <c r="K28" s="5" t="n">
        <f aca="false">+F28-I28</f>
        <v>0</v>
      </c>
      <c r="L28" s="5"/>
      <c r="M28" s="5" t="s">
        <v>104</v>
      </c>
      <c r="N28" s="5"/>
      <c r="O28" s="11" t="n">
        <f aca="false">+O27</f>
        <v>152569</v>
      </c>
      <c r="P28" s="5" t="n">
        <f aca="false">+P27</f>
        <v>36124</v>
      </c>
      <c r="Q28" s="12" t="n">
        <f aca="false">+P28+O28</f>
        <v>188693</v>
      </c>
      <c r="R28" s="5"/>
      <c r="S28" s="5" t="n">
        <f aca="false">+O28-K28</f>
        <v>152569</v>
      </c>
      <c r="T28" s="5"/>
      <c r="U28" s="13" t="n">
        <v>2.67</v>
      </c>
      <c r="V28" s="14" t="n">
        <f aca="false">+U28*S28</f>
        <v>407359.23</v>
      </c>
    </row>
    <row r="29" customFormat="false" ht="12.75" hidden="false" customHeight="false" outlineLevel="0" collapsed="false">
      <c r="A29" s="5" t="n">
        <f aca="false">+A28+1</f>
        <v>24</v>
      </c>
      <c r="B29" s="5" t="n">
        <f aca="false">+B28</f>
        <v>0</v>
      </c>
      <c r="C29" s="5" t="n">
        <f aca="false">+C28</f>
        <v>0</v>
      </c>
      <c r="D29" s="5" t="n">
        <f aca="false">+D28</f>
        <v>0</v>
      </c>
      <c r="E29" s="5"/>
      <c r="F29" s="5" t="n">
        <f aca="false">SUM(B29:D29)</f>
        <v>0</v>
      </c>
      <c r="G29" s="5"/>
      <c r="H29" s="5" t="n">
        <f aca="false">+H28</f>
        <v>0</v>
      </c>
      <c r="I29" s="5" t="n">
        <f aca="false">ROUND(+H29*(1-0.02116),0)</f>
        <v>0</v>
      </c>
      <c r="J29" s="5"/>
      <c r="K29" s="5" t="n">
        <f aca="false">+F29-I29</f>
        <v>0</v>
      </c>
      <c r="L29" s="5"/>
      <c r="M29" s="5" t="s">
        <v>104</v>
      </c>
      <c r="N29" s="5"/>
      <c r="O29" s="11" t="n">
        <f aca="false">+O28</f>
        <v>152569</v>
      </c>
      <c r="P29" s="5" t="n">
        <f aca="false">+P28</f>
        <v>36124</v>
      </c>
      <c r="Q29" s="12" t="n">
        <f aca="false">+P29+O29</f>
        <v>188693</v>
      </c>
      <c r="R29" s="5"/>
      <c r="S29" s="5" t="n">
        <f aca="false">+O29-K29</f>
        <v>152569</v>
      </c>
      <c r="T29" s="5"/>
      <c r="U29" s="13" t="n">
        <v>2.595</v>
      </c>
      <c r="V29" s="14" t="n">
        <f aca="false">+U29*S29</f>
        <v>395916.555</v>
      </c>
    </row>
    <row r="30" customFormat="false" ht="12.75" hidden="false" customHeight="false" outlineLevel="0" collapsed="false">
      <c r="A30" s="5" t="n">
        <f aca="false">+A29+1</f>
        <v>25</v>
      </c>
      <c r="B30" s="5" t="n">
        <f aca="false">+B29</f>
        <v>0</v>
      </c>
      <c r="C30" s="5" t="n">
        <f aca="false">+C29</f>
        <v>0</v>
      </c>
      <c r="D30" s="5" t="n">
        <f aca="false">+D29</f>
        <v>0</v>
      </c>
      <c r="E30" s="5"/>
      <c r="F30" s="5" t="n">
        <f aca="false">SUM(B30:D30)</f>
        <v>0</v>
      </c>
      <c r="G30" s="5"/>
      <c r="H30" s="5" t="n">
        <f aca="false">+H29</f>
        <v>0</v>
      </c>
      <c r="I30" s="5" t="n">
        <f aca="false">ROUND(+H30*(1-0.02116),0)</f>
        <v>0</v>
      </c>
      <c r="J30" s="5"/>
      <c r="K30" s="5" t="n">
        <f aca="false">+F30-I30</f>
        <v>0</v>
      </c>
      <c r="L30" s="5"/>
      <c r="M30" s="5" t="s">
        <v>104</v>
      </c>
      <c r="N30" s="5"/>
      <c r="O30" s="11" t="n">
        <f aca="false">+O29</f>
        <v>152569</v>
      </c>
      <c r="P30" s="5" t="n">
        <f aca="false">+P29</f>
        <v>36124</v>
      </c>
      <c r="Q30" s="12" t="n">
        <f aca="false">+P30+O30</f>
        <v>188693</v>
      </c>
      <c r="R30" s="5"/>
      <c r="S30" s="5" t="n">
        <f aca="false">+O30-K30</f>
        <v>152569</v>
      </c>
      <c r="T30" s="5"/>
      <c r="U30" s="13" t="n">
        <v>2.63</v>
      </c>
      <c r="V30" s="14" t="n">
        <f aca="false">+U30*S30</f>
        <v>401256.47</v>
      </c>
      <c r="X30" s="4" t="n">
        <v>166288</v>
      </c>
      <c r="Y30" s="13" t="n">
        <v>2.63</v>
      </c>
      <c r="Z30" s="14" t="n">
        <f aca="false">+Y30*X30</f>
        <v>437337.44</v>
      </c>
    </row>
    <row r="31" customFormat="false" ht="12.75" hidden="false" customHeight="false" outlineLevel="0" collapsed="false">
      <c r="A31" s="5" t="n">
        <f aca="false">+A30+1</f>
        <v>26</v>
      </c>
      <c r="B31" s="5" t="n">
        <f aca="false">+B30</f>
        <v>0</v>
      </c>
      <c r="C31" s="5" t="n">
        <f aca="false">+C30</f>
        <v>0</v>
      </c>
      <c r="D31" s="5" t="n">
        <f aca="false">+D30</f>
        <v>0</v>
      </c>
      <c r="E31" s="5"/>
      <c r="F31" s="5" t="n">
        <f aca="false">SUM(B31:D31)</f>
        <v>0</v>
      </c>
      <c r="G31" s="5"/>
      <c r="H31" s="5" t="n">
        <f aca="false">+H30</f>
        <v>0</v>
      </c>
      <c r="I31" s="5" t="n">
        <f aca="false">ROUND(+H31*(1-0.02116),0)</f>
        <v>0</v>
      </c>
      <c r="J31" s="5"/>
      <c r="K31" s="5" t="n">
        <f aca="false">+F31-I31</f>
        <v>0</v>
      </c>
      <c r="L31" s="5"/>
      <c r="M31" s="5" t="s">
        <v>104</v>
      </c>
      <c r="N31" s="5"/>
      <c r="O31" s="11" t="n">
        <f aca="false">+O30</f>
        <v>152569</v>
      </c>
      <c r="P31" s="5" t="n">
        <f aca="false">+P30</f>
        <v>36124</v>
      </c>
      <c r="Q31" s="12" t="n">
        <f aca="false">+P31+O31</f>
        <v>188693</v>
      </c>
      <c r="R31" s="5"/>
      <c r="S31" s="5" t="n">
        <f aca="false">+O31-K31</f>
        <v>152569</v>
      </c>
      <c r="T31" s="5"/>
      <c r="U31" s="13" t="n">
        <v>2.63</v>
      </c>
      <c r="V31" s="14" t="n">
        <f aca="false">+U31*S31</f>
        <v>401256.47</v>
      </c>
      <c r="X31" s="4" t="n">
        <v>166288</v>
      </c>
      <c r="Y31" s="13" t="n">
        <v>2.63</v>
      </c>
      <c r="Z31" s="14" t="n">
        <f aca="false">+Y31*X31</f>
        <v>437337.44</v>
      </c>
    </row>
    <row r="32" customFormat="false" ht="12.75" hidden="false" customHeight="false" outlineLevel="0" collapsed="false">
      <c r="A32" s="5" t="n">
        <f aca="false">+A31+1</f>
        <v>27</v>
      </c>
      <c r="B32" s="5" t="n">
        <f aca="false">+B31</f>
        <v>0</v>
      </c>
      <c r="C32" s="5" t="n">
        <f aca="false">+C31</f>
        <v>0</v>
      </c>
      <c r="D32" s="5" t="n">
        <f aca="false">+D31</f>
        <v>0</v>
      </c>
      <c r="E32" s="5"/>
      <c r="F32" s="5" t="n">
        <f aca="false">SUM(B32:D32)</f>
        <v>0</v>
      </c>
      <c r="G32" s="5"/>
      <c r="H32" s="5" t="n">
        <f aca="false">+H31</f>
        <v>0</v>
      </c>
      <c r="I32" s="5" t="n">
        <f aca="false">ROUND(+H32*(1-0.02116),0)</f>
        <v>0</v>
      </c>
      <c r="J32" s="5"/>
      <c r="K32" s="5" t="n">
        <f aca="false">+F32-I32</f>
        <v>0</v>
      </c>
      <c r="L32" s="5"/>
      <c r="M32" s="5" t="s">
        <v>104</v>
      </c>
      <c r="N32" s="5"/>
      <c r="O32" s="11" t="n">
        <f aca="false">+O31</f>
        <v>152569</v>
      </c>
      <c r="P32" s="5" t="n">
        <f aca="false">+P31</f>
        <v>36124</v>
      </c>
      <c r="Q32" s="12" t="n">
        <f aca="false">+P32+O32</f>
        <v>188693</v>
      </c>
      <c r="R32" s="5"/>
      <c r="S32" s="5" t="n">
        <f aca="false">+O32-K32</f>
        <v>152569</v>
      </c>
      <c r="T32" s="5"/>
      <c r="U32" s="13" t="n">
        <v>2.63</v>
      </c>
      <c r="V32" s="14" t="n">
        <f aca="false">+U32*S32</f>
        <v>401256.47</v>
      </c>
      <c r="X32" s="4" t="n">
        <v>166288</v>
      </c>
      <c r="Y32" s="13" t="n">
        <v>2.63</v>
      </c>
      <c r="Z32" s="14" t="n">
        <f aca="false">+Y32*X32</f>
        <v>437337.44</v>
      </c>
    </row>
    <row r="33" customFormat="false" ht="12.75" hidden="false" customHeight="false" outlineLevel="0" collapsed="false">
      <c r="A33" s="5" t="n">
        <f aca="false">+A32+1</f>
        <v>28</v>
      </c>
      <c r="B33" s="5" t="n">
        <f aca="false">+B32</f>
        <v>0</v>
      </c>
      <c r="C33" s="5" t="n">
        <f aca="false">+C32</f>
        <v>0</v>
      </c>
      <c r="D33" s="5" t="n">
        <f aca="false">+D32</f>
        <v>0</v>
      </c>
      <c r="E33" s="5"/>
      <c r="F33" s="5" t="n">
        <f aca="false">SUM(B33:D33)</f>
        <v>0</v>
      </c>
      <c r="G33" s="5"/>
      <c r="H33" s="5" t="n">
        <f aca="false">+H32</f>
        <v>0</v>
      </c>
      <c r="I33" s="5" t="n">
        <f aca="false">ROUND(+H33*(1-0.02116),0)</f>
        <v>0</v>
      </c>
      <c r="J33" s="5"/>
      <c r="K33" s="5" t="n">
        <f aca="false">+F33-I33</f>
        <v>0</v>
      </c>
      <c r="L33" s="5"/>
      <c r="M33" s="5" t="s">
        <v>104</v>
      </c>
      <c r="N33" s="5"/>
      <c r="O33" s="11" t="n">
        <f aca="false">+O32</f>
        <v>152569</v>
      </c>
      <c r="P33" s="5" t="n">
        <f aca="false">+P32</f>
        <v>36124</v>
      </c>
      <c r="Q33" s="12" t="n">
        <f aca="false">+P33+O33</f>
        <v>188693</v>
      </c>
      <c r="R33" s="5"/>
      <c r="S33" s="5" t="n">
        <f aca="false">+O33-K33</f>
        <v>152569</v>
      </c>
      <c r="T33" s="5"/>
      <c r="U33" s="13" t="n">
        <v>2.63</v>
      </c>
      <c r="V33" s="14" t="n">
        <f aca="false">+U33*S33</f>
        <v>401256.47</v>
      </c>
      <c r="X33" s="4" t="n">
        <v>166288</v>
      </c>
      <c r="Y33" s="13" t="n">
        <v>2.63</v>
      </c>
      <c r="Z33" s="14" t="n">
        <f aca="false">+Y33*X33</f>
        <v>437337.44</v>
      </c>
    </row>
    <row r="34" customFormat="false" ht="12.75" hidden="false" customHeight="false" outlineLevel="0" collapsed="false">
      <c r="A34" s="5" t="n">
        <f aca="false">+A33+1</f>
        <v>29</v>
      </c>
      <c r="B34" s="5" t="n">
        <f aca="false">+B33</f>
        <v>0</v>
      </c>
      <c r="C34" s="5" t="n">
        <f aca="false">+C33</f>
        <v>0</v>
      </c>
      <c r="D34" s="5" t="n">
        <f aca="false">+D33</f>
        <v>0</v>
      </c>
      <c r="E34" s="5"/>
      <c r="F34" s="5" t="n">
        <f aca="false">SUM(B34:D34)</f>
        <v>0</v>
      </c>
      <c r="G34" s="5"/>
      <c r="H34" s="5" t="n">
        <f aca="false">+H33</f>
        <v>0</v>
      </c>
      <c r="I34" s="5" t="n">
        <f aca="false">ROUND(+H34*(1-0.02116),0)</f>
        <v>0</v>
      </c>
      <c r="J34" s="5"/>
      <c r="K34" s="5" t="n">
        <f aca="false">+F34-I34</f>
        <v>0</v>
      </c>
      <c r="L34" s="5"/>
      <c r="M34" s="5" t="s">
        <v>104</v>
      </c>
      <c r="N34" s="5"/>
      <c r="O34" s="11" t="n">
        <f aca="false">+O33</f>
        <v>152569</v>
      </c>
      <c r="P34" s="5" t="n">
        <f aca="false">+P33</f>
        <v>36124</v>
      </c>
      <c r="Q34" s="12" t="n">
        <f aca="false">+P34+O34</f>
        <v>188693</v>
      </c>
      <c r="R34" s="5"/>
      <c r="S34" s="5" t="n">
        <f aca="false">+O34-K34</f>
        <v>152569</v>
      </c>
      <c r="T34" s="5"/>
      <c r="U34" s="13" t="n">
        <v>2.63</v>
      </c>
      <c r="V34" s="14" t="n">
        <f aca="false">+U34*S34</f>
        <v>401256.47</v>
      </c>
      <c r="X34" s="4" t="n">
        <v>166288</v>
      </c>
      <c r="Y34" s="13" t="n">
        <v>2.63</v>
      </c>
      <c r="Z34" s="14" t="n">
        <f aca="false">+Y34*X34</f>
        <v>437337.44</v>
      </c>
    </row>
    <row r="35" customFormat="false" ht="12.75" hidden="false" customHeight="false" outlineLevel="0" collapsed="false">
      <c r="A35" s="5" t="n">
        <f aca="false">+A34+1</f>
        <v>30</v>
      </c>
      <c r="B35" s="5" t="n">
        <f aca="false">+B34</f>
        <v>0</v>
      </c>
      <c r="C35" s="5" t="n">
        <f aca="false">+C34</f>
        <v>0</v>
      </c>
      <c r="D35" s="5" t="n">
        <f aca="false">+D34</f>
        <v>0</v>
      </c>
      <c r="E35" s="5"/>
      <c r="F35" s="5" t="n">
        <f aca="false">SUM(B35:D35)</f>
        <v>0</v>
      </c>
      <c r="G35" s="5"/>
      <c r="H35" s="5" t="n">
        <f aca="false">+H34</f>
        <v>0</v>
      </c>
      <c r="I35" s="5" t="n">
        <f aca="false">ROUND(+H35*(1-0.02116),0)</f>
        <v>0</v>
      </c>
      <c r="J35" s="5"/>
      <c r="K35" s="5" t="n">
        <f aca="false">+F35-I35</f>
        <v>0</v>
      </c>
      <c r="L35" s="5"/>
      <c r="M35" s="5" t="s">
        <v>104</v>
      </c>
      <c r="N35" s="5"/>
      <c r="O35" s="11" t="n">
        <f aca="false">+O34</f>
        <v>152569</v>
      </c>
      <c r="P35" s="5" t="n">
        <f aca="false">+P34</f>
        <v>36124</v>
      </c>
      <c r="Q35" s="12" t="n">
        <f aca="false">+P35+O35</f>
        <v>188693</v>
      </c>
      <c r="R35" s="5"/>
      <c r="S35" s="5" t="n">
        <f aca="false">+O35-K35</f>
        <v>152569</v>
      </c>
      <c r="T35" s="5"/>
      <c r="U35" s="13" t="n">
        <v>2.63</v>
      </c>
      <c r="V35" s="14" t="n">
        <f aca="false">+U35*S35</f>
        <v>401256.47</v>
      </c>
      <c r="X35" s="4" t="n">
        <v>166288</v>
      </c>
      <c r="Y35" s="13" t="n">
        <v>2.63</v>
      </c>
      <c r="Z35" s="14" t="n">
        <f aca="false">+Y35*X35</f>
        <v>437337.44</v>
      </c>
    </row>
    <row r="36" customFormat="false" ht="12.75" hidden="false" customHeight="false" outlineLevel="0" collapsed="false">
      <c r="A36" s="5" t="n">
        <f aca="false">+A35+1</f>
        <v>31</v>
      </c>
      <c r="B36" s="5" t="n">
        <f aca="false">+B35</f>
        <v>0</v>
      </c>
      <c r="C36" s="5" t="n">
        <f aca="false">+C35</f>
        <v>0</v>
      </c>
      <c r="D36" s="5" t="n">
        <f aca="false">+D35</f>
        <v>0</v>
      </c>
      <c r="E36" s="5"/>
      <c r="F36" s="5" t="n">
        <f aca="false">SUM(B36:D36)</f>
        <v>0</v>
      </c>
      <c r="G36" s="5"/>
      <c r="H36" s="5" t="n">
        <f aca="false">+H35</f>
        <v>0</v>
      </c>
      <c r="I36" s="5" t="n">
        <f aca="false">ROUND(+H36*(1-0.02116),0)</f>
        <v>0</v>
      </c>
      <c r="J36" s="5"/>
      <c r="K36" s="5" t="n">
        <f aca="false">+F36-I36</f>
        <v>0</v>
      </c>
      <c r="L36" s="5"/>
      <c r="M36" s="5" t="s">
        <v>104</v>
      </c>
      <c r="N36" s="5"/>
      <c r="O36" s="11" t="n">
        <f aca="false">+O35</f>
        <v>152569</v>
      </c>
      <c r="P36" s="5" t="n">
        <f aca="false">+P35</f>
        <v>36124</v>
      </c>
      <c r="Q36" s="12" t="n">
        <f aca="false">+P36+O36</f>
        <v>188693</v>
      </c>
      <c r="R36" s="5"/>
      <c r="S36" s="5" t="n">
        <f aca="false">+O36-K36</f>
        <v>152569</v>
      </c>
      <c r="T36" s="5"/>
      <c r="U36" s="13" t="n">
        <v>2.63</v>
      </c>
      <c r="V36" s="14" t="n">
        <f aca="false">+U36*S36</f>
        <v>401256.47</v>
      </c>
      <c r="X36" s="4" t="n">
        <v>166288</v>
      </c>
      <c r="Y36" s="13" t="n">
        <v>2.63</v>
      </c>
      <c r="Z36" s="14" t="n">
        <f aca="false">+Y36*X36</f>
        <v>437337.44</v>
      </c>
    </row>
    <row r="37" customFormat="false" ht="12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customFormat="false" ht="12.75" hidden="false" customHeight="false" outlineLevel="0" collapsed="false">
      <c r="A38" s="5"/>
      <c r="B38" s="5" t="n">
        <f aca="false">SUM(B6:B37)</f>
        <v>732854</v>
      </c>
      <c r="C38" s="5" t="n">
        <f aca="false">SUM(C6:C37)</f>
        <v>53518</v>
      </c>
      <c r="D38" s="5" t="n">
        <f aca="false">SUM(D6:D37)</f>
        <v>66310</v>
      </c>
      <c r="E38" s="5"/>
      <c r="F38" s="5" t="n">
        <f aca="false">SUM(F6:F37)</f>
        <v>852682</v>
      </c>
      <c r="G38" s="5"/>
      <c r="H38" s="5" t="n">
        <f aca="false">SUM(H6:H37)</f>
        <v>186501</v>
      </c>
      <c r="I38" s="5" t="n">
        <f aca="false">SUM(I6:I37)</f>
        <v>182556</v>
      </c>
      <c r="J38" s="5"/>
      <c r="K38" s="5" t="n">
        <f aca="false">SUM(K6:K37)</f>
        <v>670126</v>
      </c>
      <c r="L38" s="5"/>
      <c r="M38" s="5" t="n">
        <f aca="false">SUM(M6:M37)</f>
        <v>0</v>
      </c>
      <c r="N38" s="5"/>
      <c r="O38" s="5" t="n">
        <f aca="false">SUM(O6:O37)</f>
        <v>4729639</v>
      </c>
      <c r="P38" s="5" t="n">
        <f aca="false">SUM(P6:P37)</f>
        <v>1119844</v>
      </c>
      <c r="Q38" s="5" t="n">
        <f aca="false">SUM(Q6:Q37)</f>
        <v>5849483</v>
      </c>
      <c r="R38" s="5"/>
      <c r="S38" s="5" t="n">
        <f aca="false">SUM(S6:S37)</f>
        <v>4059513</v>
      </c>
      <c r="T38" s="5" t="s">
        <v>105</v>
      </c>
      <c r="U38" s="5"/>
      <c r="V38" s="14" t="n">
        <f aca="false">SUM(V6:V34)</f>
        <v>10363154.865</v>
      </c>
      <c r="X38" s="5" t="n">
        <f aca="false">SUM(X6:X37)</f>
        <v>1164016</v>
      </c>
      <c r="Z38" s="14" t="n">
        <f aca="false">SUM(Z6:Z34)</f>
        <v>2186687.2</v>
      </c>
    </row>
    <row r="41" customFormat="false" ht="12.75" hidden="false" customHeight="false" outlineLevel="0" collapsed="false">
      <c r="X41" s="4" t="n">
        <f aca="false">+V38-Z38</f>
        <v>8176467.665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74"/>
  <sheetViews>
    <sheetView showFormulas="false" showGridLines="true" showRowColHeaders="true" showZeros="true" rightToLeft="false" tabSelected="false" showOutlineSymbols="true" defaultGridColor="true" view="normal" topLeftCell="A62" colorId="64" zoomScale="100" zoomScaleNormal="100" zoomScalePageLayoutView="100" workbookViewId="0">
      <selection pane="topLeft" activeCell="C18" activeCellId="0" sqref="C18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15" width="15.56"/>
    <col collapsed="false" customWidth="false" hidden="false" outlineLevel="0" max="2" min="2" style="15" width="9.14"/>
    <col collapsed="false" customWidth="true" hidden="false" outlineLevel="0" max="3" min="3" style="15" width="12.42"/>
    <col collapsed="false" customWidth="true" hidden="false" outlineLevel="0" max="4" min="4" style="15" width="12.14"/>
    <col collapsed="false" customWidth="true" hidden="false" outlineLevel="0" max="5" min="5" style="15" width="10.99"/>
    <col collapsed="false" customWidth="false" hidden="false" outlineLevel="0" max="6" min="6" style="15" width="9.14"/>
    <col collapsed="false" customWidth="true" hidden="false" outlineLevel="0" max="7" min="7" style="15" width="14.99"/>
    <col collapsed="false" customWidth="false" hidden="false" outlineLevel="0" max="11" min="8" style="15" width="9.14"/>
    <col collapsed="false" customWidth="true" hidden="false" outlineLevel="0" max="12" min="12" style="15" width="14.7"/>
    <col collapsed="false" customWidth="false" hidden="false" outlineLevel="0" max="257" min="13" style="15" width="9.14"/>
  </cols>
  <sheetData>
    <row r="1" customFormat="false" ht="12.75" hidden="false" customHeight="false" outlineLevel="0" collapsed="false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customFormat="false" ht="12.75" hidden="false" customHeight="false" outlineLevel="0" collapsed="false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customFormat="false" ht="12.75" hidden="false" customHeight="false" outlineLevel="0" collapsed="false">
      <c r="A3" s="17" t="s">
        <v>106</v>
      </c>
      <c r="C3" s="15" t="s">
        <v>107</v>
      </c>
      <c r="E3" s="16"/>
      <c r="F3" s="16"/>
      <c r="G3" s="16"/>
      <c r="H3" s="16"/>
      <c r="I3" s="16"/>
      <c r="J3" s="16"/>
      <c r="K3" s="16"/>
      <c r="L3" s="16"/>
      <c r="M3" s="16"/>
      <c r="N3" s="16"/>
    </row>
    <row r="4" customFormat="false" ht="12.75" hidden="false" customHeight="false" outlineLevel="0" collapsed="false">
      <c r="A4" s="15" t="s">
        <v>108</v>
      </c>
      <c r="B4" s="15" t="s">
        <v>37</v>
      </c>
      <c r="C4" s="18" t="n">
        <v>4.85</v>
      </c>
      <c r="E4" s="16"/>
      <c r="F4" s="16"/>
      <c r="G4" s="16"/>
      <c r="H4" s="16"/>
      <c r="I4" s="16"/>
      <c r="J4" s="16"/>
      <c r="K4" s="16"/>
      <c r="L4" s="16"/>
      <c r="M4" s="16"/>
      <c r="N4" s="16"/>
    </row>
    <row r="5" customFormat="false" ht="12.75" hidden="false" customHeight="false" outlineLevel="0" collapsed="false">
      <c r="A5" s="15" t="s">
        <v>109</v>
      </c>
      <c r="C5" s="18" t="n">
        <v>0.0075</v>
      </c>
      <c r="E5" s="16"/>
      <c r="F5" s="16"/>
      <c r="G5" s="16"/>
      <c r="H5" s="16"/>
      <c r="I5" s="16"/>
      <c r="J5" s="16"/>
      <c r="K5" s="16"/>
      <c r="L5" s="16"/>
      <c r="M5" s="16"/>
      <c r="N5" s="16"/>
    </row>
    <row r="6" customFormat="false" ht="12.75" hidden="false" customHeight="false" outlineLevel="0" collapsed="false">
      <c r="A6" s="15" t="s">
        <v>110</v>
      </c>
      <c r="C6" s="18" t="n">
        <v>0.044</v>
      </c>
      <c r="E6" s="16"/>
      <c r="F6" s="16"/>
      <c r="G6" s="16"/>
      <c r="H6" s="16"/>
      <c r="I6" s="16"/>
      <c r="J6" s="16"/>
      <c r="K6" s="16"/>
      <c r="L6" s="16"/>
      <c r="M6" s="16"/>
      <c r="N6" s="16"/>
    </row>
    <row r="7" customFormat="false" ht="12.75" hidden="false" customHeight="false" outlineLevel="0" collapsed="false">
      <c r="A7" s="15" t="s">
        <v>111</v>
      </c>
      <c r="C7" s="18" t="n">
        <v>0.0022</v>
      </c>
      <c r="E7" s="16"/>
      <c r="F7" s="16"/>
      <c r="G7" s="16"/>
      <c r="H7" s="16"/>
      <c r="I7" s="16"/>
      <c r="J7" s="16"/>
      <c r="K7" s="16"/>
      <c r="L7" s="16"/>
      <c r="M7" s="16"/>
      <c r="N7" s="16"/>
    </row>
    <row r="8" customFormat="false" ht="12.75" hidden="false" customHeight="false" outlineLevel="0" collapsed="false">
      <c r="A8" s="15" t="s">
        <v>112</v>
      </c>
      <c r="C8" s="19" t="n">
        <v>0.0228</v>
      </c>
      <c r="E8" s="16"/>
      <c r="F8" s="16"/>
      <c r="G8" s="16"/>
      <c r="H8" s="16"/>
      <c r="I8" s="16"/>
      <c r="J8" s="16"/>
      <c r="K8" s="16"/>
      <c r="L8" s="16"/>
      <c r="M8" s="16"/>
      <c r="N8" s="16"/>
    </row>
    <row r="9" customFormat="false" ht="12.75" hidden="false" customHeight="false" outlineLevel="0" collapsed="false">
      <c r="A9" s="15" t="s">
        <v>113</v>
      </c>
      <c r="C9" s="20" t="n">
        <f aca="false">ROUND((+C4+C5)/(1-C8)+(C6+C7),4)-C4-C5</f>
        <v>0.159500000000001</v>
      </c>
      <c r="E9" s="16"/>
      <c r="F9" s="16"/>
      <c r="G9" s="16"/>
      <c r="H9" s="16"/>
      <c r="I9" s="16"/>
      <c r="J9" s="16"/>
      <c r="K9" s="16"/>
      <c r="L9" s="16"/>
      <c r="M9" s="16"/>
      <c r="N9" s="16"/>
    </row>
    <row r="10" customFormat="false" ht="12.75" hidden="false" customHeight="false" outlineLevel="0" collapsed="false">
      <c r="A10" s="15" t="s">
        <v>114</v>
      </c>
      <c r="C10" s="21" t="n">
        <v>0.02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customFormat="false" ht="13.5" hidden="false" customHeight="false" outlineLevel="0" collapsed="false">
      <c r="C11" s="22" t="n">
        <f aca="false">SUM(C4:C5,C9,C10)</f>
        <v>5.037</v>
      </c>
      <c r="D11" s="15" t="s">
        <v>115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</row>
    <row r="12" customFormat="false" ht="13.5" hidden="false" customHeight="false" outlineLevel="0" collapsed="false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customFormat="false" ht="12.75" hidden="false" customHeight="false" outlineLevel="0" collapsed="false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customFormat="false" ht="12.75" hidden="false" customHeight="false" outlineLevel="0" collapsed="false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</row>
    <row r="15" customFormat="false" ht="12.75" hidden="false" customHeight="false" outlineLevel="0" collapsed="false">
      <c r="A15" s="17" t="s">
        <v>37</v>
      </c>
      <c r="C15" s="15" t="s">
        <v>116</v>
      </c>
      <c r="E15" s="15" t="s">
        <v>117</v>
      </c>
      <c r="F15" s="16"/>
      <c r="G15" s="16"/>
      <c r="H15" s="16"/>
      <c r="I15" s="16"/>
      <c r="J15" s="16"/>
      <c r="K15" s="16"/>
      <c r="L15" s="16"/>
      <c r="M15" s="16"/>
      <c r="N15" s="16"/>
    </row>
    <row r="16" customFormat="false" ht="12.75" hidden="false" customHeight="false" outlineLevel="0" collapsed="false">
      <c r="A16" s="15" t="s">
        <v>108</v>
      </c>
      <c r="B16" s="15" t="s">
        <v>37</v>
      </c>
      <c r="C16" s="18" t="n">
        <v>4.81</v>
      </c>
      <c r="E16" s="18" t="n">
        <v>4.81</v>
      </c>
      <c r="F16" s="16"/>
      <c r="G16" s="16" t="s">
        <v>118</v>
      </c>
      <c r="H16" s="16"/>
      <c r="I16" s="18" t="n">
        <f aca="false">+C22</f>
        <v>4.9476</v>
      </c>
      <c r="J16" s="16"/>
      <c r="K16" s="16"/>
      <c r="L16" s="16"/>
      <c r="M16" s="16"/>
      <c r="N16" s="16"/>
    </row>
    <row r="17" customFormat="false" ht="12.75" hidden="false" customHeight="false" outlineLevel="0" collapsed="false">
      <c r="A17" s="15" t="s">
        <v>109</v>
      </c>
      <c r="C17" s="18" t="n">
        <v>0.0075</v>
      </c>
      <c r="E17" s="18" t="n">
        <v>0.0075</v>
      </c>
      <c r="F17" s="16"/>
      <c r="G17" s="16"/>
      <c r="H17" s="16"/>
      <c r="I17" s="18" t="n">
        <v>0</v>
      </c>
      <c r="J17" s="16"/>
      <c r="K17" s="16"/>
      <c r="L17" s="16"/>
      <c r="M17" s="16"/>
      <c r="N17" s="16"/>
    </row>
    <row r="18" customFormat="false" ht="12.75" hidden="false" customHeight="false" outlineLevel="0" collapsed="false">
      <c r="A18" s="15" t="s">
        <v>110</v>
      </c>
      <c r="C18" s="18" t="n">
        <v>0.0133</v>
      </c>
      <c r="E18" s="18" t="n">
        <v>0.0133</v>
      </c>
      <c r="F18" s="16"/>
      <c r="G18" s="16" t="s">
        <v>119</v>
      </c>
      <c r="H18" s="16"/>
      <c r="I18" s="18" t="n">
        <v>0.0153</v>
      </c>
      <c r="J18" s="16"/>
      <c r="K18" s="16"/>
      <c r="L18" s="16"/>
      <c r="M18" s="16"/>
      <c r="N18" s="16"/>
    </row>
    <row r="19" customFormat="false" ht="12.75" hidden="false" customHeight="false" outlineLevel="0" collapsed="false">
      <c r="A19" s="15" t="s">
        <v>111</v>
      </c>
      <c r="C19" s="18" t="n">
        <v>0.0094</v>
      </c>
      <c r="E19" s="18" t="n">
        <v>0.0094</v>
      </c>
      <c r="F19" s="16"/>
      <c r="G19" s="16" t="s">
        <v>112</v>
      </c>
      <c r="H19" s="16"/>
      <c r="I19" s="19" t="n">
        <v>0.0017</v>
      </c>
      <c r="J19" s="16"/>
      <c r="K19" s="16"/>
      <c r="L19" s="16"/>
      <c r="M19" s="16"/>
      <c r="N19" s="16"/>
    </row>
    <row r="20" customFormat="false" ht="12.75" hidden="false" customHeight="false" outlineLevel="0" collapsed="false">
      <c r="A20" s="15" t="s">
        <v>112</v>
      </c>
      <c r="C20" s="19" t="n">
        <v>0.02184</v>
      </c>
      <c r="E20" s="19" t="n">
        <v>0.02184</v>
      </c>
      <c r="F20" s="16"/>
      <c r="G20" s="16"/>
      <c r="H20" s="16"/>
      <c r="I20" s="20" t="n">
        <f aca="false">ROUND(+I16/(1-I19)+I18,4)-I16</f>
        <v>0.0236999999999998</v>
      </c>
      <c r="J20" s="16"/>
      <c r="K20" s="16"/>
      <c r="L20" s="16"/>
      <c r="M20" s="16"/>
      <c r="N20" s="16"/>
    </row>
    <row r="21" customFormat="false" ht="13.5" hidden="false" customHeight="false" outlineLevel="0" collapsed="false">
      <c r="A21" s="15" t="s">
        <v>113</v>
      </c>
      <c r="C21" s="20" t="n">
        <f aca="false">ROUND(+C16/(1-C20)+(C18+C19),4)-C16</f>
        <v>0.130100000000001</v>
      </c>
      <c r="E21" s="20" t="n">
        <f aca="false">ROUND(+E16/(1-E20)+(E18+E19),4)-E16</f>
        <v>0.130100000000001</v>
      </c>
      <c r="F21" s="16"/>
      <c r="G21" s="16"/>
      <c r="H21" s="16"/>
      <c r="I21" s="22" t="n">
        <f aca="false">I16+I20</f>
        <v>4.9713</v>
      </c>
      <c r="J21" s="16" t="s">
        <v>120</v>
      </c>
      <c r="K21" s="16"/>
      <c r="L21" s="23"/>
      <c r="M21" s="16"/>
      <c r="N21" s="16"/>
    </row>
    <row r="22" customFormat="false" ht="14.25" hidden="false" customHeight="false" outlineLevel="0" collapsed="false">
      <c r="C22" s="22" t="n">
        <f aca="false">SUM(C16,C17,C21)</f>
        <v>4.9476</v>
      </c>
      <c r="D22" s="15" t="s">
        <v>121</v>
      </c>
      <c r="E22" s="20" t="n">
        <v>0.02</v>
      </c>
      <c r="F22" s="16"/>
      <c r="G22" s="16"/>
      <c r="H22" s="16"/>
      <c r="I22" s="24"/>
      <c r="J22" s="16"/>
      <c r="K22" s="16"/>
      <c r="L22" s="23"/>
      <c r="M22" s="16"/>
      <c r="N22" s="16"/>
    </row>
    <row r="23" customFormat="false" ht="14.25" hidden="false" customHeight="false" outlineLevel="0" collapsed="false">
      <c r="E23" s="22" t="n">
        <f aca="false">+E22+E21+E16</f>
        <v>4.9601</v>
      </c>
      <c r="F23" s="15" t="s">
        <v>122</v>
      </c>
      <c r="H23" s="16"/>
      <c r="I23" s="25"/>
      <c r="J23" s="16"/>
      <c r="K23" s="16"/>
      <c r="L23" s="23"/>
      <c r="M23" s="16"/>
      <c r="N23" s="16"/>
    </row>
    <row r="24" customFormat="false" ht="13.5" hidden="false" customHeight="false" outlineLevel="0" collapsed="false">
      <c r="C24" s="26"/>
      <c r="E24" s="26"/>
      <c r="H24" s="16"/>
      <c r="I24" s="25"/>
      <c r="J24" s="16"/>
      <c r="K24" s="16"/>
      <c r="L24" s="23"/>
      <c r="M24" s="16"/>
      <c r="N24" s="16"/>
    </row>
    <row r="25" customFormat="false" ht="12.75" hidden="false" customHeight="false" outlineLevel="0" collapsed="false">
      <c r="A25" s="15" t="s">
        <v>123</v>
      </c>
      <c r="C25" s="26"/>
      <c r="E25" s="26"/>
      <c r="H25" s="16"/>
      <c r="I25" s="25"/>
      <c r="J25" s="16"/>
      <c r="K25" s="16"/>
      <c r="L25" s="23"/>
      <c r="M25" s="16"/>
      <c r="N25" s="16"/>
    </row>
    <row r="26" customFormat="false" ht="12.75" hidden="false" customHeight="false" outlineLevel="0" collapsed="false">
      <c r="B26" s="15" t="s">
        <v>124</v>
      </c>
      <c r="C26" s="26"/>
      <c r="E26" s="26"/>
      <c r="H26" s="16"/>
      <c r="I26" s="25"/>
      <c r="J26" s="16"/>
      <c r="K26" s="16"/>
      <c r="L26" s="23"/>
      <c r="M26" s="16"/>
      <c r="N26" s="16"/>
    </row>
    <row r="27" customFormat="false" ht="12.75" hidden="false" customHeight="false" outlineLevel="0" collapsed="false">
      <c r="C27" s="26" t="s">
        <v>125</v>
      </c>
      <c r="E27" s="26"/>
      <c r="H27" s="16"/>
      <c r="I27" s="25"/>
      <c r="J27" s="16"/>
      <c r="K27" s="16"/>
      <c r="L27" s="23"/>
      <c r="M27" s="16"/>
      <c r="N27" s="16"/>
    </row>
    <row r="28" customFormat="false" ht="12.75" hidden="false" customHeight="false" outlineLevel="0" collapsed="false">
      <c r="C28" s="26"/>
      <c r="E28" s="26"/>
      <c r="H28" s="16"/>
      <c r="I28" s="25"/>
      <c r="J28" s="16"/>
      <c r="K28" s="16"/>
      <c r="L28" s="23"/>
      <c r="M28" s="16"/>
      <c r="N28" s="16"/>
    </row>
    <row r="29" customFormat="false" ht="12.75" hidden="false" customHeight="false" outlineLevel="0" collapsed="false">
      <c r="B29" s="15" t="s">
        <v>126</v>
      </c>
      <c r="C29" s="26"/>
      <c r="E29" s="26"/>
      <c r="H29" s="16"/>
      <c r="I29" s="25"/>
      <c r="J29" s="16"/>
      <c r="K29" s="16"/>
      <c r="L29" s="23"/>
      <c r="M29" s="16"/>
      <c r="N29" s="16"/>
    </row>
    <row r="30" customFormat="false" ht="12.75" hidden="false" customHeight="false" outlineLevel="0" collapsed="false">
      <c r="C30" s="26" t="s">
        <v>127</v>
      </c>
      <c r="E30" s="26"/>
      <c r="H30" s="16"/>
      <c r="I30" s="25"/>
      <c r="J30" s="16"/>
      <c r="K30" s="16"/>
      <c r="L30" s="23"/>
      <c r="M30" s="16"/>
      <c r="N30" s="16"/>
    </row>
    <row r="31" customFormat="false" ht="12.75" hidden="false" customHeight="false" outlineLevel="0" collapsed="false">
      <c r="C31" s="26"/>
      <c r="E31" s="26"/>
      <c r="H31" s="16"/>
      <c r="I31" s="25"/>
      <c r="J31" s="16"/>
      <c r="K31" s="16"/>
      <c r="L31" s="23"/>
      <c r="M31" s="16"/>
      <c r="N31" s="16"/>
    </row>
    <row r="32" customFormat="false" ht="12.75" hidden="false" customHeight="false" outlineLevel="0" collapsed="false">
      <c r="B32" s="15" t="s">
        <v>128</v>
      </c>
      <c r="C32" s="26"/>
      <c r="E32" s="26"/>
      <c r="H32" s="16"/>
      <c r="I32" s="25"/>
      <c r="J32" s="16"/>
      <c r="K32" s="16"/>
      <c r="L32" s="23"/>
      <c r="M32" s="16"/>
      <c r="N32" s="16"/>
    </row>
    <row r="33" customFormat="false" ht="12.75" hidden="false" customHeight="false" outlineLevel="0" collapsed="false">
      <c r="C33" s="26" t="s">
        <v>127</v>
      </c>
      <c r="E33" s="26"/>
      <c r="H33" s="16"/>
      <c r="I33" s="25"/>
      <c r="J33" s="16"/>
      <c r="K33" s="16"/>
      <c r="L33" s="23"/>
      <c r="M33" s="16"/>
      <c r="N33" s="16"/>
    </row>
    <row r="34" customFormat="false" ht="12.75" hidden="false" customHeight="false" outlineLevel="0" collapsed="false">
      <c r="C34" s="26"/>
      <c r="E34" s="26"/>
      <c r="H34" s="16"/>
      <c r="I34" s="25"/>
      <c r="J34" s="16"/>
      <c r="K34" s="16"/>
      <c r="L34" s="23"/>
      <c r="M34" s="16"/>
      <c r="N34" s="16"/>
    </row>
    <row r="35" customFormat="false" ht="12.75" hidden="false" customHeight="false" outlineLevel="0" collapsed="false">
      <c r="C35" s="27"/>
      <c r="E35" s="27"/>
      <c r="H35" s="16"/>
      <c r="I35" s="16"/>
      <c r="J35" s="16"/>
      <c r="K35" s="16"/>
      <c r="L35" s="23"/>
      <c r="M35" s="16"/>
      <c r="N35" s="16"/>
    </row>
    <row r="36" customFormat="false" ht="12.75" hidden="false" customHeight="false" outlineLevel="0" collapsed="false">
      <c r="C36" s="27"/>
      <c r="E36" s="27"/>
      <c r="H36" s="16"/>
      <c r="I36" s="16"/>
      <c r="J36" s="16"/>
      <c r="K36" s="16"/>
      <c r="L36" s="23"/>
      <c r="M36" s="16"/>
      <c r="N36" s="16"/>
    </row>
    <row r="37" customFormat="false" ht="12.75" hidden="false" customHeight="false" outlineLevel="0" collapsed="false">
      <c r="C37" s="27"/>
      <c r="E37" s="27"/>
      <c r="H37" s="16"/>
      <c r="I37" s="16"/>
      <c r="J37" s="16"/>
      <c r="K37" s="16"/>
      <c r="L37" s="23"/>
      <c r="M37" s="16"/>
      <c r="N37" s="16"/>
    </row>
    <row r="38" customFormat="false" ht="12.75" hidden="false" customHeight="false" outlineLevel="0" collapsed="false">
      <c r="A38" s="17" t="s">
        <v>129</v>
      </c>
      <c r="C38" s="15" t="s">
        <v>130</v>
      </c>
      <c r="D38" s="28" t="s">
        <v>131</v>
      </c>
      <c r="E38" s="28"/>
      <c r="F38" s="29"/>
      <c r="G38" s="29"/>
      <c r="H38" s="29"/>
      <c r="I38" s="29"/>
      <c r="J38" s="16"/>
      <c r="K38" s="16"/>
      <c r="L38" s="16"/>
      <c r="M38" s="16"/>
      <c r="N38" s="16"/>
    </row>
    <row r="39" customFormat="false" ht="12.75" hidden="false" customHeight="false" outlineLevel="0" collapsed="false">
      <c r="A39" s="15" t="s">
        <v>108</v>
      </c>
      <c r="B39" s="15" t="s">
        <v>129</v>
      </c>
      <c r="C39" s="18" t="n">
        <v>4.59</v>
      </c>
      <c r="D39" s="30" t="n">
        <v>1142</v>
      </c>
      <c r="E39" s="28" t="s">
        <v>132</v>
      </c>
      <c r="F39" s="29"/>
      <c r="G39" s="29"/>
      <c r="H39" s="29"/>
      <c r="I39" s="24"/>
      <c r="J39" s="16"/>
      <c r="K39" s="16"/>
      <c r="L39" s="16"/>
      <c r="M39" s="16"/>
      <c r="N39" s="16"/>
    </row>
    <row r="40" customFormat="false" ht="12.75" hidden="false" customHeight="false" outlineLevel="0" collapsed="false">
      <c r="A40" s="15" t="s">
        <v>109</v>
      </c>
      <c r="C40" s="18" t="n">
        <v>0.05</v>
      </c>
      <c r="D40" s="28"/>
      <c r="E40" s="24"/>
      <c r="F40" s="29"/>
      <c r="G40" s="29"/>
      <c r="H40" s="29"/>
      <c r="I40" s="24"/>
      <c r="J40" s="16"/>
      <c r="K40" s="16"/>
      <c r="L40" s="16"/>
      <c r="M40" s="16"/>
      <c r="N40" s="16"/>
    </row>
    <row r="41" customFormat="false" ht="12.75" hidden="false" customHeight="false" outlineLevel="0" collapsed="false">
      <c r="A41" s="15" t="s">
        <v>110</v>
      </c>
      <c r="C41" s="18" t="n">
        <v>0.017</v>
      </c>
      <c r="D41" s="28"/>
      <c r="E41" s="24"/>
      <c r="F41" s="29"/>
      <c r="G41" s="29"/>
      <c r="H41" s="29"/>
      <c r="I41" s="24"/>
      <c r="J41" s="16"/>
      <c r="K41" s="16"/>
      <c r="L41" s="16"/>
      <c r="M41" s="16"/>
      <c r="N41" s="16"/>
    </row>
    <row r="42" customFormat="false" ht="12.75" hidden="false" customHeight="false" outlineLevel="0" collapsed="false">
      <c r="A42" s="15" t="s">
        <v>111</v>
      </c>
      <c r="C42" s="18" t="n">
        <v>0.0022</v>
      </c>
      <c r="D42" s="28"/>
      <c r="E42" s="24"/>
      <c r="F42" s="29"/>
      <c r="G42" s="29"/>
      <c r="H42" s="29"/>
      <c r="I42" s="19"/>
      <c r="J42" s="16"/>
      <c r="K42" s="16"/>
      <c r="L42" s="16"/>
      <c r="M42" s="16"/>
      <c r="N42" s="16"/>
    </row>
    <row r="43" customFormat="false" ht="12.75" hidden="false" customHeight="false" outlineLevel="0" collapsed="false">
      <c r="A43" s="15" t="s">
        <v>112</v>
      </c>
      <c r="C43" s="19" t="n">
        <v>0.0282</v>
      </c>
      <c r="D43" s="28" t="n">
        <f aca="false">ROUND(+D39*(1-C43),0)</f>
        <v>1110</v>
      </c>
      <c r="E43" s="19" t="s">
        <v>133</v>
      </c>
      <c r="F43" s="29"/>
      <c r="G43" s="29"/>
      <c r="H43" s="29"/>
      <c r="I43" s="24"/>
      <c r="J43" s="16"/>
      <c r="K43" s="16"/>
      <c r="L43" s="16"/>
      <c r="M43" s="16"/>
      <c r="N43" s="16"/>
    </row>
    <row r="44" customFormat="false" ht="12.75" hidden="false" customHeight="false" outlineLevel="0" collapsed="false">
      <c r="A44" s="15" t="s">
        <v>113</v>
      </c>
      <c r="C44" s="20" t="n">
        <f aca="false">ROUND((+C39+C40)/(1-C43)+(C41+C42),4)-C39-C40</f>
        <v>0.1538</v>
      </c>
      <c r="D44" s="28"/>
      <c r="E44" s="24"/>
      <c r="F44" s="29"/>
      <c r="G44" s="29"/>
      <c r="H44" s="29"/>
      <c r="I44" s="24"/>
      <c r="J44" s="16"/>
      <c r="K44" s="16"/>
      <c r="L44" s="23"/>
      <c r="M44" s="16"/>
      <c r="N44" s="16"/>
    </row>
    <row r="45" customFormat="false" ht="13.5" hidden="false" customHeight="false" outlineLevel="0" collapsed="false">
      <c r="C45" s="22" t="n">
        <f aca="false">SUM(C39,C40,C44)</f>
        <v>4.7938</v>
      </c>
      <c r="D45" s="28"/>
      <c r="E45" s="24"/>
      <c r="F45" s="29"/>
      <c r="G45" s="29"/>
      <c r="H45" s="29"/>
      <c r="I45" s="24"/>
      <c r="J45" s="16"/>
      <c r="K45" s="16"/>
      <c r="L45" s="23"/>
      <c r="M45" s="16"/>
      <c r="N45" s="16"/>
    </row>
    <row r="46" customFormat="false" ht="13.5" hidden="false" customHeight="false" outlineLevel="0" collapsed="false">
      <c r="A46" s="15" t="s">
        <v>134</v>
      </c>
      <c r="D46" s="28"/>
      <c r="E46" s="24"/>
      <c r="F46" s="28"/>
      <c r="G46" s="28"/>
      <c r="H46" s="29"/>
      <c r="I46" s="29"/>
      <c r="J46" s="16"/>
      <c r="K46" s="16"/>
      <c r="L46" s="23"/>
      <c r="M46" s="16"/>
      <c r="N46" s="16"/>
    </row>
    <row r="47" customFormat="false" ht="12.75" hidden="false" customHeight="false" outlineLevel="0" collapsed="false">
      <c r="C47" s="26"/>
      <c r="E47" s="26"/>
      <c r="H47" s="16"/>
      <c r="I47" s="16"/>
      <c r="J47" s="16"/>
      <c r="K47" s="16"/>
      <c r="L47" s="23"/>
      <c r="M47" s="16"/>
      <c r="N47" s="16"/>
    </row>
    <row r="48" customFormat="false" ht="12.75" hidden="false" customHeight="false" outlineLevel="0" collapsed="false">
      <c r="A48" s="15" t="s">
        <v>135</v>
      </c>
      <c r="C48" s="27"/>
      <c r="E48" s="27"/>
      <c r="H48" s="16"/>
      <c r="I48" s="16"/>
      <c r="J48" s="16"/>
      <c r="K48" s="16"/>
      <c r="L48" s="23"/>
      <c r="M48" s="16"/>
      <c r="N48" s="16"/>
    </row>
    <row r="49" customFormat="false" ht="12.75" hidden="false" customHeight="false" outlineLevel="0" collapsed="false">
      <c r="B49" s="15" t="s">
        <v>136</v>
      </c>
      <c r="C49" s="18"/>
      <c r="H49" s="16"/>
      <c r="I49" s="16"/>
      <c r="J49" s="16"/>
      <c r="K49" s="16"/>
      <c r="L49" s="23"/>
      <c r="M49" s="16"/>
      <c r="N49" s="16"/>
    </row>
    <row r="50" customFormat="false" ht="12.75" hidden="false" customHeight="false" outlineLevel="0" collapsed="false">
      <c r="A50" s="16"/>
      <c r="B50" s="16" t="s">
        <v>137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</row>
    <row r="51" customFormat="false" ht="12.75" hidden="false" customHeight="false" outlineLevel="0" collapsed="false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</row>
    <row r="52" customFormat="false" ht="12.75" hidden="false" customHeight="false" outlineLevel="0" collapsed="false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</row>
    <row r="53" customFormat="false" ht="12.75" hidden="false" customHeight="false" outlineLevel="0" collapsed="false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customFormat="false" ht="12.75" hidden="false" customHeight="false" outlineLevel="0" collapsed="false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</row>
    <row r="55" customFormat="false" ht="12.75" hidden="false" customHeight="false" outlineLevel="0" collapsed="false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</row>
    <row r="56" customFormat="false" ht="12.75" hidden="false" customHeight="false" outlineLevel="0" collapsed="false">
      <c r="A56" s="17" t="s">
        <v>60</v>
      </c>
      <c r="C56" s="31" t="s">
        <v>116</v>
      </c>
      <c r="E56" s="31" t="s">
        <v>138</v>
      </c>
      <c r="G56" s="16"/>
      <c r="H56" s="16"/>
      <c r="I56" s="16"/>
      <c r="J56" s="16"/>
      <c r="K56" s="16"/>
      <c r="L56" s="16"/>
      <c r="M56" s="16"/>
      <c r="N56" s="16"/>
    </row>
    <row r="57" customFormat="false" ht="12.75" hidden="false" customHeight="false" outlineLevel="0" collapsed="false">
      <c r="A57" s="15" t="s">
        <v>108</v>
      </c>
      <c r="B57" s="15" t="s">
        <v>106</v>
      </c>
      <c r="C57" s="18" t="n">
        <v>4.56</v>
      </c>
      <c r="E57" s="18" t="n">
        <v>4.56</v>
      </c>
      <c r="G57" s="16"/>
      <c r="H57" s="16"/>
      <c r="I57" s="16"/>
      <c r="J57" s="16"/>
      <c r="K57" s="16"/>
      <c r="L57" s="16"/>
      <c r="M57" s="16"/>
      <c r="N57" s="16"/>
    </row>
    <row r="58" customFormat="false" ht="12.75" hidden="false" customHeight="false" outlineLevel="0" collapsed="false">
      <c r="A58" s="15" t="s">
        <v>109</v>
      </c>
      <c r="C58" s="18" t="n">
        <v>0.0275</v>
      </c>
      <c r="E58" s="18" t="n">
        <v>0.0275</v>
      </c>
      <c r="G58" s="16"/>
      <c r="H58" s="16"/>
      <c r="I58" s="16"/>
      <c r="J58" s="16"/>
      <c r="K58" s="16"/>
      <c r="L58" s="16"/>
      <c r="M58" s="16"/>
      <c r="N58" s="16"/>
    </row>
    <row r="59" customFormat="false" ht="12.75" hidden="false" customHeight="false" outlineLevel="0" collapsed="false">
      <c r="A59" s="15" t="s">
        <v>110</v>
      </c>
      <c r="C59" s="18" t="n">
        <v>0.0092</v>
      </c>
      <c r="E59" s="18" t="n">
        <v>0.2127</v>
      </c>
      <c r="G59" s="16"/>
      <c r="H59" s="16"/>
      <c r="I59" s="16"/>
      <c r="J59" s="16"/>
      <c r="K59" s="16"/>
      <c r="L59" s="16"/>
      <c r="M59" s="16"/>
      <c r="N59" s="16"/>
    </row>
    <row r="60" customFormat="false" ht="12.75" hidden="false" customHeight="false" outlineLevel="0" collapsed="false">
      <c r="A60" s="15" t="s">
        <v>111</v>
      </c>
      <c r="C60" s="18" t="n">
        <v>0.0094</v>
      </c>
      <c r="E60" s="18" t="n">
        <v>0.0094</v>
      </c>
      <c r="F60" s="16"/>
      <c r="G60" s="16"/>
      <c r="H60" s="16"/>
      <c r="I60" s="16"/>
      <c r="J60" s="16"/>
      <c r="K60" s="16"/>
      <c r="L60" s="16"/>
      <c r="M60" s="16"/>
      <c r="N60" s="16"/>
    </row>
    <row r="61" customFormat="false" ht="12.75" hidden="false" customHeight="false" outlineLevel="0" collapsed="false">
      <c r="A61" s="15" t="s">
        <v>112</v>
      </c>
      <c r="C61" s="32" t="n">
        <v>0.03</v>
      </c>
      <c r="E61" s="32" t="n">
        <v>0.03</v>
      </c>
      <c r="F61" s="16"/>
      <c r="G61" s="16"/>
      <c r="H61" s="16"/>
      <c r="I61" s="16"/>
      <c r="J61" s="16"/>
      <c r="K61" s="16"/>
      <c r="L61" s="16"/>
      <c r="M61" s="16"/>
      <c r="N61" s="16"/>
    </row>
    <row r="62" customFormat="false" ht="12.75" hidden="false" customHeight="false" outlineLevel="0" collapsed="false">
      <c r="A62" s="15" t="s">
        <v>113</v>
      </c>
      <c r="C62" s="20" t="n">
        <f aca="false">ROUND((+C57+C58)/(1-C61)-(C57+C58)+C59+C60,4)</f>
        <v>0.1605</v>
      </c>
      <c r="E62" s="20" t="n">
        <f aca="false">ROUND((+E57+E58)/(1-E61)-(E57+E58)+E59+E60,4)</f>
        <v>0.364</v>
      </c>
      <c r="F62" s="16"/>
      <c r="G62" s="16"/>
      <c r="H62" s="16"/>
      <c r="I62" s="16"/>
      <c r="J62" s="16"/>
      <c r="K62" s="16"/>
      <c r="L62" s="16"/>
      <c r="M62" s="16"/>
      <c r="N62" s="16"/>
    </row>
    <row r="63" customFormat="false" ht="13.5" hidden="false" customHeight="false" outlineLevel="0" collapsed="false">
      <c r="A63" s="15" t="s">
        <v>139</v>
      </c>
      <c r="C63" s="22" t="n">
        <f aca="false">SUM(C62,C57:C58)</f>
        <v>4.748</v>
      </c>
      <c r="E63" s="22" t="n">
        <f aca="false">SUM(E62,E57:E58)</f>
        <v>4.9515</v>
      </c>
      <c r="F63" s="16"/>
      <c r="G63" s="16"/>
      <c r="H63" s="16"/>
      <c r="I63" s="16"/>
      <c r="J63" s="16"/>
      <c r="K63" s="16"/>
      <c r="L63" s="16"/>
      <c r="M63" s="16"/>
      <c r="N63" s="16"/>
    </row>
    <row r="64" customFormat="false" ht="13.5" hidden="false" customHeight="false" outlineLevel="0" collapsed="false">
      <c r="F64" s="16"/>
      <c r="G64" s="16"/>
      <c r="H64" s="16"/>
      <c r="I64" s="16"/>
      <c r="J64" s="16"/>
      <c r="K64" s="16"/>
      <c r="L64" s="16"/>
      <c r="M64" s="16"/>
      <c r="N64" s="16"/>
    </row>
    <row r="65" customFormat="false" ht="12.75" hidden="false" customHeight="false" outlineLevel="0" collapsed="false">
      <c r="A65" s="15" t="s">
        <v>140</v>
      </c>
      <c r="F65" s="16"/>
      <c r="G65" s="16"/>
      <c r="H65" s="16"/>
      <c r="I65" s="16"/>
      <c r="J65" s="16"/>
      <c r="K65" s="16"/>
      <c r="L65" s="16"/>
      <c r="M65" s="16"/>
      <c r="N65" s="16"/>
    </row>
    <row r="66" customFormat="false" ht="12.75" hidden="false" customHeight="false" outlineLevel="0" collapsed="false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</row>
    <row r="67" customFormat="false" ht="12.75" hidden="false" customHeight="false" outlineLevel="0" collapsed="false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</row>
    <row r="68" customFormat="false" ht="12.75" hidden="false" customHeight="false" outlineLevel="0" collapsed="false">
      <c r="A68" s="17" t="s">
        <v>141</v>
      </c>
      <c r="F68" s="16"/>
      <c r="G68" s="16"/>
      <c r="H68" s="16"/>
      <c r="I68" s="16"/>
      <c r="J68" s="16"/>
      <c r="K68" s="16"/>
      <c r="L68" s="16"/>
      <c r="M68" s="16"/>
      <c r="N68" s="16"/>
    </row>
    <row r="69" customFormat="false" ht="12.75" hidden="false" customHeight="false" outlineLevel="0" collapsed="false">
      <c r="A69" s="15" t="s">
        <v>108</v>
      </c>
      <c r="B69" s="15" t="s">
        <v>142</v>
      </c>
      <c r="C69" s="18" t="n">
        <v>4.29</v>
      </c>
      <c r="F69" s="16"/>
      <c r="G69" s="16"/>
      <c r="H69" s="16"/>
      <c r="I69" s="16"/>
      <c r="J69" s="16"/>
      <c r="K69" s="16"/>
      <c r="L69" s="16"/>
      <c r="M69" s="16"/>
      <c r="N69" s="16"/>
    </row>
    <row r="70" customFormat="false" ht="12.75" hidden="false" customHeight="false" outlineLevel="0" collapsed="false">
      <c r="A70" s="15" t="s">
        <v>109</v>
      </c>
      <c r="C70" s="18" t="n">
        <v>0.01</v>
      </c>
      <c r="F70" s="16"/>
      <c r="G70" s="16"/>
      <c r="H70" s="16"/>
      <c r="I70" s="16"/>
      <c r="J70" s="16"/>
      <c r="K70" s="16"/>
      <c r="L70" s="16"/>
      <c r="M70" s="16"/>
      <c r="N70" s="16"/>
    </row>
    <row r="71" customFormat="false" ht="12.75" hidden="false" customHeight="false" outlineLevel="0" collapsed="false">
      <c r="A71" s="15" t="s">
        <v>110</v>
      </c>
      <c r="C71" s="18" t="n">
        <v>0.1126</v>
      </c>
      <c r="F71" s="16"/>
      <c r="G71" s="16"/>
      <c r="H71" s="16"/>
      <c r="I71" s="16"/>
      <c r="J71" s="16"/>
      <c r="K71" s="16"/>
      <c r="L71" s="16"/>
      <c r="M71" s="16"/>
      <c r="N71" s="16"/>
    </row>
    <row r="72" customFormat="false" ht="12.75" hidden="false" customHeight="false" outlineLevel="0" collapsed="false">
      <c r="A72" s="15" t="s">
        <v>111</v>
      </c>
      <c r="C72" s="18" t="n">
        <v>0.0094</v>
      </c>
      <c r="F72" s="16"/>
      <c r="G72" s="16"/>
      <c r="H72" s="16"/>
      <c r="I72" s="16"/>
      <c r="J72" s="16"/>
      <c r="K72" s="16"/>
      <c r="L72" s="16"/>
      <c r="M72" s="16"/>
      <c r="N72" s="16"/>
    </row>
    <row r="73" customFormat="false" ht="12.75" hidden="false" customHeight="false" outlineLevel="0" collapsed="false">
      <c r="A73" s="15" t="s">
        <v>112</v>
      </c>
      <c r="C73" s="32" t="n">
        <v>0.0597</v>
      </c>
      <c r="F73" s="16"/>
      <c r="G73" s="16"/>
      <c r="H73" s="16"/>
      <c r="I73" s="16"/>
      <c r="J73" s="16"/>
      <c r="K73" s="16"/>
      <c r="L73" s="16"/>
      <c r="M73" s="16"/>
      <c r="N73" s="16"/>
    </row>
    <row r="74" customFormat="false" ht="12.75" hidden="false" customHeight="false" outlineLevel="0" collapsed="false">
      <c r="A74" s="15" t="s">
        <v>113</v>
      </c>
      <c r="C74" s="20" t="n">
        <f aca="false">ROUND((+C69+C70)/(1-C73)-(C69+C70)+C71+C72,4)</f>
        <v>0.395</v>
      </c>
      <c r="F74" s="16"/>
      <c r="G74" s="16"/>
      <c r="H74" s="16"/>
      <c r="I74" s="16"/>
      <c r="J74" s="16"/>
      <c r="K74" s="16"/>
      <c r="L74" s="16"/>
      <c r="M74" s="16"/>
      <c r="N74" s="16"/>
    </row>
    <row r="75" customFormat="false" ht="13.5" hidden="false" customHeight="false" outlineLevel="0" collapsed="false">
      <c r="C75" s="22" t="n">
        <f aca="false">SUM(C74,C69:C70)</f>
        <v>4.695</v>
      </c>
      <c r="D75" s="15" t="s">
        <v>143</v>
      </c>
      <c r="F75" s="16"/>
      <c r="G75" s="16"/>
      <c r="H75" s="16"/>
      <c r="I75" s="16"/>
      <c r="J75" s="16"/>
      <c r="K75" s="16"/>
      <c r="L75" s="16"/>
      <c r="M75" s="16"/>
      <c r="N75" s="16"/>
    </row>
    <row r="76" customFormat="false" ht="13.5" hidden="false" customHeight="false" outlineLevel="0" collapsed="false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customFormat="false" ht="12.75" hidden="false" customHeight="false" outlineLevel="0" collapsed="false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</row>
    <row r="78" customFormat="false" ht="12.75" hidden="false" customHeight="false" outlineLevel="0" collapsed="false">
      <c r="A78" s="17" t="s">
        <v>44</v>
      </c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customFormat="false" ht="12.75" hidden="false" customHeight="false" outlineLevel="0" collapsed="false">
      <c r="A79" s="15" t="s">
        <v>108</v>
      </c>
      <c r="B79" s="15" t="s">
        <v>144</v>
      </c>
      <c r="C79" s="18" t="n">
        <v>4.3</v>
      </c>
      <c r="E79" s="16"/>
      <c r="F79" s="16"/>
      <c r="G79" s="16"/>
      <c r="H79" s="16"/>
      <c r="I79" s="16"/>
      <c r="J79" s="16"/>
      <c r="K79" s="16"/>
      <c r="L79" s="16"/>
      <c r="M79" s="16"/>
      <c r="N79" s="16"/>
    </row>
    <row r="80" customFormat="false" ht="12.75" hidden="false" customHeight="false" outlineLevel="0" collapsed="false">
      <c r="A80" s="15" t="s">
        <v>109</v>
      </c>
      <c r="C80" s="18" t="n">
        <v>0.01</v>
      </c>
      <c r="E80" s="16"/>
      <c r="F80" s="16"/>
      <c r="G80" s="16"/>
      <c r="H80" s="16"/>
      <c r="I80" s="16"/>
      <c r="J80" s="16"/>
      <c r="K80" s="16"/>
      <c r="L80" s="16"/>
      <c r="M80" s="16"/>
      <c r="N80" s="16"/>
    </row>
    <row r="81" customFormat="false" ht="12.75" hidden="false" customHeight="false" outlineLevel="0" collapsed="false">
      <c r="A81" s="15" t="s">
        <v>110</v>
      </c>
      <c r="C81" s="18" t="n">
        <v>0.1012</v>
      </c>
      <c r="E81" s="16"/>
      <c r="F81" s="16"/>
      <c r="G81" s="16"/>
      <c r="H81" s="16"/>
      <c r="I81" s="16"/>
      <c r="J81" s="16"/>
      <c r="K81" s="16"/>
      <c r="L81" s="16"/>
      <c r="M81" s="16"/>
      <c r="N81" s="16"/>
    </row>
    <row r="82" customFormat="false" ht="12.75" hidden="false" customHeight="false" outlineLevel="0" collapsed="false">
      <c r="A82" s="15" t="s">
        <v>111</v>
      </c>
      <c r="C82" s="18" t="n">
        <v>0.0094</v>
      </c>
      <c r="E82" s="16"/>
      <c r="F82" s="16"/>
      <c r="G82" s="16"/>
      <c r="H82" s="16"/>
      <c r="I82" s="16"/>
      <c r="J82" s="16"/>
      <c r="K82" s="16"/>
      <c r="L82" s="16"/>
      <c r="M82" s="16"/>
      <c r="N82" s="16"/>
    </row>
    <row r="83" customFormat="false" ht="12.75" hidden="false" customHeight="false" outlineLevel="0" collapsed="false">
      <c r="A83" s="15" t="s">
        <v>112</v>
      </c>
      <c r="C83" s="32" t="n">
        <v>0.0705</v>
      </c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customFormat="false" ht="12.75" hidden="false" customHeight="false" outlineLevel="0" collapsed="false">
      <c r="A84" s="15" t="s">
        <v>113</v>
      </c>
      <c r="C84" s="20" t="n">
        <f aca="false">ROUND((+C79+C80)/(1-C83)-(C79+C80)+C81+C82,4)</f>
        <v>0.4375</v>
      </c>
      <c r="D84" s="15" t="s">
        <v>145</v>
      </c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customFormat="false" ht="13.5" hidden="false" customHeight="false" outlineLevel="0" collapsed="false">
      <c r="C85" s="22" t="n">
        <f aca="false">SUM(C84,C79:C80)</f>
        <v>4.7475</v>
      </c>
      <c r="D85" s="15" t="s">
        <v>146</v>
      </c>
      <c r="E85" s="16"/>
      <c r="F85" s="16"/>
      <c r="G85" s="16"/>
      <c r="H85" s="16"/>
      <c r="I85" s="16"/>
      <c r="J85" s="16"/>
      <c r="K85" s="16"/>
      <c r="L85" s="16"/>
      <c r="M85" s="16"/>
      <c r="N85" s="16"/>
    </row>
    <row r="86" customFormat="false" ht="13.5" hidden="false" customHeight="false" outlineLevel="0" collapsed="false">
      <c r="E86" s="16"/>
      <c r="F86" s="16"/>
      <c r="G86" s="16"/>
      <c r="H86" s="16"/>
      <c r="I86" s="16"/>
      <c r="J86" s="16"/>
      <c r="K86" s="16"/>
      <c r="L86" s="16"/>
      <c r="M86" s="16"/>
      <c r="N86" s="16"/>
    </row>
    <row r="87" customFormat="false" ht="12.75" hidden="false" customHeight="false" outlineLevel="0" collapsed="false">
      <c r="A87" s="15" t="s">
        <v>147</v>
      </c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customFormat="false" ht="12.75" hidden="false" customHeight="false" outlineLevel="0" collapsed="false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customFormat="false" ht="12.75" hidden="false" customHeight="false" outlineLevel="0" collapsed="false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customFormat="false" ht="12.75" hidden="false" customHeight="false" outlineLevel="0" collapsed="false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</row>
    <row r="91" customFormat="false" ht="12.75" hidden="false" customHeight="false" outlineLevel="0" collapsed="false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</row>
    <row r="92" customFormat="false" ht="12.75" hidden="false" customHeight="false" outlineLevel="0" collapsed="false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</row>
    <row r="93" customFormat="false" ht="12.75" hidden="false" customHeight="false" outlineLevel="0" collapsed="false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</row>
    <row r="94" customFormat="false" ht="12.75" hidden="false" customHeight="false" outlineLevel="0" collapsed="false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</row>
    <row r="95" customFormat="false" ht="12.75" hidden="false" customHeight="false" outlineLevel="0" collapsed="false">
      <c r="A95" s="33" t="s">
        <v>62</v>
      </c>
      <c r="G95" s="34"/>
      <c r="H95" s="34"/>
    </row>
    <row r="96" customFormat="false" ht="12.75" hidden="false" customHeight="false" outlineLevel="0" collapsed="false">
      <c r="D96" s="35"/>
      <c r="F96" s="30"/>
      <c r="G96" s="34"/>
    </row>
    <row r="97" customFormat="false" ht="12" hidden="false" customHeight="false" outlineLevel="0" collapsed="false">
      <c r="A97" s="15" t="s">
        <v>148</v>
      </c>
      <c r="E97" s="28"/>
      <c r="F97" s="28"/>
      <c r="G97" s="28"/>
      <c r="H97" s="28"/>
      <c r="I97" s="28"/>
      <c r="J97" s="28"/>
      <c r="K97" s="28"/>
      <c r="L97" s="28"/>
    </row>
    <row r="98" customFormat="false" ht="12.75" hidden="false" customHeight="false" outlineLevel="0" collapsed="false">
      <c r="A98" s="15" t="s">
        <v>108</v>
      </c>
      <c r="B98" s="15" t="s">
        <v>149</v>
      </c>
      <c r="C98" s="18" t="n">
        <v>4.36</v>
      </c>
      <c r="E98" s="28"/>
      <c r="F98" s="28"/>
      <c r="G98" s="24"/>
      <c r="H98" s="28"/>
      <c r="I98" s="28"/>
      <c r="J98" s="28"/>
      <c r="K98" s="24"/>
      <c r="L98" s="36"/>
    </row>
    <row r="99" customFormat="false" ht="12.75" hidden="false" customHeight="false" outlineLevel="0" collapsed="false">
      <c r="C99" s="18" t="n">
        <v>0.0075</v>
      </c>
      <c r="E99" s="28"/>
      <c r="F99" s="28"/>
      <c r="G99" s="24"/>
      <c r="H99" s="28"/>
      <c r="I99" s="28"/>
      <c r="J99" s="28"/>
      <c r="K99" s="24"/>
      <c r="L99" s="36"/>
    </row>
    <row r="100" customFormat="false" ht="12.75" hidden="false" customHeight="false" outlineLevel="0" collapsed="false">
      <c r="A100" s="15" t="s">
        <v>110</v>
      </c>
      <c r="B100" s="34"/>
      <c r="C100" s="18" t="n">
        <v>0.0274</v>
      </c>
      <c r="E100" s="28"/>
      <c r="F100" s="36"/>
      <c r="G100" s="24"/>
      <c r="H100" s="28"/>
      <c r="I100" s="28"/>
      <c r="J100" s="36"/>
      <c r="K100" s="24"/>
      <c r="L100" s="36"/>
    </row>
    <row r="101" customFormat="false" ht="12.75" hidden="false" customHeight="false" outlineLevel="0" collapsed="false">
      <c r="A101" s="15" t="s">
        <v>111</v>
      </c>
      <c r="B101" s="34"/>
      <c r="C101" s="18" t="n">
        <v>0.0225</v>
      </c>
      <c r="E101" s="28"/>
      <c r="F101" s="36"/>
      <c r="G101" s="24"/>
      <c r="H101" s="28"/>
      <c r="I101" s="28"/>
      <c r="J101" s="36"/>
      <c r="K101" s="24"/>
      <c r="L101" s="36"/>
    </row>
    <row r="102" customFormat="false" ht="12.75" hidden="false" customHeight="false" outlineLevel="0" collapsed="false">
      <c r="A102" s="15" t="s">
        <v>112</v>
      </c>
      <c r="B102" s="37"/>
      <c r="C102" s="32" t="n">
        <v>0.0472</v>
      </c>
      <c r="E102" s="28"/>
      <c r="F102" s="37"/>
      <c r="G102" s="32"/>
      <c r="H102" s="28"/>
      <c r="I102" s="28"/>
      <c r="J102" s="37"/>
      <c r="K102" s="32"/>
      <c r="L102" s="36"/>
    </row>
    <row r="103" customFormat="false" ht="12.75" hidden="false" customHeight="false" outlineLevel="0" collapsed="false">
      <c r="A103" s="15" t="s">
        <v>113</v>
      </c>
      <c r="C103" s="20" t="n">
        <f aca="false">ROUND((+C98+C99)/(1-C102)+(C100+C101),4)-C98-C99</f>
        <v>0.2663</v>
      </c>
      <c r="E103" s="28"/>
      <c r="F103" s="28"/>
      <c r="G103" s="24"/>
      <c r="H103" s="28"/>
      <c r="I103" s="28"/>
      <c r="J103" s="28"/>
      <c r="K103" s="24"/>
      <c r="L103" s="36"/>
    </row>
    <row r="104" customFormat="false" ht="13.5" hidden="false" customHeight="false" outlineLevel="0" collapsed="false">
      <c r="C104" s="22" t="n">
        <f aca="false">SUM(C103,C98:C99)</f>
        <v>4.6338</v>
      </c>
      <c r="D104" s="15" t="s">
        <v>150</v>
      </c>
      <c r="E104" s="28"/>
      <c r="F104" s="28"/>
      <c r="G104" s="28"/>
      <c r="H104" s="28"/>
      <c r="I104" s="28"/>
      <c r="J104" s="28"/>
      <c r="K104" s="28"/>
      <c r="L104" s="36"/>
      <c r="M104" s="30"/>
      <c r="N104" s="18"/>
    </row>
    <row r="105" customFormat="false" ht="13.5" hidden="false" customHeight="false" outlineLevel="0" collapsed="false">
      <c r="B105" s="34"/>
      <c r="C105" s="18"/>
      <c r="G105" s="30"/>
      <c r="H105" s="38"/>
    </row>
    <row r="106" customFormat="false" ht="12.75" hidden="false" customHeight="false" outlineLevel="0" collapsed="false">
      <c r="K106" s="34"/>
      <c r="L106" s="18"/>
    </row>
    <row r="107" customFormat="false" ht="12.75" hidden="false" customHeight="false" outlineLevel="0" collapsed="false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customFormat="false" ht="12" hidden="false" customHeight="false" outlineLevel="0" collapsed="false">
      <c r="A108" s="15" t="s">
        <v>151</v>
      </c>
      <c r="E108" s="28"/>
      <c r="F108" s="28"/>
      <c r="G108" s="28"/>
      <c r="H108" s="28"/>
      <c r="I108" s="28"/>
      <c r="J108" s="28"/>
      <c r="K108" s="28"/>
      <c r="L108" s="28"/>
    </row>
    <row r="109" customFormat="false" ht="12.75" hidden="false" customHeight="false" outlineLevel="0" collapsed="false">
      <c r="A109" s="15" t="s">
        <v>108</v>
      </c>
      <c r="B109" s="15" t="s">
        <v>149</v>
      </c>
      <c r="C109" s="18" t="n">
        <v>4.36</v>
      </c>
      <c r="E109" s="28"/>
      <c r="F109" s="28"/>
      <c r="G109" s="24"/>
      <c r="H109" s="28"/>
      <c r="I109" s="28"/>
      <c r="J109" s="28"/>
      <c r="K109" s="24"/>
      <c r="L109" s="36"/>
    </row>
    <row r="110" customFormat="false" ht="12.75" hidden="false" customHeight="false" outlineLevel="0" collapsed="false">
      <c r="C110" s="18" t="n">
        <v>0.0075</v>
      </c>
      <c r="E110" s="28"/>
      <c r="F110" s="28"/>
      <c r="G110" s="24"/>
      <c r="H110" s="28"/>
      <c r="I110" s="28"/>
      <c r="J110" s="28"/>
      <c r="K110" s="24"/>
      <c r="L110" s="36"/>
    </row>
    <row r="111" customFormat="false" ht="12.75" hidden="false" customHeight="false" outlineLevel="0" collapsed="false">
      <c r="A111" s="15" t="s">
        <v>110</v>
      </c>
      <c r="B111" s="34"/>
      <c r="C111" s="18" t="n">
        <v>0.014</v>
      </c>
      <c r="E111" s="28"/>
      <c r="F111" s="36"/>
      <c r="G111" s="24"/>
      <c r="H111" s="28"/>
      <c r="I111" s="28"/>
      <c r="J111" s="36"/>
      <c r="K111" s="24"/>
      <c r="L111" s="36"/>
    </row>
    <row r="112" customFormat="false" ht="12.75" hidden="false" customHeight="false" outlineLevel="0" collapsed="false">
      <c r="A112" s="15" t="s">
        <v>111</v>
      </c>
      <c r="B112" s="34"/>
      <c r="C112" s="18" t="n">
        <v>0.0225</v>
      </c>
      <c r="E112" s="28"/>
      <c r="F112" s="36"/>
      <c r="G112" s="24"/>
      <c r="H112" s="28"/>
      <c r="I112" s="28"/>
      <c r="J112" s="36"/>
      <c r="K112" s="24"/>
      <c r="L112" s="36"/>
    </row>
    <row r="113" customFormat="false" ht="12.75" hidden="false" customHeight="false" outlineLevel="0" collapsed="false">
      <c r="A113" s="15" t="s">
        <v>112</v>
      </c>
      <c r="B113" s="37"/>
      <c r="C113" s="32" t="n">
        <v>0.0235</v>
      </c>
      <c r="E113" s="28"/>
      <c r="F113" s="37"/>
      <c r="G113" s="32"/>
      <c r="H113" s="28"/>
      <c r="I113" s="28"/>
      <c r="J113" s="37"/>
      <c r="K113" s="32"/>
      <c r="L113" s="36"/>
    </row>
    <row r="114" customFormat="false" ht="12.75" hidden="false" customHeight="false" outlineLevel="0" collapsed="false">
      <c r="A114" s="15" t="s">
        <v>113</v>
      </c>
      <c r="C114" s="20" t="n">
        <f aca="false">ROUND((+C109+C110)/(1-C113)+(C111+C112),4)-C109-C110</f>
        <v>0.1416</v>
      </c>
      <c r="E114" s="28"/>
      <c r="F114" s="28"/>
      <c r="G114" s="24"/>
      <c r="H114" s="28"/>
      <c r="I114" s="28"/>
      <c r="J114" s="28"/>
      <c r="K114" s="24"/>
      <c r="L114" s="36"/>
    </row>
    <row r="115" customFormat="false" ht="13.5" hidden="false" customHeight="false" outlineLevel="0" collapsed="false">
      <c r="C115" s="22" t="n">
        <f aca="false">SUM(C114,C109:C110)</f>
        <v>4.5091</v>
      </c>
      <c r="D115" s="15" t="s">
        <v>152</v>
      </c>
      <c r="E115" s="28"/>
      <c r="F115" s="28"/>
      <c r="G115" s="28"/>
      <c r="H115" s="28"/>
      <c r="I115" s="28"/>
      <c r="J115" s="28"/>
      <c r="K115" s="28"/>
      <c r="L115" s="36"/>
      <c r="M115" s="30"/>
      <c r="N115" s="18"/>
    </row>
    <row r="116" customFormat="false" ht="13.5" hidden="false" customHeight="false" outlineLevel="0" collapsed="false">
      <c r="B116" s="34"/>
      <c r="C116" s="18"/>
      <c r="G116" s="30"/>
      <c r="H116" s="38"/>
    </row>
    <row r="117" customFormat="false" ht="12.75" hidden="false" customHeight="false" outlineLevel="0" collapsed="false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customFormat="false" ht="12.75" hidden="false" customHeight="false" outlineLevel="0" collapsed="false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customFormat="false" ht="12" hidden="false" customHeight="false" outlineLevel="0" collapsed="false">
      <c r="A119" s="15" t="s">
        <v>153</v>
      </c>
      <c r="I119" s="15" t="s">
        <v>154</v>
      </c>
    </row>
    <row r="120" customFormat="false" ht="12.75" hidden="false" customHeight="false" outlineLevel="0" collapsed="false">
      <c r="A120" s="15" t="s">
        <v>108</v>
      </c>
      <c r="B120" s="15" t="s">
        <v>155</v>
      </c>
      <c r="C120" s="18" t="n">
        <v>4.37</v>
      </c>
      <c r="I120" s="15" t="s">
        <v>108</v>
      </c>
      <c r="J120" s="15" t="s">
        <v>155</v>
      </c>
      <c r="K120" s="18" t="n">
        <v>4.37</v>
      </c>
      <c r="L120" s="34"/>
    </row>
    <row r="121" customFormat="false" ht="12.75" hidden="false" customHeight="false" outlineLevel="0" collapsed="false">
      <c r="A121" s="15" t="s">
        <v>109</v>
      </c>
      <c r="C121" s="18" t="n">
        <v>0.0175</v>
      </c>
      <c r="K121" s="18" t="n">
        <v>0.0175</v>
      </c>
      <c r="L121" s="34"/>
    </row>
    <row r="122" customFormat="false" ht="12.75" hidden="false" customHeight="false" outlineLevel="0" collapsed="false">
      <c r="A122" s="15" t="s">
        <v>110</v>
      </c>
      <c r="B122" s="34"/>
      <c r="C122" s="18" t="n">
        <v>0.0115</v>
      </c>
      <c r="I122" s="15" t="s">
        <v>110</v>
      </c>
      <c r="J122" s="34"/>
      <c r="K122" s="18" t="n">
        <v>0.0023</v>
      </c>
      <c r="L122" s="34"/>
    </row>
    <row r="123" customFormat="false" ht="12.75" hidden="false" customHeight="false" outlineLevel="0" collapsed="false">
      <c r="A123" s="15" t="s">
        <v>111</v>
      </c>
      <c r="B123" s="34"/>
      <c r="C123" s="18" t="n">
        <v>0.0094</v>
      </c>
      <c r="D123" s="15" t="s">
        <v>156</v>
      </c>
      <c r="I123" s="15" t="s">
        <v>111</v>
      </c>
      <c r="J123" s="34"/>
      <c r="K123" s="18" t="n">
        <v>0.0094</v>
      </c>
      <c r="L123" s="15" t="s">
        <v>156</v>
      </c>
    </row>
    <row r="124" customFormat="false" ht="12.75" hidden="false" customHeight="false" outlineLevel="0" collapsed="false">
      <c r="A124" s="15" t="s">
        <v>112</v>
      </c>
      <c r="B124" s="37"/>
      <c r="C124" s="32" t="n">
        <v>0.019</v>
      </c>
      <c r="I124" s="15" t="s">
        <v>112</v>
      </c>
      <c r="J124" s="37"/>
      <c r="K124" s="32" t="n">
        <v>0.019</v>
      </c>
      <c r="L124" s="34"/>
    </row>
    <row r="125" customFormat="false" ht="12.75" hidden="false" customHeight="false" outlineLevel="0" collapsed="false">
      <c r="A125" s="15" t="s">
        <v>113</v>
      </c>
      <c r="C125" s="20" t="n">
        <f aca="false">ROUND((+C120+C121)/(1-C124)+(C122+C123),4)-C120-C121</f>
        <v>0.1059</v>
      </c>
      <c r="I125" s="15" t="s">
        <v>113</v>
      </c>
      <c r="K125" s="20" t="n">
        <f aca="false">ROUND((+K120+K121)/(1-K124)+(K122+K123),4)-K120-K121</f>
        <v>0.0967000000000003</v>
      </c>
      <c r="L125" s="34"/>
    </row>
    <row r="126" customFormat="false" ht="13.5" hidden="false" customHeight="false" outlineLevel="0" collapsed="false">
      <c r="A126" s="15" t="s">
        <v>139</v>
      </c>
      <c r="C126" s="22" t="n">
        <f aca="false">SUM(C125,C120:C121)</f>
        <v>4.4934</v>
      </c>
      <c r="D126" s="15" t="s">
        <v>157</v>
      </c>
      <c r="I126" s="28" t="s">
        <v>139</v>
      </c>
      <c r="J126" s="28"/>
      <c r="K126" s="22" t="n">
        <f aca="false">SUM(K125,K120:K121)</f>
        <v>4.4842</v>
      </c>
      <c r="L126" s="34" t="s">
        <v>158</v>
      </c>
      <c r="M126" s="30"/>
      <c r="N126" s="18"/>
    </row>
    <row r="127" customFormat="false" ht="13.5" hidden="false" customHeight="false" outlineLevel="0" collapsed="false">
      <c r="B127" s="34"/>
      <c r="C127" s="18"/>
      <c r="G127" s="30"/>
      <c r="H127" s="38"/>
    </row>
    <row r="128" customFormat="false" ht="12.75" hidden="false" customHeight="false" outlineLevel="0" collapsed="false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customFormat="false" ht="12" hidden="false" customHeight="false" outlineLevel="0" collapsed="false">
      <c r="A129" s="15" t="s">
        <v>159</v>
      </c>
    </row>
    <row r="130" customFormat="false" ht="12" hidden="false" customHeight="false" outlineLevel="0" collapsed="false">
      <c r="A130" s="15" t="s">
        <v>108</v>
      </c>
      <c r="B130" s="15" t="s">
        <v>155</v>
      </c>
      <c r="C130" s="18" t="n">
        <v>4.37</v>
      </c>
      <c r="D130" s="15" t="s">
        <v>160</v>
      </c>
    </row>
    <row r="131" customFormat="false" ht="12.75" hidden="false" customHeight="false" outlineLevel="0" collapsed="false">
      <c r="A131" s="15" t="s">
        <v>110</v>
      </c>
      <c r="B131" s="34"/>
      <c r="C131" s="18" t="n">
        <v>0.0203</v>
      </c>
    </row>
    <row r="132" customFormat="false" ht="12.75" hidden="false" customHeight="false" outlineLevel="0" collapsed="false">
      <c r="A132" s="15" t="s">
        <v>111</v>
      </c>
      <c r="B132" s="34"/>
      <c r="C132" s="18" t="n">
        <v>0.0225</v>
      </c>
    </row>
    <row r="133" customFormat="false" ht="12" hidden="false" customHeight="false" outlineLevel="0" collapsed="false">
      <c r="A133" s="15" t="s">
        <v>112</v>
      </c>
      <c r="B133" s="37"/>
      <c r="C133" s="32" t="n">
        <v>0.0343</v>
      </c>
    </row>
    <row r="134" customFormat="false" ht="12" hidden="false" customHeight="false" outlineLevel="0" collapsed="false">
      <c r="A134" s="15" t="s">
        <v>113</v>
      </c>
      <c r="C134" s="20" t="n">
        <v>0.1428</v>
      </c>
    </row>
    <row r="135" customFormat="false" ht="12" hidden="false" customHeight="false" outlineLevel="0" collapsed="false">
      <c r="A135" s="15" t="s">
        <v>161</v>
      </c>
      <c r="C135" s="21" t="n">
        <v>0.27</v>
      </c>
    </row>
    <row r="136" customFormat="false" ht="12.75" hidden="false" customHeight="false" outlineLevel="0" collapsed="false">
      <c r="A136" s="15" t="s">
        <v>139</v>
      </c>
      <c r="C136" s="22" t="n">
        <v>3.0428</v>
      </c>
      <c r="D136" s="15" t="s">
        <v>162</v>
      </c>
    </row>
    <row r="137" customFormat="false" ht="12.75" hidden="false" customHeight="false" outlineLevel="0" collapsed="false">
      <c r="D137" s="15" t="s">
        <v>163</v>
      </c>
    </row>
    <row r="138" customFormat="false" ht="12" hidden="false" customHeight="false" outlineLevel="0" collapsed="false">
      <c r="D138" s="15" t="s">
        <v>164</v>
      </c>
    </row>
    <row r="142" customFormat="false" ht="12" hidden="false" customHeight="false" outlineLevel="0" collapsed="false">
      <c r="A142" s="15" t="s">
        <v>165</v>
      </c>
    </row>
    <row r="143" customFormat="false" ht="12" hidden="false" customHeight="false" outlineLevel="0" collapsed="false">
      <c r="A143" s="15" t="s">
        <v>108</v>
      </c>
      <c r="B143" s="15" t="s">
        <v>149</v>
      </c>
      <c r="C143" s="18" t="n">
        <v>4.36</v>
      </c>
    </row>
    <row r="144" customFormat="false" ht="12" hidden="false" customHeight="false" outlineLevel="0" collapsed="false">
      <c r="C144" s="18" t="n">
        <v>0.0075</v>
      </c>
    </row>
    <row r="145" customFormat="false" ht="12.75" hidden="false" customHeight="false" outlineLevel="0" collapsed="false">
      <c r="A145" s="15" t="s">
        <v>110</v>
      </c>
      <c r="B145" s="34"/>
      <c r="C145" s="18" t="n">
        <v>0.0228</v>
      </c>
    </row>
    <row r="146" customFormat="false" ht="12.75" hidden="false" customHeight="false" outlineLevel="0" collapsed="false">
      <c r="A146" s="15" t="s">
        <v>111</v>
      </c>
      <c r="B146" s="34"/>
      <c r="C146" s="18" t="n">
        <v>0.0225</v>
      </c>
    </row>
    <row r="147" customFormat="false" ht="12" hidden="false" customHeight="false" outlineLevel="0" collapsed="false">
      <c r="A147" s="15" t="s">
        <v>112</v>
      </c>
      <c r="B147" s="37"/>
      <c r="C147" s="32" t="n">
        <v>0.0388</v>
      </c>
    </row>
    <row r="148" customFormat="false" ht="12" hidden="false" customHeight="false" outlineLevel="0" collapsed="false">
      <c r="A148" s="15" t="s">
        <v>113</v>
      </c>
      <c r="C148" s="20" t="n">
        <f aca="false">ROUND((+C143+C144)/(1-C147)+(C145+C146),4)-C143-C144</f>
        <v>0.2216</v>
      </c>
    </row>
    <row r="149" customFormat="false" ht="12.75" hidden="false" customHeight="false" outlineLevel="0" collapsed="false">
      <c r="A149" s="15" t="s">
        <v>139</v>
      </c>
      <c r="C149" s="22" t="n">
        <f aca="false">SUM(C148,C143:C144)</f>
        <v>4.5891</v>
      </c>
      <c r="D149" s="15" t="s">
        <v>166</v>
      </c>
    </row>
    <row r="150" customFormat="false" ht="12.75" hidden="false" customHeight="false" outlineLevel="0" collapsed="false"/>
    <row r="156" customFormat="false" ht="12" hidden="false" customHeight="false" outlineLevel="0" collapsed="false">
      <c r="A156" s="17" t="s">
        <v>167</v>
      </c>
    </row>
    <row r="157" customFormat="false" ht="12" hidden="false" customHeight="false" outlineLevel="0" collapsed="false">
      <c r="A157" s="15" t="s">
        <v>108</v>
      </c>
      <c r="B157" s="15" t="s">
        <v>168</v>
      </c>
      <c r="C157" s="18" t="n">
        <v>4.33</v>
      </c>
    </row>
    <row r="158" customFormat="false" ht="12" hidden="false" customHeight="false" outlineLevel="0" collapsed="false">
      <c r="A158" s="15" t="s">
        <v>109</v>
      </c>
      <c r="C158" s="18" t="n">
        <v>-0.01</v>
      </c>
    </row>
    <row r="159" customFormat="false" ht="12" hidden="false" customHeight="false" outlineLevel="0" collapsed="false">
      <c r="A159" s="15" t="s">
        <v>110</v>
      </c>
      <c r="C159" s="18" t="n">
        <v>0.0323</v>
      </c>
    </row>
    <row r="160" customFormat="false" ht="12" hidden="false" customHeight="false" outlineLevel="0" collapsed="false">
      <c r="A160" s="15" t="s">
        <v>111</v>
      </c>
      <c r="C160" s="18" t="n">
        <v>0.0094</v>
      </c>
    </row>
    <row r="161" customFormat="false" ht="12" hidden="false" customHeight="false" outlineLevel="0" collapsed="false">
      <c r="A161" s="15" t="s">
        <v>112</v>
      </c>
      <c r="C161" s="32" t="n">
        <v>0.0268</v>
      </c>
    </row>
    <row r="162" customFormat="false" ht="12" hidden="false" customHeight="false" outlineLevel="0" collapsed="false">
      <c r="A162" s="15" t="s">
        <v>113</v>
      </c>
      <c r="C162" s="20" t="n">
        <f aca="false">ROUND((+C157+C158)/(1-C161)+(C159+C160),4)-C157-C158</f>
        <v>0.1607</v>
      </c>
    </row>
    <row r="163" customFormat="false" ht="12.75" hidden="false" customHeight="false" outlineLevel="0" collapsed="false">
      <c r="A163" s="15" t="s">
        <v>139</v>
      </c>
      <c r="C163" s="22" t="n">
        <f aca="false">SUM(C162,C157:C158)</f>
        <v>4.4807</v>
      </c>
      <c r="D163" s="15" t="s">
        <v>169</v>
      </c>
    </row>
    <row r="164" customFormat="false" ht="12.75" hidden="false" customHeight="false" outlineLevel="0" collapsed="false"/>
    <row r="166" customFormat="false" ht="12" hidden="false" customHeight="false" outlineLevel="0" collapsed="false">
      <c r="A166" s="17" t="s">
        <v>63</v>
      </c>
    </row>
    <row r="167" customFormat="false" ht="12" hidden="false" customHeight="false" outlineLevel="0" collapsed="false">
      <c r="A167" s="15" t="s">
        <v>108</v>
      </c>
      <c r="B167" s="15" t="s">
        <v>170</v>
      </c>
      <c r="C167" s="18" t="n">
        <v>4.35</v>
      </c>
    </row>
    <row r="168" customFormat="false" ht="12" hidden="false" customHeight="false" outlineLevel="0" collapsed="false">
      <c r="A168" s="15" t="s">
        <v>109</v>
      </c>
      <c r="C168" s="18" t="n">
        <v>0.0075</v>
      </c>
    </row>
    <row r="169" customFormat="false" ht="12" hidden="false" customHeight="false" outlineLevel="0" collapsed="false">
      <c r="A169" s="15" t="s">
        <v>110</v>
      </c>
      <c r="C169" s="18" t="n">
        <v>0.021</v>
      </c>
    </row>
    <row r="170" customFormat="false" ht="12" hidden="false" customHeight="false" outlineLevel="0" collapsed="false">
      <c r="A170" s="15" t="s">
        <v>111</v>
      </c>
      <c r="C170" s="18" t="n">
        <f aca="false">0.0022+0.0072</f>
        <v>0.0094</v>
      </c>
    </row>
    <row r="171" customFormat="false" ht="12" hidden="false" customHeight="false" outlineLevel="0" collapsed="false">
      <c r="A171" s="15" t="s">
        <v>112</v>
      </c>
      <c r="C171" s="32" t="n">
        <v>0.026</v>
      </c>
    </row>
    <row r="172" customFormat="false" ht="12" hidden="false" customHeight="false" outlineLevel="0" collapsed="false">
      <c r="A172" s="15" t="s">
        <v>113</v>
      </c>
      <c r="C172" s="20" t="n">
        <f aca="false">ROUND((+C167+C168)/(1-C171)-(C167+C168)+C169+C170,4)</f>
        <v>0.1467</v>
      </c>
    </row>
    <row r="173" customFormat="false" ht="12.75" hidden="false" customHeight="false" outlineLevel="0" collapsed="false">
      <c r="A173" s="15" t="s">
        <v>139</v>
      </c>
      <c r="C173" s="22" t="n">
        <f aca="false">SUM(C172,C167:C168)</f>
        <v>4.5042</v>
      </c>
      <c r="D173" s="15" t="s">
        <v>171</v>
      </c>
    </row>
    <row r="174" customFormat="false" ht="12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4" width="9.99"/>
    <col collapsed="false" customWidth="false" hidden="false" outlineLevel="0" max="3" min="3" style="34" width="9.14"/>
    <col collapsed="false" customWidth="true" hidden="false" outlineLevel="0" max="4" min="4" style="34" width="10.56"/>
    <col collapsed="false" customWidth="true" hidden="false" outlineLevel="0" max="5" min="5" style="34" width="9.28"/>
    <col collapsed="false" customWidth="true" hidden="false" outlineLevel="0" max="6" min="6" style="34" width="9.56"/>
    <col collapsed="false" customWidth="true" hidden="false" outlineLevel="0" max="7" min="7" style="39" width="12.42"/>
    <col collapsed="false" customWidth="true" hidden="false" outlineLevel="0" max="8" min="8" style="39" width="13.99"/>
    <col collapsed="false" customWidth="true" hidden="false" outlineLevel="0" max="9" min="9" style="34" width="10.71"/>
    <col collapsed="false" customWidth="true" hidden="false" outlineLevel="0" max="10" min="10" style="34" width="7.7"/>
    <col collapsed="false" customWidth="true" hidden="true" outlineLevel="0" max="14" min="11" style="34" width="9.06"/>
    <col collapsed="false" customWidth="true" hidden="true" outlineLevel="0" max="15" min="15" style="40" width="9.06"/>
    <col collapsed="false" customWidth="true" hidden="true" outlineLevel="0" max="16" min="16" style="34" width="9.06"/>
    <col collapsed="false" customWidth="true" hidden="false" outlineLevel="0" max="17" min="17" style="34" width="11.7"/>
    <col collapsed="false" customWidth="true" hidden="false" outlineLevel="0" max="18" min="18" style="34" width="9.41"/>
    <col collapsed="false" customWidth="true" hidden="false" outlineLevel="0" max="19" min="19" style="34" width="12.28"/>
    <col collapsed="false" customWidth="true" hidden="false" outlineLevel="0" max="20" min="20" style="34" width="10.71"/>
    <col collapsed="false" customWidth="true" hidden="false" outlineLevel="0" max="21" min="21" style="34" width="11.85"/>
    <col collapsed="false" customWidth="true" hidden="false" outlineLevel="0" max="22" min="22" style="41" width="14.85"/>
    <col collapsed="false" customWidth="true" hidden="false" outlineLevel="0" max="23" min="23" style="39" width="42.28"/>
    <col collapsed="false" customWidth="false" hidden="false" outlineLevel="0" max="25" min="24" style="41" width="9.14"/>
    <col collapsed="false" customWidth="true" hidden="false" outlineLevel="0" max="26" min="26" style="34" width="12.42"/>
    <col collapsed="false" customWidth="false" hidden="false" outlineLevel="0" max="257" min="27" style="34" width="9.14"/>
  </cols>
  <sheetData>
    <row r="1" customFormat="false" ht="12.75" hidden="false" customHeight="false" outlineLevel="0" collapsed="false">
      <c r="B1" s="42" t="s">
        <v>172</v>
      </c>
      <c r="C1" s="43"/>
      <c r="D1" s="43"/>
      <c r="E1" s="44"/>
      <c r="F1" s="44"/>
      <c r="G1" s="45"/>
      <c r="H1" s="45"/>
      <c r="I1" s="43" t="s">
        <v>173</v>
      </c>
      <c r="J1" s="46" t="n">
        <v>31</v>
      </c>
      <c r="K1" s="47" t="s">
        <v>174</v>
      </c>
      <c r="L1" s="48"/>
      <c r="M1" s="48"/>
      <c r="N1" s="48"/>
      <c r="O1" s="49"/>
      <c r="P1" s="48"/>
      <c r="Q1" s="50"/>
      <c r="R1" s="51"/>
      <c r="S1" s="52"/>
      <c r="T1" s="52"/>
      <c r="U1" s="52"/>
      <c r="V1" s="53"/>
      <c r="W1" s="54"/>
      <c r="X1" s="55"/>
      <c r="Y1" s="55"/>
    </row>
    <row r="2" customFormat="false" ht="12.75" hidden="false" customHeight="false" outlineLevel="0" collapsed="false">
      <c r="B2" s="45" t="s">
        <v>175</v>
      </c>
      <c r="C2" s="45"/>
      <c r="D2" s="45"/>
      <c r="E2" s="44"/>
      <c r="F2" s="44"/>
      <c r="G2" s="45"/>
      <c r="H2" s="45"/>
      <c r="I2" s="43"/>
      <c r="J2" s="46"/>
      <c r="K2" s="47" t="s">
        <v>176</v>
      </c>
      <c r="L2" s="48"/>
      <c r="M2" s="48"/>
      <c r="N2" s="48"/>
      <c r="O2" s="49"/>
      <c r="P2" s="48"/>
      <c r="Q2" s="50"/>
      <c r="R2" s="51"/>
      <c r="S2" s="52"/>
      <c r="T2" s="52"/>
      <c r="U2" s="52"/>
      <c r="V2" s="53"/>
      <c r="W2" s="54"/>
      <c r="X2" s="55"/>
      <c r="Y2" s="55"/>
    </row>
    <row r="3" customFormat="false" ht="12.75" hidden="false" customHeight="false" outlineLevel="0" collapsed="false">
      <c r="B3" s="45" t="s">
        <v>177</v>
      </c>
      <c r="C3" s="45"/>
      <c r="D3" s="45"/>
      <c r="E3" s="44"/>
      <c r="F3" s="44"/>
      <c r="G3" s="56" t="s">
        <v>169</v>
      </c>
      <c r="H3" s="45" t="s">
        <v>169</v>
      </c>
      <c r="I3" s="51" t="s">
        <v>169</v>
      </c>
      <c r="J3" s="57"/>
      <c r="K3" s="58" t="s">
        <v>169</v>
      </c>
      <c r="L3" s="48"/>
      <c r="M3" s="58" t="s">
        <v>169</v>
      </c>
      <c r="N3" s="48"/>
      <c r="O3" s="49"/>
      <c r="P3" s="58" t="s">
        <v>169</v>
      </c>
      <c r="Q3" s="50"/>
      <c r="R3" s="51"/>
      <c r="S3" s="52"/>
      <c r="T3" s="52"/>
      <c r="U3" s="52"/>
      <c r="V3" s="53"/>
      <c r="W3" s="54"/>
      <c r="X3" s="55"/>
      <c r="Y3" s="55"/>
    </row>
    <row r="4" customFormat="false" ht="12.75" hidden="false" customHeight="false" outlineLevel="0" collapsed="false">
      <c r="B4" s="45"/>
      <c r="C4" s="43"/>
      <c r="D4" s="43"/>
      <c r="E4" s="44"/>
      <c r="F4" s="44"/>
      <c r="G4" s="59"/>
      <c r="H4" s="45"/>
      <c r="I4" s="59"/>
      <c r="J4" s="57"/>
      <c r="K4" s="59"/>
      <c r="L4" s="48"/>
      <c r="M4" s="59"/>
      <c r="N4" s="51"/>
      <c r="O4" s="49"/>
      <c r="P4" s="51"/>
      <c r="Q4" s="50"/>
      <c r="R4" s="51"/>
      <c r="S4" s="52"/>
      <c r="T4" s="60"/>
      <c r="U4" s="60"/>
      <c r="V4" s="61"/>
      <c r="W4" s="54"/>
      <c r="X4" s="55"/>
      <c r="Y4" s="55"/>
    </row>
    <row r="5" customFormat="false" ht="12.75" hidden="false" customHeight="false" outlineLevel="0" collapsed="false">
      <c r="B5" s="45" t="s">
        <v>178</v>
      </c>
      <c r="C5" s="43"/>
      <c r="D5" s="45"/>
      <c r="E5" s="44"/>
      <c r="F5" s="44"/>
      <c r="G5" s="59"/>
      <c r="H5" s="45"/>
      <c r="I5" s="59"/>
      <c r="J5" s="57"/>
      <c r="K5" s="59"/>
      <c r="L5" s="48"/>
      <c r="M5" s="59"/>
      <c r="N5" s="51"/>
      <c r="O5" s="49"/>
      <c r="P5" s="51"/>
      <c r="Q5" s="50"/>
      <c r="R5" s="51"/>
      <c r="S5" s="52"/>
      <c r="T5" s="60"/>
      <c r="U5" s="60"/>
      <c r="V5" s="61"/>
      <c r="W5" s="54"/>
      <c r="X5" s="55"/>
      <c r="Y5" s="55"/>
    </row>
    <row r="6" customFormat="false" ht="12.75" hidden="false" customHeight="false" outlineLevel="0" collapsed="false">
      <c r="B6" s="45"/>
      <c r="C6" s="43" t="s">
        <v>179</v>
      </c>
      <c r="D6" s="43"/>
      <c r="E6" s="44"/>
      <c r="F6" s="44"/>
      <c r="G6" s="59"/>
      <c r="H6" s="45"/>
      <c r="I6" s="59"/>
      <c r="J6" s="57"/>
      <c r="K6" s="59"/>
      <c r="L6" s="48"/>
      <c r="M6" s="59"/>
      <c r="N6" s="51"/>
      <c r="O6" s="49"/>
      <c r="P6" s="51"/>
      <c r="Q6" s="50"/>
      <c r="R6" s="51"/>
      <c r="S6" s="52"/>
      <c r="T6" s="60"/>
      <c r="U6" s="60"/>
      <c r="V6" s="61"/>
      <c r="W6" s="54"/>
      <c r="X6" s="55"/>
      <c r="Y6" s="55"/>
    </row>
    <row r="7" customFormat="false" ht="12.75" hidden="false" customHeight="false" outlineLevel="0" collapsed="false">
      <c r="B7" s="45"/>
      <c r="C7" s="43"/>
      <c r="D7" s="43"/>
      <c r="E7" s="44"/>
      <c r="F7" s="44"/>
      <c r="G7" s="59"/>
      <c r="H7" s="45"/>
      <c r="I7" s="59"/>
      <c r="J7" s="57"/>
      <c r="K7" s="59"/>
      <c r="L7" s="48"/>
      <c r="M7" s="59"/>
      <c r="N7" s="51"/>
      <c r="O7" s="49"/>
      <c r="P7" s="51"/>
      <c r="Q7" s="50"/>
      <c r="R7" s="51"/>
      <c r="S7" s="52"/>
      <c r="T7" s="60"/>
      <c r="U7" s="60"/>
      <c r="V7" s="61"/>
      <c r="W7" s="54"/>
      <c r="X7" s="55"/>
      <c r="Y7" s="55"/>
    </row>
    <row r="8" customFormat="false" ht="12.75" hidden="false" customHeight="false" outlineLevel="0" collapsed="false">
      <c r="B8" s="45"/>
      <c r="C8" s="43"/>
      <c r="D8" s="43"/>
      <c r="E8" s="44"/>
      <c r="F8" s="44"/>
      <c r="G8" s="59"/>
      <c r="H8" s="45"/>
      <c r="I8" s="59"/>
      <c r="J8" s="57"/>
      <c r="K8" s="59"/>
      <c r="L8" s="48"/>
      <c r="M8" s="59"/>
      <c r="N8" s="51"/>
      <c r="O8" s="49"/>
      <c r="P8" s="51"/>
      <c r="Q8" s="50"/>
      <c r="R8" s="51"/>
      <c r="S8" s="52"/>
      <c r="T8" s="60"/>
      <c r="U8" s="60"/>
      <c r="V8" s="61"/>
      <c r="W8" s="54"/>
      <c r="X8" s="55"/>
      <c r="Y8" s="55"/>
    </row>
    <row r="9" customFormat="false" ht="12.75" hidden="false" customHeight="false" outlineLevel="0" collapsed="false">
      <c r="B9" s="45"/>
      <c r="C9" s="43"/>
      <c r="D9" s="43"/>
      <c r="E9" s="44"/>
      <c r="F9" s="44"/>
      <c r="G9" s="59"/>
      <c r="H9" s="45"/>
      <c r="I9" s="59"/>
      <c r="J9" s="57"/>
      <c r="K9" s="59"/>
      <c r="L9" s="48"/>
      <c r="M9" s="59"/>
      <c r="N9" s="51"/>
      <c r="O9" s="49"/>
      <c r="P9" s="51"/>
      <c r="Q9" s="50"/>
      <c r="R9" s="51"/>
      <c r="S9" s="52"/>
      <c r="T9" s="60"/>
      <c r="U9" s="60"/>
      <c r="V9" s="61"/>
      <c r="W9" s="54"/>
      <c r="X9" s="55"/>
      <c r="Y9" s="55"/>
    </row>
    <row r="10" customFormat="false" ht="12.75" hidden="false" customHeight="false" outlineLevel="0" collapsed="false">
      <c r="B10" s="45"/>
      <c r="C10" s="43"/>
      <c r="D10" s="43"/>
      <c r="E10" s="44"/>
      <c r="F10" s="44"/>
      <c r="G10" s="59"/>
      <c r="H10" s="45"/>
      <c r="I10" s="59"/>
      <c r="J10" s="57"/>
      <c r="K10" s="59"/>
      <c r="L10" s="48"/>
      <c r="M10" s="59"/>
      <c r="N10" s="51"/>
      <c r="O10" s="49"/>
      <c r="P10" s="51"/>
      <c r="Q10" s="50"/>
      <c r="R10" s="51"/>
      <c r="S10" s="52"/>
      <c r="T10" s="60"/>
      <c r="U10" s="60"/>
      <c r="V10" s="61"/>
      <c r="W10" s="54"/>
      <c r="X10" s="55"/>
      <c r="Y10" s="55"/>
    </row>
    <row r="11" customFormat="false" ht="12.75" hidden="false" customHeight="false" outlineLevel="0" collapsed="false">
      <c r="B11" s="62" t="s">
        <v>180</v>
      </c>
      <c r="C11" s="63" t="s">
        <v>181</v>
      </c>
      <c r="D11" s="63" t="s">
        <v>182</v>
      </c>
      <c r="E11" s="64" t="s">
        <v>183</v>
      </c>
      <c r="F11" s="64"/>
      <c r="G11" s="62" t="s">
        <v>184</v>
      </c>
      <c r="H11" s="62" t="s">
        <v>185</v>
      </c>
      <c r="I11" s="63" t="s">
        <v>186</v>
      </c>
      <c r="J11" s="65" t="s">
        <v>187</v>
      </c>
      <c r="K11" s="63" t="s">
        <v>188</v>
      </c>
      <c r="L11" s="63" t="s">
        <v>189</v>
      </c>
      <c r="M11" s="63" t="s">
        <v>190</v>
      </c>
      <c r="N11" s="63" t="s">
        <v>191</v>
      </c>
      <c r="O11" s="66" t="s">
        <v>192</v>
      </c>
      <c r="P11" s="63" t="s">
        <v>193</v>
      </c>
      <c r="Q11" s="67" t="s">
        <v>194</v>
      </c>
      <c r="R11" s="63" t="s">
        <v>195</v>
      </c>
      <c r="S11" s="62" t="s">
        <v>196</v>
      </c>
      <c r="T11" s="68" t="s">
        <v>197</v>
      </c>
      <c r="U11" s="68" t="s">
        <v>198</v>
      </c>
      <c r="V11" s="69" t="s">
        <v>199</v>
      </c>
      <c r="W11" s="70" t="e">
        <f aca="false">+#REF!</f>
        <v>#REF!</v>
      </c>
      <c r="X11" s="71"/>
      <c r="Y11" s="71"/>
    </row>
    <row r="12" customFormat="false" ht="12.75" hidden="false" customHeight="false" outlineLevel="0" collapsed="false">
      <c r="A12" s="72"/>
      <c r="B12" s="45" t="s">
        <v>200</v>
      </c>
      <c r="C12" s="43" t="s">
        <v>201</v>
      </c>
      <c r="D12" s="43" t="s">
        <v>202</v>
      </c>
      <c r="E12" s="44" t="n">
        <v>36678</v>
      </c>
      <c r="F12" s="44" t="n">
        <v>37042</v>
      </c>
      <c r="G12" s="45" t="s">
        <v>203</v>
      </c>
      <c r="H12" s="45" t="s">
        <v>204</v>
      </c>
      <c r="I12" s="43" t="s">
        <v>205</v>
      </c>
      <c r="J12" s="57" t="n">
        <f aca="false">3.145/J$1</f>
        <v>0.101451612903226</v>
      </c>
      <c r="K12" s="48" t="n">
        <v>0.0132</v>
      </c>
      <c r="L12" s="48" t="n">
        <v>0.0022</v>
      </c>
      <c r="M12" s="48" t="n">
        <v>0</v>
      </c>
      <c r="N12" s="48" t="n">
        <v>0</v>
      </c>
      <c r="O12" s="49" t="n">
        <v>0.02116</v>
      </c>
      <c r="P12" s="48" t="n">
        <f aca="false">SUM(J12:N12)</f>
        <v>0.116851612903226</v>
      </c>
      <c r="Q12" s="50" t="n">
        <v>68360</v>
      </c>
      <c r="R12" s="43" t="n">
        <v>291</v>
      </c>
      <c r="S12" s="45"/>
      <c r="T12" s="73" t="n">
        <f aca="false">J12*J$1*R12</f>
        <v>915.195</v>
      </c>
      <c r="U12" s="73"/>
      <c r="V12" s="74" t="n">
        <v>271311</v>
      </c>
      <c r="W12" s="45"/>
      <c r="X12" s="71"/>
      <c r="Y12" s="71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  <c r="IR12" s="72"/>
      <c r="IS12" s="72"/>
      <c r="IT12" s="72"/>
      <c r="IU12" s="72"/>
      <c r="IV12" s="72"/>
      <c r="IW12" s="72"/>
    </row>
    <row r="13" customFormat="false" ht="12.75" hidden="false" customHeight="false" outlineLevel="0" collapsed="false">
      <c r="A13" s="72"/>
      <c r="B13" s="45" t="s">
        <v>200</v>
      </c>
      <c r="C13" s="43" t="s">
        <v>201</v>
      </c>
      <c r="D13" s="43" t="s">
        <v>206</v>
      </c>
      <c r="E13" s="44" t="n">
        <v>36678</v>
      </c>
      <c r="F13" s="44" t="n">
        <v>37042</v>
      </c>
      <c r="G13" s="45" t="s">
        <v>203</v>
      </c>
      <c r="H13" s="45" t="s">
        <v>204</v>
      </c>
      <c r="I13" s="43" t="s">
        <v>205</v>
      </c>
      <c r="J13" s="57" t="n">
        <f aca="false">3.145/J$1</f>
        <v>0.101451612903226</v>
      </c>
      <c r="K13" s="48" t="n">
        <v>0.0132</v>
      </c>
      <c r="L13" s="48" t="n">
        <v>0.0022</v>
      </c>
      <c r="M13" s="48" t="n">
        <v>0</v>
      </c>
      <c r="N13" s="48" t="n">
        <v>0</v>
      </c>
      <c r="O13" s="49" t="n">
        <v>0.02116</v>
      </c>
      <c r="P13" s="48" t="n">
        <f aca="false">SUM(J13:N13)</f>
        <v>0.116851612903226</v>
      </c>
      <c r="Q13" s="50" t="n">
        <v>68385</v>
      </c>
      <c r="R13" s="43" t="n">
        <v>223</v>
      </c>
      <c r="S13" s="45"/>
      <c r="T13" s="73" t="n">
        <f aca="false">J13*J$1*R13</f>
        <v>701.335</v>
      </c>
      <c r="U13" s="73"/>
      <c r="V13" s="74" t="n">
        <v>280550</v>
      </c>
      <c r="W13" s="45"/>
      <c r="X13" s="71"/>
      <c r="Y13" s="71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  <row r="14" customFormat="false" ht="12.75" hidden="false" customHeight="false" outlineLevel="0" collapsed="false">
      <c r="A14" s="72"/>
      <c r="B14" s="45" t="s">
        <v>200</v>
      </c>
      <c r="C14" s="43" t="s">
        <v>201</v>
      </c>
      <c r="D14" s="43" t="s">
        <v>202</v>
      </c>
      <c r="E14" s="44" t="n">
        <v>36708</v>
      </c>
      <c r="F14" s="44" t="n">
        <v>37072</v>
      </c>
      <c r="G14" s="45" t="s">
        <v>203</v>
      </c>
      <c r="H14" s="45" t="s">
        <v>204</v>
      </c>
      <c r="I14" s="43" t="s">
        <v>205</v>
      </c>
      <c r="J14" s="57" t="n">
        <f aca="false">3.145/J$1</f>
        <v>0.101451612903226</v>
      </c>
      <c r="K14" s="48" t="n">
        <v>0.0132</v>
      </c>
      <c r="L14" s="48" t="n">
        <v>0.0022</v>
      </c>
      <c r="M14" s="48" t="n">
        <v>0</v>
      </c>
      <c r="N14" s="48" t="n">
        <v>0</v>
      </c>
      <c r="O14" s="49" t="n">
        <v>0.02116</v>
      </c>
      <c r="P14" s="48" t="n">
        <f aca="false">SUM(J14:N14)</f>
        <v>0.116851612903226</v>
      </c>
      <c r="Q14" s="50" t="n">
        <v>68615</v>
      </c>
      <c r="R14" s="43" t="n">
        <v>920</v>
      </c>
      <c r="S14" s="45"/>
      <c r="T14" s="73" t="n">
        <f aca="false">J14*J$1*R14</f>
        <v>2893.4</v>
      </c>
      <c r="U14" s="73"/>
      <c r="V14" s="74" t="n">
        <v>309873</v>
      </c>
      <c r="W14" s="45"/>
      <c r="X14" s="71"/>
      <c r="Y14" s="71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</row>
    <row r="15" customFormat="false" ht="12.75" hidden="false" customHeight="false" outlineLevel="0" collapsed="false">
      <c r="A15" s="72"/>
      <c r="B15" s="45" t="s">
        <v>200</v>
      </c>
      <c r="C15" s="43" t="s">
        <v>201</v>
      </c>
      <c r="D15" s="43" t="s">
        <v>206</v>
      </c>
      <c r="E15" s="44" t="n">
        <v>36404</v>
      </c>
      <c r="F15" s="44" t="n">
        <v>36769</v>
      </c>
      <c r="G15" s="45" t="s">
        <v>203</v>
      </c>
      <c r="H15" s="45" t="s">
        <v>204</v>
      </c>
      <c r="I15" s="43" t="s">
        <v>205</v>
      </c>
      <c r="J15" s="57" t="n">
        <f aca="false">3.145/J$1</f>
        <v>0.101451612903226</v>
      </c>
      <c r="K15" s="48" t="n">
        <v>0.0132</v>
      </c>
      <c r="L15" s="48" t="n">
        <v>0.0022</v>
      </c>
      <c r="M15" s="48" t="n">
        <v>0</v>
      </c>
      <c r="N15" s="48" t="n">
        <v>0</v>
      </c>
      <c r="O15" s="49" t="n">
        <v>0.02116</v>
      </c>
      <c r="P15" s="48" t="n">
        <f aca="false">SUM(J15:N15)</f>
        <v>0.116851612903226</v>
      </c>
      <c r="Q15" s="50" t="n">
        <v>64652</v>
      </c>
      <c r="R15" s="43" t="n">
        <v>65</v>
      </c>
      <c r="S15" s="45"/>
      <c r="T15" s="73" t="n">
        <f aca="false">J15*J$1*R15</f>
        <v>204.425</v>
      </c>
      <c r="U15" s="73"/>
      <c r="V15" s="74" t="n">
        <v>156623</v>
      </c>
      <c r="W15" s="45"/>
      <c r="X15" s="71"/>
      <c r="Y15" s="71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</row>
    <row r="16" customFormat="false" ht="12.75" hidden="false" customHeight="false" outlineLevel="0" collapsed="false">
      <c r="A16" s="72"/>
      <c r="B16" s="45" t="s">
        <v>200</v>
      </c>
      <c r="C16" s="43" t="s">
        <v>201</v>
      </c>
      <c r="D16" s="43" t="s">
        <v>206</v>
      </c>
      <c r="E16" s="44" t="n">
        <v>36434</v>
      </c>
      <c r="F16" s="44" t="n">
        <v>36799</v>
      </c>
      <c r="G16" s="45" t="s">
        <v>203</v>
      </c>
      <c r="H16" s="45" t="s">
        <v>204</v>
      </c>
      <c r="I16" s="43" t="s">
        <v>205</v>
      </c>
      <c r="J16" s="57" t="n">
        <f aca="false">3.145/J$1</f>
        <v>0.101451612903226</v>
      </c>
      <c r="K16" s="48" t="n">
        <v>0.0132</v>
      </c>
      <c r="L16" s="48" t="n">
        <v>0.0022</v>
      </c>
      <c r="M16" s="48" t="n">
        <v>0</v>
      </c>
      <c r="N16" s="48" t="n">
        <v>0</v>
      </c>
      <c r="O16" s="49" t="n">
        <v>0.02116</v>
      </c>
      <c r="P16" s="48" t="n">
        <f aca="false">SUM(J16:N16)</f>
        <v>0.116851612903226</v>
      </c>
      <c r="Q16" s="50" t="n">
        <v>64863</v>
      </c>
      <c r="R16" s="43" t="n">
        <v>13</v>
      </c>
      <c r="S16" s="45"/>
      <c r="T16" s="73" t="n">
        <f aca="false">J16*J$1*R16</f>
        <v>40.885</v>
      </c>
      <c r="U16" s="73"/>
      <c r="V16" s="74" t="n">
        <v>156625</v>
      </c>
      <c r="W16" s="45"/>
      <c r="X16" s="71"/>
      <c r="Y16" s="71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</row>
    <row r="17" customFormat="false" ht="12.75" hidden="false" customHeight="false" outlineLevel="0" collapsed="false">
      <c r="A17" s="72"/>
      <c r="B17" s="45" t="s">
        <v>200</v>
      </c>
      <c r="C17" s="43" t="s">
        <v>201</v>
      </c>
      <c r="D17" s="43" t="s">
        <v>206</v>
      </c>
      <c r="E17" s="44" t="n">
        <v>36465</v>
      </c>
      <c r="F17" s="44" t="n">
        <v>36830</v>
      </c>
      <c r="G17" s="45" t="s">
        <v>203</v>
      </c>
      <c r="H17" s="45" t="s">
        <v>204</v>
      </c>
      <c r="I17" s="43" t="s">
        <v>205</v>
      </c>
      <c r="J17" s="57" t="n">
        <f aca="false">3.145/J$1</f>
        <v>0.101451612903226</v>
      </c>
      <c r="K17" s="48" t="n">
        <v>0.0132</v>
      </c>
      <c r="L17" s="48" t="n">
        <v>0.0022</v>
      </c>
      <c r="M17" s="48" t="n">
        <v>0</v>
      </c>
      <c r="N17" s="48" t="n">
        <v>0</v>
      </c>
      <c r="O17" s="49" t="n">
        <v>0.02116</v>
      </c>
      <c r="P17" s="48" t="n">
        <f aca="false">SUM(J17:N17)</f>
        <v>0.116851612903226</v>
      </c>
      <c r="Q17" s="50" t="n">
        <v>65027</v>
      </c>
      <c r="R17" s="43" t="n">
        <v>131</v>
      </c>
      <c r="S17" s="45" t="s">
        <v>207</v>
      </c>
      <c r="T17" s="73" t="n">
        <f aca="false">J17*J$1*R17</f>
        <v>411.995</v>
      </c>
      <c r="U17" s="73"/>
      <c r="V17" s="74" t="n">
        <v>156666</v>
      </c>
      <c r="W17" s="45" t="s">
        <v>208</v>
      </c>
      <c r="X17" s="71"/>
      <c r="Y17" s="71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</row>
    <row r="18" customFormat="false" ht="12.75" hidden="false" customHeight="false" outlineLevel="0" collapsed="false">
      <c r="A18" s="72"/>
      <c r="B18" s="45" t="s">
        <v>200</v>
      </c>
      <c r="C18" s="43" t="s">
        <v>201</v>
      </c>
      <c r="D18" s="43" t="s">
        <v>206</v>
      </c>
      <c r="E18" s="44" t="n">
        <v>36495</v>
      </c>
      <c r="F18" s="44" t="n">
        <v>36860</v>
      </c>
      <c r="G18" s="45" t="s">
        <v>203</v>
      </c>
      <c r="H18" s="45" t="s">
        <v>204</v>
      </c>
      <c r="I18" s="43" t="s">
        <v>205</v>
      </c>
      <c r="J18" s="57" t="n">
        <f aca="false">3.145/J$1</f>
        <v>0.101451612903226</v>
      </c>
      <c r="K18" s="48" t="n">
        <v>0.0132</v>
      </c>
      <c r="L18" s="48" t="n">
        <v>0.0022</v>
      </c>
      <c r="M18" s="48" t="n">
        <v>0</v>
      </c>
      <c r="N18" s="48" t="n">
        <v>0</v>
      </c>
      <c r="O18" s="49" t="n">
        <v>0.02116</v>
      </c>
      <c r="P18" s="48" t="n">
        <f aca="false">SUM(J18:N18)</f>
        <v>0.116851612903226</v>
      </c>
      <c r="Q18" s="50" t="n">
        <v>65557</v>
      </c>
      <c r="R18" s="43" t="n">
        <v>3</v>
      </c>
      <c r="S18" s="45"/>
      <c r="T18" s="73" t="n">
        <f aca="false">J18*J$1*R18</f>
        <v>9.435</v>
      </c>
      <c r="U18" s="73"/>
      <c r="V18" s="74" t="n">
        <v>156669</v>
      </c>
      <c r="W18" s="45"/>
      <c r="X18" s="71"/>
      <c r="Y18" s="71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false" outlineLevel="0" collapsed="false">
      <c r="A19" s="72"/>
      <c r="B19" s="45" t="s">
        <v>200</v>
      </c>
      <c r="C19" s="43" t="s">
        <v>201</v>
      </c>
      <c r="D19" s="43" t="s">
        <v>202</v>
      </c>
      <c r="E19" s="44" t="n">
        <v>36708</v>
      </c>
      <c r="F19" s="44" t="s">
        <v>209</v>
      </c>
      <c r="G19" s="45" t="s">
        <v>203</v>
      </c>
      <c r="H19" s="45" t="s">
        <v>204</v>
      </c>
      <c r="I19" s="43" t="s">
        <v>205</v>
      </c>
      <c r="J19" s="57" t="n">
        <f aca="false">3.145/J1</f>
        <v>0.101451612903226</v>
      </c>
      <c r="K19" s="48"/>
      <c r="L19" s="48"/>
      <c r="M19" s="48"/>
      <c r="N19" s="48"/>
      <c r="O19" s="49"/>
      <c r="P19" s="48"/>
      <c r="Q19" s="50" t="n">
        <v>68634</v>
      </c>
      <c r="R19" s="43" t="n">
        <v>1</v>
      </c>
      <c r="S19" s="45"/>
      <c r="T19" s="73" t="n">
        <f aca="false">J19*J$1*R19</f>
        <v>3.145</v>
      </c>
      <c r="U19" s="73"/>
      <c r="V19" s="74" t="n">
        <v>312338</v>
      </c>
      <c r="W19" s="45"/>
      <c r="X19" s="71"/>
      <c r="Y19" s="71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</row>
    <row r="20" customFormat="false" ht="12.75" hidden="false" customHeight="false" outlineLevel="0" collapsed="false">
      <c r="A20" s="72"/>
      <c r="B20" s="45" t="s">
        <v>200</v>
      </c>
      <c r="C20" s="43" t="s">
        <v>201</v>
      </c>
      <c r="D20" s="43" t="s">
        <v>206</v>
      </c>
      <c r="E20" s="44" t="n">
        <v>36617</v>
      </c>
      <c r="F20" s="44" t="n">
        <v>36981</v>
      </c>
      <c r="G20" s="45" t="s">
        <v>203</v>
      </c>
      <c r="H20" s="45" t="s">
        <v>204</v>
      </c>
      <c r="I20" s="43" t="s">
        <v>205</v>
      </c>
      <c r="J20" s="57" t="n">
        <f aca="false">3.145/J1</f>
        <v>0.101451612903226</v>
      </c>
      <c r="K20" s="48"/>
      <c r="L20" s="48"/>
      <c r="M20" s="48"/>
      <c r="N20" s="48"/>
      <c r="O20" s="49"/>
      <c r="P20" s="48"/>
      <c r="Q20" s="50" t="n">
        <v>66941</v>
      </c>
      <c r="R20" s="43" t="n">
        <v>53</v>
      </c>
      <c r="S20" s="45"/>
      <c r="T20" s="73" t="n">
        <f aca="false">J20*J$1*R20</f>
        <v>166.685</v>
      </c>
      <c r="U20" s="73"/>
      <c r="V20" s="74" t="n">
        <v>228122</v>
      </c>
      <c r="W20" s="45"/>
      <c r="X20" s="71"/>
      <c r="Y20" s="71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2.75" hidden="false" customHeight="false" outlineLevel="0" collapsed="false">
      <c r="A21" s="72"/>
      <c r="B21" s="45" t="s">
        <v>200</v>
      </c>
      <c r="C21" s="43" t="s">
        <v>201</v>
      </c>
      <c r="D21" s="43" t="s">
        <v>206</v>
      </c>
      <c r="E21" s="44" t="n">
        <v>36557</v>
      </c>
      <c r="F21" s="44" t="n">
        <v>36922</v>
      </c>
      <c r="G21" s="45" t="s">
        <v>203</v>
      </c>
      <c r="H21" s="45" t="s">
        <v>204</v>
      </c>
      <c r="I21" s="43" t="s">
        <v>205</v>
      </c>
      <c r="J21" s="57" t="n">
        <f aca="false">3.145/31</f>
        <v>0.101451612903226</v>
      </c>
      <c r="K21" s="48"/>
      <c r="L21" s="48"/>
      <c r="M21" s="48"/>
      <c r="N21" s="48"/>
      <c r="O21" s="49"/>
      <c r="P21" s="48"/>
      <c r="Q21" s="50" t="n">
        <v>66283</v>
      </c>
      <c r="R21" s="43" t="n">
        <v>5</v>
      </c>
      <c r="S21" s="45"/>
      <c r="T21" s="75" t="n">
        <f aca="false">+J21*R21*31</f>
        <v>15.725</v>
      </c>
      <c r="U21" s="73"/>
      <c r="V21" s="74" t="n">
        <v>156674</v>
      </c>
      <c r="W21" s="45"/>
      <c r="X21" s="71"/>
      <c r="Y21" s="71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  <c r="CC21" s="72"/>
      <c r="CD21" s="72"/>
      <c r="CE21" s="72"/>
      <c r="CF21" s="72"/>
      <c r="CG21" s="72"/>
      <c r="CH21" s="72"/>
      <c r="CI21" s="72"/>
      <c r="CJ21" s="72"/>
      <c r="CK21" s="72"/>
      <c r="CL21" s="72"/>
      <c r="CM21" s="72"/>
      <c r="CN21" s="72"/>
      <c r="CO21" s="72"/>
      <c r="CP21" s="72"/>
      <c r="CQ21" s="72"/>
      <c r="CR21" s="72"/>
      <c r="CS21" s="72"/>
      <c r="CT21" s="72"/>
      <c r="CU21" s="72"/>
      <c r="CV21" s="72"/>
      <c r="CW21" s="72"/>
      <c r="CX21" s="72"/>
      <c r="CY21" s="72"/>
      <c r="CZ21" s="72"/>
      <c r="DA21" s="72"/>
      <c r="DB21" s="72"/>
      <c r="DC21" s="72"/>
      <c r="DD21" s="72"/>
      <c r="DE21" s="72"/>
      <c r="DF21" s="72"/>
      <c r="DG21" s="72"/>
      <c r="DH21" s="72"/>
      <c r="DI21" s="72"/>
      <c r="DJ21" s="72"/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  <c r="DY21" s="72"/>
      <c r="DZ21" s="72"/>
      <c r="EA21" s="72"/>
      <c r="EB21" s="72"/>
      <c r="EC21" s="72"/>
      <c r="ED21" s="72"/>
      <c r="EE21" s="72"/>
      <c r="EF21" s="72"/>
      <c r="EG21" s="72"/>
      <c r="EH21" s="72"/>
      <c r="EI21" s="72"/>
      <c r="EJ21" s="72"/>
      <c r="EK21" s="72"/>
      <c r="EL21" s="72"/>
      <c r="EM21" s="72"/>
      <c r="EN21" s="72"/>
      <c r="EO21" s="72"/>
      <c r="EP21" s="72"/>
      <c r="EQ21" s="72"/>
      <c r="ER21" s="72"/>
      <c r="ES21" s="72"/>
      <c r="ET21" s="72"/>
      <c r="EU21" s="72"/>
      <c r="EV21" s="72"/>
      <c r="EW21" s="72"/>
      <c r="EX21" s="72"/>
      <c r="EY21" s="72"/>
      <c r="EZ21" s="72"/>
      <c r="FA21" s="72"/>
      <c r="FB21" s="72"/>
      <c r="FC21" s="72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  <c r="IR21" s="72"/>
      <c r="IS21" s="72"/>
      <c r="IT21" s="72"/>
      <c r="IU21" s="72"/>
      <c r="IV21" s="72"/>
      <c r="IW21" s="72"/>
    </row>
    <row r="22" customFormat="false" ht="12.75" hidden="false" customHeight="false" outlineLevel="0" collapsed="false">
      <c r="A22" s="72"/>
      <c r="B22" s="45" t="s">
        <v>200</v>
      </c>
      <c r="C22" s="43" t="s">
        <v>201</v>
      </c>
      <c r="D22" s="43" t="s">
        <v>206</v>
      </c>
      <c r="E22" s="44" t="n">
        <v>36617</v>
      </c>
      <c r="F22" s="44" t="n">
        <v>36981</v>
      </c>
      <c r="G22" s="45" t="s">
        <v>203</v>
      </c>
      <c r="H22" s="45" t="s">
        <v>204</v>
      </c>
      <c r="I22" s="43" t="s">
        <v>205</v>
      </c>
      <c r="J22" s="57" t="n">
        <f aca="false">3.15/J1</f>
        <v>0.101612903225806</v>
      </c>
      <c r="K22" s="48"/>
      <c r="L22" s="48"/>
      <c r="M22" s="48"/>
      <c r="N22" s="48"/>
      <c r="O22" s="49"/>
      <c r="P22" s="48"/>
      <c r="Q22" s="50" t="n">
        <v>66941</v>
      </c>
      <c r="R22" s="43" t="n">
        <v>53</v>
      </c>
      <c r="S22" s="45"/>
      <c r="T22" s="75" t="n">
        <f aca="false">+J22*R22*31</f>
        <v>166.95</v>
      </c>
      <c r="U22" s="73"/>
      <c r="V22" s="74" t="n">
        <v>228122</v>
      </c>
      <c r="W22" s="45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  <c r="BM22" s="72"/>
      <c r="BN22" s="72"/>
      <c r="BO22" s="72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2"/>
      <c r="CA22" s="72"/>
      <c r="CB22" s="72"/>
      <c r="CC22" s="72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2"/>
      <c r="CO22" s="72"/>
      <c r="CP22" s="72"/>
      <c r="CQ22" s="72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2"/>
      <c r="DC22" s="72"/>
      <c r="DD22" s="72"/>
      <c r="DE22" s="72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2"/>
      <c r="DQ22" s="72"/>
      <c r="DR22" s="72"/>
      <c r="DS22" s="72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2"/>
      <c r="EE22" s="72"/>
      <c r="EF22" s="72"/>
      <c r="EG22" s="72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2"/>
      <c r="ES22" s="72"/>
      <c r="ET22" s="72"/>
      <c r="EU22" s="72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  <c r="IR22" s="72"/>
      <c r="IS22" s="72"/>
      <c r="IT22" s="72"/>
      <c r="IU22" s="72"/>
      <c r="IV22" s="72"/>
      <c r="IW22" s="72"/>
    </row>
    <row r="23" customFormat="false" ht="12.75" hidden="false" customHeight="false" outlineLevel="0" collapsed="false">
      <c r="A23" s="72"/>
      <c r="B23" s="45" t="s">
        <v>200</v>
      </c>
      <c r="C23" s="43" t="s">
        <v>201</v>
      </c>
      <c r="D23" s="43" t="s">
        <v>206</v>
      </c>
      <c r="E23" s="44" t="n">
        <v>36656</v>
      </c>
      <c r="F23" s="44" t="n">
        <v>36950</v>
      </c>
      <c r="G23" s="45" t="s">
        <v>203</v>
      </c>
      <c r="H23" s="45" t="s">
        <v>204</v>
      </c>
      <c r="I23" s="43" t="s">
        <v>205</v>
      </c>
      <c r="J23" s="57" t="n">
        <f aca="false">3.145/J1</f>
        <v>0.101451612903226</v>
      </c>
      <c r="K23" s="48"/>
      <c r="L23" s="48"/>
      <c r="M23" s="48"/>
      <c r="N23" s="48"/>
      <c r="O23" s="49"/>
      <c r="P23" s="48"/>
      <c r="Q23" s="50" t="n">
        <v>68309</v>
      </c>
      <c r="R23" s="43" t="n">
        <v>9</v>
      </c>
      <c r="S23" s="45"/>
      <c r="T23" s="73" t="n">
        <f aca="false">+R23*J23*$J$1</f>
        <v>28.305</v>
      </c>
      <c r="U23" s="73"/>
      <c r="V23" s="74" t="n">
        <v>262090</v>
      </c>
      <c r="W23" s="45" t="s">
        <v>210</v>
      </c>
      <c r="X23" s="71"/>
      <c r="Y23" s="71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2"/>
      <c r="BH23" s="72"/>
      <c r="BI23" s="72"/>
      <c r="BJ23" s="72"/>
      <c r="BK23" s="72"/>
      <c r="BL23" s="72"/>
      <c r="BM23" s="72"/>
      <c r="BN23" s="72"/>
      <c r="BO23" s="72"/>
      <c r="BP23" s="72"/>
      <c r="BQ23" s="72"/>
      <c r="BR23" s="72"/>
      <c r="BS23" s="72"/>
      <c r="BT23" s="72"/>
      <c r="BU23" s="72"/>
      <c r="BV23" s="72"/>
      <c r="BW23" s="72"/>
      <c r="BX23" s="72"/>
      <c r="BY23" s="72"/>
      <c r="BZ23" s="72"/>
      <c r="CA23" s="72"/>
      <c r="CB23" s="72"/>
      <c r="CC23" s="72"/>
      <c r="CD23" s="72"/>
      <c r="CE23" s="72"/>
      <c r="CF23" s="72"/>
      <c r="CG23" s="72"/>
      <c r="CH23" s="72"/>
      <c r="CI23" s="72"/>
      <c r="CJ23" s="72"/>
      <c r="CK23" s="72"/>
      <c r="CL23" s="72"/>
      <c r="CM23" s="72"/>
      <c r="CN23" s="72"/>
      <c r="CO23" s="72"/>
      <c r="CP23" s="72"/>
      <c r="CQ23" s="72"/>
      <c r="CR23" s="72"/>
      <c r="CS23" s="72"/>
      <c r="CT23" s="72"/>
      <c r="CU23" s="72"/>
      <c r="CV23" s="72"/>
      <c r="CW23" s="72"/>
      <c r="CX23" s="72"/>
      <c r="CY23" s="72"/>
      <c r="CZ23" s="72"/>
      <c r="DA23" s="72"/>
      <c r="DB23" s="72"/>
      <c r="DC23" s="72"/>
      <c r="DD23" s="72"/>
      <c r="DE23" s="72"/>
      <c r="DF23" s="72"/>
      <c r="DG23" s="72"/>
      <c r="DH23" s="72"/>
      <c r="DI23" s="72"/>
      <c r="DJ23" s="72"/>
      <c r="DK23" s="72"/>
      <c r="DL23" s="72"/>
      <c r="DM23" s="72"/>
      <c r="DN23" s="72"/>
      <c r="DO23" s="72"/>
      <c r="DP23" s="72"/>
      <c r="DQ23" s="72"/>
      <c r="DR23" s="72"/>
      <c r="DS23" s="72"/>
      <c r="DT23" s="72"/>
      <c r="DU23" s="72"/>
      <c r="DV23" s="72"/>
      <c r="DW23" s="72"/>
      <c r="DX23" s="72"/>
      <c r="DY23" s="72"/>
      <c r="DZ23" s="72"/>
      <c r="EA23" s="72"/>
      <c r="EB23" s="72"/>
      <c r="EC23" s="72"/>
      <c r="ED23" s="72"/>
      <c r="EE23" s="72"/>
      <c r="EF23" s="72"/>
      <c r="EG23" s="72"/>
      <c r="EH23" s="72"/>
      <c r="EI23" s="72"/>
      <c r="EJ23" s="72"/>
      <c r="EK23" s="72"/>
      <c r="EL23" s="72"/>
      <c r="EM23" s="72"/>
      <c r="EN23" s="72"/>
      <c r="EO23" s="72"/>
      <c r="EP23" s="72"/>
      <c r="EQ23" s="72"/>
      <c r="ER23" s="72"/>
      <c r="ES23" s="72"/>
      <c r="ET23" s="72"/>
      <c r="EU23" s="72"/>
      <c r="EV23" s="72"/>
      <c r="EW23" s="72"/>
      <c r="EX23" s="72"/>
      <c r="EY23" s="72"/>
      <c r="EZ23" s="72"/>
      <c r="FA23" s="72"/>
      <c r="FB23" s="72"/>
      <c r="FC23" s="72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  <c r="IR23" s="72"/>
      <c r="IS23" s="72"/>
      <c r="IT23" s="72"/>
      <c r="IU23" s="72"/>
      <c r="IV23" s="72"/>
      <c r="IW23" s="72"/>
    </row>
    <row r="24" customFormat="false" ht="12.75" hidden="false" customHeight="false" outlineLevel="0" collapsed="false">
      <c r="A24" s="72"/>
      <c r="B24" s="45" t="s">
        <v>200</v>
      </c>
      <c r="C24" s="43" t="s">
        <v>201</v>
      </c>
      <c r="D24" s="43" t="s">
        <v>206</v>
      </c>
      <c r="E24" s="44" t="n">
        <v>36739</v>
      </c>
      <c r="F24" s="44" t="n">
        <v>36738</v>
      </c>
      <c r="G24" s="45" t="s">
        <v>203</v>
      </c>
      <c r="H24" s="45" t="s">
        <v>204</v>
      </c>
      <c r="I24" s="43" t="s">
        <v>205</v>
      </c>
      <c r="J24" s="57" t="n">
        <f aca="false">3.145/J1</f>
        <v>0.101451612903226</v>
      </c>
      <c r="K24" s="48"/>
      <c r="L24" s="48"/>
      <c r="M24" s="48"/>
      <c r="N24" s="48"/>
      <c r="O24" s="49"/>
      <c r="P24" s="48"/>
      <c r="Q24" s="50" t="n">
        <v>68929</v>
      </c>
      <c r="R24" s="43" t="n">
        <v>48</v>
      </c>
      <c r="S24" s="45" t="s">
        <v>211</v>
      </c>
      <c r="T24" s="73" t="n">
        <f aca="false">+R24*J24*$J$1</f>
        <v>150.96</v>
      </c>
      <c r="U24" s="73"/>
      <c r="V24" s="74" t="n">
        <v>345091</v>
      </c>
      <c r="W24" s="45"/>
      <c r="X24" s="71"/>
      <c r="Y24" s="71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72"/>
      <c r="DQ24" s="72"/>
      <c r="DR24" s="72"/>
      <c r="DS24" s="72"/>
      <c r="DT24" s="72"/>
      <c r="DU24" s="72"/>
      <c r="DV24" s="72"/>
      <c r="DW24" s="72"/>
      <c r="DX24" s="72"/>
      <c r="DY24" s="72"/>
      <c r="DZ24" s="72"/>
      <c r="EA24" s="72"/>
      <c r="EB24" s="72"/>
      <c r="EC24" s="72"/>
      <c r="ED24" s="72"/>
      <c r="EE24" s="72"/>
      <c r="EF24" s="72"/>
      <c r="EG24" s="72"/>
      <c r="EH24" s="72"/>
      <c r="EI24" s="72"/>
      <c r="EJ24" s="72"/>
      <c r="EK24" s="72"/>
      <c r="EL24" s="72"/>
      <c r="EM24" s="72"/>
      <c r="EN24" s="72"/>
      <c r="EO24" s="72"/>
      <c r="EP24" s="72"/>
      <c r="EQ24" s="72"/>
      <c r="ER24" s="72"/>
      <c r="ES24" s="72"/>
      <c r="ET24" s="72"/>
      <c r="EU24" s="72"/>
      <c r="EV24" s="72"/>
      <c r="EW24" s="72"/>
      <c r="EX24" s="72"/>
      <c r="EY24" s="72"/>
      <c r="EZ24" s="72"/>
      <c r="FA24" s="72"/>
      <c r="FB24" s="72"/>
      <c r="FC24" s="72"/>
      <c r="FD24" s="72"/>
      <c r="FE24" s="72"/>
      <c r="FF24" s="72"/>
      <c r="FG24" s="72"/>
      <c r="FH24" s="72"/>
      <c r="FI24" s="72"/>
      <c r="FJ24" s="72"/>
      <c r="FK24" s="72"/>
      <c r="FL24" s="72"/>
      <c r="FM24" s="72"/>
      <c r="FN24" s="72"/>
      <c r="FO24" s="72"/>
      <c r="FP24" s="72"/>
      <c r="FQ24" s="72"/>
      <c r="FR24" s="72"/>
      <c r="FS24" s="72"/>
      <c r="FT24" s="72"/>
      <c r="FU24" s="72"/>
      <c r="FV24" s="72"/>
      <c r="FW24" s="72"/>
      <c r="FX24" s="72"/>
      <c r="FY24" s="72"/>
      <c r="FZ24" s="72"/>
      <c r="GA24" s="72"/>
      <c r="GB24" s="72"/>
      <c r="GC24" s="72"/>
      <c r="GD24" s="72"/>
      <c r="GE24" s="72"/>
      <c r="GF24" s="72"/>
      <c r="GG24" s="72"/>
      <c r="GH24" s="72"/>
      <c r="GI24" s="72"/>
      <c r="GJ24" s="72"/>
      <c r="GK24" s="72"/>
      <c r="GL24" s="72"/>
      <c r="GM24" s="72"/>
      <c r="GN24" s="72"/>
      <c r="GO24" s="72"/>
      <c r="GP24" s="72"/>
      <c r="GQ24" s="72"/>
      <c r="GR24" s="72"/>
      <c r="GS24" s="72"/>
      <c r="GT24" s="72"/>
      <c r="GU24" s="72"/>
      <c r="GV24" s="72"/>
      <c r="GW24" s="72"/>
      <c r="GX24" s="72"/>
      <c r="GY24" s="72"/>
      <c r="GZ24" s="72"/>
      <c r="HA24" s="72"/>
      <c r="HB24" s="72"/>
      <c r="HC24" s="72"/>
      <c r="HD24" s="72"/>
      <c r="HE24" s="72"/>
      <c r="HF24" s="72"/>
      <c r="HG24" s="72"/>
      <c r="HH24" s="72"/>
      <c r="HI24" s="7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72"/>
      <c r="HU24" s="72"/>
      <c r="HV24" s="72"/>
      <c r="HW24" s="72"/>
      <c r="HX24" s="72"/>
      <c r="HY24" s="72"/>
      <c r="HZ24" s="72"/>
      <c r="IA24" s="72"/>
      <c r="IB24" s="72"/>
      <c r="IC24" s="72"/>
      <c r="ID24" s="72"/>
      <c r="IE24" s="72"/>
      <c r="IF24" s="72"/>
      <c r="IG24" s="72"/>
      <c r="IH24" s="72"/>
      <c r="II24" s="72"/>
      <c r="IJ24" s="72"/>
      <c r="IK24" s="72"/>
      <c r="IL24" s="72"/>
      <c r="IM24" s="72"/>
      <c r="IN24" s="72"/>
      <c r="IO24" s="72"/>
      <c r="IP24" s="72"/>
      <c r="IQ24" s="72"/>
      <c r="IR24" s="72"/>
      <c r="IS24" s="72"/>
      <c r="IT24" s="72"/>
      <c r="IU24" s="72"/>
      <c r="IV24" s="72"/>
      <c r="IW24" s="72"/>
    </row>
    <row r="25" customFormat="false" ht="12.75" hidden="false" customHeight="false" outlineLevel="0" collapsed="false">
      <c r="A25" s="72"/>
      <c r="B25" s="45" t="s">
        <v>200</v>
      </c>
      <c r="C25" s="43" t="s">
        <v>201</v>
      </c>
      <c r="D25" s="43" t="s">
        <v>206</v>
      </c>
      <c r="E25" s="44" t="n">
        <v>36739</v>
      </c>
      <c r="F25" s="44" t="n">
        <v>37103</v>
      </c>
      <c r="G25" s="45" t="s">
        <v>203</v>
      </c>
      <c r="H25" s="45" t="s">
        <v>204</v>
      </c>
      <c r="I25" s="43" t="s">
        <v>205</v>
      </c>
      <c r="J25" s="57" t="n">
        <f aca="false">3.145/J1</f>
        <v>0.101451612903226</v>
      </c>
      <c r="K25" s="48"/>
      <c r="L25" s="48"/>
      <c r="M25" s="48"/>
      <c r="N25" s="48"/>
      <c r="O25" s="49"/>
      <c r="P25" s="48"/>
      <c r="Q25" s="50" t="n">
        <v>68927</v>
      </c>
      <c r="R25" s="43" t="n">
        <v>4</v>
      </c>
      <c r="S25" s="45" t="s">
        <v>212</v>
      </c>
      <c r="T25" s="73" t="n">
        <f aca="false">+R25*J25*$J$1</f>
        <v>12.58</v>
      </c>
      <c r="U25" s="73"/>
      <c r="V25" s="74" t="n">
        <v>345112</v>
      </c>
      <c r="W25" s="45"/>
      <c r="X25" s="71"/>
      <c r="Y25" s="71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72"/>
      <c r="BN25" s="72"/>
      <c r="BO25" s="72"/>
      <c r="BP25" s="72"/>
      <c r="BQ25" s="72"/>
      <c r="BR25" s="72"/>
      <c r="BS25" s="72"/>
      <c r="BT25" s="72"/>
      <c r="BU25" s="72"/>
      <c r="BV25" s="72"/>
      <c r="BW25" s="72"/>
      <c r="BX25" s="72"/>
      <c r="BY25" s="72"/>
      <c r="BZ25" s="72"/>
      <c r="CA25" s="72"/>
      <c r="CB25" s="72"/>
      <c r="CC25" s="72"/>
      <c r="CD25" s="72"/>
      <c r="CE25" s="72"/>
      <c r="CF25" s="72"/>
      <c r="CG25" s="72"/>
      <c r="CH25" s="72"/>
      <c r="CI25" s="72"/>
      <c r="CJ25" s="72"/>
      <c r="CK25" s="72"/>
      <c r="CL25" s="72"/>
      <c r="CM25" s="72"/>
      <c r="CN25" s="72"/>
      <c r="CO25" s="72"/>
      <c r="CP25" s="72"/>
      <c r="CQ25" s="72"/>
      <c r="CR25" s="72"/>
      <c r="CS25" s="72"/>
      <c r="CT25" s="72"/>
      <c r="CU25" s="72"/>
      <c r="CV25" s="72"/>
      <c r="CW25" s="72"/>
      <c r="CX25" s="72"/>
      <c r="CY25" s="72"/>
      <c r="CZ25" s="72"/>
      <c r="DA25" s="72"/>
      <c r="DB25" s="72"/>
      <c r="DC25" s="72"/>
      <c r="DD25" s="72"/>
      <c r="DE25" s="72"/>
      <c r="DF25" s="72"/>
      <c r="DG25" s="72"/>
      <c r="DH25" s="72"/>
      <c r="DI25" s="72"/>
      <c r="DJ25" s="72"/>
      <c r="DK25" s="72"/>
      <c r="DL25" s="72"/>
      <c r="DM25" s="72"/>
      <c r="DN25" s="72"/>
      <c r="DO25" s="72"/>
      <c r="DP25" s="72"/>
      <c r="DQ25" s="72"/>
      <c r="DR25" s="72"/>
      <c r="DS25" s="72"/>
      <c r="DT25" s="72"/>
      <c r="DU25" s="72"/>
      <c r="DV25" s="72"/>
      <c r="DW25" s="72"/>
      <c r="DX25" s="72"/>
      <c r="DY25" s="72"/>
      <c r="DZ25" s="72"/>
      <c r="EA25" s="72"/>
      <c r="EB25" s="72"/>
      <c r="EC25" s="72"/>
      <c r="ED25" s="72"/>
      <c r="EE25" s="72"/>
      <c r="EF25" s="72"/>
      <c r="EG25" s="72"/>
      <c r="EH25" s="72"/>
      <c r="EI25" s="72"/>
      <c r="EJ25" s="72"/>
      <c r="EK25" s="72"/>
      <c r="EL25" s="72"/>
      <c r="EM25" s="72"/>
      <c r="EN25" s="72"/>
      <c r="EO25" s="72"/>
      <c r="EP25" s="72"/>
      <c r="EQ25" s="72"/>
      <c r="ER25" s="72"/>
      <c r="ES25" s="72"/>
      <c r="ET25" s="72"/>
      <c r="EU25" s="72"/>
      <c r="EV25" s="72"/>
      <c r="EW25" s="72"/>
      <c r="EX25" s="72"/>
      <c r="EY25" s="72"/>
      <c r="EZ25" s="72"/>
      <c r="FA25" s="72"/>
      <c r="FB25" s="72"/>
      <c r="FC25" s="72"/>
      <c r="FD25" s="72"/>
      <c r="FE25" s="72"/>
      <c r="FF25" s="72"/>
      <c r="FG25" s="72"/>
      <c r="FH25" s="72"/>
      <c r="FI25" s="72"/>
      <c r="FJ25" s="72"/>
      <c r="FK25" s="72"/>
      <c r="FL25" s="72"/>
      <c r="FM25" s="72"/>
      <c r="FN25" s="72"/>
      <c r="FO25" s="72"/>
      <c r="FP25" s="72"/>
      <c r="FQ25" s="72"/>
      <c r="FR25" s="72"/>
      <c r="FS25" s="72"/>
      <c r="FT25" s="72"/>
      <c r="FU25" s="72"/>
      <c r="FV25" s="72"/>
      <c r="FW25" s="72"/>
      <c r="FX25" s="72"/>
      <c r="FY25" s="72"/>
      <c r="FZ25" s="72"/>
      <c r="GA25" s="72"/>
      <c r="GB25" s="72"/>
      <c r="GC25" s="72"/>
      <c r="GD25" s="72"/>
      <c r="GE25" s="72"/>
      <c r="GF25" s="72"/>
      <c r="GG25" s="72"/>
      <c r="GH25" s="72"/>
      <c r="GI25" s="72"/>
      <c r="GJ25" s="72"/>
      <c r="GK25" s="72"/>
      <c r="GL25" s="72"/>
      <c r="GM25" s="72"/>
      <c r="GN25" s="72"/>
      <c r="GO25" s="72"/>
      <c r="GP25" s="72"/>
      <c r="GQ25" s="72"/>
      <c r="GR25" s="72"/>
      <c r="GS25" s="72"/>
      <c r="GT25" s="72"/>
      <c r="GU25" s="72"/>
      <c r="GV25" s="72"/>
      <c r="GW25" s="72"/>
      <c r="GX25" s="72"/>
      <c r="GY25" s="72"/>
      <c r="GZ25" s="72"/>
      <c r="HA25" s="72"/>
      <c r="HB25" s="72"/>
      <c r="HC25" s="72"/>
      <c r="HD25" s="72"/>
      <c r="HE25" s="72"/>
      <c r="HF25" s="72"/>
      <c r="HG25" s="72"/>
      <c r="HH25" s="72"/>
      <c r="HI25" s="72"/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2"/>
      <c r="HU25" s="72"/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72"/>
      <c r="IG25" s="72"/>
      <c r="IH25" s="72"/>
      <c r="II25" s="72"/>
      <c r="IJ25" s="72"/>
      <c r="IK25" s="72"/>
      <c r="IL25" s="72"/>
      <c r="IM25" s="72"/>
      <c r="IN25" s="72"/>
      <c r="IO25" s="72"/>
      <c r="IP25" s="72"/>
      <c r="IQ25" s="72"/>
      <c r="IR25" s="72"/>
      <c r="IS25" s="72"/>
      <c r="IT25" s="72"/>
      <c r="IU25" s="72"/>
      <c r="IV25" s="72"/>
      <c r="IW25" s="72"/>
    </row>
    <row r="26" customFormat="false" ht="12.75" hidden="false" customHeight="false" outlineLevel="0" collapsed="false">
      <c r="A26" s="72"/>
      <c r="B26" s="45" t="s">
        <v>200</v>
      </c>
      <c r="C26" s="43" t="s">
        <v>201</v>
      </c>
      <c r="D26" s="43" t="s">
        <v>206</v>
      </c>
      <c r="E26" s="44" t="n">
        <v>36770</v>
      </c>
      <c r="F26" s="44" t="n">
        <v>37104</v>
      </c>
      <c r="G26" s="45" t="s">
        <v>203</v>
      </c>
      <c r="H26" s="45" t="s">
        <v>204</v>
      </c>
      <c r="I26" s="43" t="s">
        <v>205</v>
      </c>
      <c r="J26" s="57" t="n">
        <f aca="false">3.145/J1</f>
        <v>0.101451612903226</v>
      </c>
      <c r="K26" s="48"/>
      <c r="L26" s="48"/>
      <c r="M26" s="48"/>
      <c r="N26" s="48"/>
      <c r="O26" s="49"/>
      <c r="P26" s="48"/>
      <c r="Q26" s="50" t="n">
        <v>69145</v>
      </c>
      <c r="R26" s="43" t="n">
        <v>63</v>
      </c>
      <c r="S26" s="45" t="s">
        <v>213</v>
      </c>
      <c r="T26" s="73" t="n">
        <f aca="false">+R26*J26*J1</f>
        <v>198.135</v>
      </c>
      <c r="U26" s="73"/>
      <c r="V26" s="74" t="n">
        <v>372169</v>
      </c>
      <c r="W26" s="45"/>
      <c r="X26" s="71"/>
      <c r="Y26" s="71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  <c r="CT26" s="72"/>
      <c r="CU26" s="72"/>
      <c r="CV26" s="72"/>
      <c r="CW26" s="72"/>
      <c r="CX26" s="72"/>
      <c r="CY26" s="72"/>
      <c r="CZ26" s="72"/>
      <c r="DA26" s="72"/>
      <c r="DB26" s="72"/>
      <c r="DC26" s="72"/>
      <c r="DD26" s="72"/>
      <c r="DE26" s="72"/>
      <c r="DF26" s="72"/>
      <c r="DG26" s="7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72"/>
      <c r="DW26" s="72"/>
      <c r="DX26" s="72"/>
      <c r="DY26" s="72"/>
      <c r="DZ26" s="72"/>
      <c r="EA26" s="72"/>
      <c r="EB26" s="72"/>
      <c r="EC26" s="72"/>
      <c r="ED26" s="72"/>
      <c r="EE26" s="72"/>
      <c r="EF26" s="72"/>
      <c r="EG26" s="72"/>
      <c r="EH26" s="72"/>
      <c r="EI26" s="72"/>
      <c r="EJ26" s="72"/>
      <c r="EK26" s="72"/>
      <c r="EL26" s="72"/>
      <c r="EM26" s="72"/>
      <c r="EN26" s="72"/>
      <c r="EO26" s="72"/>
      <c r="EP26" s="72"/>
      <c r="EQ26" s="72"/>
      <c r="ER26" s="72"/>
      <c r="ES26" s="72"/>
      <c r="ET26" s="72"/>
      <c r="EU26" s="72"/>
      <c r="EV26" s="72"/>
      <c r="EW26" s="72"/>
      <c r="EX26" s="72"/>
      <c r="EY26" s="72"/>
      <c r="EZ26" s="72"/>
      <c r="FA26" s="72"/>
      <c r="FB26" s="72"/>
      <c r="FC26" s="72"/>
      <c r="FD26" s="72"/>
      <c r="FE26" s="72"/>
      <c r="FF26" s="72"/>
      <c r="FG26" s="72"/>
      <c r="FH26" s="72"/>
      <c r="FI26" s="72"/>
      <c r="FJ26" s="72"/>
      <c r="FK26" s="72"/>
      <c r="FL26" s="72"/>
      <c r="FM26" s="72"/>
      <c r="FN26" s="72"/>
      <c r="FO26" s="72"/>
      <c r="FP26" s="72"/>
      <c r="FQ26" s="72"/>
      <c r="FR26" s="72"/>
      <c r="FS26" s="72"/>
      <c r="FT26" s="72"/>
      <c r="FU26" s="72"/>
      <c r="FV26" s="72"/>
      <c r="FW26" s="72"/>
      <c r="FX26" s="72"/>
      <c r="FY26" s="72"/>
      <c r="FZ26" s="72"/>
      <c r="GA26" s="72"/>
      <c r="GB26" s="72"/>
      <c r="GC26" s="72"/>
      <c r="GD26" s="72"/>
      <c r="GE26" s="72"/>
      <c r="GF26" s="72"/>
      <c r="GG26" s="72"/>
      <c r="GH26" s="72"/>
      <c r="GI26" s="72"/>
      <c r="GJ26" s="72"/>
      <c r="GK26" s="72"/>
      <c r="GL26" s="72"/>
      <c r="GM26" s="72"/>
      <c r="GN26" s="72"/>
      <c r="GO26" s="72"/>
      <c r="GP26" s="72"/>
      <c r="GQ26" s="72"/>
      <c r="GR26" s="72"/>
      <c r="GS26" s="72"/>
      <c r="GT26" s="72"/>
      <c r="GU26" s="72"/>
      <c r="GV26" s="72"/>
      <c r="GW26" s="72"/>
      <c r="GX26" s="72"/>
      <c r="GY26" s="72"/>
      <c r="GZ26" s="72"/>
      <c r="HA26" s="72"/>
      <c r="HB26" s="72"/>
      <c r="HC26" s="72"/>
      <c r="HD26" s="72"/>
      <c r="HE26" s="72"/>
      <c r="HF26" s="72"/>
      <c r="HG26" s="72"/>
      <c r="HH26" s="72"/>
      <c r="HI26" s="72"/>
      <c r="HJ26" s="72"/>
      <c r="HK26" s="72"/>
      <c r="HL26" s="72"/>
      <c r="HM26" s="72"/>
      <c r="HN26" s="72"/>
      <c r="HO26" s="72"/>
      <c r="HP26" s="72"/>
      <c r="HQ26" s="72"/>
      <c r="HR26" s="72"/>
      <c r="HS26" s="72"/>
      <c r="HT26" s="72"/>
      <c r="HU26" s="72"/>
      <c r="HV26" s="72"/>
      <c r="HW26" s="72"/>
      <c r="HX26" s="72"/>
      <c r="HY26" s="72"/>
      <c r="HZ26" s="72"/>
      <c r="IA26" s="72"/>
      <c r="IB26" s="72"/>
      <c r="IC26" s="72"/>
      <c r="ID26" s="72"/>
      <c r="IE26" s="72"/>
      <c r="IF26" s="72"/>
      <c r="IG26" s="72"/>
      <c r="IH26" s="72"/>
      <c r="II26" s="72"/>
      <c r="IJ26" s="72"/>
      <c r="IK26" s="72"/>
      <c r="IL26" s="72"/>
      <c r="IM26" s="72"/>
      <c r="IN26" s="72"/>
      <c r="IO26" s="72"/>
      <c r="IP26" s="72"/>
      <c r="IQ26" s="72"/>
      <c r="IR26" s="72"/>
      <c r="IS26" s="72"/>
      <c r="IT26" s="72"/>
      <c r="IU26" s="72"/>
      <c r="IV26" s="72"/>
      <c r="IW26" s="72"/>
    </row>
    <row r="27" customFormat="false" ht="12.75" hidden="false" customHeight="false" outlineLevel="0" collapsed="false">
      <c r="A27" s="72"/>
      <c r="B27" s="45" t="s">
        <v>200</v>
      </c>
      <c r="C27" s="43" t="s">
        <v>201</v>
      </c>
      <c r="D27" s="43" t="s">
        <v>206</v>
      </c>
      <c r="E27" s="44" t="n">
        <v>36800</v>
      </c>
      <c r="F27" s="44" t="n">
        <v>36799</v>
      </c>
      <c r="G27" s="45" t="s">
        <v>203</v>
      </c>
      <c r="H27" s="45" t="s">
        <v>204</v>
      </c>
      <c r="I27" s="43" t="s">
        <v>205</v>
      </c>
      <c r="J27" s="57" t="n">
        <f aca="false">3.145/J1</f>
        <v>0.101451612903226</v>
      </c>
      <c r="K27" s="48"/>
      <c r="L27" s="48"/>
      <c r="M27" s="48"/>
      <c r="N27" s="48"/>
      <c r="O27" s="49"/>
      <c r="P27" s="48"/>
      <c r="Q27" s="50" t="n">
        <v>69357</v>
      </c>
      <c r="R27" s="43" t="n">
        <v>13</v>
      </c>
      <c r="S27" s="45" t="s">
        <v>214</v>
      </c>
      <c r="T27" s="73" t="n">
        <f aca="false">+R27*J27*J1</f>
        <v>40.885</v>
      </c>
      <c r="U27" s="73"/>
      <c r="V27" s="74" t="n">
        <v>418249</v>
      </c>
      <c r="W27" s="45"/>
      <c r="X27" s="71"/>
      <c r="Y27" s="71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2"/>
      <c r="BT27" s="72"/>
      <c r="BU27" s="72"/>
      <c r="BV27" s="72"/>
      <c r="BW27" s="72"/>
      <c r="BX27" s="72"/>
      <c r="BY27" s="72"/>
      <c r="BZ27" s="72"/>
      <c r="CA27" s="72"/>
      <c r="CB27" s="72"/>
      <c r="CC27" s="72"/>
      <c r="CD27" s="72"/>
      <c r="CE27" s="72"/>
      <c r="CF27" s="72"/>
      <c r="CG27" s="72"/>
      <c r="CH27" s="72"/>
      <c r="CI27" s="72"/>
      <c r="CJ27" s="72"/>
      <c r="CK27" s="72"/>
      <c r="CL27" s="72"/>
      <c r="CM27" s="72"/>
      <c r="CN27" s="72"/>
      <c r="CO27" s="72"/>
      <c r="CP27" s="72"/>
      <c r="CQ27" s="72"/>
      <c r="CR27" s="72"/>
      <c r="CS27" s="72"/>
      <c r="CT27" s="72"/>
      <c r="CU27" s="72"/>
      <c r="CV27" s="72"/>
      <c r="CW27" s="72"/>
      <c r="CX27" s="72"/>
      <c r="CY27" s="72"/>
      <c r="CZ27" s="72"/>
      <c r="DA27" s="72"/>
      <c r="DB27" s="72"/>
      <c r="DC27" s="72"/>
      <c r="DD27" s="72"/>
      <c r="DE27" s="72"/>
      <c r="DF27" s="72"/>
      <c r="DG27" s="72"/>
      <c r="DH27" s="72"/>
      <c r="DI27" s="72"/>
      <c r="DJ27" s="72"/>
      <c r="DK27" s="72"/>
      <c r="DL27" s="72"/>
      <c r="DM27" s="72"/>
      <c r="DN27" s="72"/>
      <c r="DO27" s="72"/>
      <c r="DP27" s="72"/>
      <c r="DQ27" s="72"/>
      <c r="DR27" s="72"/>
      <c r="DS27" s="72"/>
      <c r="DT27" s="72"/>
      <c r="DU27" s="72"/>
      <c r="DV27" s="72"/>
      <c r="DW27" s="72"/>
      <c r="DX27" s="72"/>
      <c r="DY27" s="72"/>
      <c r="DZ27" s="72"/>
      <c r="EA27" s="72"/>
      <c r="EB27" s="72"/>
      <c r="EC27" s="72"/>
      <c r="ED27" s="72"/>
      <c r="EE27" s="72"/>
      <c r="EF27" s="72"/>
      <c r="EG27" s="72"/>
      <c r="EH27" s="72"/>
      <c r="EI27" s="72"/>
      <c r="EJ27" s="72"/>
      <c r="EK27" s="72"/>
      <c r="EL27" s="72"/>
      <c r="EM27" s="72"/>
      <c r="EN27" s="72"/>
      <c r="EO27" s="72"/>
      <c r="EP27" s="72"/>
      <c r="EQ27" s="72"/>
      <c r="ER27" s="72"/>
      <c r="ES27" s="72"/>
      <c r="ET27" s="72"/>
      <c r="EU27" s="72"/>
      <c r="EV27" s="72"/>
      <c r="EW27" s="72"/>
      <c r="EX27" s="72"/>
      <c r="EY27" s="72"/>
      <c r="EZ27" s="72"/>
      <c r="FA27" s="72"/>
      <c r="FB27" s="72"/>
      <c r="FC27" s="72"/>
      <c r="FD27" s="72"/>
      <c r="FE27" s="72"/>
      <c r="FF27" s="72"/>
      <c r="FG27" s="72"/>
      <c r="FH27" s="72"/>
      <c r="FI27" s="72"/>
      <c r="FJ27" s="72"/>
      <c r="FK27" s="72"/>
      <c r="FL27" s="72"/>
      <c r="FM27" s="72"/>
      <c r="FN27" s="72"/>
      <c r="FO27" s="72"/>
      <c r="FP27" s="72"/>
      <c r="FQ27" s="72"/>
      <c r="FR27" s="72"/>
      <c r="FS27" s="72"/>
      <c r="FT27" s="72"/>
      <c r="FU27" s="72"/>
      <c r="FV27" s="72"/>
      <c r="FW27" s="72"/>
      <c r="FX27" s="72"/>
      <c r="FY27" s="72"/>
      <c r="FZ27" s="72"/>
      <c r="GA27" s="72"/>
      <c r="GB27" s="72"/>
      <c r="GC27" s="72"/>
      <c r="GD27" s="72"/>
      <c r="GE27" s="72"/>
      <c r="GF27" s="72"/>
      <c r="GG27" s="72"/>
      <c r="GH27" s="72"/>
      <c r="GI27" s="72"/>
      <c r="GJ27" s="72"/>
      <c r="GK27" s="72"/>
      <c r="GL27" s="72"/>
      <c r="GM27" s="72"/>
      <c r="GN27" s="72"/>
      <c r="GO27" s="72"/>
      <c r="GP27" s="72"/>
      <c r="GQ27" s="72"/>
      <c r="GR27" s="72"/>
      <c r="GS27" s="72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  <c r="IU27" s="72"/>
      <c r="IV27" s="72"/>
      <c r="IW27" s="72"/>
    </row>
    <row r="28" customFormat="false" ht="12.75" hidden="false" customHeight="false" outlineLevel="0" collapsed="false">
      <c r="A28" s="72"/>
      <c r="B28" s="45" t="s">
        <v>200</v>
      </c>
      <c r="C28" s="43" t="s">
        <v>201</v>
      </c>
      <c r="D28" s="43" t="s">
        <v>202</v>
      </c>
      <c r="E28" s="44" t="n">
        <v>36647</v>
      </c>
      <c r="F28" s="44" t="n">
        <v>37011</v>
      </c>
      <c r="G28" s="45" t="s">
        <v>203</v>
      </c>
      <c r="H28" s="45" t="s">
        <v>204</v>
      </c>
      <c r="I28" s="43" t="s">
        <v>205</v>
      </c>
      <c r="J28" s="57" t="n">
        <f aca="false">3.154/J1</f>
        <v>0.101741935483871</v>
      </c>
      <c r="K28" s="48"/>
      <c r="L28" s="48"/>
      <c r="M28" s="48"/>
      <c r="N28" s="48"/>
      <c r="O28" s="49"/>
      <c r="P28" s="48"/>
      <c r="Q28" s="50" t="n">
        <v>68281</v>
      </c>
      <c r="R28" s="43" t="n">
        <v>21</v>
      </c>
      <c r="S28" s="45" t="s">
        <v>215</v>
      </c>
      <c r="T28" s="73" t="n">
        <f aca="false">+R28*J28*$J$1</f>
        <v>66.234</v>
      </c>
      <c r="U28" s="73"/>
      <c r="V28" s="74" t="n">
        <v>256413</v>
      </c>
      <c r="W28" s="45"/>
      <c r="X28" s="71"/>
      <c r="Y28" s="71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O28" s="72"/>
      <c r="BP28" s="72"/>
      <c r="BQ28" s="72"/>
      <c r="BR28" s="72"/>
      <c r="BS28" s="72"/>
      <c r="BT28" s="72"/>
      <c r="BU28" s="72"/>
      <c r="BV28" s="72"/>
      <c r="BW28" s="72"/>
      <c r="BX28" s="72"/>
      <c r="BY28" s="72"/>
      <c r="BZ28" s="72"/>
      <c r="CA28" s="72"/>
      <c r="CB28" s="72"/>
      <c r="CC28" s="72"/>
      <c r="CD28" s="72"/>
      <c r="CE28" s="72"/>
      <c r="CF28" s="72"/>
      <c r="CG28" s="72"/>
      <c r="CH28" s="72"/>
      <c r="CI28" s="72"/>
      <c r="CJ28" s="72"/>
      <c r="CK28" s="72"/>
      <c r="CL28" s="72"/>
      <c r="CM28" s="72"/>
      <c r="CN28" s="72"/>
      <c r="CO28" s="72"/>
      <c r="CP28" s="72"/>
      <c r="CQ28" s="72"/>
      <c r="CR28" s="72"/>
      <c r="CS28" s="72"/>
      <c r="CT28" s="72"/>
      <c r="CU28" s="72"/>
      <c r="CV28" s="72"/>
      <c r="CW28" s="72"/>
      <c r="CX28" s="72"/>
      <c r="CY28" s="72"/>
      <c r="CZ28" s="72"/>
      <c r="DA28" s="72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72"/>
      <c r="EA28" s="72"/>
      <c r="EB28" s="72"/>
      <c r="EC28" s="72"/>
      <c r="ED28" s="72"/>
      <c r="EE28" s="72"/>
      <c r="EF28" s="72"/>
      <c r="EG28" s="72"/>
      <c r="EH28" s="72"/>
      <c r="EI28" s="72"/>
      <c r="EJ28" s="72"/>
      <c r="EK28" s="72"/>
      <c r="EL28" s="72"/>
      <c r="EM28" s="72"/>
      <c r="EN28" s="72"/>
      <c r="EO28" s="72"/>
      <c r="EP28" s="72"/>
      <c r="EQ28" s="72"/>
      <c r="ER28" s="72"/>
      <c r="ES28" s="72"/>
      <c r="ET28" s="72"/>
      <c r="EU28" s="72"/>
      <c r="EV28" s="72"/>
      <c r="EW28" s="72"/>
      <c r="EX28" s="72"/>
      <c r="EY28" s="72"/>
      <c r="EZ28" s="72"/>
      <c r="FA28" s="72"/>
      <c r="FB28" s="72"/>
      <c r="FC28" s="72"/>
      <c r="FD28" s="72"/>
      <c r="FE28" s="72"/>
      <c r="FF28" s="72"/>
      <c r="FG28" s="72"/>
      <c r="FH28" s="72"/>
      <c r="FI28" s="72"/>
      <c r="FJ28" s="72"/>
      <c r="FK28" s="72"/>
      <c r="FL28" s="72"/>
      <c r="FM28" s="72"/>
      <c r="FN28" s="72"/>
      <c r="FO28" s="72"/>
      <c r="FP28" s="72"/>
      <c r="FQ28" s="72"/>
      <c r="FR28" s="72"/>
      <c r="FS28" s="72"/>
      <c r="FT28" s="72"/>
      <c r="FU28" s="72"/>
      <c r="FV28" s="72"/>
      <c r="FW28" s="72"/>
      <c r="FX28" s="72"/>
      <c r="FY28" s="72"/>
      <c r="FZ28" s="72"/>
      <c r="GA28" s="72"/>
      <c r="GB28" s="72"/>
      <c r="GC28" s="72"/>
      <c r="GD28" s="72"/>
      <c r="GE28" s="72"/>
      <c r="GF28" s="72"/>
      <c r="GG28" s="72"/>
      <c r="GH28" s="72"/>
      <c r="GI28" s="72"/>
      <c r="GJ28" s="72"/>
      <c r="GK28" s="72"/>
      <c r="GL28" s="72"/>
      <c r="GM28" s="72"/>
      <c r="GN28" s="72"/>
      <c r="GO28" s="72"/>
      <c r="GP28" s="72"/>
      <c r="GQ28" s="72"/>
      <c r="GR28" s="72"/>
      <c r="GS28" s="72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  <c r="IW28" s="72"/>
    </row>
    <row r="30" customFormat="false" ht="12.75" hidden="false" customHeight="false" outlineLevel="0" collapsed="false">
      <c r="A30" s="72"/>
      <c r="B30" s="45"/>
      <c r="C30" s="43"/>
      <c r="D30" s="43"/>
      <c r="E30" s="44"/>
      <c r="F30" s="44"/>
      <c r="G30" s="45"/>
      <c r="H30" s="45"/>
      <c r="I30" s="43"/>
      <c r="J30" s="57"/>
      <c r="K30" s="48"/>
      <c r="L30" s="48"/>
      <c r="M30" s="48"/>
      <c r="N30" s="48"/>
      <c r="O30" s="49"/>
      <c r="P30" s="48"/>
      <c r="Q30" s="50"/>
      <c r="R30" s="43"/>
      <c r="S30" s="45"/>
      <c r="T30" s="73"/>
      <c r="U30" s="73"/>
      <c r="V30" s="74"/>
      <c r="W30" s="45"/>
      <c r="X30" s="71"/>
      <c r="Y30" s="71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</row>
    <row r="31" customFormat="false" ht="12.75" hidden="false" customHeight="false" outlineLevel="0" collapsed="false">
      <c r="B31" s="45"/>
      <c r="C31" s="43"/>
      <c r="D31" s="43"/>
      <c r="E31" s="44"/>
      <c r="F31" s="44"/>
      <c r="G31" s="45"/>
      <c r="H31" s="45"/>
      <c r="I31" s="43"/>
      <c r="J31" s="57"/>
      <c r="K31" s="48"/>
      <c r="L31" s="76"/>
      <c r="M31" s="48"/>
      <c r="N31" s="48"/>
      <c r="O31" s="49"/>
      <c r="P31" s="48"/>
      <c r="Q31" s="50"/>
      <c r="R31" s="51" t="n">
        <f aca="false">SUM(R12:R29)</f>
        <v>1916</v>
      </c>
      <c r="S31" s="43"/>
      <c r="T31" s="73" t="n">
        <f aca="false">SUM(T12:T30)</f>
        <v>6026.274</v>
      </c>
      <c r="U31" s="73"/>
      <c r="V31" s="74"/>
      <c r="W31" s="45"/>
      <c r="X31" s="71"/>
      <c r="Y31" s="71"/>
    </row>
    <row r="32" customFormat="false" ht="12.75" hidden="false" customHeight="false" outlineLevel="0" collapsed="false">
      <c r="B32" s="62" t="s">
        <v>180</v>
      </c>
      <c r="C32" s="63" t="s">
        <v>181</v>
      </c>
      <c r="D32" s="63" t="s">
        <v>182</v>
      </c>
      <c r="E32" s="64" t="s">
        <v>183</v>
      </c>
      <c r="F32" s="64"/>
      <c r="G32" s="62" t="s">
        <v>184</v>
      </c>
      <c r="H32" s="62" t="s">
        <v>185</v>
      </c>
      <c r="I32" s="63" t="s">
        <v>186</v>
      </c>
      <c r="J32" s="65" t="s">
        <v>187</v>
      </c>
      <c r="K32" s="63" t="s">
        <v>188</v>
      </c>
      <c r="L32" s="63" t="s">
        <v>189</v>
      </c>
      <c r="M32" s="63" t="s">
        <v>190</v>
      </c>
      <c r="N32" s="63" t="s">
        <v>191</v>
      </c>
      <c r="O32" s="66" t="s">
        <v>192</v>
      </c>
      <c r="P32" s="63" t="s">
        <v>193</v>
      </c>
      <c r="Q32" s="67" t="s">
        <v>194</v>
      </c>
      <c r="R32" s="63" t="s">
        <v>195</v>
      </c>
      <c r="S32" s="62" t="s">
        <v>196</v>
      </c>
      <c r="T32" s="68" t="s">
        <v>197</v>
      </c>
      <c r="U32" s="68" t="s">
        <v>198</v>
      </c>
      <c r="V32" s="69" t="s">
        <v>199</v>
      </c>
      <c r="W32" s="70" t="e">
        <f aca="false">+#REF!</f>
        <v>#REF!</v>
      </c>
      <c r="X32" s="71"/>
      <c r="Y32" s="71"/>
    </row>
    <row r="33" customFormat="false" ht="12" hidden="false" customHeight="true" outlineLevel="0" collapsed="false">
      <c r="A33" s="77"/>
      <c r="B33" s="78" t="s">
        <v>200</v>
      </c>
      <c r="C33" s="79" t="s">
        <v>216</v>
      </c>
      <c r="D33" s="79" t="s">
        <v>217</v>
      </c>
      <c r="E33" s="80" t="n">
        <v>36800</v>
      </c>
      <c r="F33" s="80" t="n">
        <v>36830</v>
      </c>
      <c r="G33" s="78"/>
      <c r="H33" s="78"/>
      <c r="I33" s="79" t="s">
        <v>218</v>
      </c>
      <c r="J33" s="81" t="n">
        <v>0.02834</v>
      </c>
      <c r="K33" s="82" t="n">
        <v>0</v>
      </c>
      <c r="L33" s="82" t="n">
        <v>0.0022</v>
      </c>
      <c r="M33" s="82" t="n">
        <v>0.0072</v>
      </c>
      <c r="N33" s="82" t="n">
        <v>0</v>
      </c>
      <c r="O33" s="83" t="n">
        <v>0</v>
      </c>
      <c r="P33" s="82" t="n">
        <f aca="false">SUM(J33:N33)</f>
        <v>0.03774</v>
      </c>
      <c r="Q33" s="84" t="s">
        <v>219</v>
      </c>
      <c r="R33" s="79" t="n">
        <v>250697</v>
      </c>
      <c r="S33" s="78" t="s">
        <v>220</v>
      </c>
      <c r="T33" s="85" t="n">
        <f aca="false">+J33*R33</f>
        <v>7104.75298</v>
      </c>
      <c r="U33" s="85"/>
      <c r="V33" s="86" t="n">
        <v>418306</v>
      </c>
      <c r="W33" s="87" t="s">
        <v>221</v>
      </c>
      <c r="X33" s="88"/>
      <c r="Y33" s="88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</row>
    <row r="34" customFormat="false" ht="12" hidden="false" customHeight="true" outlineLevel="0" collapsed="false">
      <c r="A34" s="77"/>
      <c r="B34" s="78" t="s">
        <v>200</v>
      </c>
      <c r="C34" s="79" t="s">
        <v>216</v>
      </c>
      <c r="D34" s="79" t="s">
        <v>217</v>
      </c>
      <c r="E34" s="80" t="n">
        <v>36800</v>
      </c>
      <c r="F34" s="80" t="n">
        <v>36830</v>
      </c>
      <c r="G34" s="78"/>
      <c r="H34" s="78"/>
      <c r="I34" s="79" t="s">
        <v>218</v>
      </c>
      <c r="J34" s="81" t="n">
        <f aca="false">1.544/J1</f>
        <v>0.0498064516129032</v>
      </c>
      <c r="K34" s="82" t="n">
        <v>0</v>
      </c>
      <c r="L34" s="82" t="n">
        <v>0.0022</v>
      </c>
      <c r="M34" s="82" t="n">
        <v>0.0072</v>
      </c>
      <c r="N34" s="82" t="n">
        <v>0</v>
      </c>
      <c r="O34" s="83" t="n">
        <v>0</v>
      </c>
      <c r="P34" s="82" t="n">
        <f aca="false">SUM(J34:N34)</f>
        <v>0.0592064516129032</v>
      </c>
      <c r="Q34" s="84" t="s">
        <v>219</v>
      </c>
      <c r="R34" s="79" t="n">
        <v>5061</v>
      </c>
      <c r="S34" s="78" t="s">
        <v>222</v>
      </c>
      <c r="T34" s="85" t="n">
        <f aca="false">+J34*R34*30</f>
        <v>7562.1135483871</v>
      </c>
      <c r="U34" s="85"/>
      <c r="V34" s="86" t="n">
        <v>418306</v>
      </c>
      <c r="W34" s="87" t="s">
        <v>221</v>
      </c>
      <c r="X34" s="88"/>
      <c r="Y34" s="88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</row>
    <row r="35" customFormat="false" ht="12" hidden="false" customHeight="true" outlineLevel="0" collapsed="false">
      <c r="A35" s="77"/>
      <c r="B35" s="78" t="s">
        <v>200</v>
      </c>
      <c r="C35" s="79" t="s">
        <v>216</v>
      </c>
      <c r="D35" s="79" t="s">
        <v>217</v>
      </c>
      <c r="E35" s="80" t="n">
        <v>36800</v>
      </c>
      <c r="F35" s="80" t="n">
        <v>36830</v>
      </c>
      <c r="G35" s="78"/>
      <c r="H35" s="78"/>
      <c r="I35" s="79" t="s">
        <v>218</v>
      </c>
      <c r="J35" s="81" t="n">
        <v>0.02834</v>
      </c>
      <c r="K35" s="82" t="n">
        <v>0</v>
      </c>
      <c r="L35" s="82" t="n">
        <v>0.0022</v>
      </c>
      <c r="M35" s="82" t="n">
        <v>0.0072</v>
      </c>
      <c r="N35" s="82" t="n">
        <v>0</v>
      </c>
      <c r="O35" s="83" t="n">
        <v>0</v>
      </c>
      <c r="P35" s="82" t="n">
        <f aca="false">SUM(J35:N35)</f>
        <v>0.03774</v>
      </c>
      <c r="Q35" s="84" t="s">
        <v>219</v>
      </c>
      <c r="R35" s="79" t="n">
        <v>3819</v>
      </c>
      <c r="S35" s="78" t="s">
        <v>220</v>
      </c>
      <c r="T35" s="85" t="n">
        <f aca="false">+J35*R35</f>
        <v>108.23046</v>
      </c>
      <c r="U35" s="85"/>
      <c r="V35" s="86" t="n">
        <v>418314</v>
      </c>
      <c r="W35" s="87" t="s">
        <v>223</v>
      </c>
      <c r="X35" s="88"/>
      <c r="Y35" s="88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  <c r="IV35" s="77"/>
      <c r="IW35" s="77"/>
    </row>
    <row r="36" customFormat="false" ht="12" hidden="false" customHeight="true" outlineLevel="0" collapsed="false">
      <c r="A36" s="77"/>
      <c r="B36" s="78" t="s">
        <v>200</v>
      </c>
      <c r="C36" s="79" t="s">
        <v>216</v>
      </c>
      <c r="D36" s="79" t="s">
        <v>217</v>
      </c>
      <c r="E36" s="80" t="n">
        <v>36800</v>
      </c>
      <c r="F36" s="80" t="n">
        <v>36830</v>
      </c>
      <c r="G36" s="78"/>
      <c r="H36" s="78"/>
      <c r="I36" s="79" t="s">
        <v>218</v>
      </c>
      <c r="J36" s="81" t="n">
        <f aca="false">1.544/J1</f>
        <v>0.0498064516129032</v>
      </c>
      <c r="K36" s="82" t="n">
        <v>0</v>
      </c>
      <c r="L36" s="82" t="n">
        <v>0.0022</v>
      </c>
      <c r="M36" s="82" t="n">
        <v>0.0072</v>
      </c>
      <c r="N36" s="82" t="n">
        <v>0</v>
      </c>
      <c r="O36" s="83" t="n">
        <v>0</v>
      </c>
      <c r="P36" s="82" t="n">
        <f aca="false">SUM(J36:N36)</f>
        <v>0.0592064516129032</v>
      </c>
      <c r="Q36" s="84" t="s">
        <v>219</v>
      </c>
      <c r="R36" s="79" t="n">
        <v>78</v>
      </c>
      <c r="S36" s="78" t="s">
        <v>222</v>
      </c>
      <c r="T36" s="85" t="n">
        <f aca="false">+J36*R36*30</f>
        <v>116.547096774194</v>
      </c>
      <c r="U36" s="85"/>
      <c r="V36" s="86" t="n">
        <v>418314</v>
      </c>
      <c r="W36" s="87" t="s">
        <v>223</v>
      </c>
      <c r="X36" s="88"/>
      <c r="Y36" s="88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  <c r="IW36" s="77"/>
    </row>
    <row r="37" customFormat="false" ht="12" hidden="false" customHeight="true" outlineLevel="0" collapsed="false">
      <c r="A37" s="77"/>
      <c r="B37" s="78" t="s">
        <v>200</v>
      </c>
      <c r="C37" s="79" t="s">
        <v>216</v>
      </c>
      <c r="D37" s="79" t="s">
        <v>217</v>
      </c>
      <c r="E37" s="80" t="n">
        <v>36770</v>
      </c>
      <c r="F37" s="80" t="n">
        <v>37864</v>
      </c>
      <c r="G37" s="78"/>
      <c r="H37" s="78"/>
      <c r="I37" s="79" t="s">
        <v>218</v>
      </c>
      <c r="J37" s="81" t="n">
        <v>0.02834</v>
      </c>
      <c r="K37" s="82" t="n">
        <v>0</v>
      </c>
      <c r="L37" s="82" t="n">
        <v>0.0022</v>
      </c>
      <c r="M37" s="82" t="n">
        <v>0.0072</v>
      </c>
      <c r="N37" s="82" t="n">
        <v>0</v>
      </c>
      <c r="O37" s="83" t="n">
        <v>0</v>
      </c>
      <c r="P37" s="82" t="n">
        <f aca="false">SUM(J37:N37)</f>
        <v>0.03774</v>
      </c>
      <c r="Q37" s="84" t="s">
        <v>219</v>
      </c>
      <c r="R37" s="79" t="n">
        <f aca="false">+(33135+524690)*1.02</f>
        <v>568981.5</v>
      </c>
      <c r="S37" s="78" t="s">
        <v>220</v>
      </c>
      <c r="T37" s="85" t="n">
        <f aca="false">+J37*R37</f>
        <v>16124.93571</v>
      </c>
      <c r="U37" s="85"/>
      <c r="V37" s="86" t="n">
        <v>380799</v>
      </c>
      <c r="W37" s="78"/>
      <c r="X37" s="88"/>
      <c r="Y37" s="88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  <c r="IV37" s="77"/>
      <c r="IW37" s="77"/>
    </row>
    <row r="38" customFormat="false" ht="12" hidden="false" customHeight="true" outlineLevel="0" collapsed="false">
      <c r="A38" s="77"/>
      <c r="B38" s="78" t="s">
        <v>200</v>
      </c>
      <c r="C38" s="79" t="s">
        <v>216</v>
      </c>
      <c r="D38" s="79" t="s">
        <v>217</v>
      </c>
      <c r="E38" s="80" t="n">
        <v>36770</v>
      </c>
      <c r="F38" s="80" t="n">
        <v>37864</v>
      </c>
      <c r="G38" s="78"/>
      <c r="H38" s="78"/>
      <c r="I38" s="79" t="s">
        <v>218</v>
      </c>
      <c r="J38" s="81" t="n">
        <f aca="false">1.544/31</f>
        <v>0.0498064516129032</v>
      </c>
      <c r="K38" s="82" t="n">
        <v>0</v>
      </c>
      <c r="L38" s="82" t="n">
        <v>0.0022</v>
      </c>
      <c r="M38" s="82" t="n">
        <v>0.0072</v>
      </c>
      <c r="N38" s="82" t="n">
        <v>0</v>
      </c>
      <c r="O38" s="83" t="n">
        <v>0</v>
      </c>
      <c r="P38" s="82" t="n">
        <f aca="false">SUM(J38:N38)</f>
        <v>0.0592064516129032</v>
      </c>
      <c r="Q38" s="84" t="s">
        <v>219</v>
      </c>
      <c r="R38" s="79" t="n">
        <f aca="false">(669+10594)*1.02</f>
        <v>11488.26</v>
      </c>
      <c r="S38" s="78" t="s">
        <v>222</v>
      </c>
      <c r="T38" s="85" t="n">
        <f aca="false">+J38*R38*30</f>
        <v>17165.6839741936</v>
      </c>
      <c r="U38" s="85"/>
      <c r="V38" s="86" t="n">
        <v>380799</v>
      </c>
      <c r="W38" s="78"/>
      <c r="X38" s="88"/>
      <c r="Y38" s="88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  <c r="IW38" s="77"/>
    </row>
    <row r="39" customFormat="false" ht="12" hidden="false" customHeight="true" outlineLevel="0" collapsed="false">
      <c r="A39" s="77"/>
      <c r="B39" s="78" t="s">
        <v>200</v>
      </c>
      <c r="C39" s="79" t="s">
        <v>216</v>
      </c>
      <c r="D39" s="79" t="s">
        <v>217</v>
      </c>
      <c r="E39" s="80" t="n">
        <v>36770</v>
      </c>
      <c r="F39" s="80" t="n">
        <v>37864</v>
      </c>
      <c r="G39" s="78" t="s">
        <v>142</v>
      </c>
      <c r="H39" s="78" t="s">
        <v>224</v>
      </c>
      <c r="I39" s="79" t="s">
        <v>107</v>
      </c>
      <c r="J39" s="81" t="n">
        <f aca="false">10.913/J1</f>
        <v>0.352032258064516</v>
      </c>
      <c r="K39" s="82"/>
      <c r="L39" s="82"/>
      <c r="M39" s="82"/>
      <c r="N39" s="82"/>
      <c r="O39" s="83"/>
      <c r="P39" s="82"/>
      <c r="Q39" s="84" t="s">
        <v>225</v>
      </c>
      <c r="R39" s="79" t="n">
        <f aca="false">4477*1.02</f>
        <v>4566.54</v>
      </c>
      <c r="S39" s="89" t="n">
        <v>2000001592</v>
      </c>
      <c r="T39" s="85" t="n">
        <f aca="false">+J39*R39*30</f>
        <v>48227.0816322581</v>
      </c>
      <c r="U39" s="85"/>
      <c r="V39" s="86" t="n">
        <v>380785</v>
      </c>
      <c r="W39" s="78"/>
      <c r="X39" s="88"/>
      <c r="Y39" s="88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7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  <c r="GA39" s="77"/>
      <c r="GB39" s="77"/>
      <c r="GC39" s="77"/>
      <c r="GD39" s="77"/>
      <c r="GE39" s="77"/>
      <c r="GF39" s="77"/>
      <c r="GG39" s="77"/>
      <c r="GH39" s="77"/>
      <c r="GI39" s="77"/>
      <c r="GJ39" s="77"/>
      <c r="GK39" s="77"/>
      <c r="GL39" s="77"/>
      <c r="GM39" s="77"/>
      <c r="GN39" s="77"/>
      <c r="GO39" s="77"/>
      <c r="GP39" s="77"/>
      <c r="GQ39" s="77"/>
      <c r="GR39" s="77"/>
      <c r="GS39" s="77"/>
      <c r="GT39" s="77"/>
      <c r="GU39" s="77"/>
      <c r="GV39" s="77"/>
      <c r="GW39" s="77"/>
      <c r="GX39" s="77"/>
      <c r="GY39" s="77"/>
      <c r="GZ39" s="77"/>
      <c r="HA39" s="77"/>
      <c r="HB39" s="77"/>
      <c r="HC39" s="77"/>
      <c r="HD39" s="77"/>
      <c r="HE39" s="77"/>
      <c r="HF39" s="77"/>
      <c r="HG39" s="77"/>
      <c r="HH39" s="77"/>
      <c r="HI39" s="77"/>
      <c r="HJ39" s="77"/>
      <c r="HK39" s="77"/>
      <c r="HL39" s="77"/>
      <c r="HM39" s="77"/>
      <c r="HN39" s="77"/>
      <c r="HO39" s="77"/>
      <c r="HP39" s="77"/>
      <c r="HQ39" s="77"/>
      <c r="HR39" s="77"/>
      <c r="HS39" s="77"/>
      <c r="HT39" s="77"/>
      <c r="HU39" s="77"/>
      <c r="HV39" s="77"/>
      <c r="HW39" s="77"/>
      <c r="HX39" s="77"/>
      <c r="HY39" s="77"/>
      <c r="HZ39" s="77"/>
      <c r="IA39" s="77"/>
      <c r="IB39" s="77"/>
      <c r="IC39" s="77"/>
      <c r="ID39" s="77"/>
      <c r="IE39" s="77"/>
      <c r="IF39" s="77"/>
      <c r="IG39" s="77"/>
      <c r="IH39" s="77"/>
      <c r="II39" s="77"/>
      <c r="IJ39" s="77"/>
      <c r="IK39" s="77"/>
      <c r="IL39" s="77"/>
      <c r="IM39" s="77"/>
      <c r="IN39" s="77"/>
      <c r="IO39" s="77"/>
      <c r="IP39" s="77"/>
      <c r="IQ39" s="77"/>
      <c r="IR39" s="77"/>
      <c r="IS39" s="77"/>
      <c r="IT39" s="77"/>
      <c r="IU39" s="77"/>
      <c r="IV39" s="77"/>
      <c r="IW39" s="77"/>
    </row>
    <row r="40" customFormat="false" ht="12" hidden="false" customHeight="true" outlineLevel="0" collapsed="false">
      <c r="A40" s="77"/>
      <c r="B40" s="78" t="s">
        <v>200</v>
      </c>
      <c r="C40" s="79" t="s">
        <v>216</v>
      </c>
      <c r="D40" s="79" t="s">
        <v>217</v>
      </c>
      <c r="E40" s="80" t="n">
        <v>36800</v>
      </c>
      <c r="F40" s="80" t="n">
        <v>36830</v>
      </c>
      <c r="G40" s="78" t="s">
        <v>142</v>
      </c>
      <c r="H40" s="78" t="s">
        <v>224</v>
      </c>
      <c r="I40" s="79" t="s">
        <v>107</v>
      </c>
      <c r="J40" s="81" t="n">
        <f aca="false">10.913/J1</f>
        <v>0.352032258064516</v>
      </c>
      <c r="K40" s="82"/>
      <c r="L40" s="82"/>
      <c r="M40" s="82"/>
      <c r="N40" s="82"/>
      <c r="O40" s="83"/>
      <c r="P40" s="82"/>
      <c r="Q40" s="84" t="s">
        <v>225</v>
      </c>
      <c r="R40" s="79" t="n">
        <v>9090</v>
      </c>
      <c r="S40" s="87" t="s">
        <v>226</v>
      </c>
      <c r="T40" s="85" t="n">
        <f aca="false">+R40*J40*30</f>
        <v>95999.1967741936</v>
      </c>
      <c r="U40" s="85"/>
      <c r="V40" s="86" t="n">
        <v>418602</v>
      </c>
      <c r="W40" s="78"/>
      <c r="X40" s="88"/>
      <c r="Y40" s="88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7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  <c r="GA40" s="77"/>
      <c r="GB40" s="77"/>
      <c r="GC40" s="77"/>
      <c r="GD40" s="77"/>
      <c r="GE40" s="77"/>
      <c r="GF40" s="77"/>
      <c r="GG40" s="77"/>
      <c r="GH40" s="77"/>
      <c r="GI40" s="77"/>
      <c r="GJ40" s="77"/>
      <c r="GK40" s="77"/>
      <c r="GL40" s="77"/>
      <c r="GM40" s="77"/>
      <c r="GN40" s="77"/>
      <c r="GO40" s="77"/>
      <c r="GP40" s="77"/>
      <c r="GQ40" s="77"/>
      <c r="GR40" s="77"/>
      <c r="GS40" s="77"/>
      <c r="GT40" s="77"/>
      <c r="GU40" s="77"/>
      <c r="GV40" s="77"/>
      <c r="GW40" s="77"/>
      <c r="GX40" s="77"/>
      <c r="GY40" s="77"/>
      <c r="GZ40" s="77"/>
      <c r="HA40" s="77"/>
      <c r="HB40" s="77"/>
      <c r="HC40" s="77"/>
      <c r="HD40" s="77"/>
      <c r="HE40" s="77"/>
      <c r="HF40" s="77"/>
      <c r="HG40" s="77"/>
      <c r="HH40" s="77"/>
      <c r="HI40" s="77"/>
      <c r="HJ40" s="77"/>
      <c r="HK40" s="77"/>
      <c r="HL40" s="77"/>
      <c r="HM40" s="77"/>
      <c r="HN40" s="77"/>
      <c r="HO40" s="77"/>
      <c r="HP40" s="77"/>
      <c r="HQ40" s="77"/>
      <c r="HR40" s="77"/>
      <c r="HS40" s="77"/>
      <c r="HT40" s="77"/>
      <c r="HU40" s="77"/>
      <c r="HV40" s="77"/>
      <c r="HW40" s="77"/>
      <c r="HX40" s="77"/>
      <c r="HY40" s="77"/>
      <c r="HZ40" s="77"/>
      <c r="IA40" s="77"/>
      <c r="IB40" s="77"/>
      <c r="IC40" s="77"/>
      <c r="ID40" s="77"/>
      <c r="IE40" s="77"/>
      <c r="IF40" s="77"/>
      <c r="IG40" s="77"/>
      <c r="IH40" s="77"/>
      <c r="II40" s="77"/>
      <c r="IJ40" s="77"/>
      <c r="IK40" s="77"/>
      <c r="IL40" s="77"/>
      <c r="IM40" s="77"/>
      <c r="IN40" s="77"/>
      <c r="IO40" s="77"/>
      <c r="IP40" s="77"/>
      <c r="IQ40" s="77"/>
      <c r="IR40" s="77"/>
      <c r="IS40" s="77"/>
      <c r="IT40" s="77"/>
      <c r="IU40" s="77"/>
      <c r="IV40" s="77"/>
      <c r="IW40" s="77"/>
    </row>
    <row r="41" customFormat="false" ht="12" hidden="false" customHeight="true" outlineLevel="0" collapsed="false">
      <c r="A41" s="77"/>
      <c r="B41" s="78" t="s">
        <v>200</v>
      </c>
      <c r="C41" s="79" t="s">
        <v>216</v>
      </c>
      <c r="D41" s="79" t="s">
        <v>217</v>
      </c>
      <c r="E41" s="80" t="n">
        <v>36770</v>
      </c>
      <c r="F41" s="80" t="n">
        <v>37864</v>
      </c>
      <c r="G41" s="78" t="s">
        <v>142</v>
      </c>
      <c r="H41" s="78" t="s">
        <v>224</v>
      </c>
      <c r="I41" s="79" t="s">
        <v>107</v>
      </c>
      <c r="J41" s="81" t="n">
        <f aca="false">10.913/J1</f>
        <v>0.352032258064516</v>
      </c>
      <c r="K41" s="82"/>
      <c r="L41" s="82"/>
      <c r="M41" s="82"/>
      <c r="N41" s="82"/>
      <c r="O41" s="83"/>
      <c r="P41" s="82"/>
      <c r="Q41" s="84" t="s">
        <v>225</v>
      </c>
      <c r="R41" s="79" t="n">
        <f aca="false">16156*1.02</f>
        <v>16479.12</v>
      </c>
      <c r="S41" s="87" t="s">
        <v>227</v>
      </c>
      <c r="T41" s="85" t="n">
        <f aca="false">+R41*J41*30</f>
        <v>174035.454735484</v>
      </c>
      <c r="U41" s="85"/>
      <c r="V41" s="86" t="n">
        <v>380770</v>
      </c>
      <c r="W41" s="78"/>
      <c r="X41" s="88"/>
      <c r="Y41" s="88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7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  <c r="GA41" s="77"/>
      <c r="GB41" s="77"/>
      <c r="GC41" s="77"/>
      <c r="GD41" s="77"/>
      <c r="GE41" s="77"/>
      <c r="GF41" s="77"/>
      <c r="GG41" s="77"/>
      <c r="GH41" s="77"/>
      <c r="GI41" s="77"/>
      <c r="GJ41" s="77"/>
      <c r="GK41" s="77"/>
      <c r="GL41" s="77"/>
      <c r="GM41" s="77"/>
      <c r="GN41" s="77"/>
      <c r="GO41" s="77"/>
      <c r="GP41" s="77"/>
      <c r="GQ41" s="77"/>
      <c r="GR41" s="77"/>
      <c r="GS41" s="77"/>
      <c r="GT41" s="77"/>
      <c r="GU41" s="77"/>
      <c r="GV41" s="77"/>
      <c r="GW41" s="77"/>
      <c r="GX41" s="77"/>
      <c r="GY41" s="77"/>
      <c r="GZ41" s="77"/>
      <c r="HA41" s="77"/>
      <c r="HB41" s="77"/>
      <c r="HC41" s="77"/>
      <c r="HD41" s="77"/>
      <c r="HE41" s="77"/>
      <c r="HF41" s="77"/>
      <c r="HG41" s="77"/>
      <c r="HH41" s="77"/>
      <c r="HI41" s="77"/>
      <c r="HJ41" s="77"/>
      <c r="HK41" s="77"/>
      <c r="HL41" s="77"/>
      <c r="HM41" s="77"/>
      <c r="HN41" s="77"/>
      <c r="HO41" s="77"/>
      <c r="HP41" s="77"/>
      <c r="HQ41" s="77"/>
      <c r="HR41" s="77"/>
      <c r="HS41" s="77"/>
      <c r="HT41" s="77"/>
      <c r="HU41" s="77"/>
      <c r="HV41" s="77"/>
      <c r="HW41" s="77"/>
      <c r="HX41" s="77"/>
      <c r="HY41" s="77"/>
      <c r="HZ41" s="77"/>
      <c r="IA41" s="77"/>
      <c r="IB41" s="77"/>
      <c r="IC41" s="77"/>
      <c r="ID41" s="77"/>
      <c r="IE41" s="77"/>
      <c r="IF41" s="77"/>
      <c r="IG41" s="77"/>
      <c r="IH41" s="77"/>
      <c r="II41" s="77"/>
      <c r="IJ41" s="77"/>
      <c r="IK41" s="77"/>
      <c r="IL41" s="77"/>
      <c r="IM41" s="77"/>
      <c r="IN41" s="77"/>
      <c r="IO41" s="77"/>
      <c r="IP41" s="77"/>
      <c r="IQ41" s="77"/>
      <c r="IR41" s="77"/>
      <c r="IS41" s="77"/>
      <c r="IT41" s="77"/>
      <c r="IU41" s="77"/>
      <c r="IV41" s="77"/>
      <c r="IW41" s="77"/>
    </row>
    <row r="42" customFormat="false" ht="12" hidden="false" customHeight="true" outlineLevel="0" collapsed="false">
      <c r="A42" s="77"/>
      <c r="B42" s="78" t="s">
        <v>200</v>
      </c>
      <c r="C42" s="79" t="s">
        <v>216</v>
      </c>
      <c r="D42" s="79" t="s">
        <v>217</v>
      </c>
      <c r="E42" s="80" t="n">
        <v>36770</v>
      </c>
      <c r="F42" s="80" t="n">
        <v>37864</v>
      </c>
      <c r="G42" s="78" t="s">
        <v>142</v>
      </c>
      <c r="H42" s="78" t="s">
        <v>228</v>
      </c>
      <c r="I42" s="79" t="s">
        <v>107</v>
      </c>
      <c r="J42" s="81" t="n">
        <f aca="false">8.223/J1</f>
        <v>0.265258064516129</v>
      </c>
      <c r="K42" s="82"/>
      <c r="L42" s="82"/>
      <c r="M42" s="82"/>
      <c r="N42" s="82"/>
      <c r="O42" s="83"/>
      <c r="P42" s="82"/>
      <c r="Q42" s="84" t="s">
        <v>225</v>
      </c>
      <c r="R42" s="79" t="n">
        <f aca="false">340*1.02</f>
        <v>346.8</v>
      </c>
      <c r="S42" s="90" t="n">
        <v>2000001604</v>
      </c>
      <c r="T42" s="85" t="n">
        <f aca="false">+R42*J42*30</f>
        <v>2759.74490322581</v>
      </c>
      <c r="U42" s="85"/>
      <c r="V42" s="86" t="n">
        <v>380777</v>
      </c>
      <c r="W42" s="78"/>
      <c r="X42" s="88"/>
      <c r="Y42" s="88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7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  <c r="GA42" s="77"/>
      <c r="GB42" s="77"/>
      <c r="GC42" s="77"/>
      <c r="GD42" s="77"/>
      <c r="GE42" s="77"/>
      <c r="GF42" s="77"/>
      <c r="GG42" s="77"/>
      <c r="GH42" s="77"/>
      <c r="GI42" s="77"/>
      <c r="GJ42" s="77"/>
      <c r="GK42" s="77"/>
      <c r="GL42" s="77"/>
      <c r="GM42" s="77"/>
      <c r="GN42" s="77"/>
      <c r="GO42" s="77"/>
      <c r="GP42" s="77"/>
      <c r="GQ42" s="77"/>
      <c r="GR42" s="77"/>
      <c r="GS42" s="77"/>
      <c r="GT42" s="77"/>
      <c r="GU42" s="77"/>
      <c r="GV42" s="77"/>
      <c r="GW42" s="77"/>
      <c r="GX42" s="77"/>
      <c r="GY42" s="77"/>
      <c r="GZ42" s="77"/>
      <c r="HA42" s="77"/>
      <c r="HB42" s="77"/>
      <c r="HC42" s="77"/>
      <c r="HD42" s="77"/>
      <c r="HE42" s="77"/>
      <c r="HF42" s="77"/>
      <c r="HG42" s="77"/>
      <c r="HH42" s="77"/>
      <c r="HI42" s="77"/>
      <c r="HJ42" s="77"/>
      <c r="HK42" s="77"/>
      <c r="HL42" s="77"/>
      <c r="HM42" s="77"/>
      <c r="HN42" s="77"/>
      <c r="HO42" s="77"/>
      <c r="HP42" s="77"/>
      <c r="HQ42" s="77"/>
      <c r="HR42" s="77"/>
      <c r="HS42" s="77"/>
      <c r="HT42" s="77"/>
      <c r="HU42" s="77"/>
      <c r="HV42" s="77"/>
      <c r="HW42" s="77"/>
      <c r="HX42" s="77"/>
      <c r="HY42" s="77"/>
      <c r="HZ42" s="77"/>
      <c r="IA42" s="77"/>
      <c r="IB42" s="77"/>
      <c r="IC42" s="77"/>
      <c r="ID42" s="77"/>
      <c r="IE42" s="77"/>
      <c r="IF42" s="77"/>
      <c r="IG42" s="77"/>
      <c r="IH42" s="77"/>
      <c r="II42" s="77"/>
      <c r="IJ42" s="77"/>
      <c r="IK42" s="77"/>
      <c r="IL42" s="77"/>
      <c r="IM42" s="77"/>
      <c r="IN42" s="77"/>
      <c r="IO42" s="77"/>
      <c r="IP42" s="77"/>
      <c r="IQ42" s="77"/>
      <c r="IR42" s="77"/>
      <c r="IS42" s="77"/>
      <c r="IT42" s="77"/>
      <c r="IU42" s="77"/>
      <c r="IV42" s="77"/>
      <c r="IW42" s="77"/>
    </row>
    <row r="43" customFormat="false" ht="12" hidden="false" customHeight="true" outlineLevel="0" collapsed="false">
      <c r="A43" s="77"/>
      <c r="B43" s="78" t="s">
        <v>200</v>
      </c>
      <c r="C43" s="79" t="s">
        <v>216</v>
      </c>
      <c r="D43" s="79" t="s">
        <v>217</v>
      </c>
      <c r="E43" s="80" t="n">
        <v>36770</v>
      </c>
      <c r="F43" s="80" t="n">
        <v>36830</v>
      </c>
      <c r="G43" s="78" t="s">
        <v>142</v>
      </c>
      <c r="H43" s="78" t="s">
        <v>229</v>
      </c>
      <c r="I43" s="79" t="s">
        <v>107</v>
      </c>
      <c r="J43" s="81" t="n">
        <f aca="false">10.913/J1</f>
        <v>0.352032258064516</v>
      </c>
      <c r="K43" s="82"/>
      <c r="L43" s="82"/>
      <c r="M43" s="82"/>
      <c r="N43" s="82"/>
      <c r="O43" s="83"/>
      <c r="P43" s="82"/>
      <c r="Q43" s="84" t="s">
        <v>225</v>
      </c>
      <c r="R43" s="79" t="n">
        <f aca="false">457*1.02</f>
        <v>466.14</v>
      </c>
      <c r="S43" s="90" t="n">
        <v>2000001640</v>
      </c>
      <c r="T43" s="85" t="n">
        <f aca="false">+R43*J43*30</f>
        <v>4922.88950322581</v>
      </c>
      <c r="U43" s="85"/>
      <c r="V43" s="86" t="n">
        <v>380789</v>
      </c>
      <c r="W43" s="78"/>
      <c r="X43" s="88"/>
      <c r="Y43" s="88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7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  <c r="GA43" s="77"/>
      <c r="GB43" s="77"/>
      <c r="GC43" s="77"/>
      <c r="GD43" s="77"/>
      <c r="GE43" s="77"/>
      <c r="GF43" s="77"/>
      <c r="GG43" s="77"/>
      <c r="GH43" s="77"/>
      <c r="GI43" s="77"/>
      <c r="GJ43" s="77"/>
      <c r="GK43" s="77"/>
      <c r="GL43" s="77"/>
      <c r="GM43" s="77"/>
      <c r="GN43" s="77"/>
      <c r="GO43" s="77"/>
      <c r="GP43" s="77"/>
      <c r="GQ43" s="77"/>
      <c r="GR43" s="77"/>
      <c r="GS43" s="77"/>
      <c r="GT43" s="77"/>
      <c r="GU43" s="77"/>
      <c r="GV43" s="77"/>
      <c r="GW43" s="77"/>
      <c r="GX43" s="77"/>
      <c r="GY43" s="77"/>
      <c r="GZ43" s="77"/>
      <c r="HA43" s="77"/>
      <c r="HB43" s="77"/>
      <c r="HC43" s="77"/>
      <c r="HD43" s="77"/>
      <c r="HE43" s="77"/>
      <c r="HF43" s="77"/>
      <c r="HG43" s="77"/>
      <c r="HH43" s="77"/>
      <c r="HI43" s="77"/>
      <c r="HJ43" s="77"/>
      <c r="HK43" s="77"/>
      <c r="HL43" s="77"/>
      <c r="HM43" s="77"/>
      <c r="HN43" s="77"/>
      <c r="HO43" s="77"/>
      <c r="HP43" s="77"/>
      <c r="HQ43" s="77"/>
      <c r="HR43" s="77"/>
      <c r="HS43" s="77"/>
      <c r="HT43" s="77"/>
      <c r="HU43" s="77"/>
      <c r="HV43" s="77"/>
      <c r="HW43" s="77"/>
      <c r="HX43" s="77"/>
      <c r="HY43" s="77"/>
      <c r="HZ43" s="77"/>
      <c r="IA43" s="77"/>
      <c r="IB43" s="77"/>
      <c r="IC43" s="77"/>
      <c r="ID43" s="77"/>
      <c r="IE43" s="77"/>
      <c r="IF43" s="77"/>
      <c r="IG43" s="77"/>
      <c r="IH43" s="77"/>
      <c r="II43" s="77"/>
      <c r="IJ43" s="77"/>
      <c r="IK43" s="77"/>
      <c r="IL43" s="77"/>
      <c r="IM43" s="77"/>
      <c r="IN43" s="77"/>
      <c r="IO43" s="77"/>
      <c r="IP43" s="77"/>
      <c r="IQ43" s="77"/>
      <c r="IR43" s="77"/>
      <c r="IS43" s="77"/>
      <c r="IT43" s="77"/>
      <c r="IU43" s="77"/>
      <c r="IV43" s="77"/>
      <c r="IW43" s="77"/>
    </row>
    <row r="44" customFormat="false" ht="12" hidden="false" customHeight="true" outlineLevel="0" collapsed="false">
      <c r="A44" s="77"/>
      <c r="B44" s="78" t="s">
        <v>200</v>
      </c>
      <c r="C44" s="79" t="s">
        <v>216</v>
      </c>
      <c r="D44" s="79" t="s">
        <v>217</v>
      </c>
      <c r="E44" s="80" t="n">
        <v>36800</v>
      </c>
      <c r="F44" s="80" t="n">
        <v>36830</v>
      </c>
      <c r="G44" s="78"/>
      <c r="H44" s="78"/>
      <c r="I44" s="79" t="s">
        <v>107</v>
      </c>
      <c r="J44" s="81" t="n">
        <f aca="false">10.913/J1</f>
        <v>0.352032258064516</v>
      </c>
      <c r="K44" s="82"/>
      <c r="L44" s="82"/>
      <c r="M44" s="82"/>
      <c r="N44" s="82"/>
      <c r="O44" s="83"/>
      <c r="P44" s="82"/>
      <c r="Q44" s="84" t="s">
        <v>225</v>
      </c>
      <c r="R44" s="79" t="n">
        <v>201</v>
      </c>
      <c r="S44" s="78" t="s">
        <v>230</v>
      </c>
      <c r="T44" s="85" t="n">
        <f aca="false">J44*J$1*R44</f>
        <v>2193.513</v>
      </c>
      <c r="U44" s="85"/>
      <c r="V44" s="86" t="n">
        <v>418558</v>
      </c>
      <c r="W44" s="78"/>
      <c r="X44" s="88"/>
      <c r="Y44" s="88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7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  <c r="GA44" s="77"/>
      <c r="GB44" s="77"/>
      <c r="GC44" s="77"/>
      <c r="GD44" s="77"/>
      <c r="GE44" s="77"/>
      <c r="GF44" s="77"/>
      <c r="GG44" s="77"/>
      <c r="GH44" s="77"/>
      <c r="GI44" s="77"/>
      <c r="GJ44" s="77"/>
      <c r="GK44" s="77"/>
      <c r="GL44" s="77"/>
      <c r="GM44" s="77"/>
      <c r="GN44" s="77"/>
      <c r="GO44" s="77"/>
      <c r="GP44" s="77"/>
      <c r="GQ44" s="77"/>
      <c r="GR44" s="77"/>
      <c r="GS44" s="77"/>
      <c r="GT44" s="77"/>
      <c r="GU44" s="77"/>
      <c r="GV44" s="77"/>
      <c r="GW44" s="77"/>
      <c r="GX44" s="77"/>
      <c r="GY44" s="77"/>
      <c r="GZ44" s="77"/>
      <c r="HA44" s="77"/>
      <c r="HB44" s="77"/>
      <c r="HC44" s="77"/>
      <c r="HD44" s="77"/>
      <c r="HE44" s="77"/>
      <c r="HF44" s="77"/>
      <c r="HG44" s="77"/>
      <c r="HH44" s="77"/>
      <c r="HI44" s="77"/>
      <c r="HJ44" s="77"/>
      <c r="HK44" s="77"/>
      <c r="HL44" s="77"/>
      <c r="HM44" s="77"/>
      <c r="HN44" s="77"/>
      <c r="HO44" s="77"/>
      <c r="HP44" s="77"/>
      <c r="HQ44" s="77"/>
      <c r="HR44" s="77"/>
      <c r="HS44" s="77"/>
      <c r="HT44" s="77"/>
      <c r="HU44" s="77"/>
      <c r="HV44" s="77"/>
      <c r="HW44" s="77"/>
      <c r="HX44" s="77"/>
      <c r="HY44" s="77"/>
      <c r="HZ44" s="77"/>
      <c r="IA44" s="77"/>
      <c r="IB44" s="77"/>
      <c r="IC44" s="77"/>
      <c r="ID44" s="77"/>
      <c r="IE44" s="77"/>
      <c r="IF44" s="77"/>
      <c r="IG44" s="77"/>
      <c r="IH44" s="77"/>
      <c r="II44" s="77"/>
      <c r="IJ44" s="77"/>
      <c r="IK44" s="77"/>
      <c r="IL44" s="77"/>
      <c r="IM44" s="77"/>
      <c r="IN44" s="77"/>
      <c r="IO44" s="77"/>
      <c r="IP44" s="77"/>
      <c r="IQ44" s="77"/>
      <c r="IR44" s="77"/>
      <c r="IS44" s="77"/>
      <c r="IT44" s="77"/>
      <c r="IU44" s="77"/>
      <c r="IV44" s="77"/>
      <c r="IW44" s="77"/>
    </row>
    <row r="45" customFormat="false" ht="12" hidden="false" customHeight="true" outlineLevel="0" collapsed="false">
      <c r="A45" s="77"/>
      <c r="B45" s="78" t="s">
        <v>200</v>
      </c>
      <c r="C45" s="79" t="s">
        <v>216</v>
      </c>
      <c r="D45" s="79" t="s">
        <v>217</v>
      </c>
      <c r="E45" s="80" t="n">
        <v>36800</v>
      </c>
      <c r="F45" s="80" t="n">
        <v>36830</v>
      </c>
      <c r="G45" s="78"/>
      <c r="H45" s="78"/>
      <c r="I45" s="79" t="s">
        <v>107</v>
      </c>
      <c r="J45" s="81" t="n">
        <f aca="false">10.913/31</f>
        <v>0.352032258064516</v>
      </c>
      <c r="K45" s="82"/>
      <c r="L45" s="82"/>
      <c r="M45" s="82"/>
      <c r="N45" s="82"/>
      <c r="O45" s="83"/>
      <c r="P45" s="82"/>
      <c r="Q45" s="84" t="s">
        <v>225</v>
      </c>
      <c r="R45" s="79" t="n">
        <v>1979</v>
      </c>
      <c r="S45" s="78" t="s">
        <v>231</v>
      </c>
      <c r="T45" s="85" t="n">
        <f aca="false">J45*J$1*R45</f>
        <v>21596.827</v>
      </c>
      <c r="U45" s="85"/>
      <c r="V45" s="86" t="n">
        <v>418286</v>
      </c>
      <c r="W45" s="78"/>
      <c r="X45" s="88"/>
      <c r="Y45" s="88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  <c r="FD45" s="77"/>
      <c r="FE45" s="77"/>
      <c r="FF45" s="77"/>
      <c r="FG45" s="77"/>
      <c r="FH45" s="77"/>
      <c r="FI45" s="77"/>
      <c r="FJ45" s="77"/>
      <c r="FK45" s="77"/>
      <c r="FL45" s="77"/>
      <c r="FM45" s="77"/>
      <c r="FN45" s="77"/>
      <c r="FO45" s="77"/>
      <c r="FP45" s="77"/>
      <c r="FQ45" s="77"/>
      <c r="FR45" s="77"/>
      <c r="FS45" s="77"/>
      <c r="FT45" s="77"/>
      <c r="FU45" s="77"/>
      <c r="FV45" s="77"/>
      <c r="FW45" s="77"/>
      <c r="FX45" s="77"/>
      <c r="FY45" s="77"/>
      <c r="FZ45" s="77"/>
      <c r="GA45" s="77"/>
      <c r="GB45" s="77"/>
      <c r="GC45" s="77"/>
      <c r="GD45" s="77"/>
      <c r="GE45" s="77"/>
      <c r="GF45" s="77"/>
      <c r="GG45" s="77"/>
      <c r="GH45" s="77"/>
      <c r="GI45" s="77"/>
      <c r="GJ45" s="77"/>
      <c r="GK45" s="77"/>
      <c r="GL45" s="77"/>
      <c r="GM45" s="77"/>
      <c r="GN45" s="77"/>
      <c r="GO45" s="77"/>
      <c r="GP45" s="77"/>
      <c r="GQ45" s="77"/>
      <c r="GR45" s="77"/>
      <c r="GS45" s="77"/>
      <c r="GT45" s="77"/>
      <c r="GU45" s="77"/>
      <c r="GV45" s="77"/>
      <c r="GW45" s="77"/>
      <c r="GX45" s="77"/>
      <c r="GY45" s="77"/>
      <c r="GZ45" s="77"/>
      <c r="HA45" s="77"/>
      <c r="HB45" s="77"/>
      <c r="HC45" s="77"/>
      <c r="HD45" s="77"/>
      <c r="HE45" s="77"/>
      <c r="HF45" s="77"/>
      <c r="HG45" s="77"/>
      <c r="HH45" s="77"/>
      <c r="HI45" s="77"/>
      <c r="HJ45" s="77"/>
      <c r="HK45" s="77"/>
      <c r="HL45" s="77"/>
      <c r="HM45" s="77"/>
      <c r="HN45" s="77"/>
      <c r="HO45" s="77"/>
      <c r="HP45" s="77"/>
      <c r="HQ45" s="77"/>
      <c r="HR45" s="77"/>
      <c r="HS45" s="77"/>
      <c r="HT45" s="77"/>
      <c r="HU45" s="77"/>
      <c r="HV45" s="77"/>
      <c r="HW45" s="77"/>
      <c r="HX45" s="77"/>
      <c r="HY45" s="77"/>
      <c r="HZ45" s="77"/>
      <c r="IA45" s="77"/>
      <c r="IB45" s="77"/>
      <c r="IC45" s="77"/>
      <c r="ID45" s="77"/>
      <c r="IE45" s="77"/>
      <c r="IF45" s="77"/>
      <c r="IG45" s="77"/>
      <c r="IH45" s="77"/>
      <c r="II45" s="77"/>
      <c r="IJ45" s="77"/>
      <c r="IK45" s="77"/>
      <c r="IL45" s="77"/>
      <c r="IM45" s="77"/>
      <c r="IN45" s="77"/>
      <c r="IO45" s="77"/>
      <c r="IP45" s="77"/>
      <c r="IQ45" s="77"/>
      <c r="IR45" s="77"/>
      <c r="IS45" s="77"/>
      <c r="IT45" s="77"/>
      <c r="IU45" s="77"/>
      <c r="IV45" s="77"/>
      <c r="IW45" s="77"/>
    </row>
    <row r="46" customFormat="false" ht="12" hidden="false" customHeight="true" outlineLevel="0" collapsed="false">
      <c r="A46" s="77"/>
      <c r="B46" s="78" t="s">
        <v>200</v>
      </c>
      <c r="C46" s="79" t="s">
        <v>216</v>
      </c>
      <c r="D46" s="79" t="s">
        <v>217</v>
      </c>
      <c r="E46" s="80" t="n">
        <v>36800</v>
      </c>
      <c r="F46" s="80" t="n">
        <v>36830</v>
      </c>
      <c r="G46" s="78"/>
      <c r="H46" s="78"/>
      <c r="I46" s="79" t="s">
        <v>107</v>
      </c>
      <c r="J46" s="81" t="n">
        <f aca="false">8.223/J1</f>
        <v>0.265258064516129</v>
      </c>
      <c r="K46" s="82"/>
      <c r="L46" s="82"/>
      <c r="M46" s="82"/>
      <c r="N46" s="82"/>
      <c r="O46" s="83"/>
      <c r="P46" s="82"/>
      <c r="Q46" s="84" t="s">
        <v>225</v>
      </c>
      <c r="R46" s="79" t="n">
        <v>54</v>
      </c>
      <c r="S46" s="87" t="s">
        <v>232</v>
      </c>
      <c r="T46" s="85" t="n">
        <f aca="false">J46*J$1*R46</f>
        <v>444.042</v>
      </c>
      <c r="U46" s="85"/>
      <c r="V46" s="86" t="n">
        <v>418279</v>
      </c>
      <c r="W46" s="78"/>
      <c r="X46" s="88"/>
      <c r="Y46" s="88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7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  <c r="GA46" s="77"/>
      <c r="GB46" s="77"/>
      <c r="GC46" s="77"/>
      <c r="GD46" s="77"/>
      <c r="GE46" s="77"/>
      <c r="GF46" s="77"/>
      <c r="GG46" s="77"/>
      <c r="GH46" s="77"/>
      <c r="GI46" s="77"/>
      <c r="GJ46" s="77"/>
      <c r="GK46" s="77"/>
      <c r="GL46" s="77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  <c r="GX46" s="77"/>
      <c r="GY46" s="77"/>
      <c r="GZ46" s="77"/>
      <c r="HA46" s="77"/>
      <c r="HB46" s="77"/>
      <c r="HC46" s="77"/>
      <c r="HD46" s="77"/>
      <c r="HE46" s="77"/>
      <c r="HF46" s="77"/>
      <c r="HG46" s="77"/>
      <c r="HH46" s="77"/>
      <c r="HI46" s="77"/>
      <c r="HJ46" s="77"/>
      <c r="HK46" s="77"/>
      <c r="HL46" s="77"/>
      <c r="HM46" s="77"/>
      <c r="HN46" s="77"/>
      <c r="HO46" s="77"/>
      <c r="HP46" s="77"/>
      <c r="HQ46" s="77"/>
      <c r="HR46" s="77"/>
      <c r="HS46" s="77"/>
      <c r="HT46" s="77"/>
      <c r="HU46" s="77"/>
      <c r="HV46" s="77"/>
      <c r="HW46" s="77"/>
      <c r="HX46" s="77"/>
      <c r="HY46" s="77"/>
      <c r="HZ46" s="77"/>
      <c r="IA46" s="77"/>
      <c r="IB46" s="77"/>
      <c r="IC46" s="77"/>
      <c r="ID46" s="77"/>
      <c r="IE46" s="77"/>
      <c r="IF46" s="77"/>
      <c r="IG46" s="77"/>
      <c r="IH46" s="77"/>
      <c r="II46" s="77"/>
      <c r="IJ46" s="77"/>
      <c r="IK46" s="77"/>
      <c r="IL46" s="77"/>
      <c r="IM46" s="77"/>
      <c r="IN46" s="77"/>
      <c r="IO46" s="77"/>
      <c r="IP46" s="77"/>
      <c r="IQ46" s="77"/>
      <c r="IR46" s="77"/>
      <c r="IS46" s="77"/>
      <c r="IT46" s="77"/>
      <c r="IU46" s="77"/>
      <c r="IV46" s="77"/>
      <c r="IW46" s="77"/>
    </row>
    <row r="47" customFormat="false" ht="12" hidden="false" customHeight="true" outlineLevel="0" collapsed="false">
      <c r="A47" s="77"/>
      <c r="B47" s="78" t="s">
        <v>200</v>
      </c>
      <c r="C47" s="79" t="s">
        <v>233</v>
      </c>
      <c r="D47" s="79" t="s">
        <v>217</v>
      </c>
      <c r="E47" s="80" t="n">
        <v>36804</v>
      </c>
      <c r="F47" s="80" t="n">
        <v>36830</v>
      </c>
      <c r="G47" s="78" t="s">
        <v>142</v>
      </c>
      <c r="H47" s="78" t="s">
        <v>142</v>
      </c>
      <c r="I47" s="79" t="s">
        <v>107</v>
      </c>
      <c r="J47" s="81" t="n">
        <f aca="false">4.75/J1</f>
        <v>0.153225806451613</v>
      </c>
      <c r="K47" s="82"/>
      <c r="L47" s="82"/>
      <c r="M47" s="82"/>
      <c r="N47" s="82"/>
      <c r="O47" s="83"/>
      <c r="P47" s="82"/>
      <c r="Q47" s="84" t="s">
        <v>234</v>
      </c>
      <c r="R47" s="79" t="n">
        <v>70</v>
      </c>
      <c r="S47" s="87" t="s">
        <v>235</v>
      </c>
      <c r="T47" s="85" t="n">
        <f aca="false">J47*J$1*R47</f>
        <v>332.5</v>
      </c>
      <c r="U47" s="85"/>
      <c r="V47" s="86" t="n">
        <v>425333</v>
      </c>
      <c r="W47" s="78"/>
      <c r="X47" s="88"/>
      <c r="Y47" s="88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7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  <c r="GA47" s="77"/>
      <c r="GB47" s="77"/>
      <c r="GC47" s="77"/>
      <c r="GD47" s="77"/>
      <c r="GE47" s="77"/>
      <c r="GF47" s="77"/>
      <c r="GG47" s="77"/>
      <c r="GH47" s="77"/>
      <c r="GI47" s="77"/>
      <c r="GJ47" s="77"/>
      <c r="GK47" s="77"/>
      <c r="GL47" s="77"/>
      <c r="GM47" s="77"/>
      <c r="GN47" s="77"/>
      <c r="GO47" s="77"/>
      <c r="GP47" s="77"/>
      <c r="GQ47" s="77"/>
      <c r="GR47" s="77"/>
      <c r="GS47" s="77"/>
      <c r="GT47" s="77"/>
      <c r="GU47" s="77"/>
      <c r="GV47" s="77"/>
      <c r="GW47" s="77"/>
      <c r="GX47" s="77"/>
      <c r="GY47" s="77"/>
      <c r="GZ47" s="77"/>
      <c r="HA47" s="77"/>
      <c r="HB47" s="77"/>
      <c r="HC47" s="77"/>
      <c r="HD47" s="77"/>
      <c r="HE47" s="77"/>
      <c r="HF47" s="77"/>
      <c r="HG47" s="77"/>
      <c r="HH47" s="77"/>
      <c r="HI47" s="77"/>
      <c r="HJ47" s="77"/>
      <c r="HK47" s="77"/>
      <c r="HL47" s="77"/>
      <c r="HM47" s="77"/>
      <c r="HN47" s="77"/>
      <c r="HO47" s="77"/>
      <c r="HP47" s="77"/>
      <c r="HQ47" s="77"/>
      <c r="HR47" s="77"/>
      <c r="HS47" s="77"/>
      <c r="HT47" s="77"/>
      <c r="HU47" s="77"/>
      <c r="HV47" s="77"/>
      <c r="HW47" s="77"/>
      <c r="HX47" s="77"/>
      <c r="HY47" s="77"/>
      <c r="HZ47" s="77"/>
      <c r="IA47" s="77"/>
      <c r="IB47" s="77"/>
      <c r="IC47" s="77"/>
      <c r="ID47" s="77"/>
      <c r="IE47" s="77"/>
      <c r="IF47" s="77"/>
      <c r="IG47" s="77"/>
      <c r="IH47" s="77"/>
      <c r="II47" s="77"/>
      <c r="IJ47" s="77"/>
      <c r="IK47" s="77"/>
      <c r="IL47" s="77"/>
      <c r="IM47" s="77"/>
      <c r="IN47" s="77"/>
      <c r="IO47" s="77"/>
      <c r="IP47" s="77"/>
      <c r="IQ47" s="77"/>
      <c r="IR47" s="77"/>
      <c r="IS47" s="77"/>
      <c r="IT47" s="77"/>
      <c r="IU47" s="77"/>
      <c r="IV47" s="77"/>
      <c r="IW47" s="77"/>
    </row>
    <row r="48" customFormat="false" ht="12" hidden="false" customHeight="true" outlineLevel="0" collapsed="false">
      <c r="A48" s="77"/>
      <c r="B48" s="78" t="s">
        <v>200</v>
      </c>
      <c r="C48" s="79" t="s">
        <v>233</v>
      </c>
      <c r="D48" s="79" t="s">
        <v>217</v>
      </c>
      <c r="E48" s="80" t="n">
        <v>11597</v>
      </c>
      <c r="F48" s="80" t="n">
        <v>36830</v>
      </c>
      <c r="G48" s="78" t="s">
        <v>142</v>
      </c>
      <c r="H48" s="78" t="s">
        <v>142</v>
      </c>
      <c r="I48" s="79" t="s">
        <v>107</v>
      </c>
      <c r="J48" s="81" t="n">
        <f aca="false">4.75/31</f>
        <v>0.153225806451613</v>
      </c>
      <c r="K48" s="82"/>
      <c r="L48" s="82"/>
      <c r="M48" s="82"/>
      <c r="N48" s="82"/>
      <c r="O48" s="83"/>
      <c r="P48" s="82"/>
      <c r="Q48" s="84" t="s">
        <v>234</v>
      </c>
      <c r="R48" s="79" t="n">
        <v>154</v>
      </c>
      <c r="S48" s="87" t="s">
        <v>236</v>
      </c>
      <c r="T48" s="85" t="n">
        <f aca="false">+J48*R48*31</f>
        <v>731.5</v>
      </c>
      <c r="U48" s="85"/>
      <c r="V48" s="86" t="n">
        <v>418293</v>
      </c>
      <c r="W48" s="78"/>
      <c r="X48" s="88"/>
      <c r="Y48" s="88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  <c r="EO48" s="77"/>
      <c r="EP48" s="77"/>
      <c r="EQ48" s="77"/>
      <c r="ER48" s="77"/>
      <c r="ES48" s="77"/>
      <c r="ET48" s="77"/>
      <c r="EU48" s="77"/>
      <c r="EV48" s="77"/>
      <c r="EW48" s="77"/>
      <c r="EX48" s="77"/>
      <c r="EY48" s="77"/>
      <c r="EZ48" s="77"/>
      <c r="FA48" s="77"/>
      <c r="FB48" s="77"/>
      <c r="FC48" s="77"/>
      <c r="FD48" s="77"/>
      <c r="FE48" s="77"/>
      <c r="FF48" s="77"/>
      <c r="FG48" s="77"/>
      <c r="FH48" s="77"/>
      <c r="FI48" s="77"/>
      <c r="FJ48" s="77"/>
      <c r="FK48" s="77"/>
      <c r="FL48" s="77"/>
      <c r="FM48" s="77"/>
      <c r="FN48" s="77"/>
      <c r="FO48" s="77"/>
      <c r="FP48" s="77"/>
      <c r="FQ48" s="77"/>
      <c r="FR48" s="77"/>
      <c r="FS48" s="77"/>
      <c r="FT48" s="77"/>
      <c r="FU48" s="77"/>
      <c r="FV48" s="77"/>
      <c r="FW48" s="77"/>
      <c r="FX48" s="77"/>
      <c r="FY48" s="77"/>
      <c r="FZ48" s="77"/>
      <c r="GA48" s="77"/>
      <c r="GB48" s="77"/>
      <c r="GC48" s="77"/>
      <c r="GD48" s="77"/>
      <c r="GE48" s="77"/>
      <c r="GF48" s="77"/>
      <c r="GG48" s="77"/>
      <c r="GH48" s="77"/>
      <c r="GI48" s="77"/>
      <c r="GJ48" s="77"/>
      <c r="GK48" s="77"/>
      <c r="GL48" s="77"/>
      <c r="GM48" s="77"/>
      <c r="GN48" s="77"/>
      <c r="GO48" s="77"/>
      <c r="GP48" s="77"/>
      <c r="GQ48" s="77"/>
      <c r="GR48" s="77"/>
      <c r="GS48" s="77"/>
      <c r="GT48" s="77"/>
      <c r="GU48" s="77"/>
      <c r="GV48" s="77"/>
      <c r="GW48" s="77"/>
      <c r="GX48" s="77"/>
      <c r="GY48" s="77"/>
      <c r="GZ48" s="77"/>
      <c r="HA48" s="77"/>
      <c r="HB48" s="77"/>
      <c r="HC48" s="77"/>
      <c r="HD48" s="77"/>
      <c r="HE48" s="77"/>
      <c r="HF48" s="77"/>
      <c r="HG48" s="77"/>
      <c r="HH48" s="77"/>
      <c r="HI48" s="77"/>
      <c r="HJ48" s="77"/>
      <c r="HK48" s="77"/>
      <c r="HL48" s="77"/>
      <c r="HM48" s="77"/>
      <c r="HN48" s="77"/>
      <c r="HO48" s="77"/>
      <c r="HP48" s="77"/>
      <c r="HQ48" s="77"/>
      <c r="HR48" s="77"/>
      <c r="HS48" s="77"/>
      <c r="HT48" s="77"/>
      <c r="HU48" s="77"/>
      <c r="HV48" s="77"/>
      <c r="HW48" s="77"/>
      <c r="HX48" s="77"/>
      <c r="HY48" s="77"/>
      <c r="HZ48" s="77"/>
      <c r="IA48" s="77"/>
      <c r="IB48" s="77"/>
      <c r="IC48" s="77"/>
      <c r="ID48" s="77"/>
      <c r="IE48" s="77"/>
      <c r="IF48" s="77"/>
      <c r="IG48" s="77"/>
      <c r="IH48" s="77"/>
      <c r="II48" s="77"/>
      <c r="IJ48" s="77"/>
      <c r="IK48" s="77"/>
      <c r="IL48" s="77"/>
      <c r="IM48" s="77"/>
      <c r="IN48" s="77"/>
      <c r="IO48" s="77"/>
      <c r="IP48" s="77"/>
      <c r="IQ48" s="77"/>
      <c r="IR48" s="77"/>
      <c r="IS48" s="77"/>
      <c r="IT48" s="77"/>
      <c r="IU48" s="77"/>
      <c r="IV48" s="77"/>
      <c r="IW48" s="77"/>
    </row>
    <row r="49" customFormat="false" ht="12" hidden="false" customHeight="true" outlineLevel="0" collapsed="false">
      <c r="A49" s="91"/>
      <c r="B49" s="92" t="s">
        <v>200</v>
      </c>
      <c r="C49" s="93" t="s">
        <v>233</v>
      </c>
      <c r="D49" s="93" t="s">
        <v>217</v>
      </c>
      <c r="E49" s="94" t="n">
        <v>36739</v>
      </c>
      <c r="F49" s="94" t="n">
        <v>36769</v>
      </c>
      <c r="G49" s="92" t="s">
        <v>142</v>
      </c>
      <c r="H49" s="92" t="s">
        <v>142</v>
      </c>
      <c r="I49" s="93" t="s">
        <v>107</v>
      </c>
      <c r="J49" s="95" t="n">
        <f aca="false">10.913/31</f>
        <v>0.352032258064516</v>
      </c>
      <c r="K49" s="96"/>
      <c r="L49" s="96"/>
      <c r="M49" s="96"/>
      <c r="N49" s="96"/>
      <c r="O49" s="97"/>
      <c r="P49" s="96"/>
      <c r="Q49" s="98" t="s">
        <v>234</v>
      </c>
      <c r="R49" s="93" t="n">
        <f aca="false">431+67</f>
        <v>498</v>
      </c>
      <c r="S49" s="92"/>
      <c r="T49" s="99" t="n">
        <f aca="false">J49*J$1*R49</f>
        <v>5434.674</v>
      </c>
      <c r="U49" s="99"/>
      <c r="V49" s="100" t="n">
        <v>345006</v>
      </c>
      <c r="W49" s="92"/>
      <c r="X49" s="101"/>
      <c r="Y49" s="10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  <c r="CC49" s="91"/>
      <c r="CD49" s="91"/>
      <c r="CE49" s="91"/>
      <c r="CF49" s="91"/>
      <c r="CG49" s="91"/>
      <c r="CH49" s="91"/>
      <c r="CI49" s="91"/>
      <c r="CJ49" s="91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91"/>
      <c r="CX49" s="91"/>
      <c r="CY49" s="91"/>
      <c r="CZ49" s="91"/>
      <c r="DA49" s="91"/>
      <c r="DB49" s="91"/>
      <c r="DC49" s="91"/>
      <c r="DD49" s="91"/>
      <c r="DE49" s="91"/>
      <c r="DF49" s="91"/>
      <c r="DG49" s="91"/>
      <c r="DH49" s="91"/>
      <c r="DI49" s="91"/>
      <c r="DJ49" s="91"/>
      <c r="DK49" s="91"/>
      <c r="DL49" s="91"/>
      <c r="DM49" s="91"/>
      <c r="DN49" s="91"/>
      <c r="DO49" s="91"/>
      <c r="DP49" s="91"/>
      <c r="DQ49" s="91"/>
      <c r="DR49" s="91"/>
      <c r="DS49" s="91"/>
      <c r="DT49" s="91"/>
      <c r="DU49" s="91"/>
      <c r="DV49" s="91"/>
      <c r="DW49" s="91"/>
      <c r="DX49" s="91"/>
      <c r="DY49" s="91"/>
      <c r="DZ49" s="91"/>
      <c r="EA49" s="91"/>
      <c r="EB49" s="91"/>
      <c r="EC49" s="91"/>
      <c r="ED49" s="91"/>
      <c r="EE49" s="91"/>
      <c r="EF49" s="91"/>
      <c r="EG49" s="91"/>
      <c r="EH49" s="91"/>
      <c r="EI49" s="91"/>
      <c r="EJ49" s="91"/>
      <c r="EK49" s="91"/>
      <c r="EL49" s="91"/>
      <c r="EM49" s="91"/>
      <c r="EN49" s="91"/>
      <c r="EO49" s="91"/>
      <c r="EP49" s="91"/>
      <c r="EQ49" s="91"/>
      <c r="ER49" s="91"/>
      <c r="ES49" s="91"/>
      <c r="ET49" s="91"/>
      <c r="EU49" s="91"/>
      <c r="EV49" s="91"/>
      <c r="EW49" s="91"/>
      <c r="EX49" s="91"/>
      <c r="EY49" s="91"/>
      <c r="EZ49" s="91"/>
      <c r="FA49" s="91"/>
      <c r="FB49" s="91"/>
      <c r="FC49" s="91"/>
      <c r="FD49" s="91"/>
      <c r="FE49" s="91"/>
      <c r="FF49" s="91"/>
      <c r="FG49" s="91"/>
      <c r="FH49" s="91"/>
      <c r="FI49" s="91"/>
      <c r="FJ49" s="91"/>
      <c r="FK49" s="91"/>
      <c r="FL49" s="91"/>
      <c r="FM49" s="91"/>
      <c r="FN49" s="91"/>
      <c r="FO49" s="91"/>
      <c r="FP49" s="91"/>
      <c r="FQ49" s="91"/>
      <c r="FR49" s="91"/>
      <c r="FS49" s="91"/>
      <c r="FT49" s="91"/>
      <c r="FU49" s="91"/>
      <c r="FV49" s="91"/>
      <c r="FW49" s="91"/>
      <c r="FX49" s="91"/>
      <c r="FY49" s="91"/>
      <c r="FZ49" s="91"/>
      <c r="GA49" s="91"/>
      <c r="GB49" s="91"/>
      <c r="GC49" s="91"/>
      <c r="GD49" s="91"/>
      <c r="GE49" s="91"/>
      <c r="GF49" s="91"/>
      <c r="GG49" s="91"/>
      <c r="GH49" s="91"/>
      <c r="GI49" s="91"/>
      <c r="GJ49" s="91"/>
      <c r="GK49" s="91"/>
      <c r="GL49" s="91"/>
      <c r="GM49" s="91"/>
      <c r="GN49" s="91"/>
      <c r="GO49" s="91"/>
      <c r="GP49" s="91"/>
      <c r="GQ49" s="91"/>
      <c r="GR49" s="91"/>
      <c r="GS49" s="91"/>
      <c r="GT49" s="91"/>
      <c r="GU49" s="91"/>
      <c r="GV49" s="91"/>
      <c r="GW49" s="91"/>
      <c r="GX49" s="91"/>
      <c r="GY49" s="91"/>
      <c r="GZ49" s="91"/>
      <c r="HA49" s="91"/>
      <c r="HB49" s="91"/>
      <c r="HC49" s="91"/>
      <c r="HD49" s="91"/>
      <c r="HE49" s="91"/>
      <c r="HF49" s="91"/>
      <c r="HG49" s="91"/>
      <c r="HH49" s="91"/>
      <c r="HI49" s="91"/>
      <c r="HJ49" s="91"/>
      <c r="HK49" s="91"/>
      <c r="HL49" s="91"/>
      <c r="HM49" s="91"/>
      <c r="HN49" s="91"/>
      <c r="HO49" s="91"/>
      <c r="HP49" s="91"/>
      <c r="HQ49" s="91"/>
      <c r="HR49" s="91"/>
      <c r="HS49" s="91"/>
      <c r="HT49" s="91"/>
      <c r="HU49" s="91"/>
      <c r="HV49" s="91"/>
      <c r="HW49" s="91"/>
      <c r="HX49" s="91"/>
      <c r="HY49" s="91"/>
      <c r="HZ49" s="91"/>
      <c r="IA49" s="91"/>
      <c r="IB49" s="91"/>
      <c r="IC49" s="91"/>
      <c r="ID49" s="91"/>
      <c r="IE49" s="91"/>
      <c r="IF49" s="91"/>
      <c r="IG49" s="91"/>
      <c r="IH49" s="91"/>
      <c r="II49" s="91"/>
      <c r="IJ49" s="91"/>
      <c r="IK49" s="91"/>
      <c r="IL49" s="91"/>
      <c r="IM49" s="91"/>
      <c r="IN49" s="91"/>
      <c r="IO49" s="91"/>
      <c r="IP49" s="91"/>
      <c r="IQ49" s="91"/>
      <c r="IR49" s="91"/>
      <c r="IS49" s="91"/>
      <c r="IT49" s="91"/>
      <c r="IU49" s="91"/>
      <c r="IV49" s="91"/>
      <c r="IW49" s="91"/>
    </row>
    <row r="50" customFormat="false" ht="12" hidden="false" customHeight="true" outlineLevel="0" collapsed="false">
      <c r="A50" s="72"/>
      <c r="B50" s="45"/>
      <c r="C50" s="43"/>
      <c r="D50" s="43"/>
      <c r="E50" s="44"/>
      <c r="F50" s="44"/>
      <c r="G50" s="45"/>
      <c r="H50" s="45"/>
      <c r="I50" s="43"/>
      <c r="J50" s="57"/>
      <c r="K50" s="48"/>
      <c r="L50" s="48"/>
      <c r="M50" s="48"/>
      <c r="N50" s="48"/>
      <c r="O50" s="49"/>
      <c r="P50" s="48"/>
      <c r="Q50" s="50"/>
      <c r="R50" s="43"/>
      <c r="S50" s="45"/>
      <c r="T50" s="73"/>
      <c r="U50" s="73"/>
      <c r="V50" s="74"/>
      <c r="W50" s="45"/>
      <c r="X50" s="71"/>
      <c r="Y50" s="71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  <c r="IT50" s="72"/>
      <c r="IU50" s="72"/>
      <c r="IV50" s="72"/>
      <c r="IW50" s="72"/>
    </row>
    <row r="51" customFormat="false" ht="12.75" hidden="false" customHeight="false" outlineLevel="0" collapsed="false">
      <c r="A51" s="72"/>
      <c r="B51" s="45"/>
      <c r="C51" s="43"/>
      <c r="D51" s="43"/>
      <c r="E51" s="44"/>
      <c r="F51" s="44"/>
      <c r="G51" s="45"/>
      <c r="H51" s="45"/>
      <c r="I51" s="43"/>
      <c r="J51" s="57"/>
      <c r="K51" s="48"/>
      <c r="L51" s="48"/>
      <c r="M51" s="48"/>
      <c r="N51" s="48"/>
      <c r="O51" s="49"/>
      <c r="P51" s="48"/>
      <c r="Q51" s="50"/>
      <c r="R51" s="43"/>
      <c r="S51" s="45"/>
      <c r="T51" s="73" t="n">
        <f aca="false">SUM(T33:T50)</f>
        <v>404859.687317742</v>
      </c>
      <c r="U51" s="73"/>
      <c r="V51" s="74"/>
      <c r="W51" s="45"/>
      <c r="X51" s="71"/>
      <c r="Y51" s="71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  <c r="IT51" s="72"/>
      <c r="IU51" s="72"/>
      <c r="IV51" s="72"/>
      <c r="IW51" s="72"/>
    </row>
    <row r="52" customFormat="false" ht="12.75" hidden="false" customHeight="false" outlineLevel="0" collapsed="false">
      <c r="B52" s="62" t="s">
        <v>180</v>
      </c>
      <c r="C52" s="63" t="s">
        <v>181</v>
      </c>
      <c r="D52" s="63" t="s">
        <v>182</v>
      </c>
      <c r="E52" s="64" t="s">
        <v>183</v>
      </c>
      <c r="F52" s="64"/>
      <c r="G52" s="62" t="s">
        <v>184</v>
      </c>
      <c r="H52" s="62" t="s">
        <v>185</v>
      </c>
      <c r="I52" s="63" t="s">
        <v>186</v>
      </c>
      <c r="J52" s="65" t="s">
        <v>187</v>
      </c>
      <c r="K52" s="63" t="s">
        <v>188</v>
      </c>
      <c r="L52" s="63" t="s">
        <v>189</v>
      </c>
      <c r="M52" s="63" t="s">
        <v>190</v>
      </c>
      <c r="N52" s="63" t="s">
        <v>191</v>
      </c>
      <c r="O52" s="66" t="s">
        <v>192</v>
      </c>
      <c r="P52" s="63" t="s">
        <v>193</v>
      </c>
      <c r="Q52" s="67" t="s">
        <v>194</v>
      </c>
      <c r="R52" s="63" t="s">
        <v>195</v>
      </c>
      <c r="S52" s="62" t="s">
        <v>196</v>
      </c>
      <c r="T52" s="68" t="s">
        <v>197</v>
      </c>
      <c r="U52" s="68" t="s">
        <v>198</v>
      </c>
      <c r="V52" s="69" t="s">
        <v>199</v>
      </c>
      <c r="W52" s="70" t="e">
        <f aca="false">+#REF!</f>
        <v>#REF!</v>
      </c>
      <c r="X52" s="71"/>
      <c r="Y52" s="71"/>
    </row>
    <row r="53" customFormat="false" ht="12.75" hidden="false" customHeight="false" outlineLevel="0" collapsed="false">
      <c r="A53" s="102"/>
      <c r="B53" s="103" t="s">
        <v>200</v>
      </c>
      <c r="C53" s="104" t="s">
        <v>237</v>
      </c>
      <c r="D53" s="104" t="s">
        <v>238</v>
      </c>
      <c r="E53" s="105" t="n">
        <v>36800</v>
      </c>
      <c r="F53" s="105" t="s">
        <v>239</v>
      </c>
      <c r="G53" s="103" t="s">
        <v>240</v>
      </c>
      <c r="H53" s="103" t="s">
        <v>241</v>
      </c>
      <c r="I53" s="104" t="s">
        <v>242</v>
      </c>
      <c r="J53" s="106" t="n">
        <f aca="false">5.17/+J1</f>
        <v>0.166774193548387</v>
      </c>
      <c r="K53" s="107" t="n">
        <v>0.0763</v>
      </c>
      <c r="L53" s="107" t="n">
        <v>0.0022</v>
      </c>
      <c r="M53" s="107" t="n">
        <v>0.0072</v>
      </c>
      <c r="N53" s="107" t="n">
        <v>0</v>
      </c>
      <c r="O53" s="108" t="n">
        <v>0.0279</v>
      </c>
      <c r="P53" s="107" t="n">
        <f aca="false">SUM(J53:N53)</f>
        <v>0.252474193548387</v>
      </c>
      <c r="Q53" s="109" t="n">
        <v>34852</v>
      </c>
      <c r="R53" s="104" t="n">
        <v>1052</v>
      </c>
      <c r="S53" s="103" t="s">
        <v>243</v>
      </c>
      <c r="T53" s="110" t="n">
        <f aca="false">J53*J$1*R53</f>
        <v>5438.84</v>
      </c>
      <c r="U53" s="110"/>
      <c r="V53" s="111" t="n">
        <v>418340</v>
      </c>
      <c r="W53" s="103" t="s">
        <v>244</v>
      </c>
      <c r="X53" s="112"/>
      <c r="Y53" s="11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02"/>
      <c r="DF53" s="102"/>
      <c r="DG53" s="102"/>
      <c r="DH53" s="102"/>
      <c r="DI53" s="102"/>
      <c r="DJ53" s="102"/>
      <c r="DK53" s="102"/>
      <c r="DL53" s="102"/>
      <c r="DM53" s="102"/>
      <c r="DN53" s="102"/>
      <c r="DO53" s="102"/>
      <c r="DP53" s="102"/>
      <c r="DQ53" s="102"/>
      <c r="DR53" s="102"/>
      <c r="DS53" s="102"/>
      <c r="DT53" s="102"/>
      <c r="DU53" s="102"/>
      <c r="DV53" s="102"/>
      <c r="DW53" s="102"/>
      <c r="DX53" s="102"/>
      <c r="DY53" s="102"/>
      <c r="DZ53" s="102"/>
      <c r="EA53" s="102"/>
      <c r="EB53" s="102"/>
      <c r="EC53" s="102"/>
      <c r="ED53" s="102"/>
      <c r="EE53" s="102"/>
      <c r="EF53" s="102"/>
      <c r="EG53" s="102"/>
      <c r="EH53" s="102"/>
      <c r="EI53" s="102"/>
      <c r="EJ53" s="102"/>
      <c r="EK53" s="102"/>
      <c r="EL53" s="102"/>
      <c r="EM53" s="102"/>
      <c r="EN53" s="102"/>
      <c r="EO53" s="102"/>
      <c r="EP53" s="102"/>
      <c r="EQ53" s="102"/>
      <c r="ER53" s="102"/>
      <c r="ES53" s="102"/>
      <c r="ET53" s="102"/>
      <c r="EU53" s="102"/>
      <c r="EV53" s="102"/>
      <c r="EW53" s="102"/>
      <c r="EX53" s="102"/>
      <c r="EY53" s="102"/>
      <c r="EZ53" s="102"/>
      <c r="FA53" s="102"/>
      <c r="FB53" s="102"/>
      <c r="FC53" s="102"/>
      <c r="FD53" s="102"/>
      <c r="FE53" s="102"/>
      <c r="FF53" s="102"/>
      <c r="FG53" s="102"/>
      <c r="FH53" s="102"/>
      <c r="FI53" s="102"/>
      <c r="FJ53" s="102"/>
      <c r="FK53" s="102"/>
      <c r="FL53" s="102"/>
      <c r="FM53" s="102"/>
      <c r="FN53" s="102"/>
      <c r="FO53" s="102"/>
      <c r="FP53" s="102"/>
      <c r="FQ53" s="102"/>
      <c r="FR53" s="102"/>
      <c r="FS53" s="102"/>
      <c r="FT53" s="102"/>
      <c r="FU53" s="102"/>
      <c r="FV53" s="102"/>
      <c r="FW53" s="102"/>
      <c r="FX53" s="102"/>
      <c r="FY53" s="102"/>
      <c r="FZ53" s="102"/>
      <c r="GA53" s="102"/>
      <c r="GB53" s="102"/>
      <c r="GC53" s="102"/>
      <c r="GD53" s="102"/>
      <c r="GE53" s="102"/>
      <c r="GF53" s="102"/>
      <c r="GG53" s="102"/>
      <c r="GH53" s="102"/>
      <c r="GI53" s="102"/>
      <c r="GJ53" s="102"/>
      <c r="GK53" s="102"/>
      <c r="GL53" s="102"/>
      <c r="GM53" s="102"/>
      <c r="GN53" s="102"/>
      <c r="GO53" s="102"/>
      <c r="GP53" s="102"/>
      <c r="GQ53" s="102"/>
      <c r="GR53" s="102"/>
      <c r="GS53" s="102"/>
      <c r="GT53" s="102"/>
      <c r="GU53" s="102"/>
      <c r="GV53" s="102"/>
      <c r="GW53" s="102"/>
      <c r="GX53" s="102"/>
      <c r="GY53" s="102"/>
      <c r="GZ53" s="102"/>
      <c r="HA53" s="102"/>
      <c r="HB53" s="102"/>
      <c r="HC53" s="102"/>
      <c r="HD53" s="102"/>
      <c r="HE53" s="102"/>
      <c r="HF53" s="102"/>
      <c r="HG53" s="102"/>
      <c r="HH53" s="102"/>
      <c r="HI53" s="102"/>
      <c r="HJ53" s="102"/>
      <c r="HK53" s="102"/>
      <c r="HL53" s="102"/>
      <c r="HM53" s="102"/>
      <c r="HN53" s="102"/>
      <c r="HO53" s="102"/>
      <c r="HP53" s="102"/>
      <c r="HQ53" s="102"/>
      <c r="HR53" s="102"/>
      <c r="HS53" s="102"/>
      <c r="HT53" s="102"/>
      <c r="HU53" s="102"/>
      <c r="HV53" s="102"/>
      <c r="HW53" s="102"/>
      <c r="HX53" s="102"/>
      <c r="HY53" s="102"/>
      <c r="HZ53" s="102"/>
      <c r="IA53" s="102"/>
      <c r="IB53" s="102"/>
      <c r="IC53" s="102"/>
      <c r="ID53" s="102"/>
      <c r="IE53" s="102"/>
      <c r="IF53" s="102"/>
      <c r="IG53" s="102"/>
      <c r="IH53" s="102"/>
      <c r="II53" s="102"/>
      <c r="IJ53" s="102"/>
      <c r="IK53" s="102"/>
      <c r="IL53" s="102"/>
      <c r="IM53" s="102"/>
      <c r="IN53" s="102"/>
      <c r="IO53" s="102"/>
      <c r="IP53" s="102"/>
      <c r="IQ53" s="102"/>
      <c r="IR53" s="102"/>
      <c r="IS53" s="102"/>
      <c r="IT53" s="102"/>
      <c r="IU53" s="102"/>
      <c r="IV53" s="102"/>
      <c r="IW53" s="102"/>
    </row>
    <row r="54" customFormat="false" ht="12.75" hidden="false" customHeight="false" outlineLevel="0" collapsed="false">
      <c r="A54" s="102"/>
      <c r="B54" s="103" t="s">
        <v>200</v>
      </c>
      <c r="C54" s="104" t="s">
        <v>237</v>
      </c>
      <c r="D54" s="104" t="s">
        <v>238</v>
      </c>
      <c r="E54" s="105" t="n">
        <v>36770</v>
      </c>
      <c r="F54" s="105" t="n">
        <v>36829</v>
      </c>
      <c r="G54" s="103" t="s">
        <v>240</v>
      </c>
      <c r="H54" s="103" t="s">
        <v>241</v>
      </c>
      <c r="I54" s="104" t="s">
        <v>242</v>
      </c>
      <c r="J54" s="106" t="n">
        <f aca="false">4.92/J1</f>
        <v>0.158709677419355</v>
      </c>
      <c r="K54" s="107" t="n">
        <v>0.0763</v>
      </c>
      <c r="L54" s="107" t="n">
        <v>0.0022</v>
      </c>
      <c r="M54" s="107" t="n">
        <v>0.0072</v>
      </c>
      <c r="N54" s="107" t="n">
        <v>0</v>
      </c>
      <c r="O54" s="108" t="n">
        <v>0.0279</v>
      </c>
      <c r="P54" s="107" t="n">
        <f aca="false">SUM(J54:N54)</f>
        <v>0.244409677419355</v>
      </c>
      <c r="Q54" s="109" t="n">
        <v>34608</v>
      </c>
      <c r="R54" s="104" t="n">
        <v>2455</v>
      </c>
      <c r="S54" s="103" t="s">
        <v>243</v>
      </c>
      <c r="T54" s="110" t="n">
        <f aca="false">J54*J$1*R54</f>
        <v>12078.6</v>
      </c>
      <c r="U54" s="110"/>
      <c r="V54" s="111" t="n">
        <v>379572</v>
      </c>
      <c r="W54" s="103"/>
      <c r="X54" s="112"/>
      <c r="Y54" s="11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02"/>
      <c r="DF54" s="102"/>
      <c r="DG54" s="102"/>
      <c r="DH54" s="102"/>
      <c r="DI54" s="102"/>
      <c r="DJ54" s="102"/>
      <c r="DK54" s="102"/>
      <c r="DL54" s="102"/>
      <c r="DM54" s="102"/>
      <c r="DN54" s="102"/>
      <c r="DO54" s="102"/>
      <c r="DP54" s="102"/>
      <c r="DQ54" s="102"/>
      <c r="DR54" s="102"/>
      <c r="DS54" s="102"/>
      <c r="DT54" s="102"/>
      <c r="DU54" s="102"/>
      <c r="DV54" s="102"/>
      <c r="DW54" s="102"/>
      <c r="DX54" s="102"/>
      <c r="DY54" s="102"/>
      <c r="DZ54" s="102"/>
      <c r="EA54" s="102"/>
      <c r="EB54" s="102"/>
      <c r="EC54" s="102"/>
      <c r="ED54" s="102"/>
      <c r="EE54" s="102"/>
      <c r="EF54" s="102"/>
      <c r="EG54" s="102"/>
      <c r="EH54" s="102"/>
      <c r="EI54" s="102"/>
      <c r="EJ54" s="102"/>
      <c r="EK54" s="102"/>
      <c r="EL54" s="102"/>
      <c r="EM54" s="102"/>
      <c r="EN54" s="102"/>
      <c r="EO54" s="102"/>
      <c r="EP54" s="102"/>
      <c r="EQ54" s="102"/>
      <c r="ER54" s="102"/>
      <c r="ES54" s="102"/>
      <c r="ET54" s="102"/>
      <c r="EU54" s="102"/>
      <c r="EV54" s="102"/>
      <c r="EW54" s="102"/>
      <c r="EX54" s="102"/>
      <c r="EY54" s="102"/>
      <c r="EZ54" s="102"/>
      <c r="FA54" s="102"/>
      <c r="FB54" s="102"/>
      <c r="FC54" s="102"/>
      <c r="FD54" s="102"/>
      <c r="FE54" s="102"/>
      <c r="FF54" s="102"/>
      <c r="FG54" s="102"/>
      <c r="FH54" s="102"/>
      <c r="FI54" s="102"/>
      <c r="FJ54" s="102"/>
      <c r="FK54" s="102"/>
      <c r="FL54" s="102"/>
      <c r="FM54" s="102"/>
      <c r="FN54" s="102"/>
      <c r="FO54" s="102"/>
      <c r="FP54" s="102"/>
      <c r="FQ54" s="102"/>
      <c r="FR54" s="102"/>
      <c r="FS54" s="102"/>
      <c r="FT54" s="102"/>
      <c r="FU54" s="102"/>
      <c r="FV54" s="102"/>
      <c r="FW54" s="102"/>
      <c r="FX54" s="102"/>
      <c r="FY54" s="102"/>
      <c r="FZ54" s="102"/>
      <c r="GA54" s="102"/>
      <c r="GB54" s="102"/>
      <c r="GC54" s="102"/>
      <c r="GD54" s="102"/>
      <c r="GE54" s="102"/>
      <c r="GF54" s="102"/>
      <c r="GG54" s="102"/>
      <c r="GH54" s="102"/>
      <c r="GI54" s="102"/>
      <c r="GJ54" s="102"/>
      <c r="GK54" s="102"/>
      <c r="GL54" s="102"/>
      <c r="GM54" s="102"/>
      <c r="GN54" s="102"/>
      <c r="GO54" s="102"/>
      <c r="GP54" s="102"/>
      <c r="GQ54" s="102"/>
      <c r="GR54" s="102"/>
      <c r="GS54" s="102"/>
      <c r="GT54" s="102"/>
      <c r="GU54" s="102"/>
      <c r="GV54" s="102"/>
      <c r="GW54" s="102"/>
      <c r="GX54" s="102"/>
      <c r="GY54" s="102"/>
      <c r="GZ54" s="102"/>
      <c r="HA54" s="102"/>
      <c r="HB54" s="102"/>
      <c r="HC54" s="102"/>
      <c r="HD54" s="102"/>
      <c r="HE54" s="102"/>
      <c r="HF54" s="102"/>
      <c r="HG54" s="102"/>
      <c r="HH54" s="102"/>
      <c r="HI54" s="102"/>
      <c r="HJ54" s="102"/>
      <c r="HK54" s="102"/>
      <c r="HL54" s="102"/>
      <c r="HM54" s="102"/>
      <c r="HN54" s="102"/>
      <c r="HO54" s="102"/>
      <c r="HP54" s="102"/>
      <c r="HQ54" s="102"/>
      <c r="HR54" s="102"/>
      <c r="HS54" s="102"/>
      <c r="HT54" s="102"/>
      <c r="HU54" s="102"/>
      <c r="HV54" s="102"/>
      <c r="HW54" s="102"/>
      <c r="HX54" s="102"/>
      <c r="HY54" s="102"/>
      <c r="HZ54" s="102"/>
      <c r="IA54" s="102"/>
      <c r="IB54" s="102"/>
      <c r="IC54" s="102"/>
      <c r="ID54" s="102"/>
      <c r="IE54" s="102"/>
      <c r="IF54" s="102"/>
      <c r="IG54" s="102"/>
      <c r="IH54" s="102"/>
      <c r="II54" s="102"/>
      <c r="IJ54" s="102"/>
      <c r="IK54" s="102"/>
      <c r="IL54" s="102"/>
      <c r="IM54" s="102"/>
      <c r="IN54" s="102"/>
      <c r="IO54" s="102"/>
      <c r="IP54" s="102"/>
      <c r="IQ54" s="102"/>
      <c r="IR54" s="102"/>
      <c r="IS54" s="102"/>
      <c r="IT54" s="102"/>
      <c r="IU54" s="102"/>
      <c r="IV54" s="102"/>
      <c r="IW54" s="102"/>
    </row>
    <row r="55" customFormat="false" ht="12.75" hidden="false" customHeight="false" outlineLevel="0" collapsed="false">
      <c r="A55" s="102"/>
      <c r="B55" s="103" t="s">
        <v>200</v>
      </c>
      <c r="C55" s="104" t="s">
        <v>245</v>
      </c>
      <c r="D55" s="104" t="s">
        <v>238</v>
      </c>
      <c r="E55" s="105" t="n">
        <v>36800</v>
      </c>
      <c r="F55" s="105" t="n">
        <v>36830</v>
      </c>
      <c r="G55" s="103" t="s">
        <v>246</v>
      </c>
      <c r="H55" s="103" t="s">
        <v>238</v>
      </c>
      <c r="I55" s="104" t="s">
        <v>242</v>
      </c>
      <c r="J55" s="106" t="n">
        <f aca="false">11.95/J1</f>
        <v>0.385483870967742</v>
      </c>
      <c r="K55" s="107" t="n">
        <v>0</v>
      </c>
      <c r="L55" s="107" t="n">
        <v>0.0022</v>
      </c>
      <c r="M55" s="107" t="n">
        <v>0.0072</v>
      </c>
      <c r="N55" s="107" t="n">
        <v>0</v>
      </c>
      <c r="O55" s="108" t="n">
        <v>0.0222</v>
      </c>
      <c r="P55" s="107" t="n">
        <f aca="false">SUM(J55:N55)</f>
        <v>0.394883870967742</v>
      </c>
      <c r="Q55" s="109" t="n">
        <v>34862</v>
      </c>
      <c r="R55" s="104" t="n">
        <v>1187</v>
      </c>
      <c r="S55" s="103" t="s">
        <v>243</v>
      </c>
      <c r="T55" s="110" t="n">
        <f aca="false">J55*J$1*R55</f>
        <v>14184.65</v>
      </c>
      <c r="U55" s="110"/>
      <c r="V55" s="111" t="n">
        <v>418362</v>
      </c>
      <c r="W55" s="103" t="s">
        <v>244</v>
      </c>
      <c r="X55" s="112"/>
      <c r="Y55" s="11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/>
      <c r="CC55" s="102"/>
      <c r="CD55" s="102"/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/>
      <c r="DA55" s="102"/>
      <c r="DB55" s="102"/>
      <c r="DC55" s="102"/>
      <c r="DD55" s="102"/>
      <c r="DE55" s="102"/>
      <c r="DF55" s="102"/>
      <c r="DG55" s="102"/>
      <c r="DH55" s="102"/>
      <c r="DI55" s="102"/>
      <c r="DJ55" s="102"/>
      <c r="DK55" s="102"/>
      <c r="DL55" s="102"/>
      <c r="DM55" s="102"/>
      <c r="DN55" s="102"/>
      <c r="DO55" s="102"/>
      <c r="DP55" s="102"/>
      <c r="DQ55" s="102"/>
      <c r="DR55" s="102"/>
      <c r="DS55" s="102"/>
      <c r="DT55" s="102"/>
      <c r="DU55" s="102"/>
      <c r="DV55" s="102"/>
      <c r="DW55" s="102"/>
      <c r="DX55" s="102"/>
      <c r="DY55" s="102"/>
      <c r="DZ55" s="102"/>
      <c r="EA55" s="102"/>
      <c r="EB55" s="102"/>
      <c r="EC55" s="102"/>
      <c r="ED55" s="102"/>
      <c r="EE55" s="102"/>
      <c r="EF55" s="102"/>
      <c r="EG55" s="102"/>
      <c r="EH55" s="102"/>
      <c r="EI55" s="102"/>
      <c r="EJ55" s="102"/>
      <c r="EK55" s="102"/>
      <c r="EL55" s="102"/>
      <c r="EM55" s="102"/>
      <c r="EN55" s="102"/>
      <c r="EO55" s="102"/>
      <c r="EP55" s="102"/>
      <c r="EQ55" s="102"/>
      <c r="ER55" s="102"/>
      <c r="ES55" s="102"/>
      <c r="ET55" s="102"/>
      <c r="EU55" s="102"/>
      <c r="EV55" s="102"/>
      <c r="EW55" s="102"/>
      <c r="EX55" s="102"/>
      <c r="EY55" s="102"/>
      <c r="EZ55" s="102"/>
      <c r="FA55" s="102"/>
      <c r="FB55" s="102"/>
      <c r="FC55" s="102"/>
      <c r="FD55" s="102"/>
      <c r="FE55" s="102"/>
      <c r="FF55" s="102"/>
      <c r="FG55" s="102"/>
      <c r="FH55" s="102"/>
      <c r="FI55" s="102"/>
      <c r="FJ55" s="102"/>
      <c r="FK55" s="102"/>
      <c r="FL55" s="102"/>
      <c r="FM55" s="102"/>
      <c r="FN55" s="102"/>
      <c r="FO55" s="102"/>
      <c r="FP55" s="102"/>
      <c r="FQ55" s="102"/>
      <c r="FR55" s="102"/>
      <c r="FS55" s="102"/>
      <c r="FT55" s="102"/>
      <c r="FU55" s="102"/>
      <c r="FV55" s="102"/>
      <c r="FW55" s="102"/>
      <c r="FX55" s="102"/>
      <c r="FY55" s="102"/>
      <c r="FZ55" s="102"/>
      <c r="GA55" s="102"/>
      <c r="GB55" s="102"/>
      <c r="GC55" s="102"/>
      <c r="GD55" s="102"/>
      <c r="GE55" s="102"/>
      <c r="GF55" s="102"/>
      <c r="GG55" s="102"/>
      <c r="GH55" s="102"/>
      <c r="GI55" s="102"/>
      <c r="GJ55" s="102"/>
      <c r="GK55" s="102"/>
      <c r="GL55" s="102"/>
      <c r="GM55" s="102"/>
      <c r="GN55" s="102"/>
      <c r="GO55" s="102"/>
      <c r="GP55" s="102"/>
      <c r="GQ55" s="102"/>
      <c r="GR55" s="102"/>
      <c r="GS55" s="102"/>
      <c r="GT55" s="102"/>
      <c r="GU55" s="102"/>
      <c r="GV55" s="102"/>
      <c r="GW55" s="102"/>
      <c r="GX55" s="102"/>
      <c r="GY55" s="102"/>
      <c r="GZ55" s="102"/>
      <c r="HA55" s="102"/>
      <c r="HB55" s="102"/>
      <c r="HC55" s="102"/>
      <c r="HD55" s="102"/>
      <c r="HE55" s="102"/>
      <c r="HF55" s="102"/>
      <c r="HG55" s="102"/>
      <c r="HH55" s="102"/>
      <c r="HI55" s="102"/>
      <c r="HJ55" s="102"/>
      <c r="HK55" s="102"/>
      <c r="HL55" s="102"/>
      <c r="HM55" s="102"/>
      <c r="HN55" s="102"/>
      <c r="HO55" s="102"/>
      <c r="HP55" s="102"/>
      <c r="HQ55" s="102"/>
      <c r="HR55" s="102"/>
      <c r="HS55" s="102"/>
      <c r="HT55" s="102"/>
      <c r="HU55" s="102"/>
      <c r="HV55" s="102"/>
      <c r="HW55" s="102"/>
      <c r="HX55" s="102"/>
      <c r="HY55" s="102"/>
      <c r="HZ55" s="102"/>
      <c r="IA55" s="102"/>
      <c r="IB55" s="102"/>
      <c r="IC55" s="102"/>
      <c r="ID55" s="102"/>
      <c r="IE55" s="102"/>
      <c r="IF55" s="102"/>
      <c r="IG55" s="102"/>
      <c r="IH55" s="102"/>
      <c r="II55" s="102"/>
      <c r="IJ55" s="102"/>
      <c r="IK55" s="102"/>
      <c r="IL55" s="102"/>
      <c r="IM55" s="102"/>
      <c r="IN55" s="102"/>
      <c r="IO55" s="102"/>
      <c r="IP55" s="102"/>
      <c r="IQ55" s="102"/>
      <c r="IR55" s="102"/>
      <c r="IS55" s="102"/>
      <c r="IT55" s="102"/>
      <c r="IU55" s="102"/>
      <c r="IV55" s="102"/>
      <c r="IW55" s="102"/>
    </row>
    <row r="56" customFormat="false" ht="12.75" hidden="false" customHeight="false" outlineLevel="0" collapsed="false">
      <c r="A56" s="102"/>
      <c r="B56" s="103" t="s">
        <v>200</v>
      </c>
      <c r="C56" s="104" t="s">
        <v>245</v>
      </c>
      <c r="D56" s="104" t="s">
        <v>238</v>
      </c>
      <c r="E56" s="105" t="n">
        <v>36770</v>
      </c>
      <c r="F56" s="105" t="n">
        <v>36829</v>
      </c>
      <c r="G56" s="103" t="s">
        <v>246</v>
      </c>
      <c r="H56" s="103" t="s">
        <v>238</v>
      </c>
      <c r="I56" s="104" t="s">
        <v>242</v>
      </c>
      <c r="J56" s="106" t="n">
        <f aca="false">11.92/J1</f>
        <v>0.384516129032258</v>
      </c>
      <c r="K56" s="107" t="n">
        <v>0</v>
      </c>
      <c r="L56" s="107" t="n">
        <v>0.0022</v>
      </c>
      <c r="M56" s="107" t="n">
        <v>0.0072</v>
      </c>
      <c r="N56" s="107" t="n">
        <v>0</v>
      </c>
      <c r="O56" s="108" t="n">
        <v>0.0222</v>
      </c>
      <c r="P56" s="107" t="n">
        <f aca="false">SUM(J56:N56)</f>
        <v>0.393916129032258</v>
      </c>
      <c r="Q56" s="109" t="n">
        <v>34594</v>
      </c>
      <c r="R56" s="104" t="n">
        <v>2738</v>
      </c>
      <c r="S56" s="103" t="s">
        <v>243</v>
      </c>
      <c r="T56" s="110" t="n">
        <f aca="false">J56*J$1*R56</f>
        <v>32636.96</v>
      </c>
      <c r="U56" s="110"/>
      <c r="V56" s="111" t="n">
        <v>379663</v>
      </c>
      <c r="W56" s="103"/>
      <c r="X56" s="112"/>
      <c r="Y56" s="11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2"/>
      <c r="BW56" s="102"/>
      <c r="BX56" s="102"/>
      <c r="BY56" s="102"/>
      <c r="BZ56" s="102"/>
      <c r="CA56" s="102"/>
      <c r="CB56" s="102"/>
      <c r="CC56" s="102"/>
      <c r="CD56" s="102"/>
      <c r="CE56" s="102"/>
      <c r="CF56" s="102"/>
      <c r="CG56" s="102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/>
      <c r="CT56" s="102"/>
      <c r="CU56" s="102"/>
      <c r="CV56" s="102"/>
      <c r="CW56" s="102"/>
      <c r="CX56" s="102"/>
      <c r="CY56" s="102"/>
      <c r="CZ56" s="102"/>
      <c r="DA56" s="102"/>
      <c r="DB56" s="102"/>
      <c r="DC56" s="102"/>
      <c r="DD56" s="102"/>
      <c r="DE56" s="102"/>
      <c r="DF56" s="102"/>
      <c r="DG56" s="102"/>
      <c r="DH56" s="102"/>
      <c r="DI56" s="102"/>
      <c r="DJ56" s="102"/>
      <c r="DK56" s="102"/>
      <c r="DL56" s="102"/>
      <c r="DM56" s="102"/>
      <c r="DN56" s="102"/>
      <c r="DO56" s="102"/>
      <c r="DP56" s="102"/>
      <c r="DQ56" s="102"/>
      <c r="DR56" s="102"/>
      <c r="DS56" s="102"/>
      <c r="DT56" s="102"/>
      <c r="DU56" s="102"/>
      <c r="DV56" s="102"/>
      <c r="DW56" s="102"/>
      <c r="DX56" s="102"/>
      <c r="DY56" s="102"/>
      <c r="DZ56" s="102"/>
      <c r="EA56" s="102"/>
      <c r="EB56" s="102"/>
      <c r="EC56" s="102"/>
      <c r="ED56" s="102"/>
      <c r="EE56" s="102"/>
      <c r="EF56" s="102"/>
      <c r="EG56" s="102"/>
      <c r="EH56" s="102"/>
      <c r="EI56" s="102"/>
      <c r="EJ56" s="102"/>
      <c r="EK56" s="102"/>
      <c r="EL56" s="102"/>
      <c r="EM56" s="102"/>
      <c r="EN56" s="102"/>
      <c r="EO56" s="102"/>
      <c r="EP56" s="102"/>
      <c r="EQ56" s="102"/>
      <c r="ER56" s="102"/>
      <c r="ES56" s="102"/>
      <c r="ET56" s="102"/>
      <c r="EU56" s="102"/>
      <c r="EV56" s="102"/>
      <c r="EW56" s="102"/>
      <c r="EX56" s="102"/>
      <c r="EY56" s="102"/>
      <c r="EZ56" s="102"/>
      <c r="FA56" s="102"/>
      <c r="FB56" s="102"/>
      <c r="FC56" s="102"/>
      <c r="FD56" s="102"/>
      <c r="FE56" s="102"/>
      <c r="FF56" s="102"/>
      <c r="FG56" s="102"/>
      <c r="FH56" s="102"/>
      <c r="FI56" s="102"/>
      <c r="FJ56" s="102"/>
      <c r="FK56" s="102"/>
      <c r="FL56" s="102"/>
      <c r="FM56" s="102"/>
      <c r="FN56" s="102"/>
      <c r="FO56" s="102"/>
      <c r="FP56" s="102"/>
      <c r="FQ56" s="102"/>
      <c r="FR56" s="102"/>
      <c r="FS56" s="102"/>
      <c r="FT56" s="102"/>
      <c r="FU56" s="102"/>
      <c r="FV56" s="102"/>
      <c r="FW56" s="102"/>
      <c r="FX56" s="102"/>
      <c r="FY56" s="102"/>
      <c r="FZ56" s="102"/>
      <c r="GA56" s="102"/>
      <c r="GB56" s="102"/>
      <c r="GC56" s="102"/>
      <c r="GD56" s="102"/>
      <c r="GE56" s="102"/>
      <c r="GF56" s="102"/>
      <c r="GG56" s="102"/>
      <c r="GH56" s="102"/>
      <c r="GI56" s="102"/>
      <c r="GJ56" s="102"/>
      <c r="GK56" s="102"/>
      <c r="GL56" s="102"/>
      <c r="GM56" s="102"/>
      <c r="GN56" s="102"/>
      <c r="GO56" s="102"/>
      <c r="GP56" s="102"/>
      <c r="GQ56" s="102"/>
      <c r="GR56" s="102"/>
      <c r="GS56" s="102"/>
      <c r="GT56" s="102"/>
      <c r="GU56" s="102"/>
      <c r="GV56" s="102"/>
      <c r="GW56" s="102"/>
      <c r="GX56" s="102"/>
      <c r="GY56" s="102"/>
      <c r="GZ56" s="102"/>
      <c r="HA56" s="102"/>
      <c r="HB56" s="102"/>
      <c r="HC56" s="102"/>
      <c r="HD56" s="102"/>
      <c r="HE56" s="102"/>
      <c r="HF56" s="102"/>
      <c r="HG56" s="102"/>
      <c r="HH56" s="102"/>
      <c r="HI56" s="102"/>
      <c r="HJ56" s="102"/>
      <c r="HK56" s="102"/>
      <c r="HL56" s="102"/>
      <c r="HM56" s="102"/>
      <c r="HN56" s="102"/>
      <c r="HO56" s="102"/>
      <c r="HP56" s="102"/>
      <c r="HQ56" s="102"/>
      <c r="HR56" s="102"/>
      <c r="HS56" s="102"/>
      <c r="HT56" s="102"/>
      <c r="HU56" s="102"/>
      <c r="HV56" s="102"/>
      <c r="HW56" s="102"/>
      <c r="HX56" s="102"/>
      <c r="HY56" s="102"/>
      <c r="HZ56" s="102"/>
      <c r="IA56" s="102"/>
      <c r="IB56" s="102"/>
      <c r="IC56" s="102"/>
      <c r="ID56" s="102"/>
      <c r="IE56" s="102"/>
      <c r="IF56" s="102"/>
      <c r="IG56" s="102"/>
      <c r="IH56" s="102"/>
      <c r="II56" s="102"/>
      <c r="IJ56" s="102"/>
      <c r="IK56" s="102"/>
      <c r="IL56" s="102"/>
      <c r="IM56" s="102"/>
      <c r="IN56" s="102"/>
      <c r="IO56" s="102"/>
      <c r="IP56" s="102"/>
      <c r="IQ56" s="102"/>
      <c r="IR56" s="102"/>
      <c r="IS56" s="102"/>
      <c r="IT56" s="102"/>
      <c r="IU56" s="102"/>
      <c r="IV56" s="102"/>
      <c r="IW56" s="102"/>
    </row>
    <row r="57" customFormat="false" ht="12.75" hidden="false" customHeight="false" outlineLevel="0" collapsed="false">
      <c r="A57" s="102"/>
      <c r="B57" s="103" t="s">
        <v>200</v>
      </c>
      <c r="C57" s="104" t="s">
        <v>237</v>
      </c>
      <c r="D57" s="104" t="s">
        <v>238</v>
      </c>
      <c r="E57" s="105" t="n">
        <v>36770</v>
      </c>
      <c r="F57" s="105" t="n">
        <v>36830</v>
      </c>
      <c r="G57" s="103" t="s">
        <v>247</v>
      </c>
      <c r="H57" s="103"/>
      <c r="I57" s="104" t="s">
        <v>248</v>
      </c>
      <c r="J57" s="106" t="n">
        <v>0.0248</v>
      </c>
      <c r="K57" s="107"/>
      <c r="L57" s="107"/>
      <c r="M57" s="107"/>
      <c r="N57" s="107"/>
      <c r="O57" s="108"/>
      <c r="P57" s="107"/>
      <c r="Q57" s="109" t="n">
        <v>34614</v>
      </c>
      <c r="R57" s="104" t="n">
        <v>146488</v>
      </c>
      <c r="S57" s="103"/>
      <c r="T57" s="110" t="n">
        <f aca="false">J57*R57</f>
        <v>3632.9024</v>
      </c>
      <c r="U57" s="110"/>
      <c r="V57" s="111" t="n">
        <v>379889</v>
      </c>
      <c r="W57" s="103"/>
      <c r="X57" s="112"/>
      <c r="Y57" s="11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2"/>
      <c r="CB57" s="102"/>
      <c r="CC57" s="102"/>
      <c r="CD57" s="102"/>
      <c r="CE57" s="102"/>
      <c r="CF57" s="102"/>
      <c r="CG57" s="102"/>
      <c r="CH57" s="102"/>
      <c r="CI57" s="102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102"/>
      <c r="DA57" s="102"/>
      <c r="DB57" s="102"/>
      <c r="DC57" s="102"/>
      <c r="DD57" s="102"/>
      <c r="DE57" s="102"/>
      <c r="DF57" s="102"/>
      <c r="DG57" s="102"/>
      <c r="DH57" s="102"/>
      <c r="DI57" s="102"/>
      <c r="DJ57" s="102"/>
      <c r="DK57" s="102"/>
      <c r="DL57" s="102"/>
      <c r="DM57" s="102"/>
      <c r="DN57" s="102"/>
      <c r="DO57" s="102"/>
      <c r="DP57" s="102"/>
      <c r="DQ57" s="102"/>
      <c r="DR57" s="102"/>
      <c r="DS57" s="102"/>
      <c r="DT57" s="102"/>
      <c r="DU57" s="102"/>
      <c r="DV57" s="102"/>
      <c r="DW57" s="102"/>
      <c r="DX57" s="102"/>
      <c r="DY57" s="102"/>
      <c r="DZ57" s="102"/>
      <c r="EA57" s="102"/>
      <c r="EB57" s="102"/>
      <c r="EC57" s="102"/>
      <c r="ED57" s="102"/>
      <c r="EE57" s="102"/>
      <c r="EF57" s="102"/>
      <c r="EG57" s="102"/>
      <c r="EH57" s="102"/>
      <c r="EI57" s="102"/>
      <c r="EJ57" s="102"/>
      <c r="EK57" s="102"/>
      <c r="EL57" s="102"/>
      <c r="EM57" s="102"/>
      <c r="EN57" s="102"/>
      <c r="EO57" s="102"/>
      <c r="EP57" s="102"/>
      <c r="EQ57" s="102"/>
      <c r="ER57" s="102"/>
      <c r="ES57" s="102"/>
      <c r="ET57" s="102"/>
      <c r="EU57" s="102"/>
      <c r="EV57" s="102"/>
      <c r="EW57" s="102"/>
      <c r="EX57" s="102"/>
      <c r="EY57" s="102"/>
      <c r="EZ57" s="102"/>
      <c r="FA57" s="102"/>
      <c r="FB57" s="102"/>
      <c r="FC57" s="102"/>
      <c r="FD57" s="102"/>
      <c r="FE57" s="102"/>
      <c r="FF57" s="102"/>
      <c r="FG57" s="102"/>
      <c r="FH57" s="102"/>
      <c r="FI57" s="102"/>
      <c r="FJ57" s="102"/>
      <c r="FK57" s="102"/>
      <c r="FL57" s="102"/>
      <c r="FM57" s="102"/>
      <c r="FN57" s="102"/>
      <c r="FO57" s="102"/>
      <c r="FP57" s="102"/>
      <c r="FQ57" s="102"/>
      <c r="FR57" s="102"/>
      <c r="FS57" s="102"/>
      <c r="FT57" s="102"/>
      <c r="FU57" s="102"/>
      <c r="FV57" s="102"/>
      <c r="FW57" s="102"/>
      <c r="FX57" s="102"/>
      <c r="FY57" s="102"/>
      <c r="FZ57" s="102"/>
      <c r="GA57" s="102"/>
      <c r="GB57" s="102"/>
      <c r="GC57" s="102"/>
      <c r="GD57" s="102"/>
      <c r="GE57" s="102"/>
      <c r="GF57" s="102"/>
      <c r="GG57" s="102"/>
      <c r="GH57" s="102"/>
      <c r="GI57" s="102"/>
      <c r="GJ57" s="102"/>
      <c r="GK57" s="102"/>
      <c r="GL57" s="102"/>
      <c r="GM57" s="102"/>
      <c r="GN57" s="102"/>
      <c r="GO57" s="102"/>
      <c r="GP57" s="102"/>
      <c r="GQ57" s="102"/>
      <c r="GR57" s="102"/>
      <c r="GS57" s="102"/>
      <c r="GT57" s="102"/>
      <c r="GU57" s="102"/>
      <c r="GV57" s="102"/>
      <c r="GW57" s="102"/>
      <c r="GX57" s="102"/>
      <c r="GY57" s="102"/>
      <c r="GZ57" s="102"/>
      <c r="HA57" s="102"/>
      <c r="HB57" s="102"/>
      <c r="HC57" s="102"/>
      <c r="HD57" s="102"/>
      <c r="HE57" s="102"/>
      <c r="HF57" s="102"/>
      <c r="HG57" s="102"/>
      <c r="HH57" s="102"/>
      <c r="HI57" s="102"/>
      <c r="HJ57" s="102"/>
      <c r="HK57" s="102"/>
      <c r="HL57" s="102"/>
      <c r="HM57" s="102"/>
      <c r="HN57" s="102"/>
      <c r="HO57" s="102"/>
      <c r="HP57" s="102"/>
      <c r="HQ57" s="102"/>
      <c r="HR57" s="102"/>
      <c r="HS57" s="102"/>
      <c r="HT57" s="102"/>
      <c r="HU57" s="102"/>
      <c r="HV57" s="102"/>
      <c r="HW57" s="102"/>
      <c r="HX57" s="102"/>
      <c r="HY57" s="102"/>
      <c r="HZ57" s="102"/>
      <c r="IA57" s="102"/>
      <c r="IB57" s="102"/>
      <c r="IC57" s="102"/>
      <c r="ID57" s="102"/>
      <c r="IE57" s="102"/>
      <c r="IF57" s="102"/>
      <c r="IG57" s="102"/>
      <c r="IH57" s="102"/>
      <c r="II57" s="102"/>
      <c r="IJ57" s="102"/>
      <c r="IK57" s="102"/>
      <c r="IL57" s="102"/>
      <c r="IM57" s="102"/>
      <c r="IN57" s="102"/>
      <c r="IO57" s="102"/>
      <c r="IP57" s="102"/>
      <c r="IQ57" s="102"/>
      <c r="IR57" s="102"/>
      <c r="IS57" s="102"/>
      <c r="IT57" s="102"/>
      <c r="IU57" s="102"/>
      <c r="IV57" s="102"/>
      <c r="IW57" s="102"/>
    </row>
    <row r="58" customFormat="false" ht="12.75" hidden="false" customHeight="false" outlineLevel="0" collapsed="false">
      <c r="A58" s="102"/>
      <c r="B58" s="103" t="s">
        <v>200</v>
      </c>
      <c r="C58" s="104" t="s">
        <v>237</v>
      </c>
      <c r="D58" s="104" t="s">
        <v>238</v>
      </c>
      <c r="E58" s="105" t="n">
        <v>36770</v>
      </c>
      <c r="F58" s="105" t="n">
        <v>36830</v>
      </c>
      <c r="G58" s="103" t="s">
        <v>247</v>
      </c>
      <c r="H58" s="103"/>
      <c r="I58" s="104" t="s">
        <v>248</v>
      </c>
      <c r="J58" s="106" t="n">
        <f aca="false">2.02/J1</f>
        <v>0.0651612903225806</v>
      </c>
      <c r="K58" s="107"/>
      <c r="L58" s="107"/>
      <c r="M58" s="107"/>
      <c r="N58" s="107"/>
      <c r="O58" s="108"/>
      <c r="P58" s="107"/>
      <c r="Q58" s="109" t="n">
        <v>34614</v>
      </c>
      <c r="R58" s="104" t="n">
        <v>979</v>
      </c>
      <c r="S58" s="103"/>
      <c r="T58" s="110" t="n">
        <f aca="false">J58*J$1*R58</f>
        <v>1977.58</v>
      </c>
      <c r="U58" s="110"/>
      <c r="V58" s="111" t="n">
        <v>379889</v>
      </c>
      <c r="W58" s="103"/>
      <c r="X58" s="112"/>
      <c r="Y58" s="11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/>
      <c r="CC58" s="102"/>
      <c r="CD58" s="102"/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/>
      <c r="DA58" s="102"/>
      <c r="DB58" s="102"/>
      <c r="DC58" s="102"/>
      <c r="DD58" s="102"/>
      <c r="DE58" s="102"/>
      <c r="DF58" s="102"/>
      <c r="DG58" s="102"/>
      <c r="DH58" s="102"/>
      <c r="DI58" s="102"/>
      <c r="DJ58" s="102"/>
      <c r="DK58" s="102"/>
      <c r="DL58" s="102"/>
      <c r="DM58" s="102"/>
      <c r="DN58" s="102"/>
      <c r="DO58" s="102"/>
      <c r="DP58" s="102"/>
      <c r="DQ58" s="102"/>
      <c r="DR58" s="102"/>
      <c r="DS58" s="102"/>
      <c r="DT58" s="102"/>
      <c r="DU58" s="102"/>
      <c r="DV58" s="102"/>
      <c r="DW58" s="102"/>
      <c r="DX58" s="102"/>
      <c r="DY58" s="102"/>
      <c r="DZ58" s="102"/>
      <c r="EA58" s="102"/>
      <c r="EB58" s="102"/>
      <c r="EC58" s="102"/>
      <c r="ED58" s="102"/>
      <c r="EE58" s="102"/>
      <c r="EF58" s="102"/>
      <c r="EG58" s="102"/>
      <c r="EH58" s="102"/>
      <c r="EI58" s="102"/>
      <c r="EJ58" s="102"/>
      <c r="EK58" s="102"/>
      <c r="EL58" s="102"/>
      <c r="EM58" s="102"/>
      <c r="EN58" s="102"/>
      <c r="EO58" s="102"/>
      <c r="EP58" s="102"/>
      <c r="EQ58" s="102"/>
      <c r="ER58" s="102"/>
      <c r="ES58" s="102"/>
      <c r="ET58" s="102"/>
      <c r="EU58" s="102"/>
      <c r="EV58" s="102"/>
      <c r="EW58" s="102"/>
      <c r="EX58" s="102"/>
      <c r="EY58" s="102"/>
      <c r="EZ58" s="102"/>
      <c r="FA58" s="102"/>
      <c r="FB58" s="102"/>
      <c r="FC58" s="102"/>
      <c r="FD58" s="102"/>
      <c r="FE58" s="102"/>
      <c r="FF58" s="102"/>
      <c r="FG58" s="102"/>
      <c r="FH58" s="102"/>
      <c r="FI58" s="102"/>
      <c r="FJ58" s="102"/>
      <c r="FK58" s="102"/>
      <c r="FL58" s="102"/>
      <c r="FM58" s="102"/>
      <c r="FN58" s="102"/>
      <c r="FO58" s="102"/>
      <c r="FP58" s="102"/>
      <c r="FQ58" s="102"/>
      <c r="FR58" s="102"/>
      <c r="FS58" s="102"/>
      <c r="FT58" s="102"/>
      <c r="FU58" s="102"/>
      <c r="FV58" s="102"/>
      <c r="FW58" s="102"/>
      <c r="FX58" s="102"/>
      <c r="FY58" s="102"/>
      <c r="FZ58" s="102"/>
      <c r="GA58" s="102"/>
      <c r="GB58" s="102"/>
      <c r="GC58" s="102"/>
      <c r="GD58" s="102"/>
      <c r="GE58" s="102"/>
      <c r="GF58" s="102"/>
      <c r="GG58" s="102"/>
      <c r="GH58" s="102"/>
      <c r="GI58" s="102"/>
      <c r="GJ58" s="102"/>
      <c r="GK58" s="102"/>
      <c r="GL58" s="102"/>
      <c r="GM58" s="102"/>
      <c r="GN58" s="102"/>
      <c r="GO58" s="102"/>
      <c r="GP58" s="102"/>
      <c r="GQ58" s="102"/>
      <c r="GR58" s="102"/>
      <c r="GS58" s="102"/>
      <c r="GT58" s="102"/>
      <c r="GU58" s="102"/>
      <c r="GV58" s="102"/>
      <c r="GW58" s="102"/>
      <c r="GX58" s="102"/>
      <c r="GY58" s="102"/>
      <c r="GZ58" s="102"/>
      <c r="HA58" s="102"/>
      <c r="HB58" s="102"/>
      <c r="HC58" s="102"/>
      <c r="HD58" s="102"/>
      <c r="HE58" s="102"/>
      <c r="HF58" s="102"/>
      <c r="HG58" s="102"/>
      <c r="HH58" s="102"/>
      <c r="HI58" s="102"/>
      <c r="HJ58" s="102"/>
      <c r="HK58" s="102"/>
      <c r="HL58" s="102"/>
      <c r="HM58" s="102"/>
      <c r="HN58" s="102"/>
      <c r="HO58" s="102"/>
      <c r="HP58" s="102"/>
      <c r="HQ58" s="102"/>
      <c r="HR58" s="102"/>
      <c r="HS58" s="102"/>
      <c r="HT58" s="102"/>
      <c r="HU58" s="102"/>
      <c r="HV58" s="102"/>
      <c r="HW58" s="102"/>
      <c r="HX58" s="102"/>
      <c r="HY58" s="102"/>
      <c r="HZ58" s="102"/>
      <c r="IA58" s="102"/>
      <c r="IB58" s="102"/>
      <c r="IC58" s="102"/>
      <c r="ID58" s="102"/>
      <c r="IE58" s="102"/>
      <c r="IF58" s="102"/>
      <c r="IG58" s="102"/>
      <c r="IH58" s="102"/>
      <c r="II58" s="102"/>
      <c r="IJ58" s="102"/>
      <c r="IK58" s="102"/>
      <c r="IL58" s="102"/>
      <c r="IM58" s="102"/>
      <c r="IN58" s="102"/>
      <c r="IO58" s="102"/>
      <c r="IP58" s="102"/>
      <c r="IQ58" s="102"/>
      <c r="IR58" s="102"/>
      <c r="IS58" s="102"/>
      <c r="IT58" s="102"/>
      <c r="IU58" s="102"/>
      <c r="IV58" s="102"/>
      <c r="IW58" s="102"/>
    </row>
    <row r="59" customFormat="false" ht="12.75" hidden="false" customHeight="false" outlineLevel="0" collapsed="false">
      <c r="A59" s="102"/>
      <c r="B59" s="103" t="s">
        <v>200</v>
      </c>
      <c r="C59" s="104" t="s">
        <v>237</v>
      </c>
      <c r="D59" s="104" t="s">
        <v>238</v>
      </c>
      <c r="E59" s="105" t="n">
        <v>36770</v>
      </c>
      <c r="F59" s="105" t="n">
        <v>36799</v>
      </c>
      <c r="G59" s="103" t="s">
        <v>247</v>
      </c>
      <c r="H59" s="103"/>
      <c r="I59" s="104" t="s">
        <v>248</v>
      </c>
      <c r="J59" s="106" t="n">
        <v>0.0248</v>
      </c>
      <c r="K59" s="107"/>
      <c r="L59" s="107"/>
      <c r="M59" s="107"/>
      <c r="N59" s="107"/>
      <c r="O59" s="108"/>
      <c r="P59" s="107"/>
      <c r="Q59" s="109" t="n">
        <v>34736</v>
      </c>
      <c r="R59" s="104" t="n">
        <v>62780</v>
      </c>
      <c r="S59" s="103"/>
      <c r="T59" s="110" t="n">
        <f aca="false">J59*R59</f>
        <v>1556.944</v>
      </c>
      <c r="U59" s="110"/>
      <c r="V59" s="111" t="n">
        <v>387961</v>
      </c>
      <c r="W59" s="103" t="s">
        <v>244</v>
      </c>
      <c r="X59" s="112"/>
      <c r="Y59" s="11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/>
      <c r="CC59" s="102"/>
      <c r="CD59" s="102"/>
      <c r="CE59" s="102"/>
      <c r="CF59" s="102"/>
      <c r="CG59" s="102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/>
      <c r="DA59" s="102"/>
      <c r="DB59" s="102"/>
      <c r="DC59" s="102"/>
      <c r="DD59" s="102"/>
      <c r="DE59" s="102"/>
      <c r="DF59" s="102"/>
      <c r="DG59" s="102"/>
      <c r="DH59" s="102"/>
      <c r="DI59" s="102"/>
      <c r="DJ59" s="102"/>
      <c r="DK59" s="102"/>
      <c r="DL59" s="102"/>
      <c r="DM59" s="102"/>
      <c r="DN59" s="102"/>
      <c r="DO59" s="102"/>
      <c r="DP59" s="102"/>
      <c r="DQ59" s="102"/>
      <c r="DR59" s="102"/>
      <c r="DS59" s="102"/>
      <c r="DT59" s="102"/>
      <c r="DU59" s="102"/>
      <c r="DV59" s="102"/>
      <c r="DW59" s="102"/>
      <c r="DX59" s="102"/>
      <c r="DY59" s="102"/>
      <c r="DZ59" s="102"/>
      <c r="EA59" s="102"/>
      <c r="EB59" s="102"/>
      <c r="EC59" s="102"/>
      <c r="ED59" s="102"/>
      <c r="EE59" s="102"/>
      <c r="EF59" s="102"/>
      <c r="EG59" s="102"/>
      <c r="EH59" s="102"/>
      <c r="EI59" s="102"/>
      <c r="EJ59" s="102"/>
      <c r="EK59" s="102"/>
      <c r="EL59" s="102"/>
      <c r="EM59" s="102"/>
      <c r="EN59" s="102"/>
      <c r="EO59" s="102"/>
      <c r="EP59" s="102"/>
      <c r="EQ59" s="102"/>
      <c r="ER59" s="102"/>
      <c r="ES59" s="102"/>
      <c r="ET59" s="102"/>
      <c r="EU59" s="102"/>
      <c r="EV59" s="102"/>
      <c r="EW59" s="102"/>
      <c r="EX59" s="102"/>
      <c r="EY59" s="102"/>
      <c r="EZ59" s="102"/>
      <c r="FA59" s="102"/>
      <c r="FB59" s="102"/>
      <c r="FC59" s="102"/>
      <c r="FD59" s="102"/>
      <c r="FE59" s="102"/>
      <c r="FF59" s="102"/>
      <c r="FG59" s="102"/>
      <c r="FH59" s="102"/>
      <c r="FI59" s="102"/>
      <c r="FJ59" s="102"/>
      <c r="FK59" s="102"/>
      <c r="FL59" s="102"/>
      <c r="FM59" s="102"/>
      <c r="FN59" s="102"/>
      <c r="FO59" s="102"/>
      <c r="FP59" s="102"/>
      <c r="FQ59" s="102"/>
      <c r="FR59" s="102"/>
      <c r="FS59" s="102"/>
      <c r="FT59" s="102"/>
      <c r="FU59" s="102"/>
      <c r="FV59" s="102"/>
      <c r="FW59" s="102"/>
      <c r="FX59" s="102"/>
      <c r="FY59" s="102"/>
      <c r="FZ59" s="102"/>
      <c r="GA59" s="102"/>
      <c r="GB59" s="102"/>
      <c r="GC59" s="102"/>
      <c r="GD59" s="102"/>
      <c r="GE59" s="102"/>
      <c r="GF59" s="102"/>
      <c r="GG59" s="102"/>
      <c r="GH59" s="102"/>
      <c r="GI59" s="102"/>
      <c r="GJ59" s="102"/>
      <c r="GK59" s="102"/>
      <c r="GL59" s="102"/>
      <c r="GM59" s="102"/>
      <c r="GN59" s="102"/>
      <c r="GO59" s="102"/>
      <c r="GP59" s="102"/>
      <c r="GQ59" s="102"/>
      <c r="GR59" s="102"/>
      <c r="GS59" s="102"/>
      <c r="GT59" s="102"/>
      <c r="GU59" s="102"/>
      <c r="GV59" s="102"/>
      <c r="GW59" s="102"/>
      <c r="GX59" s="102"/>
      <c r="GY59" s="102"/>
      <c r="GZ59" s="102"/>
      <c r="HA59" s="102"/>
      <c r="HB59" s="102"/>
      <c r="HC59" s="102"/>
      <c r="HD59" s="102"/>
      <c r="HE59" s="102"/>
      <c r="HF59" s="102"/>
      <c r="HG59" s="102"/>
      <c r="HH59" s="102"/>
      <c r="HI59" s="102"/>
      <c r="HJ59" s="102"/>
      <c r="HK59" s="102"/>
      <c r="HL59" s="102"/>
      <c r="HM59" s="102"/>
      <c r="HN59" s="102"/>
      <c r="HO59" s="102"/>
      <c r="HP59" s="102"/>
      <c r="HQ59" s="102"/>
      <c r="HR59" s="102"/>
      <c r="HS59" s="102"/>
      <c r="HT59" s="102"/>
      <c r="HU59" s="102"/>
      <c r="HV59" s="102"/>
      <c r="HW59" s="102"/>
      <c r="HX59" s="102"/>
      <c r="HY59" s="102"/>
      <c r="HZ59" s="102"/>
      <c r="IA59" s="102"/>
      <c r="IB59" s="102"/>
      <c r="IC59" s="102"/>
      <c r="ID59" s="102"/>
      <c r="IE59" s="102"/>
      <c r="IF59" s="102"/>
      <c r="IG59" s="102"/>
      <c r="IH59" s="102"/>
      <c r="II59" s="102"/>
      <c r="IJ59" s="102"/>
      <c r="IK59" s="102"/>
      <c r="IL59" s="102"/>
      <c r="IM59" s="102"/>
      <c r="IN59" s="102"/>
      <c r="IO59" s="102"/>
      <c r="IP59" s="102"/>
      <c r="IQ59" s="102"/>
      <c r="IR59" s="102"/>
      <c r="IS59" s="102"/>
      <c r="IT59" s="102"/>
      <c r="IU59" s="102"/>
      <c r="IV59" s="102"/>
      <c r="IW59" s="102"/>
    </row>
    <row r="60" customFormat="false" ht="12.75" hidden="false" customHeight="false" outlineLevel="0" collapsed="false">
      <c r="A60" s="102"/>
      <c r="B60" s="103" t="s">
        <v>200</v>
      </c>
      <c r="C60" s="104" t="s">
        <v>237</v>
      </c>
      <c r="D60" s="104" t="s">
        <v>238</v>
      </c>
      <c r="E60" s="105" t="n">
        <v>36770</v>
      </c>
      <c r="F60" s="105" t="n">
        <v>36799</v>
      </c>
      <c r="G60" s="103" t="s">
        <v>247</v>
      </c>
      <c r="H60" s="103"/>
      <c r="I60" s="104" t="s">
        <v>248</v>
      </c>
      <c r="J60" s="106" t="n">
        <f aca="false">2.02/J1</f>
        <v>0.0651612903225806</v>
      </c>
      <c r="K60" s="107"/>
      <c r="L60" s="107"/>
      <c r="M60" s="107"/>
      <c r="N60" s="107"/>
      <c r="O60" s="108"/>
      <c r="P60" s="107"/>
      <c r="Q60" s="109" t="n">
        <v>34736</v>
      </c>
      <c r="R60" s="104" t="n">
        <v>420</v>
      </c>
      <c r="S60" s="103"/>
      <c r="T60" s="110" t="n">
        <f aca="false">J60*J$1*R60</f>
        <v>848.4</v>
      </c>
      <c r="U60" s="110"/>
      <c r="V60" s="111" t="n">
        <v>389761</v>
      </c>
      <c r="W60" s="103" t="s">
        <v>244</v>
      </c>
      <c r="X60" s="112"/>
      <c r="Y60" s="11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/>
      <c r="CC60" s="102"/>
      <c r="CD60" s="102"/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/>
      <c r="DA60" s="102"/>
      <c r="DB60" s="102"/>
      <c r="DC60" s="102"/>
      <c r="DD60" s="102"/>
      <c r="DE60" s="102"/>
      <c r="DF60" s="102"/>
      <c r="DG60" s="102"/>
      <c r="DH60" s="102"/>
      <c r="DI60" s="102"/>
      <c r="DJ60" s="102"/>
      <c r="DK60" s="102"/>
      <c r="DL60" s="102"/>
      <c r="DM60" s="102"/>
      <c r="DN60" s="102"/>
      <c r="DO60" s="102"/>
      <c r="DP60" s="102"/>
      <c r="DQ60" s="102"/>
      <c r="DR60" s="102"/>
      <c r="DS60" s="102"/>
      <c r="DT60" s="102"/>
      <c r="DU60" s="102"/>
      <c r="DV60" s="102"/>
      <c r="DW60" s="102"/>
      <c r="DX60" s="102"/>
      <c r="DY60" s="102"/>
      <c r="DZ60" s="102"/>
      <c r="EA60" s="102"/>
      <c r="EB60" s="102"/>
      <c r="EC60" s="102"/>
      <c r="ED60" s="102"/>
      <c r="EE60" s="102"/>
      <c r="EF60" s="102"/>
      <c r="EG60" s="102"/>
      <c r="EH60" s="102"/>
      <c r="EI60" s="102"/>
      <c r="EJ60" s="102"/>
      <c r="EK60" s="102"/>
      <c r="EL60" s="102"/>
      <c r="EM60" s="102"/>
      <c r="EN60" s="102"/>
      <c r="EO60" s="102"/>
      <c r="EP60" s="102"/>
      <c r="EQ60" s="102"/>
      <c r="ER60" s="102"/>
      <c r="ES60" s="102"/>
      <c r="ET60" s="102"/>
      <c r="EU60" s="102"/>
      <c r="EV60" s="102"/>
      <c r="EW60" s="102"/>
      <c r="EX60" s="102"/>
      <c r="EY60" s="102"/>
      <c r="EZ60" s="102"/>
      <c r="FA60" s="102"/>
      <c r="FB60" s="102"/>
      <c r="FC60" s="102"/>
      <c r="FD60" s="102"/>
      <c r="FE60" s="102"/>
      <c r="FF60" s="102"/>
      <c r="FG60" s="102"/>
      <c r="FH60" s="102"/>
      <c r="FI60" s="102"/>
      <c r="FJ60" s="102"/>
      <c r="FK60" s="102"/>
      <c r="FL60" s="102"/>
      <c r="FM60" s="102"/>
      <c r="FN60" s="102"/>
      <c r="FO60" s="102"/>
      <c r="FP60" s="102"/>
      <c r="FQ60" s="102"/>
      <c r="FR60" s="102"/>
      <c r="FS60" s="102"/>
      <c r="FT60" s="102"/>
      <c r="FU60" s="102"/>
      <c r="FV60" s="102"/>
      <c r="FW60" s="102"/>
      <c r="FX60" s="102"/>
      <c r="FY60" s="102"/>
      <c r="FZ60" s="102"/>
      <c r="GA60" s="102"/>
      <c r="GB60" s="102"/>
      <c r="GC60" s="102"/>
      <c r="GD60" s="102"/>
      <c r="GE60" s="102"/>
      <c r="GF60" s="102"/>
      <c r="GG60" s="102"/>
      <c r="GH60" s="102"/>
      <c r="GI60" s="102"/>
      <c r="GJ60" s="102"/>
      <c r="GK60" s="102"/>
      <c r="GL60" s="102"/>
      <c r="GM60" s="102"/>
      <c r="GN60" s="102"/>
      <c r="GO60" s="102"/>
      <c r="GP60" s="102"/>
      <c r="GQ60" s="102"/>
      <c r="GR60" s="102"/>
      <c r="GS60" s="102"/>
      <c r="GT60" s="102"/>
      <c r="GU60" s="102"/>
      <c r="GV60" s="102"/>
      <c r="GW60" s="102"/>
      <c r="GX60" s="102"/>
      <c r="GY60" s="102"/>
      <c r="GZ60" s="102"/>
      <c r="HA60" s="102"/>
      <c r="HB60" s="102"/>
      <c r="HC60" s="102"/>
      <c r="HD60" s="102"/>
      <c r="HE60" s="102"/>
      <c r="HF60" s="102"/>
      <c r="HG60" s="102"/>
      <c r="HH60" s="102"/>
      <c r="HI60" s="102"/>
      <c r="HJ60" s="102"/>
      <c r="HK60" s="102"/>
      <c r="HL60" s="102"/>
      <c r="HM60" s="102"/>
      <c r="HN60" s="102"/>
      <c r="HO60" s="102"/>
      <c r="HP60" s="102"/>
      <c r="HQ60" s="102"/>
      <c r="HR60" s="102"/>
      <c r="HS60" s="102"/>
      <c r="HT60" s="102"/>
      <c r="HU60" s="102"/>
      <c r="HV60" s="102"/>
      <c r="HW60" s="102"/>
      <c r="HX60" s="102"/>
      <c r="HY60" s="102"/>
      <c r="HZ60" s="102"/>
      <c r="IA60" s="102"/>
      <c r="IB60" s="102"/>
      <c r="IC60" s="102"/>
      <c r="ID60" s="102"/>
      <c r="IE60" s="102"/>
      <c r="IF60" s="102"/>
      <c r="IG60" s="102"/>
      <c r="IH60" s="102"/>
      <c r="II60" s="102"/>
      <c r="IJ60" s="102"/>
      <c r="IK60" s="102"/>
      <c r="IL60" s="102"/>
      <c r="IM60" s="102"/>
      <c r="IN60" s="102"/>
      <c r="IO60" s="102"/>
      <c r="IP60" s="102"/>
      <c r="IQ60" s="102"/>
      <c r="IR60" s="102"/>
      <c r="IS60" s="102"/>
      <c r="IT60" s="102"/>
      <c r="IU60" s="102"/>
      <c r="IV60" s="102"/>
      <c r="IW60" s="102"/>
    </row>
    <row r="61" customFormat="false" ht="12.75" hidden="false" customHeight="false" outlineLevel="0" collapsed="false">
      <c r="A61" s="102"/>
      <c r="B61" s="103" t="s">
        <v>200</v>
      </c>
      <c r="C61" s="104" t="s">
        <v>237</v>
      </c>
      <c r="D61" s="104" t="s">
        <v>238</v>
      </c>
      <c r="E61" s="105" t="n">
        <v>36770</v>
      </c>
      <c r="F61" s="105" t="n">
        <v>36799</v>
      </c>
      <c r="G61" s="103" t="s">
        <v>249</v>
      </c>
      <c r="H61" s="103"/>
      <c r="I61" s="104" t="s">
        <v>250</v>
      </c>
      <c r="J61" s="106" t="n">
        <v>0.0187</v>
      </c>
      <c r="K61" s="107"/>
      <c r="L61" s="107"/>
      <c r="M61" s="107"/>
      <c r="N61" s="107"/>
      <c r="O61" s="108"/>
      <c r="P61" s="107"/>
      <c r="Q61" s="109" t="n">
        <v>34736</v>
      </c>
      <c r="R61" s="104" t="n">
        <v>22531</v>
      </c>
      <c r="S61" s="103"/>
      <c r="T61" s="110" t="n">
        <f aca="false">+R61*J61</f>
        <v>421.3297</v>
      </c>
      <c r="U61" s="110"/>
      <c r="V61" s="111" t="n">
        <v>387950</v>
      </c>
      <c r="W61" s="103" t="s">
        <v>244</v>
      </c>
      <c r="X61" s="112"/>
      <c r="Y61" s="11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C61" s="102"/>
      <c r="CD61" s="102"/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/>
      <c r="DA61" s="102"/>
      <c r="DB61" s="102"/>
      <c r="DC61" s="102"/>
      <c r="DD61" s="102"/>
      <c r="DE61" s="102"/>
      <c r="DF61" s="102"/>
      <c r="DG61" s="102"/>
      <c r="DH61" s="102"/>
      <c r="DI61" s="102"/>
      <c r="DJ61" s="102"/>
      <c r="DK61" s="102"/>
      <c r="DL61" s="102"/>
      <c r="DM61" s="102"/>
      <c r="DN61" s="102"/>
      <c r="DO61" s="102"/>
      <c r="DP61" s="102"/>
      <c r="DQ61" s="102"/>
      <c r="DR61" s="102"/>
      <c r="DS61" s="102"/>
      <c r="DT61" s="102"/>
      <c r="DU61" s="102"/>
      <c r="DV61" s="102"/>
      <c r="DW61" s="102"/>
      <c r="DX61" s="102"/>
      <c r="DY61" s="102"/>
      <c r="DZ61" s="102"/>
      <c r="EA61" s="102"/>
      <c r="EB61" s="102"/>
      <c r="EC61" s="102"/>
      <c r="ED61" s="102"/>
      <c r="EE61" s="102"/>
      <c r="EF61" s="102"/>
      <c r="EG61" s="102"/>
      <c r="EH61" s="102"/>
      <c r="EI61" s="102"/>
      <c r="EJ61" s="102"/>
      <c r="EK61" s="102"/>
      <c r="EL61" s="102"/>
      <c r="EM61" s="102"/>
      <c r="EN61" s="102"/>
      <c r="EO61" s="102"/>
      <c r="EP61" s="102"/>
      <c r="EQ61" s="102"/>
      <c r="ER61" s="102"/>
      <c r="ES61" s="102"/>
      <c r="ET61" s="102"/>
      <c r="EU61" s="102"/>
      <c r="EV61" s="102"/>
      <c r="EW61" s="102"/>
      <c r="EX61" s="102"/>
      <c r="EY61" s="102"/>
      <c r="EZ61" s="102"/>
      <c r="FA61" s="102"/>
      <c r="FB61" s="102"/>
      <c r="FC61" s="102"/>
      <c r="FD61" s="102"/>
      <c r="FE61" s="102"/>
      <c r="FF61" s="102"/>
      <c r="FG61" s="102"/>
      <c r="FH61" s="102"/>
      <c r="FI61" s="102"/>
      <c r="FJ61" s="102"/>
      <c r="FK61" s="102"/>
      <c r="FL61" s="102"/>
      <c r="FM61" s="102"/>
      <c r="FN61" s="102"/>
      <c r="FO61" s="102"/>
      <c r="FP61" s="102"/>
      <c r="FQ61" s="102"/>
      <c r="FR61" s="102"/>
      <c r="FS61" s="102"/>
      <c r="FT61" s="102"/>
      <c r="FU61" s="102"/>
      <c r="FV61" s="102"/>
      <c r="FW61" s="102"/>
      <c r="FX61" s="102"/>
      <c r="FY61" s="102"/>
      <c r="FZ61" s="102"/>
      <c r="GA61" s="102"/>
      <c r="GB61" s="102"/>
      <c r="GC61" s="102"/>
      <c r="GD61" s="102"/>
      <c r="GE61" s="102"/>
      <c r="GF61" s="102"/>
      <c r="GG61" s="102"/>
      <c r="GH61" s="102"/>
      <c r="GI61" s="102"/>
      <c r="GJ61" s="102"/>
      <c r="GK61" s="102"/>
      <c r="GL61" s="102"/>
      <c r="GM61" s="102"/>
      <c r="GN61" s="102"/>
      <c r="GO61" s="102"/>
      <c r="GP61" s="102"/>
      <c r="GQ61" s="102"/>
      <c r="GR61" s="102"/>
      <c r="GS61" s="102"/>
      <c r="GT61" s="102"/>
      <c r="GU61" s="102"/>
      <c r="GV61" s="102"/>
      <c r="GW61" s="102"/>
      <c r="GX61" s="102"/>
      <c r="GY61" s="102"/>
      <c r="GZ61" s="102"/>
      <c r="HA61" s="102"/>
      <c r="HB61" s="102"/>
      <c r="HC61" s="102"/>
      <c r="HD61" s="102"/>
      <c r="HE61" s="102"/>
      <c r="HF61" s="102"/>
      <c r="HG61" s="102"/>
      <c r="HH61" s="102"/>
      <c r="HI61" s="102"/>
      <c r="HJ61" s="102"/>
      <c r="HK61" s="102"/>
      <c r="HL61" s="102"/>
      <c r="HM61" s="102"/>
      <c r="HN61" s="102"/>
      <c r="HO61" s="102"/>
      <c r="HP61" s="102"/>
      <c r="HQ61" s="102"/>
      <c r="HR61" s="102"/>
      <c r="HS61" s="102"/>
      <c r="HT61" s="102"/>
      <c r="HU61" s="102"/>
      <c r="HV61" s="102"/>
      <c r="HW61" s="102"/>
      <c r="HX61" s="102"/>
      <c r="HY61" s="102"/>
      <c r="HZ61" s="102"/>
      <c r="IA61" s="102"/>
      <c r="IB61" s="102"/>
      <c r="IC61" s="102"/>
      <c r="ID61" s="102"/>
      <c r="IE61" s="102"/>
      <c r="IF61" s="102"/>
      <c r="IG61" s="102"/>
      <c r="IH61" s="102"/>
      <c r="II61" s="102"/>
      <c r="IJ61" s="102"/>
      <c r="IK61" s="102"/>
      <c r="IL61" s="102"/>
      <c r="IM61" s="102"/>
      <c r="IN61" s="102"/>
      <c r="IO61" s="102"/>
      <c r="IP61" s="102"/>
      <c r="IQ61" s="102"/>
      <c r="IR61" s="102"/>
      <c r="IS61" s="102"/>
      <c r="IT61" s="102"/>
      <c r="IU61" s="102"/>
      <c r="IV61" s="102"/>
      <c r="IW61" s="102"/>
    </row>
    <row r="62" customFormat="false" ht="12.75" hidden="false" customHeight="false" outlineLevel="0" collapsed="false">
      <c r="A62" s="102"/>
      <c r="B62" s="103" t="s">
        <v>200</v>
      </c>
      <c r="C62" s="104" t="s">
        <v>237</v>
      </c>
      <c r="D62" s="104" t="s">
        <v>238</v>
      </c>
      <c r="E62" s="105" t="n">
        <v>36770</v>
      </c>
      <c r="F62" s="105" t="n">
        <v>36799</v>
      </c>
      <c r="G62" s="103" t="s">
        <v>249</v>
      </c>
      <c r="H62" s="103"/>
      <c r="I62" s="104" t="s">
        <v>250</v>
      </c>
      <c r="J62" s="106" t="n">
        <v>1.17</v>
      </c>
      <c r="K62" s="107"/>
      <c r="L62" s="107"/>
      <c r="M62" s="107"/>
      <c r="N62" s="107"/>
      <c r="O62" s="108"/>
      <c r="P62" s="107"/>
      <c r="Q62" s="109" t="n">
        <v>34736</v>
      </c>
      <c r="R62" s="104" t="n">
        <v>167</v>
      </c>
      <c r="S62" s="103"/>
      <c r="T62" s="110" t="n">
        <f aca="false">+R62*J62</f>
        <v>195.39</v>
      </c>
      <c r="U62" s="110"/>
      <c r="V62" s="111" t="n">
        <v>387950</v>
      </c>
      <c r="W62" s="103" t="s">
        <v>244</v>
      </c>
      <c r="X62" s="112"/>
      <c r="Y62" s="11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/>
      <c r="CC62" s="102"/>
      <c r="CD62" s="102"/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/>
      <c r="DA62" s="102"/>
      <c r="DB62" s="102"/>
      <c r="DC62" s="102"/>
      <c r="DD62" s="102"/>
      <c r="DE62" s="102"/>
      <c r="DF62" s="102"/>
      <c r="DG62" s="102"/>
      <c r="DH62" s="102"/>
      <c r="DI62" s="102"/>
      <c r="DJ62" s="102"/>
      <c r="DK62" s="102"/>
      <c r="DL62" s="102"/>
      <c r="DM62" s="102"/>
      <c r="DN62" s="102"/>
      <c r="DO62" s="102"/>
      <c r="DP62" s="102"/>
      <c r="DQ62" s="102"/>
      <c r="DR62" s="102"/>
      <c r="DS62" s="102"/>
      <c r="DT62" s="102"/>
      <c r="DU62" s="102"/>
      <c r="DV62" s="102"/>
      <c r="DW62" s="102"/>
      <c r="DX62" s="102"/>
      <c r="DY62" s="102"/>
      <c r="DZ62" s="102"/>
      <c r="EA62" s="102"/>
      <c r="EB62" s="102"/>
      <c r="EC62" s="102"/>
      <c r="ED62" s="102"/>
      <c r="EE62" s="102"/>
      <c r="EF62" s="102"/>
      <c r="EG62" s="102"/>
      <c r="EH62" s="102"/>
      <c r="EI62" s="102"/>
      <c r="EJ62" s="102"/>
      <c r="EK62" s="102"/>
      <c r="EL62" s="102"/>
      <c r="EM62" s="102"/>
      <c r="EN62" s="102"/>
      <c r="EO62" s="102"/>
      <c r="EP62" s="102"/>
      <c r="EQ62" s="102"/>
      <c r="ER62" s="102"/>
      <c r="ES62" s="102"/>
      <c r="ET62" s="102"/>
      <c r="EU62" s="102"/>
      <c r="EV62" s="102"/>
      <c r="EW62" s="102"/>
      <c r="EX62" s="102"/>
      <c r="EY62" s="102"/>
      <c r="EZ62" s="102"/>
      <c r="FA62" s="102"/>
      <c r="FB62" s="102"/>
      <c r="FC62" s="102"/>
      <c r="FD62" s="102"/>
      <c r="FE62" s="102"/>
      <c r="FF62" s="102"/>
      <c r="FG62" s="102"/>
      <c r="FH62" s="102"/>
      <c r="FI62" s="102"/>
      <c r="FJ62" s="102"/>
      <c r="FK62" s="102"/>
      <c r="FL62" s="102"/>
      <c r="FM62" s="102"/>
      <c r="FN62" s="102"/>
      <c r="FO62" s="102"/>
      <c r="FP62" s="102"/>
      <c r="FQ62" s="102"/>
      <c r="FR62" s="102"/>
      <c r="FS62" s="102"/>
      <c r="FT62" s="102"/>
      <c r="FU62" s="102"/>
      <c r="FV62" s="102"/>
      <c r="FW62" s="102"/>
      <c r="FX62" s="102"/>
      <c r="FY62" s="102"/>
      <c r="FZ62" s="102"/>
      <c r="GA62" s="102"/>
      <c r="GB62" s="102"/>
      <c r="GC62" s="102"/>
      <c r="GD62" s="102"/>
      <c r="GE62" s="102"/>
      <c r="GF62" s="102"/>
      <c r="GG62" s="102"/>
      <c r="GH62" s="102"/>
      <c r="GI62" s="102"/>
      <c r="GJ62" s="102"/>
      <c r="GK62" s="102"/>
      <c r="GL62" s="102"/>
      <c r="GM62" s="102"/>
      <c r="GN62" s="102"/>
      <c r="GO62" s="102"/>
      <c r="GP62" s="102"/>
      <c r="GQ62" s="102"/>
      <c r="GR62" s="102"/>
      <c r="GS62" s="102"/>
      <c r="GT62" s="102"/>
      <c r="GU62" s="102"/>
      <c r="GV62" s="102"/>
      <c r="GW62" s="102"/>
      <c r="GX62" s="102"/>
      <c r="GY62" s="102"/>
      <c r="GZ62" s="102"/>
      <c r="HA62" s="102"/>
      <c r="HB62" s="102"/>
      <c r="HC62" s="102"/>
      <c r="HD62" s="102"/>
      <c r="HE62" s="102"/>
      <c r="HF62" s="102"/>
      <c r="HG62" s="102"/>
      <c r="HH62" s="102"/>
      <c r="HI62" s="102"/>
      <c r="HJ62" s="102"/>
      <c r="HK62" s="102"/>
      <c r="HL62" s="102"/>
      <c r="HM62" s="102"/>
      <c r="HN62" s="102"/>
      <c r="HO62" s="102"/>
      <c r="HP62" s="102"/>
      <c r="HQ62" s="102"/>
      <c r="HR62" s="102"/>
      <c r="HS62" s="102"/>
      <c r="HT62" s="102"/>
      <c r="HU62" s="102"/>
      <c r="HV62" s="102"/>
      <c r="HW62" s="102"/>
      <c r="HX62" s="102"/>
      <c r="HY62" s="102"/>
      <c r="HZ62" s="102"/>
      <c r="IA62" s="102"/>
      <c r="IB62" s="102"/>
      <c r="IC62" s="102"/>
      <c r="ID62" s="102"/>
      <c r="IE62" s="102"/>
      <c r="IF62" s="102"/>
      <c r="IG62" s="102"/>
      <c r="IH62" s="102"/>
      <c r="II62" s="102"/>
      <c r="IJ62" s="102"/>
      <c r="IK62" s="102"/>
      <c r="IL62" s="102"/>
      <c r="IM62" s="102"/>
      <c r="IN62" s="102"/>
      <c r="IO62" s="102"/>
      <c r="IP62" s="102"/>
      <c r="IQ62" s="102"/>
      <c r="IR62" s="102"/>
      <c r="IS62" s="102"/>
      <c r="IT62" s="102"/>
      <c r="IU62" s="102"/>
      <c r="IV62" s="102"/>
      <c r="IW62" s="102"/>
    </row>
    <row r="63" customFormat="false" ht="12.75" hidden="false" customHeight="false" outlineLevel="0" collapsed="false">
      <c r="A63" s="102"/>
      <c r="B63" s="103" t="s">
        <v>200</v>
      </c>
      <c r="C63" s="104" t="s">
        <v>237</v>
      </c>
      <c r="D63" s="104" t="s">
        <v>238</v>
      </c>
      <c r="E63" s="105" t="n">
        <v>36770</v>
      </c>
      <c r="F63" s="105" t="n">
        <v>36830</v>
      </c>
      <c r="G63" s="103" t="s">
        <v>249</v>
      </c>
      <c r="H63" s="103"/>
      <c r="I63" s="104" t="s">
        <v>250</v>
      </c>
      <c r="J63" s="106" t="n">
        <v>0.0187</v>
      </c>
      <c r="K63" s="107"/>
      <c r="L63" s="107"/>
      <c r="M63" s="107"/>
      <c r="N63" s="107"/>
      <c r="O63" s="108"/>
      <c r="P63" s="107"/>
      <c r="Q63" s="109" t="n">
        <v>34576</v>
      </c>
      <c r="R63" s="104" t="n">
        <v>52573</v>
      </c>
      <c r="S63" s="103"/>
      <c r="T63" s="110" t="n">
        <f aca="false">+R63*J63</f>
        <v>983.1151</v>
      </c>
      <c r="U63" s="110"/>
      <c r="V63" s="111" t="n">
        <v>379856</v>
      </c>
      <c r="W63" s="103"/>
      <c r="X63" s="112"/>
      <c r="Y63" s="11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/>
      <c r="CB63" s="102"/>
      <c r="CC63" s="102"/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/>
      <c r="DA63" s="102"/>
      <c r="DB63" s="102"/>
      <c r="DC63" s="102"/>
      <c r="DD63" s="102"/>
      <c r="DE63" s="102"/>
      <c r="DF63" s="102"/>
      <c r="DG63" s="102"/>
      <c r="DH63" s="102"/>
      <c r="DI63" s="102"/>
      <c r="DJ63" s="102"/>
      <c r="DK63" s="102"/>
      <c r="DL63" s="102"/>
      <c r="DM63" s="102"/>
      <c r="DN63" s="102"/>
      <c r="DO63" s="102"/>
      <c r="DP63" s="102"/>
      <c r="DQ63" s="102"/>
      <c r="DR63" s="102"/>
      <c r="DS63" s="102"/>
      <c r="DT63" s="102"/>
      <c r="DU63" s="102"/>
      <c r="DV63" s="102"/>
      <c r="DW63" s="102"/>
      <c r="DX63" s="102"/>
      <c r="DY63" s="102"/>
      <c r="DZ63" s="102"/>
      <c r="EA63" s="102"/>
      <c r="EB63" s="102"/>
      <c r="EC63" s="102"/>
      <c r="ED63" s="102"/>
      <c r="EE63" s="102"/>
      <c r="EF63" s="102"/>
      <c r="EG63" s="102"/>
      <c r="EH63" s="102"/>
      <c r="EI63" s="102"/>
      <c r="EJ63" s="102"/>
      <c r="EK63" s="102"/>
      <c r="EL63" s="102"/>
      <c r="EM63" s="102"/>
      <c r="EN63" s="102"/>
      <c r="EO63" s="102"/>
      <c r="EP63" s="102"/>
      <c r="EQ63" s="102"/>
      <c r="ER63" s="102"/>
      <c r="ES63" s="102"/>
      <c r="ET63" s="102"/>
      <c r="EU63" s="102"/>
      <c r="EV63" s="102"/>
      <c r="EW63" s="102"/>
      <c r="EX63" s="102"/>
      <c r="EY63" s="102"/>
      <c r="EZ63" s="102"/>
      <c r="FA63" s="102"/>
      <c r="FB63" s="102"/>
      <c r="FC63" s="102"/>
      <c r="FD63" s="102"/>
      <c r="FE63" s="102"/>
      <c r="FF63" s="102"/>
      <c r="FG63" s="102"/>
      <c r="FH63" s="102"/>
      <c r="FI63" s="102"/>
      <c r="FJ63" s="102"/>
      <c r="FK63" s="102"/>
      <c r="FL63" s="102"/>
      <c r="FM63" s="102"/>
      <c r="FN63" s="102"/>
      <c r="FO63" s="102"/>
      <c r="FP63" s="102"/>
      <c r="FQ63" s="102"/>
      <c r="FR63" s="102"/>
      <c r="FS63" s="102"/>
      <c r="FT63" s="102"/>
      <c r="FU63" s="102"/>
      <c r="FV63" s="102"/>
      <c r="FW63" s="102"/>
      <c r="FX63" s="102"/>
      <c r="FY63" s="102"/>
      <c r="FZ63" s="102"/>
      <c r="GA63" s="102"/>
      <c r="GB63" s="102"/>
      <c r="GC63" s="102"/>
      <c r="GD63" s="102"/>
      <c r="GE63" s="102"/>
      <c r="GF63" s="102"/>
      <c r="GG63" s="102"/>
      <c r="GH63" s="102"/>
      <c r="GI63" s="102"/>
      <c r="GJ63" s="102"/>
      <c r="GK63" s="102"/>
      <c r="GL63" s="102"/>
      <c r="GM63" s="102"/>
      <c r="GN63" s="102"/>
      <c r="GO63" s="102"/>
      <c r="GP63" s="102"/>
      <c r="GQ63" s="102"/>
      <c r="GR63" s="102"/>
      <c r="GS63" s="102"/>
      <c r="GT63" s="102"/>
      <c r="GU63" s="102"/>
      <c r="GV63" s="102"/>
      <c r="GW63" s="102"/>
      <c r="GX63" s="102"/>
      <c r="GY63" s="102"/>
      <c r="GZ63" s="102"/>
      <c r="HA63" s="102"/>
      <c r="HB63" s="102"/>
      <c r="HC63" s="102"/>
      <c r="HD63" s="102"/>
      <c r="HE63" s="102"/>
      <c r="HF63" s="102"/>
      <c r="HG63" s="102"/>
      <c r="HH63" s="102"/>
      <c r="HI63" s="102"/>
      <c r="HJ63" s="102"/>
      <c r="HK63" s="102"/>
      <c r="HL63" s="102"/>
      <c r="HM63" s="102"/>
      <c r="HN63" s="102"/>
      <c r="HO63" s="102"/>
      <c r="HP63" s="102"/>
      <c r="HQ63" s="102"/>
      <c r="HR63" s="102"/>
      <c r="HS63" s="102"/>
      <c r="HT63" s="102"/>
      <c r="HU63" s="102"/>
      <c r="HV63" s="102"/>
      <c r="HW63" s="102"/>
      <c r="HX63" s="102"/>
      <c r="HY63" s="102"/>
      <c r="HZ63" s="102"/>
      <c r="IA63" s="102"/>
      <c r="IB63" s="102"/>
      <c r="IC63" s="102"/>
      <c r="ID63" s="102"/>
      <c r="IE63" s="102"/>
      <c r="IF63" s="102"/>
      <c r="IG63" s="102"/>
      <c r="IH63" s="102"/>
      <c r="II63" s="102"/>
      <c r="IJ63" s="102"/>
      <c r="IK63" s="102"/>
      <c r="IL63" s="102"/>
      <c r="IM63" s="102"/>
      <c r="IN63" s="102"/>
      <c r="IO63" s="102"/>
      <c r="IP63" s="102"/>
      <c r="IQ63" s="102"/>
      <c r="IR63" s="102"/>
      <c r="IS63" s="102"/>
      <c r="IT63" s="102"/>
      <c r="IU63" s="102"/>
      <c r="IV63" s="102"/>
      <c r="IW63" s="102"/>
    </row>
    <row r="64" customFormat="false" ht="12.75" hidden="false" customHeight="false" outlineLevel="0" collapsed="false">
      <c r="A64" s="102"/>
      <c r="B64" s="103" t="s">
        <v>200</v>
      </c>
      <c r="C64" s="104" t="s">
        <v>237</v>
      </c>
      <c r="D64" s="104" t="s">
        <v>238</v>
      </c>
      <c r="E64" s="105" t="n">
        <v>36770</v>
      </c>
      <c r="F64" s="105" t="n">
        <v>36830</v>
      </c>
      <c r="G64" s="103" t="s">
        <v>249</v>
      </c>
      <c r="H64" s="103"/>
      <c r="I64" s="104" t="s">
        <v>250</v>
      </c>
      <c r="J64" s="106" t="n">
        <v>1.17</v>
      </c>
      <c r="K64" s="107"/>
      <c r="L64" s="107"/>
      <c r="M64" s="107"/>
      <c r="N64" s="107"/>
      <c r="O64" s="108"/>
      <c r="P64" s="107"/>
      <c r="Q64" s="109" t="n">
        <v>34576</v>
      </c>
      <c r="R64" s="104" t="n">
        <v>389</v>
      </c>
      <c r="S64" s="103"/>
      <c r="T64" s="110" t="n">
        <f aca="false">+R64*J64</f>
        <v>455.13</v>
      </c>
      <c r="U64" s="110"/>
      <c r="V64" s="111" t="n">
        <v>379856</v>
      </c>
      <c r="W64" s="103"/>
      <c r="X64" s="112"/>
      <c r="Y64" s="11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/>
      <c r="CB64" s="102"/>
      <c r="CC64" s="102"/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/>
      <c r="CT64" s="102"/>
      <c r="CU64" s="102"/>
      <c r="CV64" s="102"/>
      <c r="CW64" s="102"/>
      <c r="CX64" s="102"/>
      <c r="CY64" s="102"/>
      <c r="CZ64" s="102"/>
      <c r="DA64" s="102"/>
      <c r="DB64" s="102"/>
      <c r="DC64" s="102"/>
      <c r="DD64" s="102"/>
      <c r="DE64" s="102"/>
      <c r="DF64" s="102"/>
      <c r="DG64" s="102"/>
      <c r="DH64" s="102"/>
      <c r="DI64" s="102"/>
      <c r="DJ64" s="102"/>
      <c r="DK64" s="102"/>
      <c r="DL64" s="102"/>
      <c r="DM64" s="102"/>
      <c r="DN64" s="102"/>
      <c r="DO64" s="102"/>
      <c r="DP64" s="102"/>
      <c r="DQ64" s="102"/>
      <c r="DR64" s="102"/>
      <c r="DS64" s="102"/>
      <c r="DT64" s="102"/>
      <c r="DU64" s="102"/>
      <c r="DV64" s="102"/>
      <c r="DW64" s="102"/>
      <c r="DX64" s="102"/>
      <c r="DY64" s="102"/>
      <c r="DZ64" s="102"/>
      <c r="EA64" s="102"/>
      <c r="EB64" s="102"/>
      <c r="EC64" s="102"/>
      <c r="ED64" s="102"/>
      <c r="EE64" s="102"/>
      <c r="EF64" s="102"/>
      <c r="EG64" s="102"/>
      <c r="EH64" s="102"/>
      <c r="EI64" s="102"/>
      <c r="EJ64" s="102"/>
      <c r="EK64" s="102"/>
      <c r="EL64" s="102"/>
      <c r="EM64" s="102"/>
      <c r="EN64" s="102"/>
      <c r="EO64" s="102"/>
      <c r="EP64" s="102"/>
      <c r="EQ64" s="102"/>
      <c r="ER64" s="102"/>
      <c r="ES64" s="102"/>
      <c r="ET64" s="102"/>
      <c r="EU64" s="102"/>
      <c r="EV64" s="102"/>
      <c r="EW64" s="102"/>
      <c r="EX64" s="102"/>
      <c r="EY64" s="102"/>
      <c r="EZ64" s="102"/>
      <c r="FA64" s="102"/>
      <c r="FB64" s="102"/>
      <c r="FC64" s="102"/>
      <c r="FD64" s="102"/>
      <c r="FE64" s="102"/>
      <c r="FF64" s="102"/>
      <c r="FG64" s="102"/>
      <c r="FH64" s="102"/>
      <c r="FI64" s="102"/>
      <c r="FJ64" s="102"/>
      <c r="FK64" s="102"/>
      <c r="FL64" s="102"/>
      <c r="FM64" s="102"/>
      <c r="FN64" s="102"/>
      <c r="FO64" s="102"/>
      <c r="FP64" s="102"/>
      <c r="FQ64" s="102"/>
      <c r="FR64" s="102"/>
      <c r="FS64" s="102"/>
      <c r="FT64" s="102"/>
      <c r="FU64" s="102"/>
      <c r="FV64" s="102"/>
      <c r="FW64" s="102"/>
      <c r="FX64" s="102"/>
      <c r="FY64" s="102"/>
      <c r="FZ64" s="102"/>
      <c r="GA64" s="102"/>
      <c r="GB64" s="102"/>
      <c r="GC64" s="102"/>
      <c r="GD64" s="102"/>
      <c r="GE64" s="102"/>
      <c r="GF64" s="102"/>
      <c r="GG64" s="102"/>
      <c r="GH64" s="102"/>
      <c r="GI64" s="102"/>
      <c r="GJ64" s="102"/>
      <c r="GK64" s="102"/>
      <c r="GL64" s="102"/>
      <c r="GM64" s="102"/>
      <c r="GN64" s="102"/>
      <c r="GO64" s="102"/>
      <c r="GP64" s="102"/>
      <c r="GQ64" s="102"/>
      <c r="GR64" s="102"/>
      <c r="GS64" s="102"/>
      <c r="GT64" s="102"/>
      <c r="GU64" s="102"/>
      <c r="GV64" s="102"/>
      <c r="GW64" s="102"/>
      <c r="GX64" s="102"/>
      <c r="GY64" s="102"/>
      <c r="GZ64" s="102"/>
      <c r="HA64" s="102"/>
      <c r="HB64" s="102"/>
      <c r="HC64" s="102"/>
      <c r="HD64" s="102"/>
      <c r="HE64" s="102"/>
      <c r="HF64" s="102"/>
      <c r="HG64" s="102"/>
      <c r="HH64" s="102"/>
      <c r="HI64" s="102"/>
      <c r="HJ64" s="102"/>
      <c r="HK64" s="102"/>
      <c r="HL64" s="102"/>
      <c r="HM64" s="102"/>
      <c r="HN64" s="102"/>
      <c r="HO64" s="102"/>
      <c r="HP64" s="102"/>
      <c r="HQ64" s="102"/>
      <c r="HR64" s="102"/>
      <c r="HS64" s="102"/>
      <c r="HT64" s="102"/>
      <c r="HU64" s="102"/>
      <c r="HV64" s="102"/>
      <c r="HW64" s="102"/>
      <c r="HX64" s="102"/>
      <c r="HY64" s="102"/>
      <c r="HZ64" s="102"/>
      <c r="IA64" s="102"/>
      <c r="IB64" s="102"/>
      <c r="IC64" s="102"/>
      <c r="ID64" s="102"/>
      <c r="IE64" s="102"/>
      <c r="IF64" s="102"/>
      <c r="IG64" s="102"/>
      <c r="IH64" s="102"/>
      <c r="II64" s="102"/>
      <c r="IJ64" s="102"/>
      <c r="IK64" s="102"/>
      <c r="IL64" s="102"/>
      <c r="IM64" s="102"/>
      <c r="IN64" s="102"/>
      <c r="IO64" s="102"/>
      <c r="IP64" s="102"/>
      <c r="IQ64" s="102"/>
      <c r="IR64" s="102"/>
      <c r="IS64" s="102"/>
      <c r="IT64" s="102"/>
      <c r="IU64" s="102"/>
      <c r="IV64" s="102"/>
      <c r="IW64" s="102"/>
    </row>
    <row r="65" customFormat="false" ht="12.75" hidden="false" customHeight="false" outlineLevel="0" collapsed="false">
      <c r="B65" s="45"/>
      <c r="C65" s="43"/>
      <c r="D65" s="43"/>
      <c r="E65" s="44"/>
      <c r="F65" s="44"/>
      <c r="G65" s="45"/>
      <c r="H65" s="45"/>
      <c r="I65" s="43"/>
      <c r="J65" s="57"/>
      <c r="K65" s="48"/>
      <c r="L65" s="76"/>
      <c r="M65" s="48"/>
      <c r="N65" s="48"/>
      <c r="O65" s="49"/>
      <c r="P65" s="48"/>
      <c r="Q65" s="50"/>
      <c r="R65" s="51"/>
      <c r="S65" s="43"/>
      <c r="T65" s="73"/>
      <c r="U65" s="73"/>
      <c r="V65" s="74"/>
      <c r="W65" s="45"/>
      <c r="X65" s="71"/>
      <c r="Y65" s="71"/>
    </row>
    <row r="66" customFormat="false" ht="12.75" hidden="false" customHeight="false" outlineLevel="0" collapsed="false">
      <c r="B66" s="45"/>
      <c r="C66" s="43"/>
      <c r="D66" s="43"/>
      <c r="E66" s="44"/>
      <c r="F66" s="44"/>
      <c r="G66" s="45"/>
      <c r="H66" s="45"/>
      <c r="I66" s="43"/>
      <c r="J66" s="57"/>
      <c r="K66" s="48"/>
      <c r="L66" s="76"/>
      <c r="M66" s="48"/>
      <c r="N66" s="48"/>
      <c r="O66" s="113"/>
      <c r="P66" s="48"/>
      <c r="Q66" s="50"/>
      <c r="R66" s="43"/>
      <c r="S66" s="43"/>
      <c r="T66" s="114" t="n">
        <f aca="false">SUM(T53:T65)</f>
        <v>74409.8412</v>
      </c>
      <c r="W66" s="45"/>
      <c r="X66" s="115"/>
      <c r="Y66" s="115"/>
    </row>
    <row r="67" customFormat="false" ht="11.25" hidden="false" customHeight="true" outlineLevel="0" collapsed="false">
      <c r="B67" s="62" t="s">
        <v>180</v>
      </c>
      <c r="C67" s="63" t="s">
        <v>181</v>
      </c>
      <c r="D67" s="63" t="s">
        <v>182</v>
      </c>
      <c r="E67" s="64" t="s">
        <v>183</v>
      </c>
      <c r="F67" s="64"/>
      <c r="G67" s="62" t="s">
        <v>184</v>
      </c>
      <c r="H67" s="62" t="s">
        <v>185</v>
      </c>
      <c r="I67" s="63" t="s">
        <v>186</v>
      </c>
      <c r="J67" s="65" t="s">
        <v>187</v>
      </c>
      <c r="K67" s="63" t="s">
        <v>188</v>
      </c>
      <c r="L67" s="63" t="s">
        <v>189</v>
      </c>
      <c r="M67" s="63" t="s">
        <v>190</v>
      </c>
      <c r="N67" s="63" t="s">
        <v>191</v>
      </c>
      <c r="O67" s="66" t="s">
        <v>192</v>
      </c>
      <c r="P67" s="63" t="s">
        <v>193</v>
      </c>
      <c r="Q67" s="67" t="s">
        <v>194</v>
      </c>
      <c r="R67" s="63" t="s">
        <v>195</v>
      </c>
      <c r="S67" s="62" t="s">
        <v>196</v>
      </c>
      <c r="T67" s="68" t="s">
        <v>197</v>
      </c>
      <c r="U67" s="68" t="s">
        <v>198</v>
      </c>
      <c r="V67" s="69" t="s">
        <v>199</v>
      </c>
      <c r="W67" s="70" t="e">
        <f aca="false">+#REF!</f>
        <v>#REF!</v>
      </c>
      <c r="X67" s="71"/>
      <c r="Y67" s="71"/>
    </row>
    <row r="68" customFormat="false" ht="12.75" hidden="false" customHeight="false" outlineLevel="0" collapsed="false">
      <c r="A68" s="77"/>
      <c r="B68" s="78" t="s">
        <v>200</v>
      </c>
      <c r="C68" s="79" t="s">
        <v>62</v>
      </c>
      <c r="D68" s="79" t="s">
        <v>238</v>
      </c>
      <c r="E68" s="80" t="n">
        <v>36770</v>
      </c>
      <c r="F68" s="80" t="n">
        <v>37894</v>
      </c>
      <c r="G68" s="78" t="s">
        <v>251</v>
      </c>
      <c r="H68" s="78" t="s">
        <v>252</v>
      </c>
      <c r="I68" s="79" t="s">
        <v>253</v>
      </c>
      <c r="J68" s="81" t="n">
        <f aca="false">7.5654/J$1</f>
        <v>0.244045161290323</v>
      </c>
      <c r="K68" s="82" t="n">
        <v>0</v>
      </c>
      <c r="L68" s="82" t="n">
        <v>0.0022</v>
      </c>
      <c r="M68" s="82" t="n">
        <v>0</v>
      </c>
      <c r="N68" s="82" t="n">
        <v>0</v>
      </c>
      <c r="O68" s="83" t="n">
        <v>0</v>
      </c>
      <c r="P68" s="82" t="n">
        <f aca="false">SUM(J68:N68)</f>
        <v>0.246245161290323</v>
      </c>
      <c r="Q68" s="116" t="n">
        <v>3.6673</v>
      </c>
      <c r="R68" s="79" t="n">
        <v>764</v>
      </c>
      <c r="S68" s="78" t="s">
        <v>254</v>
      </c>
      <c r="T68" s="85" t="n">
        <f aca="false">J68*J$1*R68</f>
        <v>5779.9656</v>
      </c>
      <c r="U68" s="85"/>
      <c r="V68" s="86" t="n">
        <v>375520</v>
      </c>
      <c r="W68" s="78"/>
      <c r="X68" s="88"/>
      <c r="Y68" s="88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7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  <c r="GA68" s="77"/>
      <c r="GB68" s="77"/>
      <c r="GC68" s="77"/>
      <c r="GD68" s="77"/>
      <c r="GE68" s="77"/>
      <c r="GF68" s="77"/>
      <c r="GG68" s="77"/>
      <c r="GH68" s="77"/>
      <c r="GI68" s="77"/>
      <c r="GJ68" s="77"/>
      <c r="GK68" s="77"/>
      <c r="GL68" s="77"/>
      <c r="GM68" s="77"/>
      <c r="GN68" s="77"/>
      <c r="GO68" s="77"/>
      <c r="GP68" s="77"/>
      <c r="GQ68" s="77"/>
      <c r="GR68" s="77"/>
      <c r="GS68" s="77"/>
      <c r="GT68" s="77"/>
      <c r="GU68" s="77"/>
      <c r="GV68" s="77"/>
      <c r="GW68" s="77"/>
      <c r="GX68" s="77"/>
      <c r="GY68" s="77"/>
      <c r="GZ68" s="77"/>
      <c r="HA68" s="77"/>
      <c r="HB68" s="77"/>
      <c r="HC68" s="77"/>
      <c r="HD68" s="77"/>
      <c r="HE68" s="77"/>
      <c r="HF68" s="77"/>
      <c r="HG68" s="77"/>
      <c r="HH68" s="77"/>
      <c r="HI68" s="77"/>
      <c r="HJ68" s="77"/>
      <c r="HK68" s="77"/>
      <c r="HL68" s="77"/>
      <c r="HM68" s="77"/>
      <c r="HN68" s="77"/>
      <c r="HO68" s="77"/>
      <c r="HP68" s="77"/>
      <c r="HQ68" s="77"/>
      <c r="HR68" s="77"/>
      <c r="HS68" s="77"/>
      <c r="HT68" s="77"/>
      <c r="HU68" s="77"/>
      <c r="HV68" s="77"/>
      <c r="HW68" s="77"/>
      <c r="HX68" s="77"/>
      <c r="HY68" s="77"/>
      <c r="HZ68" s="77"/>
      <c r="IA68" s="77"/>
      <c r="IB68" s="77"/>
      <c r="IC68" s="77"/>
      <c r="ID68" s="77"/>
      <c r="IE68" s="77"/>
      <c r="IF68" s="77"/>
      <c r="IG68" s="77"/>
      <c r="IH68" s="77"/>
      <c r="II68" s="77"/>
      <c r="IJ68" s="77"/>
      <c r="IK68" s="77"/>
      <c r="IL68" s="77"/>
      <c r="IM68" s="77"/>
      <c r="IN68" s="77"/>
      <c r="IO68" s="77"/>
      <c r="IP68" s="77"/>
      <c r="IQ68" s="77"/>
      <c r="IR68" s="77"/>
      <c r="IS68" s="77"/>
      <c r="IT68" s="77"/>
      <c r="IU68" s="77"/>
      <c r="IV68" s="77"/>
      <c r="IW68" s="77"/>
    </row>
    <row r="69" customFormat="false" ht="12.75" hidden="false" customHeight="false" outlineLevel="0" collapsed="false">
      <c r="A69" s="77"/>
      <c r="B69" s="78" t="s">
        <v>200</v>
      </c>
      <c r="C69" s="79" t="s">
        <v>62</v>
      </c>
      <c r="D69" s="79" t="s">
        <v>238</v>
      </c>
      <c r="E69" s="80" t="n">
        <v>36770</v>
      </c>
      <c r="F69" s="80" t="n">
        <v>37894</v>
      </c>
      <c r="G69" s="78" t="s">
        <v>255</v>
      </c>
      <c r="H69" s="78" t="s">
        <v>252</v>
      </c>
      <c r="I69" s="79" t="s">
        <v>253</v>
      </c>
      <c r="J69" s="81" t="n">
        <f aca="false">+J68</f>
        <v>0.244045161290323</v>
      </c>
      <c r="K69" s="82" t="n">
        <v>0</v>
      </c>
      <c r="L69" s="82" t="n">
        <v>0.0022</v>
      </c>
      <c r="M69" s="82" t="n">
        <v>0</v>
      </c>
      <c r="N69" s="82" t="n">
        <v>0</v>
      </c>
      <c r="O69" s="83" t="n">
        <v>0</v>
      </c>
      <c r="P69" s="82" t="n">
        <f aca="false">SUM(J69:N69)</f>
        <v>0.246245161290323</v>
      </c>
      <c r="Q69" s="116" t="n">
        <f aca="false">+Q68</f>
        <v>3.6673</v>
      </c>
      <c r="R69" s="79" t="n">
        <v>1123</v>
      </c>
      <c r="S69" s="78" t="str">
        <f aca="false">+S68</f>
        <v>#021351</v>
      </c>
      <c r="T69" s="85" t="n">
        <f aca="false">J69*J$1*R69</f>
        <v>8495.9442</v>
      </c>
      <c r="U69" s="85"/>
      <c r="V69" s="86" t="n">
        <f aca="false">+V68</f>
        <v>375520</v>
      </c>
      <c r="W69" s="78"/>
      <c r="X69" s="88"/>
      <c r="Y69" s="88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7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  <c r="GA69" s="77"/>
      <c r="GB69" s="77"/>
      <c r="GC69" s="77"/>
      <c r="GD69" s="77"/>
      <c r="GE69" s="77"/>
      <c r="GF69" s="77"/>
      <c r="GG69" s="77"/>
      <c r="GH69" s="77"/>
      <c r="GI69" s="77"/>
      <c r="GJ69" s="77"/>
      <c r="GK69" s="77"/>
      <c r="GL69" s="77"/>
      <c r="GM69" s="77"/>
      <c r="GN69" s="77"/>
      <c r="GO69" s="77"/>
      <c r="GP69" s="77"/>
      <c r="GQ69" s="77"/>
      <c r="GR69" s="77"/>
      <c r="GS69" s="77"/>
      <c r="GT69" s="77"/>
      <c r="GU69" s="77"/>
      <c r="GV69" s="77"/>
      <c r="GW69" s="77"/>
      <c r="GX69" s="77"/>
      <c r="GY69" s="77"/>
      <c r="GZ69" s="77"/>
      <c r="HA69" s="77"/>
      <c r="HB69" s="77"/>
      <c r="HC69" s="77"/>
      <c r="HD69" s="77"/>
      <c r="HE69" s="77"/>
      <c r="HF69" s="77"/>
      <c r="HG69" s="77"/>
      <c r="HH69" s="77"/>
      <c r="HI69" s="77"/>
      <c r="HJ69" s="77"/>
      <c r="HK69" s="77"/>
      <c r="HL69" s="77"/>
      <c r="HM69" s="77"/>
      <c r="HN69" s="77"/>
      <c r="HO69" s="77"/>
      <c r="HP69" s="77"/>
      <c r="HQ69" s="77"/>
      <c r="HR69" s="77"/>
      <c r="HS69" s="77"/>
      <c r="HT69" s="77"/>
      <c r="HU69" s="77"/>
      <c r="HV69" s="77"/>
      <c r="HW69" s="77"/>
      <c r="HX69" s="77"/>
      <c r="HY69" s="77"/>
      <c r="HZ69" s="77"/>
      <c r="IA69" s="77"/>
      <c r="IB69" s="77"/>
      <c r="IC69" s="77"/>
      <c r="ID69" s="77"/>
      <c r="IE69" s="77"/>
      <c r="IF69" s="77"/>
      <c r="IG69" s="77"/>
      <c r="IH69" s="77"/>
      <c r="II69" s="77"/>
      <c r="IJ69" s="77"/>
      <c r="IK69" s="77"/>
      <c r="IL69" s="77"/>
      <c r="IM69" s="77"/>
      <c r="IN69" s="77"/>
      <c r="IO69" s="77"/>
      <c r="IP69" s="77"/>
      <c r="IQ69" s="77"/>
      <c r="IR69" s="77"/>
      <c r="IS69" s="77"/>
      <c r="IT69" s="77"/>
      <c r="IU69" s="77"/>
      <c r="IV69" s="77"/>
      <c r="IW69" s="77"/>
    </row>
    <row r="70" customFormat="false" ht="12.75" hidden="false" customHeight="false" outlineLevel="0" collapsed="false">
      <c r="A70" s="77"/>
      <c r="B70" s="78" t="s">
        <v>200</v>
      </c>
      <c r="C70" s="79" t="s">
        <v>62</v>
      </c>
      <c r="D70" s="79" t="s">
        <v>238</v>
      </c>
      <c r="E70" s="80" t="n">
        <v>36770</v>
      </c>
      <c r="F70" s="80" t="n">
        <v>37894</v>
      </c>
      <c r="G70" s="78" t="s">
        <v>224</v>
      </c>
      <c r="H70" s="78" t="s">
        <v>252</v>
      </c>
      <c r="I70" s="79" t="s">
        <v>253</v>
      </c>
      <c r="J70" s="81" t="n">
        <f aca="false">+J69</f>
        <v>0.244045161290323</v>
      </c>
      <c r="K70" s="82" t="n">
        <v>0</v>
      </c>
      <c r="L70" s="82" t="n">
        <v>0.0022</v>
      </c>
      <c r="M70" s="82" t="n">
        <v>0</v>
      </c>
      <c r="N70" s="82" t="n">
        <v>0</v>
      </c>
      <c r="O70" s="83" t="n">
        <v>0</v>
      </c>
      <c r="P70" s="82" t="n">
        <f aca="false">SUM(J70:N70)</f>
        <v>0.246245161290323</v>
      </c>
      <c r="Q70" s="116" t="n">
        <f aca="false">+Q69</f>
        <v>3.6673</v>
      </c>
      <c r="R70" s="79" t="n">
        <f aca="false">853+1752</f>
        <v>2605</v>
      </c>
      <c r="S70" s="78" t="str">
        <f aca="false">+S69</f>
        <v>#021351</v>
      </c>
      <c r="T70" s="85" t="n">
        <f aca="false">J70*J$1*R70</f>
        <v>19707.867</v>
      </c>
      <c r="U70" s="85"/>
      <c r="V70" s="86" t="n">
        <f aca="false">+V69</f>
        <v>375520</v>
      </c>
      <c r="W70" s="78"/>
      <c r="X70" s="88"/>
      <c r="Y70" s="88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7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  <c r="GA70" s="77"/>
      <c r="GB70" s="77"/>
      <c r="GC70" s="77"/>
      <c r="GD70" s="77"/>
      <c r="GE70" s="77"/>
      <c r="GF70" s="77"/>
      <c r="GG70" s="77"/>
      <c r="GH70" s="77"/>
      <c r="GI70" s="77"/>
      <c r="GJ70" s="77"/>
      <c r="GK70" s="77"/>
      <c r="GL70" s="77"/>
      <c r="GM70" s="77"/>
      <c r="GN70" s="77"/>
      <c r="GO70" s="77"/>
      <c r="GP70" s="77"/>
      <c r="GQ70" s="77"/>
      <c r="GR70" s="77"/>
      <c r="GS70" s="77"/>
      <c r="GT70" s="77"/>
      <c r="GU70" s="77"/>
      <c r="GV70" s="77"/>
      <c r="GW70" s="77"/>
      <c r="GX70" s="77"/>
      <c r="GY70" s="77"/>
      <c r="GZ70" s="77"/>
      <c r="HA70" s="77"/>
      <c r="HB70" s="77"/>
      <c r="HC70" s="77"/>
      <c r="HD70" s="77"/>
      <c r="HE70" s="77"/>
      <c r="HF70" s="77"/>
      <c r="HG70" s="77"/>
      <c r="HH70" s="77"/>
      <c r="HI70" s="77"/>
      <c r="HJ70" s="77"/>
      <c r="HK70" s="77"/>
      <c r="HL70" s="77"/>
      <c r="HM70" s="77"/>
      <c r="HN70" s="77"/>
      <c r="HO70" s="77"/>
      <c r="HP70" s="77"/>
      <c r="HQ70" s="77"/>
      <c r="HR70" s="77"/>
      <c r="HS70" s="77"/>
      <c r="HT70" s="77"/>
      <c r="HU70" s="77"/>
      <c r="HV70" s="77"/>
      <c r="HW70" s="77"/>
      <c r="HX70" s="77"/>
      <c r="HY70" s="77"/>
      <c r="HZ70" s="77"/>
      <c r="IA70" s="77"/>
      <c r="IB70" s="77"/>
      <c r="IC70" s="77"/>
      <c r="ID70" s="77"/>
      <c r="IE70" s="77"/>
      <c r="IF70" s="77"/>
      <c r="IG70" s="77"/>
      <c r="IH70" s="77"/>
      <c r="II70" s="77"/>
      <c r="IJ70" s="77"/>
      <c r="IK70" s="77"/>
      <c r="IL70" s="77"/>
      <c r="IM70" s="77"/>
      <c r="IN70" s="77"/>
      <c r="IO70" s="77"/>
      <c r="IP70" s="77"/>
      <c r="IQ70" s="77"/>
      <c r="IR70" s="77"/>
      <c r="IS70" s="77"/>
      <c r="IT70" s="77"/>
      <c r="IU70" s="77"/>
      <c r="IV70" s="77"/>
      <c r="IW70" s="77"/>
    </row>
    <row r="71" customFormat="false" ht="12.75" hidden="false" customHeight="false" outlineLevel="0" collapsed="false">
      <c r="A71" s="77"/>
      <c r="B71" s="78" t="s">
        <v>200</v>
      </c>
      <c r="C71" s="79" t="s">
        <v>62</v>
      </c>
      <c r="D71" s="79" t="s">
        <v>238</v>
      </c>
      <c r="E71" s="80" t="n">
        <v>36800</v>
      </c>
      <c r="F71" s="80" t="n">
        <v>36830</v>
      </c>
      <c r="G71" s="78" t="s">
        <v>251</v>
      </c>
      <c r="H71" s="78" t="s">
        <v>252</v>
      </c>
      <c r="I71" s="79" t="s">
        <v>253</v>
      </c>
      <c r="J71" s="81" t="n">
        <f aca="false">7.5654/J$1</f>
        <v>0.244045161290323</v>
      </c>
      <c r="K71" s="82" t="n">
        <v>0</v>
      </c>
      <c r="L71" s="82" t="n">
        <v>0.0022</v>
      </c>
      <c r="M71" s="82" t="n">
        <v>0</v>
      </c>
      <c r="N71" s="82" t="n">
        <v>0</v>
      </c>
      <c r="O71" s="83" t="n">
        <v>0</v>
      </c>
      <c r="P71" s="82" t="n">
        <f aca="false">SUM(J71:N71)</f>
        <v>0.246245161290323</v>
      </c>
      <c r="Q71" s="116" t="n">
        <v>3.6946</v>
      </c>
      <c r="R71" s="117" t="n">
        <v>20</v>
      </c>
      <c r="S71" s="78" t="s">
        <v>256</v>
      </c>
      <c r="T71" s="85" t="n">
        <f aca="false">J71*J$1*R71</f>
        <v>151.308</v>
      </c>
      <c r="U71" s="85"/>
      <c r="V71" s="86" t="n">
        <v>418202</v>
      </c>
      <c r="W71" s="78"/>
      <c r="X71" s="88"/>
      <c r="Y71" s="88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7"/>
      <c r="FO71" s="77"/>
      <c r="FP71" s="77"/>
      <c r="FQ71" s="77"/>
      <c r="FR71" s="77"/>
      <c r="FS71" s="77"/>
      <c r="FT71" s="77"/>
      <c r="FU71" s="77"/>
      <c r="FV71" s="77"/>
      <c r="FW71" s="77"/>
      <c r="FX71" s="77"/>
      <c r="FY71" s="77"/>
      <c r="FZ71" s="77"/>
      <c r="GA71" s="77"/>
      <c r="GB71" s="77"/>
      <c r="GC71" s="77"/>
      <c r="GD71" s="77"/>
      <c r="GE71" s="77"/>
      <c r="GF71" s="77"/>
      <c r="GG71" s="77"/>
      <c r="GH71" s="77"/>
      <c r="GI71" s="77"/>
      <c r="GJ71" s="77"/>
      <c r="GK71" s="77"/>
      <c r="GL71" s="77"/>
      <c r="GM71" s="77"/>
      <c r="GN71" s="77"/>
      <c r="GO71" s="77"/>
      <c r="GP71" s="77"/>
      <c r="GQ71" s="77"/>
      <c r="GR71" s="77"/>
      <c r="GS71" s="77"/>
      <c r="GT71" s="77"/>
      <c r="GU71" s="77"/>
      <c r="GV71" s="77"/>
      <c r="GW71" s="77"/>
      <c r="GX71" s="77"/>
      <c r="GY71" s="77"/>
      <c r="GZ71" s="77"/>
      <c r="HA71" s="77"/>
      <c r="HB71" s="77"/>
      <c r="HC71" s="77"/>
      <c r="HD71" s="77"/>
      <c r="HE71" s="77"/>
      <c r="HF71" s="77"/>
      <c r="HG71" s="77"/>
      <c r="HH71" s="77"/>
      <c r="HI71" s="77"/>
      <c r="HJ71" s="77"/>
      <c r="HK71" s="77"/>
      <c r="HL71" s="77"/>
      <c r="HM71" s="77"/>
      <c r="HN71" s="77"/>
      <c r="HO71" s="77"/>
      <c r="HP71" s="77"/>
      <c r="HQ71" s="77"/>
      <c r="HR71" s="77"/>
      <c r="HS71" s="77"/>
      <c r="HT71" s="77"/>
      <c r="HU71" s="77"/>
      <c r="HV71" s="77"/>
      <c r="HW71" s="77"/>
      <c r="HX71" s="77"/>
      <c r="HY71" s="77"/>
      <c r="HZ71" s="77"/>
      <c r="IA71" s="77"/>
      <c r="IB71" s="77"/>
      <c r="IC71" s="77"/>
      <c r="ID71" s="77"/>
      <c r="IE71" s="77"/>
      <c r="IF71" s="77"/>
      <c r="IG71" s="77"/>
      <c r="IH71" s="77"/>
      <c r="II71" s="77"/>
      <c r="IJ71" s="77"/>
      <c r="IK71" s="77"/>
      <c r="IL71" s="77"/>
      <c r="IM71" s="77"/>
      <c r="IN71" s="77"/>
      <c r="IO71" s="77"/>
      <c r="IP71" s="77"/>
      <c r="IQ71" s="77"/>
      <c r="IR71" s="77"/>
      <c r="IS71" s="77"/>
      <c r="IT71" s="77"/>
      <c r="IU71" s="77"/>
      <c r="IV71" s="77"/>
      <c r="IW71" s="77"/>
    </row>
    <row r="72" customFormat="false" ht="12.75" hidden="false" customHeight="false" outlineLevel="0" collapsed="false">
      <c r="A72" s="77"/>
      <c r="B72" s="78" t="s">
        <v>200</v>
      </c>
      <c r="C72" s="79" t="s">
        <v>62</v>
      </c>
      <c r="D72" s="79" t="s">
        <v>238</v>
      </c>
      <c r="E72" s="80" t="n">
        <v>36800</v>
      </c>
      <c r="F72" s="80" t="n">
        <v>36830</v>
      </c>
      <c r="G72" s="78" t="s">
        <v>255</v>
      </c>
      <c r="H72" s="78" t="s">
        <v>252</v>
      </c>
      <c r="I72" s="79" t="s">
        <v>253</v>
      </c>
      <c r="J72" s="81" t="n">
        <f aca="false">7.5654/J$1</f>
        <v>0.244045161290323</v>
      </c>
      <c r="K72" s="82" t="n">
        <v>0</v>
      </c>
      <c r="L72" s="82" t="n">
        <v>0.0022</v>
      </c>
      <c r="M72" s="82" t="n">
        <v>0</v>
      </c>
      <c r="N72" s="82" t="n">
        <v>0</v>
      </c>
      <c r="O72" s="83" t="n">
        <v>0</v>
      </c>
      <c r="P72" s="82" t="n">
        <f aca="false">SUM(J72:N72)</f>
        <v>0.246245161290323</v>
      </c>
      <c r="Q72" s="116" t="n">
        <v>3.6946</v>
      </c>
      <c r="R72" s="79" t="n">
        <v>29</v>
      </c>
      <c r="S72" s="78" t="str">
        <f aca="false">+S71</f>
        <v>#021608</v>
      </c>
      <c r="T72" s="85" t="n">
        <f aca="false">J72*J$1*R72</f>
        <v>219.3966</v>
      </c>
      <c r="U72" s="85"/>
      <c r="V72" s="86" t="n">
        <v>418202</v>
      </c>
      <c r="W72" s="78"/>
      <c r="X72" s="88"/>
      <c r="Y72" s="88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7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  <c r="GA72" s="77"/>
      <c r="GB72" s="77"/>
      <c r="GC72" s="77"/>
      <c r="GD72" s="77"/>
      <c r="GE72" s="77"/>
      <c r="GF72" s="77"/>
      <c r="GG72" s="77"/>
      <c r="GH72" s="77"/>
      <c r="GI72" s="77"/>
      <c r="GJ72" s="77"/>
      <c r="GK72" s="77"/>
      <c r="GL72" s="77"/>
      <c r="GM72" s="77"/>
      <c r="GN72" s="77"/>
      <c r="GO72" s="77"/>
      <c r="GP72" s="77"/>
      <c r="GQ72" s="77"/>
      <c r="GR72" s="77"/>
      <c r="GS72" s="77"/>
      <c r="GT72" s="77"/>
      <c r="GU72" s="77"/>
      <c r="GV72" s="77"/>
      <c r="GW72" s="77"/>
      <c r="GX72" s="77"/>
      <c r="GY72" s="77"/>
      <c r="GZ72" s="77"/>
      <c r="HA72" s="77"/>
      <c r="HB72" s="77"/>
      <c r="HC72" s="77"/>
      <c r="HD72" s="77"/>
      <c r="HE72" s="77"/>
      <c r="HF72" s="77"/>
      <c r="HG72" s="77"/>
      <c r="HH72" s="77"/>
      <c r="HI72" s="77"/>
      <c r="HJ72" s="77"/>
      <c r="HK72" s="77"/>
      <c r="HL72" s="77"/>
      <c r="HM72" s="77"/>
      <c r="HN72" s="77"/>
      <c r="HO72" s="77"/>
      <c r="HP72" s="77"/>
      <c r="HQ72" s="77"/>
      <c r="HR72" s="77"/>
      <c r="HS72" s="77"/>
      <c r="HT72" s="77"/>
      <c r="HU72" s="77"/>
      <c r="HV72" s="77"/>
      <c r="HW72" s="77"/>
      <c r="HX72" s="77"/>
      <c r="HY72" s="77"/>
      <c r="HZ72" s="77"/>
      <c r="IA72" s="77"/>
      <c r="IB72" s="77"/>
      <c r="IC72" s="77"/>
      <c r="ID72" s="77"/>
      <c r="IE72" s="77"/>
      <c r="IF72" s="77"/>
      <c r="IG72" s="77"/>
      <c r="IH72" s="77"/>
      <c r="II72" s="77"/>
      <c r="IJ72" s="77"/>
      <c r="IK72" s="77"/>
      <c r="IL72" s="77"/>
      <c r="IM72" s="77"/>
      <c r="IN72" s="77"/>
      <c r="IO72" s="77"/>
      <c r="IP72" s="77"/>
      <c r="IQ72" s="77"/>
      <c r="IR72" s="77"/>
      <c r="IS72" s="77"/>
      <c r="IT72" s="77"/>
      <c r="IU72" s="77"/>
      <c r="IV72" s="77"/>
      <c r="IW72" s="77"/>
    </row>
    <row r="73" customFormat="false" ht="12.75" hidden="false" customHeight="false" outlineLevel="0" collapsed="false">
      <c r="A73" s="77"/>
      <c r="B73" s="78" t="s">
        <v>200</v>
      </c>
      <c r="C73" s="79" t="s">
        <v>62</v>
      </c>
      <c r="D73" s="79" t="s">
        <v>238</v>
      </c>
      <c r="E73" s="80" t="n">
        <v>36800</v>
      </c>
      <c r="F73" s="80" t="s">
        <v>257</v>
      </c>
      <c r="G73" s="78" t="s">
        <v>224</v>
      </c>
      <c r="H73" s="78" t="s">
        <v>252</v>
      </c>
      <c r="I73" s="79" t="s">
        <v>253</v>
      </c>
      <c r="J73" s="81" t="n">
        <f aca="false">7.5654/J$1</f>
        <v>0.244045161290323</v>
      </c>
      <c r="K73" s="82" t="n">
        <v>0</v>
      </c>
      <c r="L73" s="82" t="n">
        <v>0.0022</v>
      </c>
      <c r="M73" s="82" t="n">
        <v>0</v>
      </c>
      <c r="N73" s="82" t="n">
        <v>0</v>
      </c>
      <c r="O73" s="83" t="n">
        <v>0</v>
      </c>
      <c r="P73" s="82" t="n">
        <f aca="false">SUM(J73:N73)</f>
        <v>0.246245161290323</v>
      </c>
      <c r="Q73" s="116" t="n">
        <v>3.6946</v>
      </c>
      <c r="R73" s="79" t="n">
        <f aca="false">22+46</f>
        <v>68</v>
      </c>
      <c r="S73" s="78" t="str">
        <f aca="false">+S72</f>
        <v>#021608</v>
      </c>
      <c r="T73" s="85" t="n">
        <f aca="false">J73*J$1*R73</f>
        <v>514.4472</v>
      </c>
      <c r="U73" s="85"/>
      <c r="V73" s="86" t="n">
        <v>418202</v>
      </c>
      <c r="W73" s="78"/>
      <c r="X73" s="88"/>
      <c r="Y73" s="88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77"/>
      <c r="FL73" s="77"/>
      <c r="FM73" s="77"/>
      <c r="FN73" s="77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  <c r="GA73" s="77"/>
      <c r="GB73" s="77"/>
      <c r="GC73" s="77"/>
      <c r="GD73" s="77"/>
      <c r="GE73" s="77"/>
      <c r="GF73" s="77"/>
      <c r="GG73" s="77"/>
      <c r="GH73" s="77"/>
      <c r="GI73" s="77"/>
      <c r="GJ73" s="77"/>
      <c r="GK73" s="77"/>
      <c r="GL73" s="77"/>
      <c r="GM73" s="77"/>
      <c r="GN73" s="77"/>
      <c r="GO73" s="77"/>
      <c r="GP73" s="77"/>
      <c r="GQ73" s="77"/>
      <c r="GR73" s="77"/>
      <c r="GS73" s="77"/>
      <c r="GT73" s="77"/>
      <c r="GU73" s="77"/>
      <c r="GV73" s="77"/>
      <c r="GW73" s="77"/>
      <c r="GX73" s="77"/>
      <c r="GY73" s="77"/>
      <c r="GZ73" s="77"/>
      <c r="HA73" s="77"/>
      <c r="HB73" s="77"/>
      <c r="HC73" s="77"/>
      <c r="HD73" s="77"/>
      <c r="HE73" s="77"/>
      <c r="HF73" s="77"/>
      <c r="HG73" s="77"/>
      <c r="HH73" s="77"/>
      <c r="HI73" s="77"/>
      <c r="HJ73" s="77"/>
      <c r="HK73" s="77"/>
      <c r="HL73" s="77"/>
      <c r="HM73" s="77"/>
      <c r="HN73" s="77"/>
      <c r="HO73" s="77"/>
      <c r="HP73" s="77"/>
      <c r="HQ73" s="77"/>
      <c r="HR73" s="77"/>
      <c r="HS73" s="77"/>
      <c r="HT73" s="77"/>
      <c r="HU73" s="77"/>
      <c r="HV73" s="77"/>
      <c r="HW73" s="77"/>
      <c r="HX73" s="77"/>
      <c r="HY73" s="77"/>
      <c r="HZ73" s="77"/>
      <c r="IA73" s="77"/>
      <c r="IB73" s="77"/>
      <c r="IC73" s="77"/>
      <c r="ID73" s="77"/>
      <c r="IE73" s="77"/>
      <c r="IF73" s="77"/>
      <c r="IG73" s="77"/>
      <c r="IH73" s="77"/>
      <c r="II73" s="77"/>
      <c r="IJ73" s="77"/>
      <c r="IK73" s="77"/>
      <c r="IL73" s="77"/>
      <c r="IM73" s="77"/>
      <c r="IN73" s="77"/>
      <c r="IO73" s="77"/>
      <c r="IP73" s="77"/>
      <c r="IQ73" s="77"/>
      <c r="IR73" s="77"/>
      <c r="IS73" s="77"/>
      <c r="IT73" s="77"/>
      <c r="IU73" s="77"/>
      <c r="IV73" s="77"/>
      <c r="IW73" s="77"/>
    </row>
    <row r="74" customFormat="false" ht="12.75" hidden="false" customHeight="false" outlineLevel="0" collapsed="false">
      <c r="A74" s="77"/>
      <c r="B74" s="78" t="s">
        <v>200</v>
      </c>
      <c r="C74" s="79" t="s">
        <v>62</v>
      </c>
      <c r="D74" s="79" t="s">
        <v>238</v>
      </c>
      <c r="E74" s="80" t="n">
        <v>36770</v>
      </c>
      <c r="F74" s="80" t="n">
        <v>37864</v>
      </c>
      <c r="G74" s="78" t="s">
        <v>251</v>
      </c>
      <c r="H74" s="78" t="s">
        <v>252</v>
      </c>
      <c r="I74" s="79" t="s">
        <v>253</v>
      </c>
      <c r="J74" s="81" t="n">
        <f aca="false">7.5654/J$1</f>
        <v>0.244045161290323</v>
      </c>
      <c r="K74" s="82" t="n">
        <v>0</v>
      </c>
      <c r="L74" s="82" t="n">
        <v>0.0022</v>
      </c>
      <c r="M74" s="82" t="n">
        <v>0</v>
      </c>
      <c r="N74" s="82" t="n">
        <v>0</v>
      </c>
      <c r="O74" s="83" t="n">
        <v>0</v>
      </c>
      <c r="P74" s="82" t="n">
        <f aca="false">SUM(J74:N74)</f>
        <v>0.246245161290323</v>
      </c>
      <c r="Q74" s="116" t="n">
        <v>3.6675</v>
      </c>
      <c r="R74" s="117" t="n">
        <v>46</v>
      </c>
      <c r="S74" s="78" t="s">
        <v>258</v>
      </c>
      <c r="T74" s="85" t="n">
        <f aca="false">J74*J$1*R74</f>
        <v>348.0084</v>
      </c>
      <c r="U74" s="85"/>
      <c r="V74" s="86" t="n">
        <v>375532</v>
      </c>
      <c r="W74" s="78"/>
      <c r="X74" s="88"/>
      <c r="Y74" s="88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7"/>
      <c r="GB74" s="77"/>
      <c r="GC74" s="77"/>
      <c r="GD74" s="77"/>
      <c r="GE74" s="77"/>
      <c r="GF74" s="77"/>
      <c r="GG74" s="77"/>
      <c r="GH74" s="77"/>
      <c r="GI74" s="77"/>
      <c r="GJ74" s="77"/>
      <c r="GK74" s="77"/>
      <c r="GL74" s="77"/>
      <c r="GM74" s="77"/>
      <c r="GN74" s="77"/>
      <c r="GO74" s="77"/>
      <c r="GP74" s="77"/>
      <c r="GQ74" s="77"/>
      <c r="GR74" s="77"/>
      <c r="GS74" s="77"/>
      <c r="GT74" s="77"/>
      <c r="GU74" s="77"/>
      <c r="GV74" s="77"/>
      <c r="GW74" s="77"/>
      <c r="GX74" s="77"/>
      <c r="GY74" s="77"/>
      <c r="GZ74" s="77"/>
      <c r="HA74" s="77"/>
      <c r="HB74" s="77"/>
      <c r="HC74" s="77"/>
      <c r="HD74" s="77"/>
      <c r="HE74" s="77"/>
      <c r="HF74" s="77"/>
      <c r="HG74" s="77"/>
      <c r="HH74" s="77"/>
      <c r="HI74" s="77"/>
      <c r="HJ74" s="77"/>
      <c r="HK74" s="77"/>
      <c r="HL74" s="77"/>
      <c r="HM74" s="77"/>
      <c r="HN74" s="77"/>
      <c r="HO74" s="77"/>
      <c r="HP74" s="77"/>
      <c r="HQ74" s="77"/>
      <c r="HR74" s="77"/>
      <c r="HS74" s="77"/>
      <c r="HT74" s="77"/>
      <c r="HU74" s="77"/>
      <c r="HV74" s="77"/>
      <c r="HW74" s="77"/>
      <c r="HX74" s="77"/>
      <c r="HY74" s="77"/>
      <c r="HZ74" s="77"/>
      <c r="IA74" s="77"/>
      <c r="IB74" s="77"/>
      <c r="IC74" s="77"/>
      <c r="ID74" s="77"/>
      <c r="IE74" s="77"/>
      <c r="IF74" s="77"/>
      <c r="IG74" s="77"/>
      <c r="IH74" s="77"/>
      <c r="II74" s="77"/>
      <c r="IJ74" s="77"/>
      <c r="IK74" s="77"/>
      <c r="IL74" s="77"/>
      <c r="IM74" s="77"/>
      <c r="IN74" s="77"/>
      <c r="IO74" s="77"/>
      <c r="IP74" s="77"/>
      <c r="IQ74" s="77"/>
      <c r="IR74" s="77"/>
      <c r="IS74" s="77"/>
      <c r="IT74" s="77"/>
      <c r="IU74" s="77"/>
      <c r="IV74" s="77"/>
      <c r="IW74" s="77"/>
    </row>
    <row r="75" customFormat="false" ht="12.75" hidden="false" customHeight="false" outlineLevel="0" collapsed="false">
      <c r="A75" s="77"/>
      <c r="B75" s="78" t="s">
        <v>200</v>
      </c>
      <c r="C75" s="79" t="s">
        <v>62</v>
      </c>
      <c r="D75" s="79" t="s">
        <v>238</v>
      </c>
      <c r="E75" s="80" t="n">
        <v>36770</v>
      </c>
      <c r="F75" s="80" t="n">
        <v>37864</v>
      </c>
      <c r="G75" s="78" t="s">
        <v>255</v>
      </c>
      <c r="H75" s="78" t="s">
        <v>252</v>
      </c>
      <c r="I75" s="79" t="s">
        <v>253</v>
      </c>
      <c r="J75" s="81" t="n">
        <f aca="false">7.5654/J$1</f>
        <v>0.244045161290323</v>
      </c>
      <c r="K75" s="82" t="n">
        <v>0</v>
      </c>
      <c r="L75" s="82" t="n">
        <v>0.0022</v>
      </c>
      <c r="M75" s="82" t="n">
        <v>0</v>
      </c>
      <c r="N75" s="82" t="n">
        <v>0</v>
      </c>
      <c r="O75" s="83" t="n">
        <v>0</v>
      </c>
      <c r="P75" s="82" t="n">
        <f aca="false">SUM(J75:N75)</f>
        <v>0.246245161290323</v>
      </c>
      <c r="Q75" s="116" t="n">
        <f aca="false">+Q74</f>
        <v>3.6675</v>
      </c>
      <c r="R75" s="79" t="n">
        <v>68</v>
      </c>
      <c r="S75" s="78" t="str">
        <f aca="false">+S74</f>
        <v>#021349</v>
      </c>
      <c r="T75" s="85" t="n">
        <f aca="false">J75*J$1*R75</f>
        <v>514.4472</v>
      </c>
      <c r="U75" s="85"/>
      <c r="V75" s="86" t="n">
        <v>375532</v>
      </c>
      <c r="W75" s="78"/>
      <c r="X75" s="88"/>
      <c r="Y75" s="88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  <c r="GA75" s="77"/>
      <c r="GB75" s="77"/>
      <c r="GC75" s="77"/>
      <c r="GD75" s="77"/>
      <c r="GE75" s="77"/>
      <c r="GF75" s="77"/>
      <c r="GG75" s="77"/>
      <c r="GH75" s="77"/>
      <c r="GI75" s="77"/>
      <c r="GJ75" s="77"/>
      <c r="GK75" s="77"/>
      <c r="GL75" s="77"/>
      <c r="GM75" s="77"/>
      <c r="GN75" s="77"/>
      <c r="GO75" s="77"/>
      <c r="GP75" s="77"/>
      <c r="GQ75" s="77"/>
      <c r="GR75" s="77"/>
      <c r="GS75" s="77"/>
      <c r="GT75" s="77"/>
      <c r="GU75" s="77"/>
      <c r="GV75" s="77"/>
      <c r="GW75" s="77"/>
      <c r="GX75" s="77"/>
      <c r="GY75" s="77"/>
      <c r="GZ75" s="77"/>
      <c r="HA75" s="77"/>
      <c r="HB75" s="77"/>
      <c r="HC75" s="77"/>
      <c r="HD75" s="77"/>
      <c r="HE75" s="77"/>
      <c r="HF75" s="77"/>
      <c r="HG75" s="77"/>
      <c r="HH75" s="77"/>
      <c r="HI75" s="77"/>
      <c r="HJ75" s="77"/>
      <c r="HK75" s="77"/>
      <c r="HL75" s="77"/>
      <c r="HM75" s="77"/>
      <c r="HN75" s="77"/>
      <c r="HO75" s="77"/>
      <c r="HP75" s="77"/>
      <c r="HQ75" s="77"/>
      <c r="HR75" s="77"/>
      <c r="HS75" s="77"/>
      <c r="HT75" s="77"/>
      <c r="HU75" s="77"/>
      <c r="HV75" s="77"/>
      <c r="HW75" s="77"/>
      <c r="HX75" s="77"/>
      <c r="HY75" s="77"/>
      <c r="HZ75" s="77"/>
      <c r="IA75" s="77"/>
      <c r="IB75" s="77"/>
      <c r="IC75" s="77"/>
      <c r="ID75" s="77"/>
      <c r="IE75" s="77"/>
      <c r="IF75" s="77"/>
      <c r="IG75" s="77"/>
      <c r="IH75" s="77"/>
      <c r="II75" s="77"/>
      <c r="IJ75" s="77"/>
      <c r="IK75" s="77"/>
      <c r="IL75" s="77"/>
      <c r="IM75" s="77"/>
      <c r="IN75" s="77"/>
      <c r="IO75" s="77"/>
      <c r="IP75" s="77"/>
      <c r="IQ75" s="77"/>
      <c r="IR75" s="77"/>
      <c r="IS75" s="77"/>
      <c r="IT75" s="77"/>
      <c r="IU75" s="77"/>
      <c r="IV75" s="77"/>
      <c r="IW75" s="77"/>
    </row>
    <row r="76" customFormat="false" ht="12.75" hidden="false" customHeight="false" outlineLevel="0" collapsed="false">
      <c r="A76" s="77"/>
      <c r="B76" s="78" t="s">
        <v>200</v>
      </c>
      <c r="C76" s="79" t="s">
        <v>62</v>
      </c>
      <c r="D76" s="79" t="s">
        <v>238</v>
      </c>
      <c r="E76" s="80" t="n">
        <v>36770</v>
      </c>
      <c r="F76" s="80" t="n">
        <v>37864</v>
      </c>
      <c r="G76" s="78" t="s">
        <v>224</v>
      </c>
      <c r="H76" s="78" t="s">
        <v>252</v>
      </c>
      <c r="I76" s="79" t="s">
        <v>253</v>
      </c>
      <c r="J76" s="81" t="n">
        <f aca="false">7.5654/J$1</f>
        <v>0.244045161290323</v>
      </c>
      <c r="K76" s="82" t="n">
        <v>0</v>
      </c>
      <c r="L76" s="82" t="n">
        <v>0.0022</v>
      </c>
      <c r="M76" s="82" t="n">
        <v>0</v>
      </c>
      <c r="N76" s="82" t="n">
        <v>0</v>
      </c>
      <c r="O76" s="83" t="n">
        <v>0</v>
      </c>
      <c r="P76" s="82" t="n">
        <f aca="false">SUM(J76:N76)</f>
        <v>0.246245161290323</v>
      </c>
      <c r="Q76" s="116" t="n">
        <f aca="false">+Q75</f>
        <v>3.6675</v>
      </c>
      <c r="R76" s="79" t="n">
        <f aca="false">51+105</f>
        <v>156</v>
      </c>
      <c r="S76" s="78" t="str">
        <f aca="false">+S75</f>
        <v>#021349</v>
      </c>
      <c r="T76" s="85" t="n">
        <f aca="false">J76*J$1*R76</f>
        <v>1180.2024</v>
      </c>
      <c r="U76" s="85"/>
      <c r="V76" s="86" t="n">
        <v>375532</v>
      </c>
      <c r="W76" s="78"/>
      <c r="X76" s="88"/>
      <c r="Y76" s="88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7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77"/>
      <c r="GA76" s="77"/>
      <c r="GB76" s="77"/>
      <c r="GC76" s="77"/>
      <c r="GD76" s="77"/>
      <c r="GE76" s="77"/>
      <c r="GF76" s="77"/>
      <c r="GG76" s="77"/>
      <c r="GH76" s="77"/>
      <c r="GI76" s="77"/>
      <c r="GJ76" s="77"/>
      <c r="GK76" s="77"/>
      <c r="GL76" s="77"/>
      <c r="GM76" s="77"/>
      <c r="GN76" s="77"/>
      <c r="GO76" s="77"/>
      <c r="GP76" s="77"/>
      <c r="GQ76" s="77"/>
      <c r="GR76" s="77"/>
      <c r="GS76" s="77"/>
      <c r="GT76" s="77"/>
      <c r="GU76" s="77"/>
      <c r="GV76" s="77"/>
      <c r="GW76" s="77"/>
      <c r="GX76" s="77"/>
      <c r="GY76" s="77"/>
      <c r="GZ76" s="77"/>
      <c r="HA76" s="77"/>
      <c r="HB76" s="77"/>
      <c r="HC76" s="77"/>
      <c r="HD76" s="77"/>
      <c r="HE76" s="77"/>
      <c r="HF76" s="77"/>
      <c r="HG76" s="77"/>
      <c r="HH76" s="77"/>
      <c r="HI76" s="77"/>
      <c r="HJ76" s="77"/>
      <c r="HK76" s="77"/>
      <c r="HL76" s="77"/>
      <c r="HM76" s="77"/>
      <c r="HN76" s="77"/>
      <c r="HO76" s="77"/>
      <c r="HP76" s="77"/>
      <c r="HQ76" s="77"/>
      <c r="HR76" s="77"/>
      <c r="HS76" s="77"/>
      <c r="HT76" s="77"/>
      <c r="HU76" s="77"/>
      <c r="HV76" s="77"/>
      <c r="HW76" s="77"/>
      <c r="HX76" s="77"/>
      <c r="HY76" s="77"/>
      <c r="HZ76" s="77"/>
      <c r="IA76" s="77"/>
      <c r="IB76" s="77"/>
      <c r="IC76" s="77"/>
      <c r="ID76" s="77"/>
      <c r="IE76" s="77"/>
      <c r="IF76" s="77"/>
      <c r="IG76" s="77"/>
      <c r="IH76" s="77"/>
      <c r="II76" s="77"/>
      <c r="IJ76" s="77"/>
      <c r="IK76" s="77"/>
      <c r="IL76" s="77"/>
      <c r="IM76" s="77"/>
      <c r="IN76" s="77"/>
      <c r="IO76" s="77"/>
      <c r="IP76" s="77"/>
      <c r="IQ76" s="77"/>
      <c r="IR76" s="77"/>
      <c r="IS76" s="77"/>
      <c r="IT76" s="77"/>
      <c r="IU76" s="77"/>
      <c r="IV76" s="77"/>
      <c r="IW76" s="77"/>
    </row>
    <row r="77" customFormat="false" ht="12.75" hidden="false" customHeight="false" outlineLevel="0" collapsed="false">
      <c r="A77" s="77"/>
      <c r="B77" s="78" t="s">
        <v>200</v>
      </c>
      <c r="C77" s="79" t="s">
        <v>62</v>
      </c>
      <c r="D77" s="79" t="s">
        <v>238</v>
      </c>
      <c r="E77" s="80" t="n">
        <v>36770</v>
      </c>
      <c r="F77" s="80" t="n">
        <v>37864</v>
      </c>
      <c r="G77" s="78" t="s">
        <v>259</v>
      </c>
      <c r="H77" s="78" t="s">
        <v>252</v>
      </c>
      <c r="I77" s="79" t="s">
        <v>260</v>
      </c>
      <c r="J77" s="81" t="n">
        <f aca="false">14.1875/30</f>
        <v>0.472916666666667</v>
      </c>
      <c r="K77" s="82" t="n">
        <v>0</v>
      </c>
      <c r="L77" s="82" t="n">
        <v>0.0022</v>
      </c>
      <c r="M77" s="82" t="n">
        <v>0</v>
      </c>
      <c r="N77" s="82" t="n">
        <v>0</v>
      </c>
      <c r="O77" s="83" t="n">
        <v>0</v>
      </c>
      <c r="P77" s="82" t="n">
        <f aca="false">SUM(J77:N77)</f>
        <v>0.475116666666667</v>
      </c>
      <c r="Q77" s="118" t="n">
        <v>3.6674</v>
      </c>
      <c r="R77" s="79" t="n">
        <v>3575</v>
      </c>
      <c r="S77" s="78" t="s">
        <v>261</v>
      </c>
      <c r="T77" s="85" t="n">
        <f aca="false">J77*J$1*R77</f>
        <v>52410.9895833333</v>
      </c>
      <c r="U77" s="85"/>
      <c r="V77" s="86" t="n">
        <v>375527</v>
      </c>
      <c r="W77" s="78"/>
      <c r="X77" s="88"/>
      <c r="Y77" s="88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7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  <c r="GA77" s="77"/>
      <c r="GB77" s="77"/>
      <c r="GC77" s="77"/>
      <c r="GD77" s="77"/>
      <c r="GE77" s="77"/>
      <c r="GF77" s="77"/>
      <c r="GG77" s="77"/>
      <c r="GH77" s="77"/>
      <c r="GI77" s="77"/>
      <c r="GJ77" s="77"/>
      <c r="GK77" s="77"/>
      <c r="GL77" s="77"/>
      <c r="GM77" s="77"/>
      <c r="GN77" s="77"/>
      <c r="GO77" s="77"/>
      <c r="GP77" s="77"/>
      <c r="GQ77" s="77"/>
      <c r="GR77" s="77"/>
      <c r="GS77" s="77"/>
      <c r="GT77" s="77"/>
      <c r="GU77" s="77"/>
      <c r="GV77" s="77"/>
      <c r="GW77" s="77"/>
      <c r="GX77" s="77"/>
      <c r="GY77" s="77"/>
      <c r="GZ77" s="77"/>
      <c r="HA77" s="77"/>
      <c r="HB77" s="77"/>
      <c r="HC77" s="77"/>
      <c r="HD77" s="77"/>
      <c r="HE77" s="77"/>
      <c r="HF77" s="77"/>
      <c r="HG77" s="77"/>
      <c r="HH77" s="77"/>
      <c r="HI77" s="77"/>
      <c r="HJ77" s="77"/>
      <c r="HK77" s="77"/>
      <c r="HL77" s="77"/>
      <c r="HM77" s="77"/>
      <c r="HN77" s="77"/>
      <c r="HO77" s="77"/>
      <c r="HP77" s="77"/>
      <c r="HQ77" s="77"/>
      <c r="HR77" s="77"/>
      <c r="HS77" s="77"/>
      <c r="HT77" s="77"/>
      <c r="HU77" s="77"/>
      <c r="HV77" s="77"/>
      <c r="HW77" s="77"/>
      <c r="HX77" s="77"/>
      <c r="HY77" s="77"/>
      <c r="HZ77" s="77"/>
      <c r="IA77" s="77"/>
      <c r="IB77" s="77"/>
      <c r="IC77" s="77"/>
      <c r="ID77" s="77"/>
      <c r="IE77" s="77"/>
      <c r="IF77" s="77"/>
      <c r="IG77" s="77"/>
      <c r="IH77" s="77"/>
      <c r="II77" s="77"/>
      <c r="IJ77" s="77"/>
      <c r="IK77" s="77"/>
      <c r="IL77" s="77"/>
      <c r="IM77" s="77"/>
      <c r="IN77" s="77"/>
      <c r="IO77" s="77"/>
      <c r="IP77" s="77"/>
      <c r="IQ77" s="77"/>
      <c r="IR77" s="77"/>
      <c r="IS77" s="77"/>
      <c r="IT77" s="77"/>
      <c r="IU77" s="77"/>
      <c r="IV77" s="77"/>
      <c r="IW77" s="77"/>
    </row>
    <row r="78" customFormat="false" ht="12.75" hidden="false" customHeight="false" outlineLevel="0" collapsed="false">
      <c r="A78" s="77"/>
      <c r="B78" s="78" t="s">
        <v>200</v>
      </c>
      <c r="C78" s="79" t="s">
        <v>62</v>
      </c>
      <c r="D78" s="79" t="s">
        <v>238</v>
      </c>
      <c r="E78" s="80" t="n">
        <v>36800</v>
      </c>
      <c r="F78" s="80" t="n">
        <v>36830</v>
      </c>
      <c r="G78" s="78" t="s">
        <v>259</v>
      </c>
      <c r="H78" s="78" t="s">
        <v>252</v>
      </c>
      <c r="I78" s="79" t="s">
        <v>260</v>
      </c>
      <c r="J78" s="81" t="n">
        <f aca="false">14.1875/30</f>
        <v>0.472916666666667</v>
      </c>
      <c r="K78" s="82" t="n">
        <v>0</v>
      </c>
      <c r="L78" s="82" t="n">
        <v>0.0022</v>
      </c>
      <c r="M78" s="82" t="n">
        <v>0</v>
      </c>
      <c r="N78" s="82" t="n">
        <v>0</v>
      </c>
      <c r="O78" s="83" t="n">
        <v>0</v>
      </c>
      <c r="P78" s="82" t="n">
        <f aca="false">SUM(J78:N78)</f>
        <v>0.475116666666667</v>
      </c>
      <c r="Q78" s="118" t="n">
        <v>3.6945</v>
      </c>
      <c r="R78" s="79" t="n">
        <v>1535</v>
      </c>
      <c r="S78" s="78" t="s">
        <v>262</v>
      </c>
      <c r="T78" s="85" t="n">
        <f aca="false">J78*J$1*R78</f>
        <v>22503.7395833333</v>
      </c>
      <c r="U78" s="85"/>
      <c r="V78" s="86" t="n">
        <v>413290</v>
      </c>
      <c r="W78" s="78"/>
      <c r="X78" s="88"/>
      <c r="Y78" s="88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7"/>
      <c r="FO78" s="77"/>
      <c r="FP78" s="77"/>
      <c r="FQ78" s="77"/>
      <c r="FR78" s="77"/>
      <c r="FS78" s="77"/>
      <c r="FT78" s="77"/>
      <c r="FU78" s="77"/>
      <c r="FV78" s="77"/>
      <c r="FW78" s="77"/>
      <c r="FX78" s="77"/>
      <c r="FY78" s="77"/>
      <c r="FZ78" s="77"/>
      <c r="GA78" s="77"/>
      <c r="GB78" s="77"/>
      <c r="GC78" s="77"/>
      <c r="GD78" s="77"/>
      <c r="GE78" s="77"/>
      <c r="GF78" s="77"/>
      <c r="GG78" s="77"/>
      <c r="GH78" s="77"/>
      <c r="GI78" s="77"/>
      <c r="GJ78" s="77"/>
      <c r="GK78" s="77"/>
      <c r="GL78" s="77"/>
      <c r="GM78" s="77"/>
      <c r="GN78" s="77"/>
      <c r="GO78" s="77"/>
      <c r="GP78" s="77"/>
      <c r="GQ78" s="77"/>
      <c r="GR78" s="77"/>
      <c r="GS78" s="77"/>
      <c r="GT78" s="77"/>
      <c r="GU78" s="77"/>
      <c r="GV78" s="77"/>
      <c r="GW78" s="77"/>
      <c r="GX78" s="77"/>
      <c r="GY78" s="77"/>
      <c r="GZ78" s="77"/>
      <c r="HA78" s="77"/>
      <c r="HB78" s="77"/>
      <c r="HC78" s="77"/>
      <c r="HD78" s="77"/>
      <c r="HE78" s="77"/>
      <c r="HF78" s="77"/>
      <c r="HG78" s="77"/>
      <c r="HH78" s="77"/>
      <c r="HI78" s="77"/>
      <c r="HJ78" s="77"/>
      <c r="HK78" s="77"/>
      <c r="HL78" s="77"/>
      <c r="HM78" s="77"/>
      <c r="HN78" s="77"/>
      <c r="HO78" s="77"/>
      <c r="HP78" s="77"/>
      <c r="HQ78" s="77"/>
      <c r="HR78" s="77"/>
      <c r="HS78" s="77"/>
      <c r="HT78" s="77"/>
      <c r="HU78" s="77"/>
      <c r="HV78" s="77"/>
      <c r="HW78" s="77"/>
      <c r="HX78" s="77"/>
      <c r="HY78" s="77"/>
      <c r="HZ78" s="77"/>
      <c r="IA78" s="77"/>
      <c r="IB78" s="77"/>
      <c r="IC78" s="77"/>
      <c r="ID78" s="77"/>
      <c r="IE78" s="77"/>
      <c r="IF78" s="77"/>
      <c r="IG78" s="77"/>
      <c r="IH78" s="77"/>
      <c r="II78" s="77"/>
      <c r="IJ78" s="77"/>
      <c r="IK78" s="77"/>
      <c r="IL78" s="77"/>
      <c r="IM78" s="77"/>
      <c r="IN78" s="77"/>
      <c r="IO78" s="77"/>
      <c r="IP78" s="77"/>
      <c r="IQ78" s="77"/>
      <c r="IR78" s="77"/>
      <c r="IS78" s="77"/>
      <c r="IT78" s="77"/>
      <c r="IU78" s="77"/>
      <c r="IV78" s="77"/>
      <c r="IW78" s="77"/>
    </row>
    <row r="79" customFormat="false" ht="12.75" hidden="false" customHeight="false" outlineLevel="0" collapsed="false">
      <c r="A79" s="77"/>
      <c r="B79" s="78" t="s">
        <v>200</v>
      </c>
      <c r="C79" s="79" t="s">
        <v>62</v>
      </c>
      <c r="D79" s="79" t="s">
        <v>238</v>
      </c>
      <c r="E79" s="80" t="n">
        <v>36800</v>
      </c>
      <c r="F79" s="80" t="n">
        <v>36830</v>
      </c>
      <c r="G79" s="78" t="s">
        <v>251</v>
      </c>
      <c r="H79" s="78" t="s">
        <v>252</v>
      </c>
      <c r="I79" s="79" t="s">
        <v>253</v>
      </c>
      <c r="J79" s="81" t="n">
        <f aca="false">7.5654/J$1</f>
        <v>0.244045161290323</v>
      </c>
      <c r="K79" s="82" t="n">
        <v>0</v>
      </c>
      <c r="L79" s="82" t="n">
        <v>0.0022</v>
      </c>
      <c r="M79" s="82" t="n">
        <v>0</v>
      </c>
      <c r="N79" s="82" t="n">
        <v>0</v>
      </c>
      <c r="O79" s="83" t="n">
        <v>0</v>
      </c>
      <c r="P79" s="82" t="n">
        <f aca="false">SUM(J79:N79)</f>
        <v>0.246245161290323</v>
      </c>
      <c r="Q79" s="116" t="n">
        <v>3.6944</v>
      </c>
      <c r="R79" s="117" t="n">
        <v>326</v>
      </c>
      <c r="S79" s="78" t="s">
        <v>263</v>
      </c>
      <c r="T79" s="85" t="n">
        <f aca="false">J79*J$1*R79</f>
        <v>2466.3204</v>
      </c>
      <c r="U79" s="85"/>
      <c r="V79" s="86" t="n">
        <v>413530</v>
      </c>
      <c r="W79" s="78"/>
      <c r="X79" s="88"/>
      <c r="Y79" s="88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7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  <c r="GA79" s="77"/>
      <c r="GB79" s="77"/>
      <c r="GC79" s="77"/>
      <c r="GD79" s="77"/>
      <c r="GE79" s="77"/>
      <c r="GF79" s="77"/>
      <c r="GG79" s="77"/>
      <c r="GH79" s="77"/>
      <c r="GI79" s="77"/>
      <c r="GJ79" s="77"/>
      <c r="GK79" s="77"/>
      <c r="GL79" s="77"/>
      <c r="GM79" s="77"/>
      <c r="GN79" s="77"/>
      <c r="GO79" s="77"/>
      <c r="GP79" s="77"/>
      <c r="GQ79" s="77"/>
      <c r="GR79" s="77"/>
      <c r="GS79" s="77"/>
      <c r="GT79" s="77"/>
      <c r="GU79" s="77"/>
      <c r="GV79" s="77"/>
      <c r="GW79" s="77"/>
      <c r="GX79" s="77"/>
      <c r="GY79" s="77"/>
      <c r="GZ79" s="77"/>
      <c r="HA79" s="77"/>
      <c r="HB79" s="77"/>
      <c r="HC79" s="77"/>
      <c r="HD79" s="77"/>
      <c r="HE79" s="77"/>
      <c r="HF79" s="77"/>
      <c r="HG79" s="77"/>
      <c r="HH79" s="77"/>
      <c r="HI79" s="77"/>
      <c r="HJ79" s="77"/>
      <c r="HK79" s="77"/>
      <c r="HL79" s="77"/>
      <c r="HM79" s="77"/>
      <c r="HN79" s="77"/>
      <c r="HO79" s="77"/>
      <c r="HP79" s="77"/>
      <c r="HQ79" s="77"/>
      <c r="HR79" s="77"/>
      <c r="HS79" s="77"/>
      <c r="HT79" s="77"/>
      <c r="HU79" s="77"/>
      <c r="HV79" s="77"/>
      <c r="HW79" s="77"/>
      <c r="HX79" s="77"/>
      <c r="HY79" s="77"/>
      <c r="HZ79" s="77"/>
      <c r="IA79" s="77"/>
      <c r="IB79" s="77"/>
      <c r="IC79" s="77"/>
      <c r="ID79" s="77"/>
      <c r="IE79" s="77"/>
      <c r="IF79" s="77"/>
      <c r="IG79" s="77"/>
      <c r="IH79" s="77"/>
      <c r="II79" s="77"/>
      <c r="IJ79" s="77"/>
      <c r="IK79" s="77"/>
      <c r="IL79" s="77"/>
      <c r="IM79" s="77"/>
      <c r="IN79" s="77"/>
      <c r="IO79" s="77"/>
      <c r="IP79" s="77"/>
      <c r="IQ79" s="77"/>
      <c r="IR79" s="77"/>
      <c r="IS79" s="77"/>
      <c r="IT79" s="77"/>
      <c r="IU79" s="77"/>
      <c r="IV79" s="77"/>
      <c r="IW79" s="77"/>
    </row>
    <row r="80" customFormat="false" ht="12.75" hidden="false" customHeight="false" outlineLevel="0" collapsed="false">
      <c r="A80" s="77"/>
      <c r="B80" s="78" t="s">
        <v>200</v>
      </c>
      <c r="C80" s="79" t="s">
        <v>62</v>
      </c>
      <c r="D80" s="79" t="s">
        <v>238</v>
      </c>
      <c r="E80" s="80" t="n">
        <v>36800</v>
      </c>
      <c r="F80" s="80" t="n">
        <v>36830</v>
      </c>
      <c r="G80" s="78" t="s">
        <v>255</v>
      </c>
      <c r="H80" s="78" t="s">
        <v>252</v>
      </c>
      <c r="I80" s="79" t="s">
        <v>253</v>
      </c>
      <c r="J80" s="81" t="n">
        <f aca="false">7.5654/J$1</f>
        <v>0.244045161290323</v>
      </c>
      <c r="K80" s="82" t="n">
        <v>0</v>
      </c>
      <c r="L80" s="82" t="n">
        <v>0.0022</v>
      </c>
      <c r="M80" s="82" t="n">
        <v>0</v>
      </c>
      <c r="N80" s="82" t="n">
        <v>0</v>
      </c>
      <c r="O80" s="83" t="n">
        <v>0</v>
      </c>
      <c r="P80" s="82" t="n">
        <f aca="false">SUM(J80:N80)</f>
        <v>0.246245161290323</v>
      </c>
      <c r="Q80" s="116" t="n">
        <f aca="false">+Q79</f>
        <v>3.6944</v>
      </c>
      <c r="R80" s="79" t="n">
        <v>480</v>
      </c>
      <c r="S80" s="78" t="str">
        <f aca="false">+S79</f>
        <v>#021610</v>
      </c>
      <c r="T80" s="85" t="n">
        <f aca="false">J80*J$1*R80</f>
        <v>3631.392</v>
      </c>
      <c r="U80" s="85"/>
      <c r="V80" s="86" t="n">
        <f aca="false">+V79</f>
        <v>413530</v>
      </c>
      <c r="W80" s="78"/>
      <c r="X80" s="88"/>
      <c r="Y80" s="88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  <c r="FL80" s="77"/>
      <c r="FM80" s="77"/>
      <c r="FN80" s="77"/>
      <c r="FO80" s="77"/>
      <c r="FP80" s="77"/>
      <c r="FQ80" s="77"/>
      <c r="FR80" s="77"/>
      <c r="FS80" s="77"/>
      <c r="FT80" s="77"/>
      <c r="FU80" s="77"/>
      <c r="FV80" s="77"/>
      <c r="FW80" s="77"/>
      <c r="FX80" s="77"/>
      <c r="FY80" s="77"/>
      <c r="FZ80" s="77"/>
      <c r="GA80" s="77"/>
      <c r="GB80" s="77"/>
      <c r="GC80" s="77"/>
      <c r="GD80" s="77"/>
      <c r="GE80" s="77"/>
      <c r="GF80" s="77"/>
      <c r="GG80" s="77"/>
      <c r="GH80" s="77"/>
      <c r="GI80" s="77"/>
      <c r="GJ80" s="77"/>
      <c r="GK80" s="77"/>
      <c r="GL80" s="77"/>
      <c r="GM80" s="77"/>
      <c r="GN80" s="77"/>
      <c r="GO80" s="77"/>
      <c r="GP80" s="77"/>
      <c r="GQ80" s="77"/>
      <c r="GR80" s="77"/>
      <c r="GS80" s="77"/>
      <c r="GT80" s="77"/>
      <c r="GU80" s="77"/>
      <c r="GV80" s="77"/>
      <c r="GW80" s="77"/>
      <c r="GX80" s="77"/>
      <c r="GY80" s="77"/>
      <c r="GZ80" s="77"/>
      <c r="HA80" s="77"/>
      <c r="HB80" s="77"/>
      <c r="HC80" s="77"/>
      <c r="HD80" s="77"/>
      <c r="HE80" s="77"/>
      <c r="HF80" s="77"/>
      <c r="HG80" s="77"/>
      <c r="HH80" s="77"/>
      <c r="HI80" s="77"/>
      <c r="HJ80" s="77"/>
      <c r="HK80" s="77"/>
      <c r="HL80" s="77"/>
      <c r="HM80" s="77"/>
      <c r="HN80" s="77"/>
      <c r="HO80" s="77"/>
      <c r="HP80" s="77"/>
      <c r="HQ80" s="77"/>
      <c r="HR80" s="77"/>
      <c r="HS80" s="77"/>
      <c r="HT80" s="77"/>
      <c r="HU80" s="77"/>
      <c r="HV80" s="77"/>
      <c r="HW80" s="77"/>
      <c r="HX80" s="77"/>
      <c r="HY80" s="77"/>
      <c r="HZ80" s="77"/>
      <c r="IA80" s="77"/>
      <c r="IB80" s="77"/>
      <c r="IC80" s="77"/>
      <c r="ID80" s="77"/>
      <c r="IE80" s="77"/>
      <c r="IF80" s="77"/>
      <c r="IG80" s="77"/>
      <c r="IH80" s="77"/>
      <c r="II80" s="77"/>
      <c r="IJ80" s="77"/>
      <c r="IK80" s="77"/>
      <c r="IL80" s="77"/>
      <c r="IM80" s="77"/>
      <c r="IN80" s="77"/>
      <c r="IO80" s="77"/>
      <c r="IP80" s="77"/>
      <c r="IQ80" s="77"/>
      <c r="IR80" s="77"/>
      <c r="IS80" s="77"/>
      <c r="IT80" s="77"/>
      <c r="IU80" s="77"/>
      <c r="IV80" s="77"/>
      <c r="IW80" s="77"/>
    </row>
    <row r="81" customFormat="false" ht="12.75" hidden="false" customHeight="false" outlineLevel="0" collapsed="false">
      <c r="A81" s="77"/>
      <c r="B81" s="78" t="s">
        <v>200</v>
      </c>
      <c r="C81" s="79" t="s">
        <v>62</v>
      </c>
      <c r="D81" s="79" t="s">
        <v>238</v>
      </c>
      <c r="E81" s="80" t="n">
        <v>36800</v>
      </c>
      <c r="F81" s="80" t="n">
        <v>36830</v>
      </c>
      <c r="G81" s="78" t="s">
        <v>224</v>
      </c>
      <c r="H81" s="78" t="s">
        <v>252</v>
      </c>
      <c r="I81" s="79" t="s">
        <v>253</v>
      </c>
      <c r="J81" s="81" t="n">
        <f aca="false">7.5654/J$1</f>
        <v>0.244045161290323</v>
      </c>
      <c r="K81" s="82" t="n">
        <v>0</v>
      </c>
      <c r="L81" s="82" t="n">
        <v>0.0022</v>
      </c>
      <c r="M81" s="82" t="n">
        <v>0</v>
      </c>
      <c r="N81" s="82" t="n">
        <v>0</v>
      </c>
      <c r="O81" s="83" t="n">
        <v>0</v>
      </c>
      <c r="P81" s="82" t="n">
        <f aca="false">SUM(J81:N81)</f>
        <v>0.246245161290323</v>
      </c>
      <c r="Q81" s="116" t="n">
        <f aca="false">+Q80</f>
        <v>3.6944</v>
      </c>
      <c r="R81" s="79" t="n">
        <f aca="false">364+748</f>
        <v>1112</v>
      </c>
      <c r="S81" s="78" t="str">
        <f aca="false">+S80</f>
        <v>#021610</v>
      </c>
      <c r="T81" s="85" t="n">
        <f aca="false">J81*J$1*R81</f>
        <v>8412.7248</v>
      </c>
      <c r="U81" s="85"/>
      <c r="V81" s="86" t="n">
        <f aca="false">+V80</f>
        <v>413530</v>
      </c>
      <c r="W81" s="78"/>
      <c r="X81" s="88"/>
      <c r="Y81" s="88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  <c r="FN81" s="77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  <c r="GA81" s="77"/>
      <c r="GB81" s="77"/>
      <c r="GC81" s="77"/>
      <c r="GD81" s="77"/>
      <c r="GE81" s="77"/>
      <c r="GF81" s="77"/>
      <c r="GG81" s="77"/>
      <c r="GH81" s="77"/>
      <c r="GI81" s="77"/>
      <c r="GJ81" s="77"/>
      <c r="GK81" s="77"/>
      <c r="GL81" s="77"/>
      <c r="GM81" s="77"/>
      <c r="GN81" s="77"/>
      <c r="GO81" s="77"/>
      <c r="GP81" s="77"/>
      <c r="GQ81" s="77"/>
      <c r="GR81" s="77"/>
      <c r="GS81" s="77"/>
      <c r="GT81" s="77"/>
      <c r="GU81" s="77"/>
      <c r="GV81" s="77"/>
      <c r="GW81" s="77"/>
      <c r="GX81" s="77"/>
      <c r="GY81" s="77"/>
      <c r="GZ81" s="77"/>
      <c r="HA81" s="77"/>
      <c r="HB81" s="77"/>
      <c r="HC81" s="77"/>
      <c r="HD81" s="77"/>
      <c r="HE81" s="77"/>
      <c r="HF81" s="77"/>
      <c r="HG81" s="77"/>
      <c r="HH81" s="77"/>
      <c r="HI81" s="77"/>
      <c r="HJ81" s="77"/>
      <c r="HK81" s="77"/>
      <c r="HL81" s="77"/>
      <c r="HM81" s="77"/>
      <c r="HN81" s="77"/>
      <c r="HO81" s="77"/>
      <c r="HP81" s="77"/>
      <c r="HQ81" s="77"/>
      <c r="HR81" s="77"/>
      <c r="HS81" s="77"/>
      <c r="HT81" s="77"/>
      <c r="HU81" s="77"/>
      <c r="HV81" s="77"/>
      <c r="HW81" s="77"/>
      <c r="HX81" s="77"/>
      <c r="HY81" s="77"/>
      <c r="HZ81" s="77"/>
      <c r="IA81" s="77"/>
      <c r="IB81" s="77"/>
      <c r="IC81" s="77"/>
      <c r="ID81" s="77"/>
      <c r="IE81" s="77"/>
      <c r="IF81" s="77"/>
      <c r="IG81" s="77"/>
      <c r="IH81" s="77"/>
      <c r="II81" s="77"/>
      <c r="IJ81" s="77"/>
      <c r="IK81" s="77"/>
      <c r="IL81" s="77"/>
      <c r="IM81" s="77"/>
      <c r="IN81" s="77"/>
      <c r="IO81" s="77"/>
      <c r="IP81" s="77"/>
      <c r="IQ81" s="77"/>
      <c r="IR81" s="77"/>
      <c r="IS81" s="77"/>
      <c r="IT81" s="77"/>
      <c r="IU81" s="77"/>
      <c r="IV81" s="77"/>
      <c r="IW81" s="77"/>
    </row>
    <row r="82" customFormat="false" ht="12.75" hidden="false" customHeight="false" outlineLevel="0" collapsed="false">
      <c r="A82" s="77"/>
      <c r="B82" s="78" t="s">
        <v>200</v>
      </c>
      <c r="C82" s="79" t="s">
        <v>62</v>
      </c>
      <c r="D82" s="79" t="s">
        <v>238</v>
      </c>
      <c r="E82" s="80" t="n">
        <v>36800</v>
      </c>
      <c r="F82" s="80" t="n">
        <v>36830</v>
      </c>
      <c r="G82" s="78" t="s">
        <v>264</v>
      </c>
      <c r="H82" s="78"/>
      <c r="I82" s="79" t="s">
        <v>265</v>
      </c>
      <c r="J82" s="81" t="n">
        <v>0.0079</v>
      </c>
      <c r="K82" s="82" t="n">
        <v>0</v>
      </c>
      <c r="L82" s="82" t="n">
        <v>0.0022</v>
      </c>
      <c r="M82" s="82" t="n">
        <v>0</v>
      </c>
      <c r="N82" s="82" t="n">
        <v>0</v>
      </c>
      <c r="O82" s="83" t="n">
        <v>0</v>
      </c>
      <c r="P82" s="82" t="n">
        <f aca="false">SUM(J82:N82)</f>
        <v>0.0101</v>
      </c>
      <c r="Q82" s="118" t="n">
        <v>3.6955</v>
      </c>
      <c r="R82" s="79" t="n">
        <v>112190</v>
      </c>
      <c r="S82" s="78" t="s">
        <v>266</v>
      </c>
      <c r="T82" s="119" t="n">
        <f aca="false">+R82*J82</f>
        <v>886.301</v>
      </c>
      <c r="U82" s="85"/>
      <c r="V82" s="86" t="n">
        <v>418272</v>
      </c>
      <c r="W82" s="78"/>
      <c r="X82" s="88"/>
      <c r="Y82" s="88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77"/>
      <c r="EP82" s="77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77"/>
      <c r="FL82" s="77"/>
      <c r="FM82" s="77"/>
      <c r="FN82" s="77"/>
      <c r="FO82" s="77"/>
      <c r="FP82" s="77"/>
      <c r="FQ82" s="77"/>
      <c r="FR82" s="77"/>
      <c r="FS82" s="77"/>
      <c r="FT82" s="77"/>
      <c r="FU82" s="77"/>
      <c r="FV82" s="77"/>
      <c r="FW82" s="77"/>
      <c r="FX82" s="77"/>
      <c r="FY82" s="77"/>
      <c r="FZ82" s="77"/>
      <c r="GA82" s="77"/>
      <c r="GB82" s="77"/>
      <c r="GC82" s="77"/>
      <c r="GD82" s="77"/>
      <c r="GE82" s="77"/>
      <c r="GF82" s="77"/>
      <c r="GG82" s="77"/>
      <c r="GH82" s="77"/>
      <c r="GI82" s="77"/>
      <c r="GJ82" s="77"/>
      <c r="GK82" s="77"/>
      <c r="GL82" s="77"/>
      <c r="GM82" s="77"/>
      <c r="GN82" s="77"/>
      <c r="GO82" s="77"/>
      <c r="GP82" s="77"/>
      <c r="GQ82" s="77"/>
      <c r="GR82" s="77"/>
      <c r="GS82" s="77"/>
      <c r="GT82" s="77"/>
      <c r="GU82" s="77"/>
      <c r="GV82" s="77"/>
      <c r="GW82" s="77"/>
      <c r="GX82" s="77"/>
      <c r="GY82" s="77"/>
      <c r="GZ82" s="77"/>
      <c r="HA82" s="77"/>
      <c r="HB82" s="77"/>
      <c r="HC82" s="77"/>
      <c r="HD82" s="77"/>
      <c r="HE82" s="77"/>
      <c r="HF82" s="77"/>
      <c r="HG82" s="77"/>
      <c r="HH82" s="77"/>
      <c r="HI82" s="77"/>
      <c r="HJ82" s="77"/>
      <c r="HK82" s="77"/>
      <c r="HL82" s="77"/>
      <c r="HM82" s="77"/>
      <c r="HN82" s="77"/>
      <c r="HO82" s="77"/>
      <c r="HP82" s="77"/>
      <c r="HQ82" s="77"/>
      <c r="HR82" s="77"/>
      <c r="HS82" s="77"/>
      <c r="HT82" s="77"/>
      <c r="HU82" s="77"/>
      <c r="HV82" s="77"/>
      <c r="HW82" s="77"/>
      <c r="HX82" s="77"/>
      <c r="HY82" s="77"/>
      <c r="HZ82" s="77"/>
      <c r="IA82" s="77"/>
      <c r="IB82" s="77"/>
      <c r="IC82" s="77"/>
      <c r="ID82" s="77"/>
      <c r="IE82" s="77"/>
      <c r="IF82" s="77"/>
      <c r="IG82" s="77"/>
      <c r="IH82" s="77"/>
      <c r="II82" s="77"/>
      <c r="IJ82" s="77"/>
      <c r="IK82" s="77"/>
      <c r="IL82" s="77"/>
      <c r="IM82" s="77"/>
      <c r="IN82" s="77"/>
      <c r="IO82" s="77"/>
      <c r="IP82" s="77"/>
      <c r="IQ82" s="77"/>
      <c r="IR82" s="77"/>
      <c r="IS82" s="77"/>
      <c r="IT82" s="77"/>
      <c r="IU82" s="77"/>
      <c r="IV82" s="77"/>
      <c r="IW82" s="77"/>
    </row>
    <row r="83" customFormat="false" ht="12.75" hidden="false" customHeight="false" outlineLevel="0" collapsed="false">
      <c r="A83" s="77"/>
      <c r="B83" s="78" t="s">
        <v>200</v>
      </c>
      <c r="C83" s="79" t="s">
        <v>62</v>
      </c>
      <c r="D83" s="79" t="s">
        <v>238</v>
      </c>
      <c r="E83" s="80" t="n">
        <v>36800</v>
      </c>
      <c r="F83" s="80" t="n">
        <v>36830</v>
      </c>
      <c r="G83" s="78" t="s">
        <v>267</v>
      </c>
      <c r="H83" s="78"/>
      <c r="I83" s="79" t="s">
        <v>265</v>
      </c>
      <c r="J83" s="81" t="n">
        <v>0.6673</v>
      </c>
      <c r="K83" s="82" t="n">
        <v>0</v>
      </c>
      <c r="L83" s="82" t="n">
        <v>0.0022</v>
      </c>
      <c r="M83" s="82" t="n">
        <v>0</v>
      </c>
      <c r="N83" s="82" t="n">
        <v>0</v>
      </c>
      <c r="O83" s="83" t="n">
        <v>0</v>
      </c>
      <c r="P83" s="82" t="n">
        <f aca="false">SUM(J83:N83)</f>
        <v>0.6695</v>
      </c>
      <c r="Q83" s="118" t="n">
        <v>3.6955</v>
      </c>
      <c r="R83" s="79" t="n">
        <v>1320</v>
      </c>
      <c r="S83" s="78" t="s">
        <v>266</v>
      </c>
      <c r="T83" s="119" t="n">
        <f aca="false">+R83*J83</f>
        <v>880.836</v>
      </c>
      <c r="U83" s="85"/>
      <c r="V83" s="86" t="n">
        <v>418272</v>
      </c>
      <c r="W83" s="78"/>
      <c r="X83" s="88"/>
      <c r="Y83" s="88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  <c r="EO83" s="77"/>
      <c r="EP83" s="77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  <c r="FB83" s="77"/>
      <c r="FC83" s="77"/>
      <c r="FD83" s="77"/>
      <c r="FE83" s="77"/>
      <c r="FF83" s="77"/>
      <c r="FG83" s="77"/>
      <c r="FH83" s="77"/>
      <c r="FI83" s="77"/>
      <c r="FJ83" s="77"/>
      <c r="FK83" s="77"/>
      <c r="FL83" s="77"/>
      <c r="FM83" s="77"/>
      <c r="FN83" s="77"/>
      <c r="FO83" s="77"/>
      <c r="FP83" s="77"/>
      <c r="FQ83" s="77"/>
      <c r="FR83" s="77"/>
      <c r="FS83" s="77"/>
      <c r="FT83" s="77"/>
      <c r="FU83" s="77"/>
      <c r="FV83" s="77"/>
      <c r="FW83" s="77"/>
      <c r="FX83" s="77"/>
      <c r="FY83" s="77"/>
      <c r="FZ83" s="77"/>
      <c r="GA83" s="77"/>
      <c r="GB83" s="77"/>
      <c r="GC83" s="77"/>
      <c r="GD83" s="77"/>
      <c r="GE83" s="77"/>
      <c r="GF83" s="77"/>
      <c r="GG83" s="77"/>
      <c r="GH83" s="77"/>
      <c r="GI83" s="77"/>
      <c r="GJ83" s="77"/>
      <c r="GK83" s="77"/>
      <c r="GL83" s="77"/>
      <c r="GM83" s="77"/>
      <c r="GN83" s="77"/>
      <c r="GO83" s="77"/>
      <c r="GP83" s="77"/>
      <c r="GQ83" s="77"/>
      <c r="GR83" s="77"/>
      <c r="GS83" s="77"/>
      <c r="GT83" s="77"/>
      <c r="GU83" s="77"/>
      <c r="GV83" s="77"/>
      <c r="GW83" s="77"/>
      <c r="GX83" s="77"/>
      <c r="GY83" s="77"/>
      <c r="GZ83" s="77"/>
      <c r="HA83" s="77"/>
      <c r="HB83" s="77"/>
      <c r="HC83" s="77"/>
      <c r="HD83" s="77"/>
      <c r="HE83" s="77"/>
      <c r="HF83" s="77"/>
      <c r="HG83" s="77"/>
      <c r="HH83" s="77"/>
      <c r="HI83" s="77"/>
      <c r="HJ83" s="77"/>
      <c r="HK83" s="77"/>
      <c r="HL83" s="77"/>
      <c r="HM83" s="77"/>
      <c r="HN83" s="77"/>
      <c r="HO83" s="77"/>
      <c r="HP83" s="77"/>
      <c r="HQ83" s="77"/>
      <c r="HR83" s="77"/>
      <c r="HS83" s="77"/>
      <c r="HT83" s="77"/>
      <c r="HU83" s="77"/>
      <c r="HV83" s="77"/>
      <c r="HW83" s="77"/>
      <c r="HX83" s="77"/>
      <c r="HY83" s="77"/>
      <c r="HZ83" s="77"/>
      <c r="IA83" s="77"/>
      <c r="IB83" s="77"/>
      <c r="IC83" s="77"/>
      <c r="ID83" s="77"/>
      <c r="IE83" s="77"/>
      <c r="IF83" s="77"/>
      <c r="IG83" s="77"/>
      <c r="IH83" s="77"/>
      <c r="II83" s="77"/>
      <c r="IJ83" s="77"/>
      <c r="IK83" s="77"/>
      <c r="IL83" s="77"/>
      <c r="IM83" s="77"/>
      <c r="IN83" s="77"/>
      <c r="IO83" s="77"/>
      <c r="IP83" s="77"/>
      <c r="IQ83" s="77"/>
      <c r="IR83" s="77"/>
      <c r="IS83" s="77"/>
      <c r="IT83" s="77"/>
      <c r="IU83" s="77"/>
      <c r="IV83" s="77"/>
      <c r="IW83" s="77"/>
    </row>
    <row r="84" customFormat="false" ht="12.75" hidden="false" customHeight="false" outlineLevel="0" collapsed="false">
      <c r="A84" s="77"/>
      <c r="B84" s="78" t="s">
        <v>200</v>
      </c>
      <c r="C84" s="79" t="s">
        <v>62</v>
      </c>
      <c r="D84" s="79" t="s">
        <v>238</v>
      </c>
      <c r="E84" s="80" t="n">
        <v>36770</v>
      </c>
      <c r="F84" s="80" t="n">
        <v>37864</v>
      </c>
      <c r="G84" s="78" t="s">
        <v>264</v>
      </c>
      <c r="H84" s="78"/>
      <c r="I84" s="79" t="s">
        <v>265</v>
      </c>
      <c r="J84" s="81" t="n">
        <v>0.0079</v>
      </c>
      <c r="K84" s="82" t="n">
        <v>0</v>
      </c>
      <c r="L84" s="82" t="n">
        <v>0.0022</v>
      </c>
      <c r="M84" s="82" t="n">
        <v>0</v>
      </c>
      <c r="N84" s="82" t="n">
        <v>0</v>
      </c>
      <c r="O84" s="83" t="n">
        <v>0</v>
      </c>
      <c r="P84" s="82" t="n">
        <f aca="false">SUM(J84:N84)</f>
        <v>0.0101</v>
      </c>
      <c r="Q84" s="116" t="n">
        <v>3.6686</v>
      </c>
      <c r="R84" s="79" t="n">
        <v>261182</v>
      </c>
      <c r="S84" s="78" t="s">
        <v>268</v>
      </c>
      <c r="T84" s="119" t="n">
        <f aca="false">+R84*J84</f>
        <v>2063.3378</v>
      </c>
      <c r="U84" s="85"/>
      <c r="V84" s="86" t="n">
        <v>377146</v>
      </c>
      <c r="W84" s="78"/>
      <c r="X84" s="88"/>
      <c r="Y84" s="88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77"/>
      <c r="EP84" s="77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  <c r="FB84" s="77"/>
      <c r="FC84" s="77"/>
      <c r="FD84" s="77"/>
      <c r="FE84" s="77"/>
      <c r="FF84" s="77"/>
      <c r="FG84" s="77"/>
      <c r="FH84" s="77"/>
      <c r="FI84" s="77"/>
      <c r="FJ84" s="77"/>
      <c r="FK84" s="77"/>
      <c r="FL84" s="77"/>
      <c r="FM84" s="77"/>
      <c r="FN84" s="77"/>
      <c r="FO84" s="77"/>
      <c r="FP84" s="77"/>
      <c r="FQ84" s="77"/>
      <c r="FR84" s="77"/>
      <c r="FS84" s="77"/>
      <c r="FT84" s="77"/>
      <c r="FU84" s="77"/>
      <c r="FV84" s="77"/>
      <c r="FW84" s="77"/>
      <c r="FX84" s="77"/>
      <c r="FY84" s="77"/>
      <c r="FZ84" s="77"/>
      <c r="GA84" s="77"/>
      <c r="GB84" s="77"/>
      <c r="GC84" s="77"/>
      <c r="GD84" s="77"/>
      <c r="GE84" s="77"/>
      <c r="GF84" s="77"/>
      <c r="GG84" s="77"/>
      <c r="GH84" s="77"/>
      <c r="GI84" s="77"/>
      <c r="GJ84" s="77"/>
      <c r="GK84" s="77"/>
      <c r="GL84" s="77"/>
      <c r="GM84" s="77"/>
      <c r="GN84" s="77"/>
      <c r="GO84" s="77"/>
      <c r="GP84" s="77"/>
      <c r="GQ84" s="77"/>
      <c r="GR84" s="77"/>
      <c r="GS84" s="77"/>
      <c r="GT84" s="77"/>
      <c r="GU84" s="77"/>
      <c r="GV84" s="77"/>
      <c r="GW84" s="77"/>
      <c r="GX84" s="77"/>
      <c r="GY84" s="77"/>
      <c r="GZ84" s="77"/>
      <c r="HA84" s="77"/>
      <c r="HB84" s="77"/>
      <c r="HC84" s="77"/>
      <c r="HD84" s="77"/>
      <c r="HE84" s="77"/>
      <c r="HF84" s="77"/>
      <c r="HG84" s="77"/>
      <c r="HH84" s="77"/>
      <c r="HI84" s="77"/>
      <c r="HJ84" s="77"/>
      <c r="HK84" s="77"/>
      <c r="HL84" s="77"/>
      <c r="HM84" s="77"/>
      <c r="HN84" s="77"/>
      <c r="HO84" s="77"/>
      <c r="HP84" s="77"/>
      <c r="HQ84" s="77"/>
      <c r="HR84" s="77"/>
      <c r="HS84" s="77"/>
      <c r="HT84" s="77"/>
      <c r="HU84" s="77"/>
      <c r="HV84" s="77"/>
      <c r="HW84" s="77"/>
      <c r="HX84" s="77"/>
      <c r="HY84" s="77"/>
      <c r="HZ84" s="77"/>
      <c r="IA84" s="77"/>
      <c r="IB84" s="77"/>
      <c r="IC84" s="77"/>
      <c r="ID84" s="77"/>
      <c r="IE84" s="77"/>
      <c r="IF84" s="77"/>
      <c r="IG84" s="77"/>
      <c r="IH84" s="77"/>
      <c r="II84" s="77"/>
      <c r="IJ84" s="77"/>
      <c r="IK84" s="77"/>
      <c r="IL84" s="77"/>
      <c r="IM84" s="77"/>
      <c r="IN84" s="77"/>
      <c r="IO84" s="77"/>
      <c r="IP84" s="77"/>
      <c r="IQ84" s="77"/>
      <c r="IR84" s="77"/>
      <c r="IS84" s="77"/>
      <c r="IT84" s="77"/>
      <c r="IU84" s="77"/>
      <c r="IV84" s="77"/>
      <c r="IW84" s="77"/>
    </row>
    <row r="85" customFormat="false" ht="12.75" hidden="false" customHeight="false" outlineLevel="0" collapsed="false">
      <c r="A85" s="77"/>
      <c r="B85" s="78" t="s">
        <v>200</v>
      </c>
      <c r="C85" s="79" t="s">
        <v>62</v>
      </c>
      <c r="D85" s="79" t="s">
        <v>238</v>
      </c>
      <c r="E85" s="80" t="n">
        <v>36770</v>
      </c>
      <c r="F85" s="80" t="n">
        <v>37864</v>
      </c>
      <c r="G85" s="78" t="s">
        <v>267</v>
      </c>
      <c r="H85" s="78"/>
      <c r="I85" s="79" t="s">
        <v>265</v>
      </c>
      <c r="J85" s="81" t="n">
        <v>0.6673</v>
      </c>
      <c r="K85" s="82" t="n">
        <v>0</v>
      </c>
      <c r="L85" s="82" t="n">
        <v>0.0022</v>
      </c>
      <c r="M85" s="82" t="n">
        <v>0</v>
      </c>
      <c r="N85" s="82" t="n">
        <v>0</v>
      </c>
      <c r="O85" s="83" t="n">
        <v>0</v>
      </c>
      <c r="P85" s="82" t="n">
        <f aca="false">SUM(J85:N85)</f>
        <v>0.6695</v>
      </c>
      <c r="Q85" s="116" t="n">
        <v>3.6686</v>
      </c>
      <c r="R85" s="79" t="n">
        <v>3073</v>
      </c>
      <c r="S85" s="78" t="s">
        <v>268</v>
      </c>
      <c r="T85" s="119" t="n">
        <f aca="false">+R85*J85</f>
        <v>2050.6129</v>
      </c>
      <c r="U85" s="85"/>
      <c r="V85" s="86" t="n">
        <v>377146</v>
      </c>
      <c r="W85" s="78"/>
      <c r="X85" s="88"/>
      <c r="Y85" s="88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77"/>
      <c r="EP85" s="77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7"/>
      <c r="FK85" s="77"/>
      <c r="FL85" s="77"/>
      <c r="FM85" s="77"/>
      <c r="FN85" s="77"/>
      <c r="FO85" s="77"/>
      <c r="FP85" s="77"/>
      <c r="FQ85" s="77"/>
      <c r="FR85" s="77"/>
      <c r="FS85" s="77"/>
      <c r="FT85" s="77"/>
      <c r="FU85" s="77"/>
      <c r="FV85" s="77"/>
      <c r="FW85" s="77"/>
      <c r="FX85" s="77"/>
      <c r="FY85" s="77"/>
      <c r="FZ85" s="77"/>
      <c r="GA85" s="77"/>
      <c r="GB85" s="77"/>
      <c r="GC85" s="77"/>
      <c r="GD85" s="77"/>
      <c r="GE85" s="77"/>
      <c r="GF85" s="77"/>
      <c r="GG85" s="77"/>
      <c r="GH85" s="77"/>
      <c r="GI85" s="77"/>
      <c r="GJ85" s="77"/>
      <c r="GK85" s="77"/>
      <c r="GL85" s="77"/>
      <c r="GM85" s="77"/>
      <c r="GN85" s="77"/>
      <c r="GO85" s="77"/>
      <c r="GP85" s="77"/>
      <c r="GQ85" s="77"/>
      <c r="GR85" s="77"/>
      <c r="GS85" s="77"/>
      <c r="GT85" s="77"/>
      <c r="GU85" s="77"/>
      <c r="GV85" s="77"/>
      <c r="GW85" s="77"/>
      <c r="GX85" s="77"/>
      <c r="GY85" s="77"/>
      <c r="GZ85" s="77"/>
      <c r="HA85" s="77"/>
      <c r="HB85" s="77"/>
      <c r="HC85" s="77"/>
      <c r="HD85" s="77"/>
      <c r="HE85" s="77"/>
      <c r="HF85" s="77"/>
      <c r="HG85" s="77"/>
      <c r="HH85" s="77"/>
      <c r="HI85" s="77"/>
      <c r="HJ85" s="77"/>
      <c r="HK85" s="77"/>
      <c r="HL85" s="77"/>
      <c r="HM85" s="77"/>
      <c r="HN85" s="77"/>
      <c r="HO85" s="77"/>
      <c r="HP85" s="77"/>
      <c r="HQ85" s="77"/>
      <c r="HR85" s="77"/>
      <c r="HS85" s="77"/>
      <c r="HT85" s="77"/>
      <c r="HU85" s="77"/>
      <c r="HV85" s="77"/>
      <c r="HW85" s="77"/>
      <c r="HX85" s="77"/>
      <c r="HY85" s="77"/>
      <c r="HZ85" s="77"/>
      <c r="IA85" s="77"/>
      <c r="IB85" s="77"/>
      <c r="IC85" s="77"/>
      <c r="ID85" s="77"/>
      <c r="IE85" s="77"/>
      <c r="IF85" s="77"/>
      <c r="IG85" s="77"/>
      <c r="IH85" s="77"/>
      <c r="II85" s="77"/>
      <c r="IJ85" s="77"/>
      <c r="IK85" s="77"/>
      <c r="IL85" s="77"/>
      <c r="IM85" s="77"/>
      <c r="IN85" s="77"/>
      <c r="IO85" s="77"/>
      <c r="IP85" s="77"/>
      <c r="IQ85" s="77"/>
      <c r="IR85" s="77"/>
      <c r="IS85" s="77"/>
      <c r="IT85" s="77"/>
      <c r="IU85" s="77"/>
      <c r="IV85" s="77"/>
      <c r="IW85" s="77"/>
    </row>
    <row r="86" customFormat="false" ht="12.75" hidden="false" customHeight="false" outlineLevel="0" collapsed="false">
      <c r="A86" s="77"/>
      <c r="B86" s="78" t="s">
        <v>200</v>
      </c>
      <c r="C86" s="79" t="s">
        <v>62</v>
      </c>
      <c r="D86" s="79" t="s">
        <v>238</v>
      </c>
      <c r="E86" s="80" t="n">
        <v>36770</v>
      </c>
      <c r="F86" s="80" t="s">
        <v>269</v>
      </c>
      <c r="G86" s="78" t="s">
        <v>270</v>
      </c>
      <c r="H86" s="78"/>
      <c r="I86" s="79" t="s">
        <v>271</v>
      </c>
      <c r="J86" s="81" t="n">
        <v>0.0481</v>
      </c>
      <c r="K86" s="82" t="n">
        <v>0</v>
      </c>
      <c r="L86" s="82" t="n">
        <v>0.0022</v>
      </c>
      <c r="M86" s="82" t="n">
        <v>0</v>
      </c>
      <c r="N86" s="82" t="n">
        <v>0</v>
      </c>
      <c r="O86" s="83" t="n">
        <v>0</v>
      </c>
      <c r="P86" s="82" t="n">
        <f aca="false">SUM(J86:N86)</f>
        <v>0.0503</v>
      </c>
      <c r="Q86" s="118" t="n">
        <v>3.6685</v>
      </c>
      <c r="R86" s="79" t="n">
        <v>13269</v>
      </c>
      <c r="S86" s="78" t="s">
        <v>272</v>
      </c>
      <c r="T86" s="119" t="n">
        <f aca="false">+J86*R86</f>
        <v>638.2389</v>
      </c>
      <c r="U86" s="85"/>
      <c r="V86" s="86" t="n">
        <v>377157</v>
      </c>
      <c r="W86" s="78"/>
      <c r="X86" s="88"/>
      <c r="Y86" s="88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77"/>
      <c r="EP86" s="77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  <c r="FB86" s="77"/>
      <c r="FC86" s="77"/>
      <c r="FD86" s="77"/>
      <c r="FE86" s="77"/>
      <c r="FF86" s="77"/>
      <c r="FG86" s="77"/>
      <c r="FH86" s="77"/>
      <c r="FI86" s="77"/>
      <c r="FJ86" s="77"/>
      <c r="FK86" s="77"/>
      <c r="FL86" s="77"/>
      <c r="FM86" s="77"/>
      <c r="FN86" s="77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  <c r="GA86" s="77"/>
      <c r="GB86" s="77"/>
      <c r="GC86" s="77"/>
      <c r="GD86" s="77"/>
      <c r="GE86" s="77"/>
      <c r="GF86" s="77"/>
      <c r="GG86" s="77"/>
      <c r="GH86" s="77"/>
      <c r="GI86" s="77"/>
      <c r="GJ86" s="77"/>
      <c r="GK86" s="77"/>
      <c r="GL86" s="77"/>
      <c r="GM86" s="77"/>
      <c r="GN86" s="77"/>
      <c r="GO86" s="77"/>
      <c r="GP86" s="77"/>
      <c r="GQ86" s="77"/>
      <c r="GR86" s="77"/>
      <c r="GS86" s="77"/>
      <c r="GT86" s="77"/>
      <c r="GU86" s="77"/>
      <c r="GV86" s="77"/>
      <c r="GW86" s="77"/>
      <c r="GX86" s="77"/>
      <c r="GY86" s="77"/>
      <c r="GZ86" s="77"/>
      <c r="HA86" s="77"/>
      <c r="HB86" s="77"/>
      <c r="HC86" s="77"/>
      <c r="HD86" s="77"/>
      <c r="HE86" s="77"/>
      <c r="HF86" s="77"/>
      <c r="HG86" s="77"/>
      <c r="HH86" s="77"/>
      <c r="HI86" s="77"/>
      <c r="HJ86" s="77"/>
      <c r="HK86" s="77"/>
      <c r="HL86" s="77"/>
      <c r="HM86" s="77"/>
      <c r="HN86" s="77"/>
      <c r="HO86" s="77"/>
      <c r="HP86" s="77"/>
      <c r="HQ86" s="77"/>
      <c r="HR86" s="77"/>
      <c r="HS86" s="77"/>
      <c r="HT86" s="77"/>
      <c r="HU86" s="77"/>
      <c r="HV86" s="77"/>
      <c r="HW86" s="77"/>
      <c r="HX86" s="77"/>
      <c r="HY86" s="77"/>
      <c r="HZ86" s="77"/>
      <c r="IA86" s="77"/>
      <c r="IB86" s="77"/>
      <c r="IC86" s="77"/>
      <c r="ID86" s="77"/>
      <c r="IE86" s="77"/>
      <c r="IF86" s="77"/>
      <c r="IG86" s="77"/>
      <c r="IH86" s="77"/>
      <c r="II86" s="77"/>
      <c r="IJ86" s="77"/>
      <c r="IK86" s="77"/>
      <c r="IL86" s="77"/>
      <c r="IM86" s="77"/>
      <c r="IN86" s="77"/>
      <c r="IO86" s="77"/>
      <c r="IP86" s="77"/>
      <c r="IQ86" s="77"/>
      <c r="IR86" s="77"/>
      <c r="IS86" s="77"/>
      <c r="IT86" s="77"/>
      <c r="IU86" s="77"/>
      <c r="IV86" s="77"/>
      <c r="IW86" s="77"/>
    </row>
    <row r="87" customFormat="false" ht="12.75" hidden="false" customHeight="false" outlineLevel="0" collapsed="false">
      <c r="A87" s="77"/>
      <c r="B87" s="78" t="s">
        <v>200</v>
      </c>
      <c r="C87" s="79" t="s">
        <v>62</v>
      </c>
      <c r="D87" s="79" t="s">
        <v>238</v>
      </c>
      <c r="E87" s="80" t="n">
        <v>36770</v>
      </c>
      <c r="F87" s="80" t="s">
        <v>269</v>
      </c>
      <c r="G87" s="78" t="s">
        <v>273</v>
      </c>
      <c r="H87" s="78"/>
      <c r="I87" s="79" t="s">
        <v>271</v>
      </c>
      <c r="J87" s="81" t="n">
        <v>0.484</v>
      </c>
      <c r="K87" s="82" t="n">
        <v>0</v>
      </c>
      <c r="L87" s="82" t="n">
        <v>0.0022</v>
      </c>
      <c r="M87" s="82" t="n">
        <v>0</v>
      </c>
      <c r="N87" s="82" t="n">
        <v>0</v>
      </c>
      <c r="O87" s="83" t="n">
        <v>0</v>
      </c>
      <c r="P87" s="82" t="n">
        <f aca="false">SUM(J87:N87)</f>
        <v>0.4862</v>
      </c>
      <c r="Q87" s="118" t="n">
        <v>3.6685</v>
      </c>
      <c r="R87" s="79" t="n">
        <v>1319</v>
      </c>
      <c r="S87" s="78" t="s">
        <v>272</v>
      </c>
      <c r="T87" s="119" t="n">
        <f aca="false">+J87*R87</f>
        <v>638.396</v>
      </c>
      <c r="U87" s="85"/>
      <c r="V87" s="86" t="n">
        <v>377157</v>
      </c>
      <c r="W87" s="78"/>
      <c r="X87" s="88"/>
      <c r="Y87" s="88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/>
      <c r="EO87" s="77"/>
      <c r="EP87" s="77"/>
      <c r="EQ87" s="77"/>
      <c r="ER87" s="77"/>
      <c r="ES87" s="77"/>
      <c r="ET87" s="77"/>
      <c r="EU87" s="77"/>
      <c r="EV87" s="77"/>
      <c r="EW87" s="77"/>
      <c r="EX87" s="77"/>
      <c r="EY87" s="77"/>
      <c r="EZ87" s="77"/>
      <c r="FA87" s="77"/>
      <c r="FB87" s="77"/>
      <c r="FC87" s="77"/>
      <c r="FD87" s="77"/>
      <c r="FE87" s="77"/>
      <c r="FF87" s="77"/>
      <c r="FG87" s="77"/>
      <c r="FH87" s="77"/>
      <c r="FI87" s="77"/>
      <c r="FJ87" s="77"/>
      <c r="FK87" s="77"/>
      <c r="FL87" s="77"/>
      <c r="FM87" s="77"/>
      <c r="FN87" s="77"/>
      <c r="FO87" s="77"/>
      <c r="FP87" s="77"/>
      <c r="FQ87" s="77"/>
      <c r="FR87" s="77"/>
      <c r="FS87" s="77"/>
      <c r="FT87" s="77"/>
      <c r="FU87" s="77"/>
      <c r="FV87" s="77"/>
      <c r="FW87" s="77"/>
      <c r="FX87" s="77"/>
      <c r="FY87" s="77"/>
      <c r="FZ87" s="77"/>
      <c r="GA87" s="77"/>
      <c r="GB87" s="77"/>
      <c r="GC87" s="77"/>
      <c r="GD87" s="77"/>
      <c r="GE87" s="77"/>
      <c r="GF87" s="77"/>
      <c r="GG87" s="77"/>
      <c r="GH87" s="77"/>
      <c r="GI87" s="77"/>
      <c r="GJ87" s="77"/>
      <c r="GK87" s="77"/>
      <c r="GL87" s="77"/>
      <c r="GM87" s="77"/>
      <c r="GN87" s="77"/>
      <c r="GO87" s="77"/>
      <c r="GP87" s="77"/>
      <c r="GQ87" s="77"/>
      <c r="GR87" s="77"/>
      <c r="GS87" s="77"/>
      <c r="GT87" s="77"/>
      <c r="GU87" s="77"/>
      <c r="GV87" s="77"/>
      <c r="GW87" s="77"/>
      <c r="GX87" s="77"/>
      <c r="GY87" s="77"/>
      <c r="GZ87" s="77"/>
      <c r="HA87" s="77"/>
      <c r="HB87" s="77"/>
      <c r="HC87" s="77"/>
      <c r="HD87" s="77"/>
      <c r="HE87" s="77"/>
      <c r="HF87" s="77"/>
      <c r="HG87" s="77"/>
      <c r="HH87" s="77"/>
      <c r="HI87" s="77"/>
      <c r="HJ87" s="77"/>
      <c r="HK87" s="77"/>
      <c r="HL87" s="77"/>
      <c r="HM87" s="77"/>
      <c r="HN87" s="77"/>
      <c r="HO87" s="77"/>
      <c r="HP87" s="77"/>
      <c r="HQ87" s="77"/>
      <c r="HR87" s="77"/>
      <c r="HS87" s="77"/>
      <c r="HT87" s="77"/>
      <c r="HU87" s="77"/>
      <c r="HV87" s="77"/>
      <c r="HW87" s="77"/>
      <c r="HX87" s="77"/>
      <c r="HY87" s="77"/>
      <c r="HZ87" s="77"/>
      <c r="IA87" s="77"/>
      <c r="IB87" s="77"/>
      <c r="IC87" s="77"/>
      <c r="ID87" s="77"/>
      <c r="IE87" s="77"/>
      <c r="IF87" s="77"/>
      <c r="IG87" s="77"/>
      <c r="IH87" s="77"/>
      <c r="II87" s="77"/>
      <c r="IJ87" s="77"/>
      <c r="IK87" s="77"/>
      <c r="IL87" s="77"/>
      <c r="IM87" s="77"/>
      <c r="IN87" s="77"/>
      <c r="IO87" s="77"/>
      <c r="IP87" s="77"/>
      <c r="IQ87" s="77"/>
      <c r="IR87" s="77"/>
      <c r="IS87" s="77"/>
      <c r="IT87" s="77"/>
      <c r="IU87" s="77"/>
      <c r="IV87" s="77"/>
      <c r="IW87" s="77"/>
    </row>
    <row r="88" customFormat="false" ht="12.75" hidden="false" customHeight="false" outlineLevel="0" collapsed="false">
      <c r="A88" s="77"/>
      <c r="B88" s="78" t="s">
        <v>200</v>
      </c>
      <c r="C88" s="79" t="s">
        <v>62</v>
      </c>
      <c r="D88" s="79" t="s">
        <v>238</v>
      </c>
      <c r="E88" s="80" t="n">
        <v>36800</v>
      </c>
      <c r="F88" s="80" t="n">
        <v>36830</v>
      </c>
      <c r="G88" s="78" t="s">
        <v>270</v>
      </c>
      <c r="H88" s="78"/>
      <c r="I88" s="79" t="s">
        <v>271</v>
      </c>
      <c r="J88" s="81" t="n">
        <v>0.0481</v>
      </c>
      <c r="K88" s="82" t="n">
        <v>0</v>
      </c>
      <c r="L88" s="82" t="n">
        <v>0.0022</v>
      </c>
      <c r="M88" s="82" t="n">
        <v>0</v>
      </c>
      <c r="N88" s="82" t="n">
        <v>0</v>
      </c>
      <c r="O88" s="83" t="n">
        <v>0</v>
      </c>
      <c r="P88" s="82" t="n">
        <f aca="false">SUM(J88:N88)</f>
        <v>0.0503</v>
      </c>
      <c r="Q88" s="118"/>
      <c r="R88" s="79" t="n">
        <v>5700</v>
      </c>
      <c r="S88" s="78" t="s">
        <v>274</v>
      </c>
      <c r="T88" s="119" t="n">
        <f aca="false">+J88*R88</f>
        <v>274.17</v>
      </c>
      <c r="U88" s="85"/>
      <c r="V88" s="86" t="n">
        <v>418258</v>
      </c>
      <c r="W88" s="78"/>
      <c r="X88" s="88"/>
      <c r="Y88" s="88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7"/>
      <c r="EL88" s="77"/>
      <c r="EM88" s="77"/>
      <c r="EN88" s="77"/>
      <c r="EO88" s="77"/>
      <c r="EP88" s="77"/>
      <c r="EQ88" s="77"/>
      <c r="ER88" s="77"/>
      <c r="ES88" s="77"/>
      <c r="ET88" s="77"/>
      <c r="EU88" s="77"/>
      <c r="EV88" s="77"/>
      <c r="EW88" s="77"/>
      <c r="EX88" s="77"/>
      <c r="EY88" s="77"/>
      <c r="EZ88" s="77"/>
      <c r="FA88" s="77"/>
      <c r="FB88" s="77"/>
      <c r="FC88" s="77"/>
      <c r="FD88" s="77"/>
      <c r="FE88" s="77"/>
      <c r="FF88" s="77"/>
      <c r="FG88" s="77"/>
      <c r="FH88" s="77"/>
      <c r="FI88" s="77"/>
      <c r="FJ88" s="77"/>
      <c r="FK88" s="77"/>
      <c r="FL88" s="77"/>
      <c r="FM88" s="77"/>
      <c r="FN88" s="77"/>
      <c r="FO88" s="77"/>
      <c r="FP88" s="77"/>
      <c r="FQ88" s="77"/>
      <c r="FR88" s="77"/>
      <c r="FS88" s="77"/>
      <c r="FT88" s="77"/>
      <c r="FU88" s="77"/>
      <c r="FV88" s="77"/>
      <c r="FW88" s="77"/>
      <c r="FX88" s="77"/>
      <c r="FY88" s="77"/>
      <c r="FZ88" s="77"/>
      <c r="GA88" s="77"/>
      <c r="GB88" s="77"/>
      <c r="GC88" s="77"/>
      <c r="GD88" s="77"/>
      <c r="GE88" s="77"/>
      <c r="GF88" s="77"/>
      <c r="GG88" s="77"/>
      <c r="GH88" s="77"/>
      <c r="GI88" s="77"/>
      <c r="GJ88" s="77"/>
      <c r="GK88" s="77"/>
      <c r="GL88" s="77"/>
      <c r="GM88" s="77"/>
      <c r="GN88" s="77"/>
      <c r="GO88" s="77"/>
      <c r="GP88" s="77"/>
      <c r="GQ88" s="77"/>
      <c r="GR88" s="77"/>
      <c r="GS88" s="77"/>
      <c r="GT88" s="77"/>
      <c r="GU88" s="77"/>
      <c r="GV88" s="77"/>
      <c r="GW88" s="77"/>
      <c r="GX88" s="77"/>
      <c r="GY88" s="77"/>
      <c r="GZ88" s="77"/>
      <c r="HA88" s="77"/>
      <c r="HB88" s="77"/>
      <c r="HC88" s="77"/>
      <c r="HD88" s="77"/>
      <c r="HE88" s="77"/>
      <c r="HF88" s="77"/>
      <c r="HG88" s="77"/>
      <c r="HH88" s="77"/>
      <c r="HI88" s="77"/>
      <c r="HJ88" s="77"/>
      <c r="HK88" s="77"/>
      <c r="HL88" s="77"/>
      <c r="HM88" s="77"/>
      <c r="HN88" s="77"/>
      <c r="HO88" s="77"/>
      <c r="HP88" s="77"/>
      <c r="HQ88" s="77"/>
      <c r="HR88" s="77"/>
      <c r="HS88" s="77"/>
      <c r="HT88" s="77"/>
      <c r="HU88" s="77"/>
      <c r="HV88" s="77"/>
      <c r="HW88" s="77"/>
      <c r="HX88" s="77"/>
      <c r="HY88" s="77"/>
      <c r="HZ88" s="77"/>
      <c r="IA88" s="77"/>
      <c r="IB88" s="77"/>
      <c r="IC88" s="77"/>
      <c r="ID88" s="77"/>
      <c r="IE88" s="77"/>
      <c r="IF88" s="77"/>
      <c r="IG88" s="77"/>
      <c r="IH88" s="77"/>
      <c r="II88" s="77"/>
      <c r="IJ88" s="77"/>
      <c r="IK88" s="77"/>
      <c r="IL88" s="77"/>
      <c r="IM88" s="77"/>
      <c r="IN88" s="77"/>
      <c r="IO88" s="77"/>
      <c r="IP88" s="77"/>
      <c r="IQ88" s="77"/>
      <c r="IR88" s="77"/>
      <c r="IS88" s="77"/>
      <c r="IT88" s="77"/>
      <c r="IU88" s="77"/>
      <c r="IV88" s="77"/>
      <c r="IW88" s="77"/>
    </row>
    <row r="89" customFormat="false" ht="12.75" hidden="false" customHeight="false" outlineLevel="0" collapsed="false">
      <c r="A89" s="77"/>
      <c r="B89" s="78" t="s">
        <v>200</v>
      </c>
      <c r="C89" s="79" t="s">
        <v>62</v>
      </c>
      <c r="D89" s="79" t="s">
        <v>238</v>
      </c>
      <c r="E89" s="80" t="n">
        <v>36800</v>
      </c>
      <c r="F89" s="80" t="n">
        <v>36830</v>
      </c>
      <c r="G89" s="78" t="s">
        <v>273</v>
      </c>
      <c r="H89" s="78"/>
      <c r="I89" s="79" t="s">
        <v>271</v>
      </c>
      <c r="J89" s="81" t="n">
        <v>0.484</v>
      </c>
      <c r="K89" s="82" t="n">
        <v>0</v>
      </c>
      <c r="L89" s="82" t="n">
        <v>0.0022</v>
      </c>
      <c r="M89" s="82" t="n">
        <v>0</v>
      </c>
      <c r="N89" s="82" t="n">
        <v>0</v>
      </c>
      <c r="O89" s="83" t="n">
        <v>0</v>
      </c>
      <c r="P89" s="82" t="n">
        <f aca="false">SUM(J89:N89)</f>
        <v>0.4862</v>
      </c>
      <c r="Q89" s="118"/>
      <c r="R89" s="79" t="n">
        <v>567</v>
      </c>
      <c r="S89" s="78" t="s">
        <v>275</v>
      </c>
      <c r="T89" s="119" t="n">
        <f aca="false">+J89*R89</f>
        <v>274.428</v>
      </c>
      <c r="U89" s="85"/>
      <c r="V89" s="86" t="n">
        <v>418258</v>
      </c>
      <c r="W89" s="78"/>
      <c r="X89" s="88"/>
      <c r="Y89" s="88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  <c r="FB89" s="77"/>
      <c r="FC89" s="77"/>
      <c r="FD89" s="77"/>
      <c r="FE89" s="77"/>
      <c r="FF89" s="77"/>
      <c r="FG89" s="77"/>
      <c r="FH89" s="77"/>
      <c r="FI89" s="77"/>
      <c r="FJ89" s="77"/>
      <c r="FK89" s="77"/>
      <c r="FL89" s="77"/>
      <c r="FM89" s="77"/>
      <c r="FN89" s="77"/>
      <c r="FO89" s="77"/>
      <c r="FP89" s="77"/>
      <c r="FQ89" s="77"/>
      <c r="FR89" s="77"/>
      <c r="FS89" s="77"/>
      <c r="FT89" s="77"/>
      <c r="FU89" s="77"/>
      <c r="FV89" s="77"/>
      <c r="FW89" s="77"/>
      <c r="FX89" s="77"/>
      <c r="FY89" s="77"/>
      <c r="FZ89" s="77"/>
      <c r="GA89" s="77"/>
      <c r="GB89" s="77"/>
      <c r="GC89" s="77"/>
      <c r="GD89" s="77"/>
      <c r="GE89" s="77"/>
      <c r="GF89" s="77"/>
      <c r="GG89" s="77"/>
      <c r="GH89" s="77"/>
      <c r="GI89" s="77"/>
      <c r="GJ89" s="77"/>
      <c r="GK89" s="77"/>
      <c r="GL89" s="77"/>
      <c r="GM89" s="77"/>
      <c r="GN89" s="77"/>
      <c r="GO89" s="77"/>
      <c r="GP89" s="77"/>
      <c r="GQ89" s="77"/>
      <c r="GR89" s="77"/>
      <c r="GS89" s="77"/>
      <c r="GT89" s="77"/>
      <c r="GU89" s="77"/>
      <c r="GV89" s="77"/>
      <c r="GW89" s="77"/>
      <c r="GX89" s="77"/>
      <c r="GY89" s="77"/>
      <c r="GZ89" s="77"/>
      <c r="HA89" s="77"/>
      <c r="HB89" s="77"/>
      <c r="HC89" s="77"/>
      <c r="HD89" s="77"/>
      <c r="HE89" s="77"/>
      <c r="HF89" s="77"/>
      <c r="HG89" s="77"/>
      <c r="HH89" s="77"/>
      <c r="HI89" s="77"/>
      <c r="HJ89" s="77"/>
      <c r="HK89" s="77"/>
      <c r="HL89" s="77"/>
      <c r="HM89" s="77"/>
      <c r="HN89" s="77"/>
      <c r="HO89" s="77"/>
      <c r="HP89" s="77"/>
      <c r="HQ89" s="77"/>
      <c r="HR89" s="77"/>
      <c r="HS89" s="77"/>
      <c r="HT89" s="77"/>
      <c r="HU89" s="77"/>
      <c r="HV89" s="77"/>
      <c r="HW89" s="77"/>
      <c r="HX89" s="77"/>
      <c r="HY89" s="77"/>
      <c r="HZ89" s="77"/>
      <c r="IA89" s="77"/>
      <c r="IB89" s="77"/>
      <c r="IC89" s="77"/>
      <c r="ID89" s="77"/>
      <c r="IE89" s="77"/>
      <c r="IF89" s="77"/>
      <c r="IG89" s="77"/>
      <c r="IH89" s="77"/>
      <c r="II89" s="77"/>
      <c r="IJ89" s="77"/>
      <c r="IK89" s="77"/>
      <c r="IL89" s="77"/>
      <c r="IM89" s="77"/>
      <c r="IN89" s="77"/>
      <c r="IO89" s="77"/>
      <c r="IP89" s="77"/>
      <c r="IQ89" s="77"/>
      <c r="IR89" s="77"/>
      <c r="IS89" s="77"/>
      <c r="IT89" s="77"/>
      <c r="IU89" s="77"/>
      <c r="IV89" s="77"/>
      <c r="IW89" s="77"/>
    </row>
    <row r="90" customFormat="false" ht="12.75" hidden="false" customHeight="false" outlineLevel="0" collapsed="false">
      <c r="B90" s="39"/>
      <c r="C90" s="43"/>
      <c r="D90" s="43"/>
      <c r="E90" s="44"/>
      <c r="F90" s="44"/>
      <c r="G90" s="45"/>
      <c r="H90" s="45"/>
      <c r="I90" s="43"/>
      <c r="J90" s="57"/>
      <c r="K90" s="48"/>
      <c r="L90" s="48"/>
      <c r="M90" s="48"/>
      <c r="N90" s="48"/>
      <c r="O90" s="49"/>
      <c r="P90" s="48"/>
      <c r="Q90" s="120"/>
      <c r="R90" s="121"/>
      <c r="S90" s="52"/>
      <c r="T90" s="52" t="n">
        <f aca="false">SUM(T68:T89)</f>
        <v>134043.073566667</v>
      </c>
      <c r="U90" s="52"/>
      <c r="V90" s="53"/>
      <c r="W90" s="54"/>
      <c r="X90" s="55"/>
      <c r="Y90" s="55"/>
    </row>
    <row r="91" customFormat="false" ht="12.75" hidden="false" customHeight="false" outlineLevel="0" collapsed="false">
      <c r="B91" s="39"/>
      <c r="C91" s="43"/>
      <c r="D91" s="43"/>
      <c r="E91" s="44"/>
      <c r="F91" s="44"/>
      <c r="G91" s="45"/>
      <c r="H91" s="45"/>
      <c r="I91" s="43"/>
      <c r="J91" s="48"/>
      <c r="K91" s="48"/>
      <c r="L91" s="48"/>
      <c r="M91" s="48"/>
      <c r="N91" s="48"/>
      <c r="O91" s="49"/>
      <c r="P91" s="48"/>
      <c r="Q91" s="120"/>
      <c r="R91" s="121"/>
      <c r="S91" s="52"/>
      <c r="T91" s="52"/>
      <c r="U91" s="52"/>
      <c r="V91" s="53"/>
      <c r="W91" s="54"/>
      <c r="X91" s="55"/>
      <c r="Y91" s="55"/>
    </row>
    <row r="92" customFormat="false" ht="12.75" hidden="false" customHeight="false" outlineLevel="0" collapsed="false">
      <c r="B92" s="39"/>
      <c r="C92" s="43"/>
      <c r="D92" s="43"/>
      <c r="E92" s="44"/>
      <c r="F92" s="44"/>
      <c r="G92" s="45"/>
      <c r="H92" s="45"/>
      <c r="I92" s="43"/>
      <c r="J92" s="57"/>
      <c r="K92" s="48"/>
      <c r="L92" s="48"/>
      <c r="M92" s="48"/>
      <c r="N92" s="48"/>
      <c r="O92" s="49"/>
      <c r="P92" s="48"/>
      <c r="Q92" s="120"/>
      <c r="R92" s="121"/>
      <c r="S92" s="52"/>
      <c r="T92" s="52"/>
      <c r="U92" s="52"/>
      <c r="V92" s="53"/>
      <c r="W92" s="54"/>
      <c r="X92" s="55"/>
      <c r="Y92" s="55"/>
    </row>
    <row r="93" customFormat="false" ht="13.5" hidden="false" customHeight="false" outlineLevel="0" collapsed="false">
      <c r="B93" s="39"/>
      <c r="C93" s="43"/>
      <c r="D93" s="43"/>
      <c r="E93" s="44"/>
      <c r="F93" s="44"/>
      <c r="G93" s="45"/>
      <c r="H93" s="45"/>
      <c r="I93" s="43"/>
      <c r="J93" s="48"/>
      <c r="K93" s="48"/>
      <c r="L93" s="48"/>
      <c r="M93" s="48"/>
      <c r="N93" s="48"/>
      <c r="O93" s="49"/>
      <c r="P93" s="48"/>
      <c r="Q93" s="120"/>
      <c r="R93" s="121"/>
      <c r="S93" s="52"/>
      <c r="T93" s="122" t="e">
        <f aca="false">SUM(T90,#REF!,#REF!,T66,T51,T31)</f>
        <v>#REF!</v>
      </c>
      <c r="U93" s="52" t="s">
        <v>276</v>
      </c>
      <c r="V93" s="53"/>
      <c r="W93" s="54"/>
      <c r="X93" s="55"/>
      <c r="Y93" s="55"/>
    </row>
    <row r="94" customFormat="false" ht="13.5" hidden="false" customHeight="false" outlineLevel="0" collapsed="false">
      <c r="B94" s="39"/>
      <c r="C94" s="43"/>
      <c r="D94" s="43"/>
      <c r="E94" s="44"/>
      <c r="F94" s="44"/>
      <c r="G94" s="45"/>
      <c r="H94" s="45"/>
      <c r="I94" s="43"/>
      <c r="J94" s="48"/>
      <c r="K94" s="48"/>
      <c r="L94" s="48"/>
      <c r="M94" s="48"/>
      <c r="N94" s="48"/>
      <c r="O94" s="49"/>
      <c r="P94" s="48"/>
      <c r="Q94" s="120"/>
      <c r="R94" s="121"/>
      <c r="S94" s="52"/>
      <c r="T94" s="52"/>
      <c r="U94" s="54" t="s">
        <v>277</v>
      </c>
      <c r="V94" s="53"/>
      <c r="W94" s="54"/>
      <c r="X94" s="123"/>
      <c r="Y94" s="55"/>
    </row>
    <row r="95" customFormat="false" ht="12.75" hidden="false" customHeight="false" outlineLevel="0" collapsed="false">
      <c r="B95" s="39"/>
      <c r="C95" s="43"/>
      <c r="D95" s="43"/>
      <c r="E95" s="44"/>
      <c r="F95" s="44"/>
      <c r="G95" s="45"/>
      <c r="H95" s="45"/>
      <c r="I95" s="43"/>
      <c r="J95" s="48"/>
      <c r="K95" s="48"/>
      <c r="L95" s="48"/>
      <c r="M95" s="48"/>
      <c r="N95" s="48"/>
      <c r="O95" s="49"/>
      <c r="P95" s="48"/>
      <c r="Q95" s="120"/>
      <c r="R95" s="121"/>
      <c r="S95" s="52"/>
      <c r="T95" s="52"/>
      <c r="U95" s="52"/>
      <c r="V95" s="53"/>
      <c r="W95" s="54"/>
      <c r="X95" s="55"/>
      <c r="Y95" s="55"/>
    </row>
    <row r="96" customFormat="false" ht="12.75" hidden="false" customHeight="false" outlineLevel="0" collapsed="false">
      <c r="B96" s="39"/>
      <c r="C96" s="43"/>
      <c r="D96" s="43"/>
      <c r="E96" s="44"/>
      <c r="F96" s="44"/>
      <c r="G96" s="45"/>
      <c r="H96" s="45"/>
      <c r="I96" s="43"/>
      <c r="J96" s="48"/>
      <c r="K96" s="48"/>
      <c r="L96" s="48"/>
      <c r="M96" s="48"/>
      <c r="N96" s="48"/>
      <c r="O96" s="49"/>
      <c r="P96" s="48"/>
      <c r="Q96" s="120"/>
      <c r="R96" s="121"/>
      <c r="S96" s="52"/>
      <c r="T96" s="52"/>
      <c r="U96" s="52"/>
      <c r="V96" s="53"/>
      <c r="W96" s="54"/>
      <c r="X96" s="55"/>
      <c r="Y96" s="55"/>
    </row>
    <row r="97" customFormat="false" ht="12.75" hidden="false" customHeight="false" outlineLevel="0" collapsed="false">
      <c r="B97" s="39"/>
      <c r="C97" s="43"/>
      <c r="D97" s="43"/>
      <c r="E97" s="71"/>
      <c r="F97" s="44"/>
      <c r="G97" s="45"/>
      <c r="H97" s="45"/>
      <c r="I97" s="43"/>
      <c r="J97" s="57"/>
      <c r="K97" s="48"/>
      <c r="L97" s="48"/>
      <c r="M97" s="48"/>
      <c r="N97" s="48"/>
      <c r="O97" s="49"/>
      <c r="P97" s="48"/>
      <c r="Q97" s="120"/>
      <c r="R97" s="121"/>
      <c r="S97" s="123"/>
      <c r="T97" s="52"/>
      <c r="U97" s="52"/>
      <c r="V97" s="53"/>
      <c r="W97" s="54"/>
      <c r="X97" s="55"/>
      <c r="Y97" s="55"/>
    </row>
    <row r="98" customFormat="false" ht="12.75" hidden="false" customHeight="false" outlineLevel="0" collapsed="false">
      <c r="B98" s="39"/>
      <c r="C98" s="43"/>
      <c r="D98" s="43"/>
      <c r="E98" s="71"/>
      <c r="F98" s="44"/>
      <c r="G98" s="45"/>
      <c r="H98" s="45"/>
      <c r="I98" s="43"/>
      <c r="J98" s="57"/>
      <c r="K98" s="48"/>
      <c r="L98" s="48"/>
      <c r="M98" s="48"/>
      <c r="N98" s="48"/>
      <c r="O98" s="49"/>
      <c r="P98" s="48"/>
      <c r="Q98" s="120"/>
      <c r="R98" s="121"/>
      <c r="S98" s="123"/>
      <c r="T98" s="52"/>
      <c r="U98" s="52"/>
      <c r="V98" s="53"/>
      <c r="W98" s="54"/>
      <c r="X98" s="55"/>
      <c r="Y98" s="55"/>
    </row>
    <row r="99" customFormat="false" ht="12.75" hidden="false" customHeight="false" outlineLevel="0" collapsed="false">
      <c r="E99" s="41"/>
      <c r="Q99" s="36"/>
      <c r="R99" s="36"/>
      <c r="S99" s="36"/>
      <c r="T99" s="36"/>
      <c r="U99" s="36"/>
      <c r="V99" s="124"/>
      <c r="W99" s="125"/>
      <c r="X99" s="124"/>
    </row>
    <row r="100" customFormat="false" ht="12.75" hidden="false" customHeight="false" outlineLevel="0" collapsed="false">
      <c r="E100" s="41"/>
      <c r="Q100" s="36"/>
      <c r="R100" s="36"/>
      <c r="S100" s="36"/>
      <c r="T100" s="36"/>
      <c r="U100" s="36"/>
      <c r="V100" s="124"/>
      <c r="W100" s="125"/>
      <c r="X100" s="124"/>
    </row>
    <row r="101" customFormat="false" ht="12.75" hidden="false" customHeight="false" outlineLevel="0" collapsed="false">
      <c r="E101" s="41"/>
    </row>
    <row r="102" customFormat="false" ht="12.75" hidden="false" customHeight="false" outlineLevel="0" collapsed="false">
      <c r="E102" s="41"/>
    </row>
    <row r="103" customFormat="false" ht="12.75" hidden="false" customHeight="false" outlineLevel="0" collapsed="false">
      <c r="E103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1" activeCellId="0" sqref="F2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4" width="9.99"/>
    <col collapsed="false" customWidth="false" hidden="false" outlineLevel="0" max="3" min="3" style="34" width="9.14"/>
    <col collapsed="false" customWidth="true" hidden="false" outlineLevel="0" max="4" min="4" style="34" width="10.56"/>
    <col collapsed="false" customWidth="true" hidden="false" outlineLevel="0" max="5" min="5" style="34" width="9.28"/>
    <col collapsed="false" customWidth="true" hidden="false" outlineLevel="0" max="6" min="6" style="34" width="9.56"/>
    <col collapsed="false" customWidth="true" hidden="false" outlineLevel="0" max="7" min="7" style="39" width="12.42"/>
    <col collapsed="false" customWidth="true" hidden="false" outlineLevel="0" max="8" min="8" style="39" width="16.42"/>
    <col collapsed="false" customWidth="true" hidden="false" outlineLevel="0" max="9" min="9" style="34" width="16.56"/>
    <col collapsed="false" customWidth="true" hidden="false" outlineLevel="0" max="10" min="10" style="34" width="7.7"/>
    <col collapsed="false" customWidth="true" hidden="true" outlineLevel="0" max="14" min="11" style="34" width="9.06"/>
    <col collapsed="false" customWidth="true" hidden="true" outlineLevel="0" max="15" min="15" style="40" width="9.06"/>
    <col collapsed="false" customWidth="true" hidden="true" outlineLevel="0" max="16" min="16" style="34" width="9.06"/>
    <col collapsed="false" customWidth="true" hidden="false" outlineLevel="0" max="17" min="17" style="34" width="14.28"/>
    <col collapsed="false" customWidth="true" hidden="false" outlineLevel="0" max="18" min="18" style="34" width="10.85"/>
    <col collapsed="false" customWidth="true" hidden="false" outlineLevel="0" max="19" min="19" style="34" width="12.28"/>
    <col collapsed="false" customWidth="true" hidden="false" outlineLevel="0" max="20" min="20" style="34" width="10.71"/>
    <col collapsed="false" customWidth="true" hidden="false" outlineLevel="0" max="21" min="21" style="34" width="11.85"/>
    <col collapsed="false" customWidth="true" hidden="false" outlineLevel="0" max="22" min="22" style="41" width="14.85"/>
    <col collapsed="false" customWidth="true" hidden="false" outlineLevel="0" max="23" min="23" style="39" width="42.28"/>
    <col collapsed="false" customWidth="false" hidden="false" outlineLevel="0" max="25" min="24" style="41" width="9.14"/>
    <col collapsed="false" customWidth="true" hidden="false" outlineLevel="0" max="26" min="26" style="34" width="12.42"/>
    <col collapsed="false" customWidth="false" hidden="false" outlineLevel="0" max="257" min="27" style="34" width="9.14"/>
  </cols>
  <sheetData>
    <row r="1" customFormat="false" ht="12.75" hidden="false" customHeight="false" outlineLevel="0" collapsed="false">
      <c r="B1" s="42" t="s">
        <v>172</v>
      </c>
      <c r="C1" s="43"/>
      <c r="D1" s="43"/>
      <c r="E1" s="44"/>
      <c r="F1" s="44"/>
      <c r="G1" s="45"/>
      <c r="H1" s="45"/>
      <c r="I1" s="43" t="s">
        <v>173</v>
      </c>
      <c r="J1" s="46" t="n">
        <v>31</v>
      </c>
      <c r="K1" s="47" t="s">
        <v>174</v>
      </c>
      <c r="L1" s="48"/>
      <c r="M1" s="48"/>
      <c r="N1" s="48"/>
      <c r="O1" s="49"/>
      <c r="P1" s="48"/>
      <c r="Q1" s="50"/>
      <c r="R1" s="51"/>
      <c r="S1" s="52"/>
      <c r="T1" s="52"/>
      <c r="U1" s="52"/>
      <c r="V1" s="53"/>
      <c r="W1" s="54"/>
      <c r="X1" s="55"/>
      <c r="Y1" s="55"/>
    </row>
    <row r="2" customFormat="false" ht="12.75" hidden="false" customHeight="false" outlineLevel="0" collapsed="false">
      <c r="B2" s="45" t="s">
        <v>175</v>
      </c>
      <c r="C2" s="45"/>
      <c r="D2" s="45"/>
      <c r="E2" s="44"/>
      <c r="F2" s="44"/>
      <c r="G2" s="45"/>
      <c r="H2" s="45"/>
      <c r="I2" s="43"/>
      <c r="J2" s="46"/>
      <c r="K2" s="47" t="s">
        <v>176</v>
      </c>
      <c r="L2" s="48"/>
      <c r="M2" s="48"/>
      <c r="N2" s="48"/>
      <c r="O2" s="49"/>
      <c r="P2" s="48"/>
      <c r="Q2" s="50"/>
      <c r="R2" s="51"/>
      <c r="S2" s="52"/>
      <c r="T2" s="52"/>
      <c r="U2" s="52"/>
      <c r="V2" s="53"/>
      <c r="W2" s="54"/>
      <c r="X2" s="55"/>
      <c r="Y2" s="55"/>
    </row>
    <row r="3" customFormat="false" ht="12.75" hidden="false" customHeight="false" outlineLevel="0" collapsed="false">
      <c r="B3" s="45" t="s">
        <v>177</v>
      </c>
      <c r="C3" s="45"/>
      <c r="D3" s="45"/>
      <c r="E3" s="44"/>
      <c r="F3" s="44"/>
      <c r="G3" s="56" t="s">
        <v>169</v>
      </c>
      <c r="H3" s="45" t="s">
        <v>169</v>
      </c>
      <c r="I3" s="51" t="s">
        <v>169</v>
      </c>
      <c r="J3" s="57"/>
      <c r="K3" s="58" t="s">
        <v>169</v>
      </c>
      <c r="L3" s="48"/>
      <c r="M3" s="58" t="s">
        <v>169</v>
      </c>
      <c r="N3" s="48"/>
      <c r="O3" s="49"/>
      <c r="P3" s="58" t="s">
        <v>169</v>
      </c>
      <c r="Q3" s="50"/>
      <c r="R3" s="51"/>
      <c r="S3" s="52"/>
      <c r="T3" s="52"/>
      <c r="U3" s="52"/>
      <c r="V3" s="53"/>
      <c r="W3" s="54"/>
      <c r="X3" s="55"/>
      <c r="Y3" s="55"/>
    </row>
    <row r="4" customFormat="false" ht="12.75" hidden="false" customHeight="false" outlineLevel="0" collapsed="false">
      <c r="B4" s="45"/>
      <c r="C4" s="43"/>
      <c r="D4" s="43"/>
      <c r="E4" s="44"/>
      <c r="F4" s="44"/>
      <c r="G4" s="59"/>
      <c r="H4" s="45"/>
      <c r="I4" s="59"/>
      <c r="J4" s="57"/>
      <c r="K4" s="59"/>
      <c r="L4" s="48"/>
      <c r="M4" s="59"/>
      <c r="N4" s="51"/>
      <c r="O4" s="49"/>
      <c r="P4" s="51"/>
      <c r="Q4" s="50"/>
      <c r="R4" s="51"/>
      <c r="S4" s="52"/>
      <c r="T4" s="60"/>
      <c r="U4" s="60"/>
      <c r="V4" s="61"/>
      <c r="W4" s="54"/>
      <c r="X4" s="55"/>
      <c r="Y4" s="55"/>
    </row>
    <row r="5" customFormat="false" ht="12.75" hidden="false" customHeight="false" outlineLevel="0" collapsed="false">
      <c r="B5" s="45" t="s">
        <v>178</v>
      </c>
      <c r="C5" s="43"/>
      <c r="D5" s="45"/>
      <c r="E5" s="44"/>
      <c r="F5" s="44"/>
      <c r="G5" s="59"/>
      <c r="H5" s="45"/>
      <c r="I5" s="59"/>
      <c r="J5" s="57"/>
      <c r="K5" s="59"/>
      <c r="L5" s="48"/>
      <c r="M5" s="59"/>
      <c r="N5" s="51"/>
      <c r="O5" s="49"/>
      <c r="P5" s="51"/>
      <c r="Q5" s="50"/>
      <c r="R5" s="51"/>
      <c r="S5" s="52"/>
      <c r="T5" s="60"/>
      <c r="U5" s="60"/>
      <c r="V5" s="61"/>
      <c r="W5" s="54"/>
      <c r="X5" s="55"/>
      <c r="Y5" s="55"/>
    </row>
    <row r="6" customFormat="false" ht="12.75" hidden="false" customHeight="false" outlineLevel="0" collapsed="false">
      <c r="B6" s="45"/>
      <c r="C6" s="43" t="s">
        <v>179</v>
      </c>
      <c r="D6" s="43"/>
      <c r="E6" s="44"/>
      <c r="F6" s="44"/>
      <c r="G6" s="59"/>
      <c r="H6" s="45"/>
      <c r="I6" s="59"/>
      <c r="J6" s="57"/>
      <c r="K6" s="59"/>
      <c r="L6" s="48"/>
      <c r="M6" s="59"/>
      <c r="N6" s="51"/>
      <c r="O6" s="49"/>
      <c r="P6" s="51"/>
      <c r="Q6" s="50"/>
      <c r="R6" s="51"/>
      <c r="S6" s="52"/>
      <c r="T6" s="60"/>
      <c r="U6" s="60"/>
      <c r="V6" s="61"/>
      <c r="W6" s="54"/>
      <c r="X6" s="55"/>
      <c r="Y6" s="55"/>
    </row>
    <row r="7" customFormat="false" ht="12.75" hidden="false" customHeight="false" outlineLevel="0" collapsed="false">
      <c r="B7" s="45"/>
      <c r="C7" s="43"/>
      <c r="D7" s="43"/>
      <c r="E7" s="44"/>
      <c r="F7" s="44"/>
      <c r="G7" s="59"/>
      <c r="H7" s="45"/>
      <c r="I7" s="59"/>
      <c r="J7" s="57"/>
      <c r="K7" s="59"/>
      <c r="L7" s="48"/>
      <c r="M7" s="59"/>
      <c r="N7" s="51"/>
      <c r="O7" s="49"/>
      <c r="P7" s="51"/>
      <c r="Q7" s="50"/>
      <c r="R7" s="51"/>
      <c r="S7" s="52"/>
      <c r="T7" s="60"/>
      <c r="U7" s="60"/>
      <c r="V7" s="61"/>
      <c r="W7" s="54"/>
      <c r="X7" s="55"/>
      <c r="Y7" s="55"/>
    </row>
    <row r="8" customFormat="false" ht="12.75" hidden="false" customHeight="false" outlineLevel="0" collapsed="false">
      <c r="B8" s="45"/>
      <c r="C8" s="43"/>
      <c r="D8" s="43"/>
      <c r="E8" s="44"/>
      <c r="F8" s="44"/>
      <c r="G8" s="59"/>
      <c r="H8" s="45"/>
      <c r="I8" s="59"/>
      <c r="J8" s="57"/>
      <c r="K8" s="59"/>
      <c r="L8" s="48"/>
      <c r="M8" s="59"/>
      <c r="N8" s="51"/>
      <c r="O8" s="49"/>
      <c r="P8" s="51"/>
      <c r="Q8" s="50"/>
      <c r="R8" s="51"/>
      <c r="S8" s="52"/>
      <c r="T8" s="60"/>
      <c r="U8" s="60"/>
      <c r="V8" s="61"/>
      <c r="W8" s="54"/>
      <c r="X8" s="55"/>
      <c r="Y8" s="55"/>
    </row>
    <row r="9" customFormat="false" ht="12.75" hidden="false" customHeight="false" outlineLevel="0" collapsed="false">
      <c r="B9" s="45"/>
      <c r="C9" s="43"/>
      <c r="D9" s="43"/>
      <c r="E9" s="44"/>
      <c r="F9" s="44"/>
      <c r="G9" s="59"/>
      <c r="H9" s="45"/>
      <c r="I9" s="59"/>
      <c r="J9" s="57"/>
      <c r="K9" s="59"/>
      <c r="L9" s="48"/>
      <c r="M9" s="59"/>
      <c r="N9" s="51"/>
      <c r="O9" s="49"/>
      <c r="P9" s="51"/>
      <c r="Q9" s="50"/>
      <c r="R9" s="51"/>
      <c r="S9" s="52"/>
      <c r="T9" s="60"/>
      <c r="U9" s="60"/>
      <c r="V9" s="61"/>
      <c r="W9" s="54"/>
      <c r="X9" s="55"/>
      <c r="Y9" s="55"/>
    </row>
    <row r="10" customFormat="false" ht="12.75" hidden="false" customHeight="false" outlineLevel="0" collapsed="false">
      <c r="B10" s="45"/>
      <c r="C10" s="43"/>
      <c r="D10" s="43"/>
      <c r="E10" s="44"/>
      <c r="F10" s="44"/>
      <c r="G10" s="59"/>
      <c r="H10" s="45"/>
      <c r="I10" s="59"/>
      <c r="J10" s="57"/>
      <c r="K10" s="59"/>
      <c r="L10" s="48"/>
      <c r="M10" s="59"/>
      <c r="N10" s="51"/>
      <c r="O10" s="49"/>
      <c r="P10" s="51"/>
      <c r="Q10" s="50"/>
      <c r="R10" s="51"/>
      <c r="S10" s="52"/>
      <c r="T10" s="60"/>
      <c r="U10" s="60"/>
      <c r="V10" s="61"/>
      <c r="W10" s="54"/>
      <c r="X10" s="55"/>
      <c r="Y10" s="55"/>
    </row>
    <row r="11" customFormat="false" ht="12.75" hidden="false" customHeight="false" outlineLevel="0" collapsed="false">
      <c r="B11" s="62" t="s">
        <v>180</v>
      </c>
      <c r="C11" s="63" t="s">
        <v>181</v>
      </c>
      <c r="D11" s="63" t="s">
        <v>278</v>
      </c>
      <c r="E11" s="64" t="s">
        <v>183</v>
      </c>
      <c r="F11" s="64"/>
      <c r="G11" s="62" t="s">
        <v>184</v>
      </c>
      <c r="H11" s="62" t="s">
        <v>185</v>
      </c>
      <c r="I11" s="63" t="s">
        <v>186</v>
      </c>
      <c r="J11" s="65" t="s">
        <v>187</v>
      </c>
      <c r="K11" s="63" t="s">
        <v>188</v>
      </c>
      <c r="L11" s="63" t="s">
        <v>189</v>
      </c>
      <c r="M11" s="63" t="s">
        <v>190</v>
      </c>
      <c r="N11" s="63" t="s">
        <v>191</v>
      </c>
      <c r="O11" s="66" t="s">
        <v>192</v>
      </c>
      <c r="P11" s="63" t="s">
        <v>193</v>
      </c>
      <c r="Q11" s="67" t="s">
        <v>194</v>
      </c>
      <c r="R11" s="63" t="s">
        <v>195</v>
      </c>
      <c r="S11" s="62" t="s">
        <v>196</v>
      </c>
      <c r="T11" s="68" t="s">
        <v>197</v>
      </c>
      <c r="U11" s="68" t="s">
        <v>198</v>
      </c>
      <c r="V11" s="69" t="s">
        <v>199</v>
      </c>
      <c r="W11" s="70" t="s">
        <v>279</v>
      </c>
      <c r="X11" s="71"/>
      <c r="Y11" s="71"/>
    </row>
    <row r="12" customFormat="false" ht="12.75" hidden="false" customHeight="false" outlineLevel="0" collapsed="false">
      <c r="B12" s="62" t="s">
        <v>180</v>
      </c>
      <c r="C12" s="63" t="s">
        <v>181</v>
      </c>
      <c r="D12" s="63" t="s">
        <v>278</v>
      </c>
      <c r="E12" s="64" t="s">
        <v>183</v>
      </c>
      <c r="F12" s="64"/>
      <c r="G12" s="62" t="s">
        <v>184</v>
      </c>
      <c r="H12" s="62" t="s">
        <v>185</v>
      </c>
      <c r="I12" s="63" t="s">
        <v>186</v>
      </c>
      <c r="J12" s="65" t="s">
        <v>187</v>
      </c>
      <c r="K12" s="63" t="s">
        <v>188</v>
      </c>
      <c r="L12" s="63" t="s">
        <v>189</v>
      </c>
      <c r="M12" s="63" t="s">
        <v>190</v>
      </c>
      <c r="N12" s="63" t="s">
        <v>191</v>
      </c>
      <c r="O12" s="66" t="s">
        <v>192</v>
      </c>
      <c r="P12" s="63" t="s">
        <v>193</v>
      </c>
      <c r="Q12" s="67" t="s">
        <v>194</v>
      </c>
      <c r="R12" s="63" t="s">
        <v>195</v>
      </c>
      <c r="S12" s="62" t="s">
        <v>196</v>
      </c>
      <c r="T12" s="68" t="s">
        <v>197</v>
      </c>
      <c r="U12" s="68" t="s">
        <v>198</v>
      </c>
      <c r="V12" s="69" t="s">
        <v>199</v>
      </c>
      <c r="W12" s="70" t="s">
        <v>279</v>
      </c>
      <c r="X12" s="71"/>
      <c r="Y12" s="71"/>
    </row>
    <row r="13" customFormat="false" ht="12.75" hidden="false" customHeight="false" outlineLevel="0" collapsed="false">
      <c r="A13" s="102"/>
      <c r="B13" s="103" t="s">
        <v>200</v>
      </c>
      <c r="C13" s="104" t="s">
        <v>106</v>
      </c>
      <c r="D13" s="104" t="s">
        <v>238</v>
      </c>
      <c r="E13" s="105" t="n">
        <v>36770</v>
      </c>
      <c r="F13" s="105" t="n">
        <v>36981</v>
      </c>
      <c r="G13" s="126" t="n">
        <v>10001</v>
      </c>
      <c r="H13" s="126" t="n">
        <v>10001</v>
      </c>
      <c r="I13" s="104" t="s">
        <v>280</v>
      </c>
      <c r="J13" s="106" t="n">
        <v>0.0137</v>
      </c>
      <c r="K13" s="107"/>
      <c r="L13" s="107"/>
      <c r="M13" s="107"/>
      <c r="N13" s="107"/>
      <c r="O13" s="108"/>
      <c r="P13" s="107"/>
      <c r="Q13" s="109" t="n">
        <v>530750</v>
      </c>
      <c r="R13" s="104" t="n">
        <v>9374</v>
      </c>
      <c r="S13" s="103" t="s">
        <v>281</v>
      </c>
      <c r="T13" s="110" t="n">
        <f aca="false">J13*1*R13</f>
        <v>128.4238</v>
      </c>
      <c r="U13" s="110"/>
      <c r="V13" s="111" t="n">
        <v>384260</v>
      </c>
      <c r="W13" s="103"/>
      <c r="X13" s="112"/>
      <c r="Y13" s="11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/>
      <c r="CE13" s="102"/>
      <c r="CF13" s="102"/>
      <c r="CG13" s="102"/>
      <c r="CH13" s="102"/>
      <c r="CI13" s="102"/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/>
      <c r="DA13" s="102"/>
      <c r="DB13" s="102"/>
      <c r="DC13" s="102"/>
      <c r="DD13" s="102"/>
      <c r="DE13" s="102"/>
      <c r="DF13" s="102"/>
      <c r="DG13" s="102"/>
      <c r="DH13" s="102"/>
      <c r="DI13" s="102"/>
      <c r="DJ13" s="102"/>
      <c r="DK13" s="102"/>
      <c r="DL13" s="102"/>
      <c r="DM13" s="102"/>
      <c r="DN13" s="102"/>
      <c r="DO13" s="102"/>
      <c r="DP13" s="102"/>
      <c r="DQ13" s="102"/>
      <c r="DR13" s="102"/>
      <c r="DS13" s="102"/>
      <c r="DT13" s="102"/>
      <c r="DU13" s="102"/>
      <c r="DV13" s="102"/>
      <c r="DW13" s="102"/>
      <c r="DX13" s="102"/>
      <c r="DY13" s="102"/>
      <c r="DZ13" s="102"/>
      <c r="EA13" s="102"/>
      <c r="EB13" s="102"/>
      <c r="EC13" s="102"/>
      <c r="ED13" s="102"/>
      <c r="EE13" s="102"/>
      <c r="EF13" s="102"/>
      <c r="EG13" s="102"/>
      <c r="EH13" s="102"/>
      <c r="EI13" s="102"/>
      <c r="EJ13" s="102"/>
      <c r="EK13" s="102"/>
      <c r="EL13" s="102"/>
      <c r="EM13" s="102"/>
      <c r="EN13" s="102"/>
      <c r="EO13" s="102"/>
      <c r="EP13" s="102"/>
      <c r="EQ13" s="102"/>
      <c r="ER13" s="102"/>
      <c r="ES13" s="102"/>
      <c r="ET13" s="102"/>
      <c r="EU13" s="102"/>
      <c r="EV13" s="102"/>
      <c r="EW13" s="102"/>
      <c r="EX13" s="102"/>
      <c r="EY13" s="102"/>
      <c r="EZ13" s="102"/>
      <c r="FA13" s="102"/>
      <c r="FB13" s="102"/>
      <c r="FC13" s="102"/>
      <c r="FD13" s="102"/>
      <c r="FE13" s="102"/>
      <c r="FF13" s="102"/>
      <c r="FG13" s="102"/>
      <c r="FH13" s="102"/>
      <c r="FI13" s="102"/>
      <c r="FJ13" s="102"/>
      <c r="FK13" s="102"/>
      <c r="FL13" s="102"/>
      <c r="FM13" s="102"/>
      <c r="FN13" s="102"/>
      <c r="FO13" s="102"/>
      <c r="FP13" s="102"/>
      <c r="FQ13" s="102"/>
      <c r="FR13" s="102"/>
      <c r="FS13" s="102"/>
      <c r="FT13" s="102"/>
      <c r="FU13" s="102"/>
      <c r="FV13" s="102"/>
      <c r="FW13" s="102"/>
      <c r="FX13" s="102"/>
      <c r="FY13" s="102"/>
      <c r="FZ13" s="102"/>
      <c r="GA13" s="102"/>
      <c r="GB13" s="102"/>
      <c r="GC13" s="102"/>
      <c r="GD13" s="102"/>
      <c r="GE13" s="102"/>
      <c r="GF13" s="102"/>
      <c r="GG13" s="102"/>
      <c r="GH13" s="102"/>
      <c r="GI13" s="102"/>
      <c r="GJ13" s="102"/>
      <c r="GK13" s="102"/>
      <c r="GL13" s="102"/>
      <c r="GM13" s="102"/>
      <c r="GN13" s="102"/>
      <c r="GO13" s="102"/>
      <c r="GP13" s="102"/>
      <c r="GQ13" s="102"/>
      <c r="GR13" s="102"/>
      <c r="GS13" s="102"/>
      <c r="GT13" s="102"/>
      <c r="GU13" s="102"/>
      <c r="GV13" s="102"/>
      <c r="GW13" s="102"/>
      <c r="GX13" s="102"/>
      <c r="GY13" s="102"/>
      <c r="GZ13" s="102"/>
      <c r="HA13" s="102"/>
      <c r="HB13" s="102"/>
      <c r="HC13" s="102"/>
      <c r="HD13" s="102"/>
      <c r="HE13" s="102"/>
      <c r="HF13" s="102"/>
      <c r="HG13" s="102"/>
      <c r="HH13" s="102"/>
      <c r="HI13" s="102"/>
      <c r="HJ13" s="102"/>
      <c r="HK13" s="102"/>
      <c r="HL13" s="102"/>
      <c r="HM13" s="102"/>
      <c r="HN13" s="102"/>
      <c r="HO13" s="102"/>
      <c r="HP13" s="102"/>
      <c r="HQ13" s="102"/>
      <c r="HR13" s="102"/>
      <c r="HS13" s="102"/>
      <c r="HT13" s="102"/>
      <c r="HU13" s="102"/>
      <c r="HV13" s="102"/>
      <c r="HW13" s="102"/>
      <c r="HX13" s="102"/>
      <c r="HY13" s="102"/>
      <c r="HZ13" s="102"/>
      <c r="IA13" s="102"/>
      <c r="IB13" s="102"/>
      <c r="IC13" s="102"/>
      <c r="ID13" s="102"/>
      <c r="IE13" s="102"/>
      <c r="IF13" s="102"/>
      <c r="IG13" s="102"/>
      <c r="IH13" s="102"/>
      <c r="II13" s="102"/>
      <c r="IJ13" s="102"/>
      <c r="IK13" s="102"/>
      <c r="IL13" s="102"/>
      <c r="IM13" s="102"/>
      <c r="IN13" s="102"/>
      <c r="IO13" s="102"/>
      <c r="IP13" s="102"/>
      <c r="IQ13" s="102"/>
      <c r="IR13" s="102"/>
      <c r="IS13" s="102"/>
      <c r="IT13" s="102"/>
      <c r="IU13" s="102"/>
      <c r="IV13" s="102"/>
      <c r="IW13" s="102"/>
    </row>
    <row r="14" customFormat="false" ht="12.75" hidden="false" customHeight="false" outlineLevel="0" collapsed="false">
      <c r="A14" s="102"/>
      <c r="B14" s="103" t="s">
        <v>200</v>
      </c>
      <c r="C14" s="104" t="s">
        <v>106</v>
      </c>
      <c r="D14" s="104" t="s">
        <v>238</v>
      </c>
      <c r="E14" s="105" t="n">
        <v>36770</v>
      </c>
      <c r="F14" s="105" t="n">
        <v>36981</v>
      </c>
      <c r="G14" s="126" t="n">
        <v>10002</v>
      </c>
      <c r="H14" s="126" t="n">
        <v>10002</v>
      </c>
      <c r="I14" s="104" t="s">
        <v>280</v>
      </c>
      <c r="J14" s="106" t="n">
        <v>1.0137</v>
      </c>
      <c r="K14" s="107"/>
      <c r="L14" s="107"/>
      <c r="M14" s="107"/>
      <c r="N14" s="107"/>
      <c r="O14" s="108"/>
      <c r="P14" s="107"/>
      <c r="Q14" s="109" t="n">
        <v>530750</v>
      </c>
      <c r="R14" s="104" t="n">
        <v>153</v>
      </c>
      <c r="S14" s="103" t="s">
        <v>281</v>
      </c>
      <c r="T14" s="110" t="n">
        <f aca="false">J14*1*R14</f>
        <v>155.0961</v>
      </c>
      <c r="U14" s="110"/>
      <c r="V14" s="111" t="n">
        <v>384260</v>
      </c>
      <c r="W14" s="103"/>
      <c r="X14" s="112"/>
      <c r="Y14" s="11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/>
      <c r="CE14" s="102"/>
      <c r="CF14" s="102"/>
      <c r="CG14" s="102"/>
      <c r="CH14" s="102"/>
      <c r="CI14" s="102"/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/>
      <c r="DA14" s="102"/>
      <c r="DB14" s="102"/>
      <c r="DC14" s="102"/>
      <c r="DD14" s="102"/>
      <c r="DE14" s="102"/>
      <c r="DF14" s="102"/>
      <c r="DG14" s="102"/>
      <c r="DH14" s="102"/>
      <c r="DI14" s="102"/>
      <c r="DJ14" s="102"/>
      <c r="DK14" s="102"/>
      <c r="DL14" s="102"/>
      <c r="DM14" s="102"/>
      <c r="DN14" s="102"/>
      <c r="DO14" s="102"/>
      <c r="DP14" s="102"/>
      <c r="DQ14" s="102"/>
      <c r="DR14" s="102"/>
      <c r="DS14" s="102"/>
      <c r="DT14" s="102"/>
      <c r="DU14" s="102"/>
      <c r="DV14" s="102"/>
      <c r="DW14" s="102"/>
      <c r="DX14" s="102"/>
      <c r="DY14" s="102"/>
      <c r="DZ14" s="102"/>
      <c r="EA14" s="102"/>
      <c r="EB14" s="102"/>
      <c r="EC14" s="102"/>
      <c r="ED14" s="102"/>
      <c r="EE14" s="102"/>
      <c r="EF14" s="102"/>
      <c r="EG14" s="102"/>
      <c r="EH14" s="102"/>
      <c r="EI14" s="102"/>
      <c r="EJ14" s="102"/>
      <c r="EK14" s="102"/>
      <c r="EL14" s="102"/>
      <c r="EM14" s="102"/>
      <c r="EN14" s="102"/>
      <c r="EO14" s="102"/>
      <c r="EP14" s="102"/>
      <c r="EQ14" s="102"/>
      <c r="ER14" s="102"/>
      <c r="ES14" s="102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2"/>
      <c r="FF14" s="102"/>
      <c r="FG14" s="102"/>
      <c r="FH14" s="102"/>
      <c r="FI14" s="102"/>
      <c r="FJ14" s="102"/>
      <c r="FK14" s="102"/>
      <c r="FL14" s="102"/>
      <c r="FM14" s="102"/>
      <c r="FN14" s="102"/>
      <c r="FO14" s="102"/>
      <c r="FP14" s="102"/>
      <c r="FQ14" s="102"/>
      <c r="FR14" s="102"/>
      <c r="FS14" s="102"/>
      <c r="FT14" s="102"/>
      <c r="FU14" s="102"/>
      <c r="FV14" s="102"/>
      <c r="FW14" s="102"/>
      <c r="FX14" s="102"/>
      <c r="FY14" s="102"/>
      <c r="FZ14" s="102"/>
      <c r="GA14" s="102"/>
      <c r="GB14" s="102"/>
      <c r="GC14" s="102"/>
      <c r="GD14" s="102"/>
      <c r="GE14" s="102"/>
      <c r="GF14" s="102"/>
      <c r="GG14" s="102"/>
      <c r="GH14" s="102"/>
      <c r="GI14" s="102"/>
      <c r="GJ14" s="102"/>
      <c r="GK14" s="102"/>
      <c r="GL14" s="102"/>
      <c r="GM14" s="102"/>
      <c r="GN14" s="102"/>
      <c r="GO14" s="102"/>
      <c r="GP14" s="102"/>
      <c r="GQ14" s="102"/>
      <c r="GR14" s="102"/>
      <c r="GS14" s="102"/>
      <c r="GT14" s="102"/>
      <c r="GU14" s="102"/>
      <c r="GV14" s="102"/>
      <c r="GW14" s="102"/>
      <c r="GX14" s="102"/>
      <c r="GY14" s="102"/>
      <c r="GZ14" s="102"/>
      <c r="HA14" s="102"/>
      <c r="HB14" s="102"/>
      <c r="HC14" s="102"/>
      <c r="HD14" s="102"/>
      <c r="HE14" s="102"/>
      <c r="HF14" s="102"/>
      <c r="HG14" s="102"/>
      <c r="HH14" s="102"/>
      <c r="HI14" s="102"/>
      <c r="HJ14" s="102"/>
      <c r="HK14" s="102"/>
      <c r="HL14" s="102"/>
      <c r="HM14" s="102"/>
      <c r="HN14" s="102"/>
      <c r="HO14" s="102"/>
      <c r="HP14" s="102"/>
      <c r="HQ14" s="102"/>
      <c r="HR14" s="102"/>
      <c r="HS14" s="102"/>
      <c r="HT14" s="102"/>
      <c r="HU14" s="102"/>
      <c r="HV14" s="102"/>
      <c r="HW14" s="102"/>
      <c r="HX14" s="102"/>
      <c r="HY14" s="102"/>
      <c r="HZ14" s="102"/>
      <c r="IA14" s="102"/>
      <c r="IB14" s="102"/>
      <c r="IC14" s="102"/>
      <c r="ID14" s="102"/>
      <c r="IE14" s="102"/>
      <c r="IF14" s="102"/>
      <c r="IG14" s="102"/>
      <c r="IH14" s="102"/>
      <c r="II14" s="102"/>
      <c r="IJ14" s="102"/>
      <c r="IK14" s="102"/>
      <c r="IL14" s="102"/>
      <c r="IM14" s="102"/>
      <c r="IN14" s="102"/>
      <c r="IO14" s="102"/>
      <c r="IP14" s="102"/>
      <c r="IQ14" s="102"/>
      <c r="IR14" s="102"/>
      <c r="IS14" s="102"/>
      <c r="IT14" s="102"/>
      <c r="IU14" s="102"/>
      <c r="IV14" s="102"/>
      <c r="IW14" s="102"/>
    </row>
    <row r="15" customFormat="false" ht="12.75" hidden="false" customHeight="false" outlineLevel="0" collapsed="false">
      <c r="A15" s="102"/>
      <c r="B15" s="103" t="s">
        <v>200</v>
      </c>
      <c r="C15" s="104" t="s">
        <v>106</v>
      </c>
      <c r="D15" s="104" t="s">
        <v>238</v>
      </c>
      <c r="E15" s="105" t="n">
        <v>36800</v>
      </c>
      <c r="F15" s="105" t="n">
        <v>36830</v>
      </c>
      <c r="G15" s="126" t="n">
        <v>10001</v>
      </c>
      <c r="H15" s="126" t="n">
        <v>10001</v>
      </c>
      <c r="I15" s="104" t="s">
        <v>280</v>
      </c>
      <c r="J15" s="106" t="n">
        <v>1.8373</v>
      </c>
      <c r="K15" s="107"/>
      <c r="L15" s="107"/>
      <c r="M15" s="107"/>
      <c r="N15" s="107"/>
      <c r="O15" s="108"/>
      <c r="P15" s="107"/>
      <c r="Q15" s="109" t="n">
        <v>530811</v>
      </c>
      <c r="R15" s="104" t="n">
        <v>67</v>
      </c>
      <c r="S15" s="103" t="s">
        <v>282</v>
      </c>
      <c r="T15" s="110" t="n">
        <f aca="false">J15*1*R15</f>
        <v>123.0991</v>
      </c>
      <c r="U15" s="110"/>
      <c r="V15" s="111" t="n">
        <v>418886</v>
      </c>
      <c r="W15" s="103"/>
      <c r="X15" s="112"/>
      <c r="Y15" s="11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/>
      <c r="CE15" s="102"/>
      <c r="CF15" s="102"/>
      <c r="CG15" s="102"/>
      <c r="CH15" s="102"/>
      <c r="CI15" s="102"/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/>
      <c r="DA15" s="102"/>
      <c r="DB15" s="102"/>
      <c r="DC15" s="102"/>
      <c r="DD15" s="102"/>
      <c r="DE15" s="102"/>
      <c r="DF15" s="102"/>
      <c r="DG15" s="102"/>
      <c r="DH15" s="102"/>
      <c r="DI15" s="102"/>
      <c r="DJ15" s="102"/>
      <c r="DK15" s="102"/>
      <c r="DL15" s="102"/>
      <c r="DM15" s="102"/>
      <c r="DN15" s="102"/>
      <c r="DO15" s="102"/>
      <c r="DP15" s="102"/>
      <c r="DQ15" s="102"/>
      <c r="DR15" s="102"/>
      <c r="DS15" s="102"/>
      <c r="DT15" s="102"/>
      <c r="DU15" s="102"/>
      <c r="DV15" s="102"/>
      <c r="DW15" s="102"/>
      <c r="DX15" s="102"/>
      <c r="DY15" s="102"/>
      <c r="DZ15" s="102"/>
      <c r="EA15" s="102"/>
      <c r="EB15" s="102"/>
      <c r="EC15" s="102"/>
      <c r="ED15" s="102"/>
      <c r="EE15" s="102"/>
      <c r="EF15" s="102"/>
      <c r="EG15" s="102"/>
      <c r="EH15" s="102"/>
      <c r="EI15" s="102"/>
      <c r="EJ15" s="102"/>
      <c r="EK15" s="102"/>
      <c r="EL15" s="102"/>
      <c r="EM15" s="102"/>
      <c r="EN15" s="102"/>
      <c r="EO15" s="102"/>
      <c r="EP15" s="102"/>
      <c r="EQ15" s="102"/>
      <c r="ER15" s="102"/>
      <c r="ES15" s="102"/>
      <c r="ET15" s="102"/>
      <c r="EU15" s="102"/>
      <c r="EV15" s="102"/>
      <c r="EW15" s="102"/>
      <c r="EX15" s="102"/>
      <c r="EY15" s="102"/>
      <c r="EZ15" s="102"/>
      <c r="FA15" s="102"/>
      <c r="FB15" s="102"/>
      <c r="FC15" s="102"/>
      <c r="FD15" s="102"/>
      <c r="FE15" s="102"/>
      <c r="FF15" s="102"/>
      <c r="FG15" s="102"/>
      <c r="FH15" s="102"/>
      <c r="FI15" s="102"/>
      <c r="FJ15" s="102"/>
      <c r="FK15" s="102"/>
      <c r="FL15" s="102"/>
      <c r="FM15" s="102"/>
      <c r="FN15" s="102"/>
      <c r="FO15" s="102"/>
      <c r="FP15" s="102"/>
      <c r="FQ15" s="102"/>
      <c r="FR15" s="102"/>
      <c r="FS15" s="102"/>
      <c r="FT15" s="102"/>
      <c r="FU15" s="102"/>
      <c r="FV15" s="102"/>
      <c r="FW15" s="102"/>
      <c r="FX15" s="102"/>
      <c r="FY15" s="102"/>
      <c r="FZ15" s="102"/>
      <c r="GA15" s="102"/>
      <c r="GB15" s="102"/>
      <c r="GC15" s="102"/>
      <c r="GD15" s="102"/>
      <c r="GE15" s="102"/>
      <c r="GF15" s="102"/>
      <c r="GG15" s="102"/>
      <c r="GH15" s="102"/>
      <c r="GI15" s="102"/>
      <c r="GJ15" s="102"/>
      <c r="GK15" s="102"/>
      <c r="GL15" s="102"/>
      <c r="GM15" s="102"/>
      <c r="GN15" s="102"/>
      <c r="GO15" s="102"/>
      <c r="GP15" s="102"/>
      <c r="GQ15" s="102"/>
      <c r="GR15" s="102"/>
      <c r="GS15" s="102"/>
      <c r="GT15" s="102"/>
      <c r="GU15" s="102"/>
      <c r="GV15" s="102"/>
      <c r="GW15" s="102"/>
      <c r="GX15" s="102"/>
      <c r="GY15" s="102"/>
      <c r="GZ15" s="102"/>
      <c r="HA15" s="102"/>
      <c r="HB15" s="102"/>
      <c r="HC15" s="102"/>
      <c r="HD15" s="102"/>
      <c r="HE15" s="102"/>
      <c r="HF15" s="102"/>
      <c r="HG15" s="102"/>
      <c r="HH15" s="102"/>
      <c r="HI15" s="102"/>
      <c r="HJ15" s="102"/>
      <c r="HK15" s="102"/>
      <c r="HL15" s="102"/>
      <c r="HM15" s="102"/>
      <c r="HN15" s="102"/>
      <c r="HO15" s="102"/>
      <c r="HP15" s="102"/>
      <c r="HQ15" s="102"/>
      <c r="HR15" s="102"/>
      <c r="HS15" s="102"/>
      <c r="HT15" s="102"/>
      <c r="HU15" s="102"/>
      <c r="HV15" s="102"/>
      <c r="HW15" s="102"/>
      <c r="HX15" s="102"/>
      <c r="HY15" s="102"/>
      <c r="HZ15" s="102"/>
      <c r="IA15" s="102"/>
      <c r="IB15" s="102"/>
      <c r="IC15" s="102"/>
      <c r="ID15" s="102"/>
      <c r="IE15" s="102"/>
      <c r="IF15" s="102"/>
      <c r="IG15" s="102"/>
      <c r="IH15" s="102"/>
      <c r="II15" s="102"/>
      <c r="IJ15" s="102"/>
      <c r="IK15" s="102"/>
      <c r="IL15" s="102"/>
      <c r="IM15" s="102"/>
      <c r="IN15" s="102"/>
      <c r="IO15" s="102"/>
      <c r="IP15" s="102"/>
      <c r="IQ15" s="102"/>
      <c r="IR15" s="102"/>
      <c r="IS15" s="102"/>
      <c r="IT15" s="102"/>
      <c r="IU15" s="102"/>
      <c r="IV15" s="102"/>
      <c r="IW15" s="102"/>
    </row>
    <row r="16" customFormat="false" ht="12.75" hidden="false" customHeight="false" outlineLevel="0" collapsed="false">
      <c r="A16" s="102"/>
      <c r="B16" s="103" t="s">
        <v>200</v>
      </c>
      <c r="C16" s="104" t="s">
        <v>106</v>
      </c>
      <c r="D16" s="104" t="s">
        <v>238</v>
      </c>
      <c r="E16" s="105" t="n">
        <v>36800</v>
      </c>
      <c r="F16" s="105" t="n">
        <v>36830</v>
      </c>
      <c r="G16" s="126" t="n">
        <v>10001</v>
      </c>
      <c r="H16" s="126" t="n">
        <v>10001</v>
      </c>
      <c r="I16" s="104" t="s">
        <v>280</v>
      </c>
      <c r="J16" s="106" t="n">
        <v>0.0137</v>
      </c>
      <c r="K16" s="107"/>
      <c r="L16" s="107"/>
      <c r="M16" s="107"/>
      <c r="N16" s="107"/>
      <c r="O16" s="108"/>
      <c r="P16" s="107"/>
      <c r="Q16" s="109" t="n">
        <v>530811</v>
      </c>
      <c r="R16" s="104" t="n">
        <v>4064</v>
      </c>
      <c r="S16" s="103" t="s">
        <v>282</v>
      </c>
      <c r="T16" s="110" t="n">
        <f aca="false">J16*1*R16</f>
        <v>55.6768</v>
      </c>
      <c r="U16" s="110"/>
      <c r="V16" s="111" t="n">
        <v>418886</v>
      </c>
      <c r="W16" s="103"/>
      <c r="X16" s="112"/>
      <c r="Y16" s="11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/>
      <c r="CE16" s="102"/>
      <c r="CF16" s="102"/>
      <c r="CG16" s="102"/>
      <c r="CH16" s="102"/>
      <c r="CI16" s="102"/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/>
      <c r="DA16" s="102"/>
      <c r="DB16" s="102"/>
      <c r="DC16" s="102"/>
      <c r="DD16" s="102"/>
      <c r="DE16" s="102"/>
      <c r="DF16" s="102"/>
      <c r="DG16" s="102"/>
      <c r="DH16" s="102"/>
      <c r="DI16" s="102"/>
      <c r="DJ16" s="102"/>
      <c r="DK16" s="102"/>
      <c r="DL16" s="102"/>
      <c r="DM16" s="102"/>
      <c r="DN16" s="102"/>
      <c r="DO16" s="102"/>
      <c r="DP16" s="102"/>
      <c r="DQ16" s="102"/>
      <c r="DR16" s="102"/>
      <c r="DS16" s="102"/>
      <c r="DT16" s="102"/>
      <c r="DU16" s="102"/>
      <c r="DV16" s="102"/>
      <c r="DW16" s="102"/>
      <c r="DX16" s="102"/>
      <c r="DY16" s="102"/>
      <c r="DZ16" s="102"/>
      <c r="EA16" s="102"/>
      <c r="EB16" s="102"/>
      <c r="EC16" s="102"/>
      <c r="ED16" s="102"/>
      <c r="EE16" s="102"/>
      <c r="EF16" s="102"/>
      <c r="EG16" s="102"/>
      <c r="EH16" s="102"/>
      <c r="EI16" s="102"/>
      <c r="EJ16" s="102"/>
      <c r="EK16" s="102"/>
      <c r="EL16" s="102"/>
      <c r="EM16" s="102"/>
      <c r="EN16" s="102"/>
      <c r="EO16" s="102"/>
      <c r="EP16" s="102"/>
      <c r="EQ16" s="102"/>
      <c r="ER16" s="102"/>
      <c r="ES16" s="102"/>
      <c r="ET16" s="102"/>
      <c r="EU16" s="102"/>
      <c r="EV16" s="102"/>
      <c r="EW16" s="102"/>
      <c r="EX16" s="102"/>
      <c r="EY16" s="102"/>
      <c r="EZ16" s="102"/>
      <c r="FA16" s="102"/>
      <c r="FB16" s="102"/>
      <c r="FC16" s="102"/>
      <c r="FD16" s="102"/>
      <c r="FE16" s="102"/>
      <c r="FF16" s="102"/>
      <c r="FG16" s="102"/>
      <c r="FH16" s="102"/>
      <c r="FI16" s="102"/>
      <c r="FJ16" s="102"/>
      <c r="FK16" s="102"/>
      <c r="FL16" s="102"/>
      <c r="FM16" s="102"/>
      <c r="FN16" s="102"/>
      <c r="FO16" s="102"/>
      <c r="FP16" s="102"/>
      <c r="FQ16" s="102"/>
      <c r="FR16" s="102"/>
      <c r="FS16" s="102"/>
      <c r="FT16" s="102"/>
      <c r="FU16" s="102"/>
      <c r="FV16" s="102"/>
      <c r="FW16" s="102"/>
      <c r="FX16" s="102"/>
      <c r="FY16" s="102"/>
      <c r="FZ16" s="102"/>
      <c r="GA16" s="102"/>
      <c r="GB16" s="102"/>
      <c r="GC16" s="102"/>
      <c r="GD16" s="102"/>
      <c r="GE16" s="102"/>
      <c r="GF16" s="102"/>
      <c r="GG16" s="102"/>
      <c r="GH16" s="102"/>
      <c r="GI16" s="102"/>
      <c r="GJ16" s="102"/>
      <c r="GK16" s="102"/>
      <c r="GL16" s="102"/>
      <c r="GM16" s="102"/>
      <c r="GN16" s="102"/>
      <c r="GO16" s="102"/>
      <c r="GP16" s="102"/>
      <c r="GQ16" s="102"/>
      <c r="GR16" s="102"/>
      <c r="GS16" s="102"/>
      <c r="GT16" s="102"/>
      <c r="GU16" s="102"/>
      <c r="GV16" s="102"/>
      <c r="GW16" s="102"/>
      <c r="GX16" s="102"/>
      <c r="GY16" s="102"/>
      <c r="GZ16" s="102"/>
      <c r="HA16" s="102"/>
      <c r="HB16" s="102"/>
      <c r="HC16" s="102"/>
      <c r="HD16" s="102"/>
      <c r="HE16" s="102"/>
      <c r="HF16" s="102"/>
      <c r="HG16" s="102"/>
      <c r="HH16" s="102"/>
      <c r="HI16" s="102"/>
      <c r="HJ16" s="102"/>
      <c r="HK16" s="102"/>
      <c r="HL16" s="102"/>
      <c r="HM16" s="102"/>
      <c r="HN16" s="102"/>
      <c r="HO16" s="102"/>
      <c r="HP16" s="102"/>
      <c r="HQ16" s="102"/>
      <c r="HR16" s="102"/>
      <c r="HS16" s="102"/>
      <c r="HT16" s="102"/>
      <c r="HU16" s="102"/>
      <c r="HV16" s="102"/>
      <c r="HW16" s="102"/>
      <c r="HX16" s="102"/>
      <c r="HY16" s="102"/>
      <c r="HZ16" s="102"/>
      <c r="IA16" s="102"/>
      <c r="IB16" s="102"/>
      <c r="IC16" s="102"/>
      <c r="ID16" s="102"/>
      <c r="IE16" s="102"/>
      <c r="IF16" s="102"/>
      <c r="IG16" s="102"/>
      <c r="IH16" s="102"/>
      <c r="II16" s="102"/>
      <c r="IJ16" s="102"/>
      <c r="IK16" s="102"/>
      <c r="IL16" s="102"/>
      <c r="IM16" s="102"/>
      <c r="IN16" s="102"/>
      <c r="IO16" s="102"/>
      <c r="IP16" s="102"/>
      <c r="IQ16" s="102"/>
      <c r="IR16" s="102"/>
      <c r="IS16" s="102"/>
      <c r="IT16" s="102"/>
      <c r="IU16" s="102"/>
      <c r="IV16" s="102"/>
      <c r="IW16" s="102"/>
    </row>
    <row r="17" customFormat="false" ht="12.75" hidden="false" customHeight="false" outlineLevel="0" collapsed="false">
      <c r="B17" s="127" t="s">
        <v>169</v>
      </c>
      <c r="C17" s="128" t="s">
        <v>169</v>
      </c>
      <c r="D17" s="129" t="s">
        <v>169</v>
      </c>
      <c r="E17" s="130" t="s">
        <v>169</v>
      </c>
      <c r="F17" s="130"/>
      <c r="G17" s="127" t="s">
        <v>169</v>
      </c>
      <c r="H17" s="131" t="s">
        <v>169</v>
      </c>
      <c r="I17" s="128" t="s">
        <v>169</v>
      </c>
      <c r="J17" s="132"/>
      <c r="K17" s="133"/>
      <c r="L17" s="133"/>
      <c r="M17" s="133"/>
      <c r="N17" s="133"/>
      <c r="O17" s="134"/>
      <c r="P17" s="133"/>
      <c r="Q17" s="135" t="s">
        <v>169</v>
      </c>
      <c r="R17" s="128" t="n">
        <f aca="false">SUM(R13:R16)</f>
        <v>13658</v>
      </c>
      <c r="S17" s="127" t="s">
        <v>169</v>
      </c>
      <c r="T17" s="136" t="n">
        <f aca="false">SUM(T13:T16)</f>
        <v>462.2958</v>
      </c>
      <c r="U17" s="136"/>
      <c r="V17" s="137"/>
      <c r="W17" s="127"/>
      <c r="X17" s="71"/>
      <c r="Y17" s="71"/>
    </row>
    <row r="18" customFormat="false" ht="12.75" hidden="false" customHeight="false" outlineLevel="0" collapsed="false">
      <c r="B18" s="62" t="s">
        <v>180</v>
      </c>
      <c r="C18" s="63" t="s">
        <v>181</v>
      </c>
      <c r="D18" s="63" t="s">
        <v>182</v>
      </c>
      <c r="E18" s="64" t="s">
        <v>183</v>
      </c>
      <c r="F18" s="64"/>
      <c r="G18" s="62" t="s">
        <v>184</v>
      </c>
      <c r="H18" s="62" t="s">
        <v>185</v>
      </c>
      <c r="I18" s="63" t="s">
        <v>186</v>
      </c>
      <c r="J18" s="65" t="s">
        <v>187</v>
      </c>
      <c r="K18" s="63" t="s">
        <v>188</v>
      </c>
      <c r="L18" s="63" t="s">
        <v>189</v>
      </c>
      <c r="M18" s="63" t="s">
        <v>190</v>
      </c>
      <c r="N18" s="63" t="s">
        <v>191</v>
      </c>
      <c r="O18" s="66" t="s">
        <v>192</v>
      </c>
      <c r="P18" s="63" t="s">
        <v>193</v>
      </c>
      <c r="Q18" s="67" t="s">
        <v>194</v>
      </c>
      <c r="R18" s="63" t="s">
        <v>195</v>
      </c>
      <c r="S18" s="62" t="s">
        <v>196</v>
      </c>
      <c r="T18" s="68" t="s">
        <v>197</v>
      </c>
      <c r="U18" s="68" t="s">
        <v>198</v>
      </c>
      <c r="V18" s="69" t="s">
        <v>199</v>
      </c>
      <c r="W18" s="70" t="str">
        <f aca="false">+W12</f>
        <v>Questions</v>
      </c>
      <c r="X18" s="71"/>
      <c r="Y18" s="71"/>
    </row>
    <row r="19" customFormat="false" ht="12.75" hidden="false" customHeight="false" outlineLevel="0" collapsed="false">
      <c r="A19" s="77"/>
      <c r="B19" s="78" t="s">
        <v>200</v>
      </c>
      <c r="C19" s="79" t="s">
        <v>283</v>
      </c>
      <c r="D19" s="79" t="s">
        <v>284</v>
      </c>
      <c r="E19" s="80" t="n">
        <v>36617</v>
      </c>
      <c r="F19" s="80" t="n">
        <v>36830</v>
      </c>
      <c r="G19" s="78" t="s">
        <v>285</v>
      </c>
      <c r="H19" s="78" t="s">
        <v>220</v>
      </c>
      <c r="I19" s="79" t="s">
        <v>286</v>
      </c>
      <c r="J19" s="81" t="n">
        <f aca="false">6.238/J1</f>
        <v>0.201225806451613</v>
      </c>
      <c r="K19" s="82" t="n">
        <v>0</v>
      </c>
      <c r="L19" s="82" t="n">
        <v>0</v>
      </c>
      <c r="M19" s="82" t="n">
        <v>0</v>
      </c>
      <c r="N19" s="82" t="n">
        <v>0</v>
      </c>
      <c r="O19" s="83" t="n">
        <v>0</v>
      </c>
      <c r="P19" s="82" t="n">
        <f aca="false">SUM(J19:N19)</f>
        <v>0.201225806451613</v>
      </c>
      <c r="Q19" s="84" t="n">
        <v>51407</v>
      </c>
      <c r="R19" s="79" t="n">
        <v>73754</v>
      </c>
      <c r="S19" s="78" t="s">
        <v>287</v>
      </c>
      <c r="T19" s="85"/>
      <c r="U19" s="85"/>
      <c r="V19" s="86" t="n">
        <v>156569</v>
      </c>
      <c r="W19" s="78"/>
      <c r="X19" s="88"/>
      <c r="Y19" s="88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  <c r="IW19" s="77"/>
    </row>
    <row r="20" customFormat="false" ht="12.75" hidden="false" customHeight="false" outlineLevel="0" collapsed="false">
      <c r="A20" s="77"/>
      <c r="B20" s="78" t="s">
        <v>200</v>
      </c>
      <c r="C20" s="79" t="s">
        <v>283</v>
      </c>
      <c r="D20" s="79" t="s">
        <v>284</v>
      </c>
      <c r="E20" s="80" t="n">
        <v>36617</v>
      </c>
      <c r="F20" s="80" t="n">
        <v>36830</v>
      </c>
      <c r="G20" s="78" t="s">
        <v>285</v>
      </c>
      <c r="H20" s="78" t="s">
        <v>222</v>
      </c>
      <c r="I20" s="79" t="s">
        <v>286</v>
      </c>
      <c r="J20" s="81" t="n">
        <f aca="false">1.512/J1</f>
        <v>0.0487741935483871</v>
      </c>
      <c r="K20" s="82" t="n">
        <v>0</v>
      </c>
      <c r="L20" s="82" t="n">
        <v>0</v>
      </c>
      <c r="M20" s="82" t="n">
        <v>0</v>
      </c>
      <c r="N20" s="82" t="n">
        <v>0</v>
      </c>
      <c r="O20" s="83" t="n">
        <v>0</v>
      </c>
      <c r="P20" s="82" t="n">
        <f aca="false">SUM(J20:N20)</f>
        <v>0.0487741935483871</v>
      </c>
      <c r="Q20" s="84" t="n">
        <v>51407</v>
      </c>
      <c r="R20" s="79" t="n">
        <v>73754</v>
      </c>
      <c r="S20" s="78" t="s">
        <v>287</v>
      </c>
      <c r="T20" s="85"/>
      <c r="U20" s="85"/>
      <c r="V20" s="86" t="n">
        <v>156569</v>
      </c>
      <c r="W20" s="78"/>
      <c r="X20" s="88"/>
      <c r="Y20" s="88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  <c r="IW20" s="77"/>
    </row>
    <row r="21" customFormat="false" ht="12.75" hidden="false" customHeight="false" outlineLevel="0" collapsed="false">
      <c r="A21" s="77"/>
      <c r="B21" s="78" t="s">
        <v>200</v>
      </c>
      <c r="C21" s="79" t="s">
        <v>283</v>
      </c>
      <c r="D21" s="79"/>
      <c r="E21" s="80" t="n">
        <v>36100</v>
      </c>
      <c r="F21" s="80" t="n">
        <v>36830</v>
      </c>
      <c r="G21" s="78" t="s">
        <v>288</v>
      </c>
      <c r="H21" s="78" t="s">
        <v>289</v>
      </c>
      <c r="I21" s="79" t="s">
        <v>116</v>
      </c>
      <c r="J21" s="81" t="n">
        <f aca="false">4.56/J$1</f>
        <v>0.147096774193548</v>
      </c>
      <c r="K21" s="82" t="n">
        <v>0.0132</v>
      </c>
      <c r="L21" s="82" t="n">
        <v>0.0022</v>
      </c>
      <c r="M21" s="82" t="n">
        <v>0.0072</v>
      </c>
      <c r="N21" s="82" t="n">
        <v>0</v>
      </c>
      <c r="O21" s="83" t="n">
        <v>0.02116</v>
      </c>
      <c r="P21" s="82" t="n">
        <f aca="false">SUM(J21:N21)</f>
        <v>0.169696774193548</v>
      </c>
      <c r="Q21" s="84" t="n">
        <v>61822</v>
      </c>
      <c r="R21" s="79" t="n">
        <v>4000</v>
      </c>
      <c r="S21" s="78" t="s">
        <v>290</v>
      </c>
      <c r="T21" s="85" t="n">
        <f aca="false">J21*J$1*R21</f>
        <v>18240</v>
      </c>
      <c r="U21" s="85"/>
      <c r="V21" s="86" t="n">
        <v>162284</v>
      </c>
      <c r="W21" s="78"/>
      <c r="X21" s="88"/>
      <c r="Y21" s="88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  <c r="IW21" s="77"/>
    </row>
    <row r="22" customFormat="false" ht="12.75" hidden="false" customHeight="false" outlineLevel="0" collapsed="false">
      <c r="A22" s="77"/>
      <c r="B22" s="78" t="s">
        <v>200</v>
      </c>
      <c r="C22" s="79" t="s">
        <v>283</v>
      </c>
      <c r="D22" s="79" t="s">
        <v>291</v>
      </c>
      <c r="E22" s="80" t="n">
        <v>36526</v>
      </c>
      <c r="F22" s="80" t="n">
        <v>36830</v>
      </c>
      <c r="G22" s="78" t="s">
        <v>292</v>
      </c>
      <c r="H22" s="78" t="s">
        <v>293</v>
      </c>
      <c r="I22" s="79" t="s">
        <v>116</v>
      </c>
      <c r="J22" s="81" t="n">
        <f aca="false">4.56/J$1</f>
        <v>0.147096774193548</v>
      </c>
      <c r="K22" s="82" t="n">
        <v>0.0132</v>
      </c>
      <c r="L22" s="82" t="n">
        <v>0.0022</v>
      </c>
      <c r="M22" s="82" t="n">
        <v>0.0075</v>
      </c>
      <c r="N22" s="82" t="n">
        <v>0</v>
      </c>
      <c r="O22" s="83" t="n">
        <v>0.02116</v>
      </c>
      <c r="P22" s="82" t="n">
        <f aca="false">SUM(J22:N22)</f>
        <v>0.169996774193548</v>
      </c>
      <c r="Q22" s="84" t="n">
        <v>61825</v>
      </c>
      <c r="R22" s="79" t="n">
        <v>2000</v>
      </c>
      <c r="S22" s="78" t="s">
        <v>294</v>
      </c>
      <c r="T22" s="85" t="n">
        <f aca="false">J22*J$1*R22</f>
        <v>9120</v>
      </c>
      <c r="U22" s="85"/>
      <c r="V22" s="86" t="n">
        <v>156570</v>
      </c>
      <c r="W22" s="85"/>
      <c r="X22" s="88"/>
      <c r="Y22" s="88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  <c r="IW22" s="77"/>
    </row>
    <row r="23" customFormat="false" ht="12.75" hidden="false" customHeight="false" outlineLevel="0" collapsed="false">
      <c r="A23" s="77"/>
      <c r="B23" s="78" t="s">
        <v>200</v>
      </c>
      <c r="C23" s="79" t="s">
        <v>283</v>
      </c>
      <c r="D23" s="79" t="s">
        <v>291</v>
      </c>
      <c r="E23" s="80" t="n">
        <v>36526</v>
      </c>
      <c r="F23" s="80" t="n">
        <v>36830</v>
      </c>
      <c r="G23" s="78" t="s">
        <v>295</v>
      </c>
      <c r="H23" s="78" t="s">
        <v>293</v>
      </c>
      <c r="I23" s="79" t="s">
        <v>116</v>
      </c>
      <c r="J23" s="81" t="n">
        <f aca="false">4.56/J$1</f>
        <v>0.147096774193548</v>
      </c>
      <c r="K23" s="82" t="n">
        <v>0.0132</v>
      </c>
      <c r="L23" s="82" t="n">
        <v>0.0022</v>
      </c>
      <c r="M23" s="82" t="n">
        <v>0.0075</v>
      </c>
      <c r="N23" s="82" t="n">
        <v>0</v>
      </c>
      <c r="O23" s="83" t="n">
        <v>0.02116</v>
      </c>
      <c r="P23" s="82" t="n">
        <f aca="false">SUM(J23:N23)</f>
        <v>0.169996774193548</v>
      </c>
      <c r="Q23" s="84" t="n">
        <v>61825</v>
      </c>
      <c r="R23" s="79" t="n">
        <v>5000</v>
      </c>
      <c r="S23" s="78" t="s">
        <v>294</v>
      </c>
      <c r="T23" s="85" t="n">
        <f aca="false">J23*J$1*R23</f>
        <v>22800</v>
      </c>
      <c r="U23" s="85"/>
      <c r="V23" s="86" t="n">
        <v>156570</v>
      </c>
      <c r="W23" s="85"/>
      <c r="X23" s="88"/>
      <c r="Y23" s="88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  <c r="IW23" s="77"/>
    </row>
    <row r="24" customFormat="false" ht="12.75" hidden="false" customHeight="false" outlineLevel="0" collapsed="false">
      <c r="A24" s="77"/>
      <c r="B24" s="78" t="s">
        <v>200</v>
      </c>
      <c r="C24" s="79" t="s">
        <v>283</v>
      </c>
      <c r="D24" s="79" t="s">
        <v>291</v>
      </c>
      <c r="E24" s="80" t="n">
        <v>36526</v>
      </c>
      <c r="F24" s="80" t="n">
        <v>36830</v>
      </c>
      <c r="G24" s="78" t="s">
        <v>296</v>
      </c>
      <c r="H24" s="78" t="s">
        <v>293</v>
      </c>
      <c r="I24" s="79" t="s">
        <v>116</v>
      </c>
      <c r="J24" s="81" t="n">
        <f aca="false">4.56/J$1</f>
        <v>0.147096774193548</v>
      </c>
      <c r="K24" s="82" t="n">
        <v>0.0132</v>
      </c>
      <c r="L24" s="82" t="n">
        <v>0.0022</v>
      </c>
      <c r="M24" s="82" t="n">
        <v>0.0075</v>
      </c>
      <c r="N24" s="82" t="n">
        <v>0</v>
      </c>
      <c r="O24" s="83" t="n">
        <v>0.02116</v>
      </c>
      <c r="P24" s="82" t="n">
        <f aca="false">SUM(J24:N24)</f>
        <v>0.169996774193548</v>
      </c>
      <c r="Q24" s="84" t="n">
        <v>61825</v>
      </c>
      <c r="R24" s="79" t="n">
        <v>1000</v>
      </c>
      <c r="S24" s="78" t="s">
        <v>294</v>
      </c>
      <c r="T24" s="85" t="n">
        <f aca="false">J24*J$1*R24</f>
        <v>4560</v>
      </c>
      <c r="U24" s="85"/>
      <c r="V24" s="86" t="n">
        <v>156570</v>
      </c>
      <c r="W24" s="85"/>
      <c r="X24" s="88"/>
      <c r="Y24" s="88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</row>
    <row r="25" customFormat="false" ht="12.75" hidden="false" customHeight="false" outlineLevel="0" collapsed="false">
      <c r="A25" s="77"/>
      <c r="B25" s="78" t="s">
        <v>200</v>
      </c>
      <c r="C25" s="79" t="s">
        <v>283</v>
      </c>
      <c r="D25" s="79"/>
      <c r="E25" s="80" t="n">
        <v>36100</v>
      </c>
      <c r="F25" s="80" t="n">
        <v>36830</v>
      </c>
      <c r="G25" s="78" t="s">
        <v>292</v>
      </c>
      <c r="H25" s="78" t="s">
        <v>297</v>
      </c>
      <c r="I25" s="79" t="s">
        <v>116</v>
      </c>
      <c r="J25" s="81" t="n">
        <f aca="false">4.56/J$1</f>
        <v>0.147096774193548</v>
      </c>
      <c r="K25" s="82" t="n">
        <v>0.0132</v>
      </c>
      <c r="L25" s="82" t="n">
        <v>0.0022</v>
      </c>
      <c r="M25" s="82" t="n">
        <v>0.0072</v>
      </c>
      <c r="N25" s="82" t="n">
        <v>0</v>
      </c>
      <c r="O25" s="83" t="n">
        <v>0.02116</v>
      </c>
      <c r="P25" s="82" t="n">
        <f aca="false">SUM(J25:N25)</f>
        <v>0.169696774193548</v>
      </c>
      <c r="Q25" s="84" t="n">
        <v>61838</v>
      </c>
      <c r="R25" s="79" t="n">
        <v>1000</v>
      </c>
      <c r="S25" s="78" t="s">
        <v>298</v>
      </c>
      <c r="T25" s="85" t="n">
        <f aca="false">J25*J$1*R25</f>
        <v>4560</v>
      </c>
      <c r="U25" s="85"/>
      <c r="V25" s="86" t="n">
        <v>156571</v>
      </c>
      <c r="W25" s="78"/>
      <c r="X25" s="88"/>
      <c r="Y25" s="88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77"/>
      <c r="IW25" s="77"/>
    </row>
    <row r="26" customFormat="false" ht="12.75" hidden="false" customHeight="false" outlineLevel="0" collapsed="false">
      <c r="A26" s="77"/>
      <c r="B26" s="78" t="s">
        <v>200</v>
      </c>
      <c r="C26" s="79" t="s">
        <v>283</v>
      </c>
      <c r="D26" s="79" t="s">
        <v>291</v>
      </c>
      <c r="E26" s="80" t="n">
        <v>36526</v>
      </c>
      <c r="F26" s="80" t="n">
        <v>36830</v>
      </c>
      <c r="G26" s="78" t="s">
        <v>292</v>
      </c>
      <c r="H26" s="78" t="s">
        <v>299</v>
      </c>
      <c r="I26" s="79" t="s">
        <v>116</v>
      </c>
      <c r="J26" s="81" t="n">
        <f aca="false">4.56/J$1</f>
        <v>0.147096774193548</v>
      </c>
      <c r="K26" s="82" t="n">
        <v>0.0132</v>
      </c>
      <c r="L26" s="82" t="n">
        <v>0.0022</v>
      </c>
      <c r="M26" s="82" t="n">
        <v>0.0075</v>
      </c>
      <c r="N26" s="82" t="n">
        <v>0</v>
      </c>
      <c r="O26" s="83" t="n">
        <v>0.02116</v>
      </c>
      <c r="P26" s="82" t="n">
        <f aca="false">SUM(J26:N26)</f>
        <v>0.169996774193548</v>
      </c>
      <c r="Q26" s="84" t="n">
        <v>61990</v>
      </c>
      <c r="R26" s="79" t="n">
        <v>2000</v>
      </c>
      <c r="S26" s="78" t="s">
        <v>300</v>
      </c>
      <c r="T26" s="85" t="n">
        <f aca="false">J26*J$1*R26</f>
        <v>9120</v>
      </c>
      <c r="U26" s="85"/>
      <c r="V26" s="86" t="n">
        <v>156573</v>
      </c>
      <c r="W26" s="85"/>
      <c r="X26" s="88"/>
      <c r="Y26" s="88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  <c r="IV26" s="77"/>
      <c r="IW26" s="77"/>
    </row>
    <row r="27" customFormat="false" ht="12.75" hidden="false" customHeight="false" outlineLevel="0" collapsed="false">
      <c r="A27" s="77"/>
      <c r="B27" s="78" t="s">
        <v>200</v>
      </c>
      <c r="C27" s="79" t="s">
        <v>283</v>
      </c>
      <c r="D27" s="79" t="s">
        <v>291</v>
      </c>
      <c r="E27" s="80" t="n">
        <v>36465</v>
      </c>
      <c r="F27" s="80" t="n">
        <v>36891</v>
      </c>
      <c r="G27" s="78"/>
      <c r="H27" s="78" t="s">
        <v>301</v>
      </c>
      <c r="I27" s="79" t="s">
        <v>116</v>
      </c>
      <c r="J27" s="81" t="n">
        <f aca="false">3.0417/30.417</f>
        <v>0.1</v>
      </c>
      <c r="K27" s="82" t="n">
        <v>0.0132</v>
      </c>
      <c r="L27" s="82" t="n">
        <v>0.0022</v>
      </c>
      <c r="M27" s="82" t="n">
        <v>0.0075</v>
      </c>
      <c r="N27" s="82" t="n">
        <v>0</v>
      </c>
      <c r="O27" s="83" t="n">
        <v>0.02116</v>
      </c>
      <c r="P27" s="82" t="n">
        <f aca="false">SUM(J27:N27)</f>
        <v>0.1229</v>
      </c>
      <c r="Q27" s="84" t="n">
        <v>62164</v>
      </c>
      <c r="R27" s="79" t="n">
        <v>2000</v>
      </c>
      <c r="S27" s="78" t="s">
        <v>302</v>
      </c>
      <c r="T27" s="85" t="n">
        <f aca="false">J27*J$1*R27</f>
        <v>6200</v>
      </c>
      <c r="U27" s="86"/>
      <c r="V27" s="88" t="s">
        <v>303</v>
      </c>
      <c r="W27" s="88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  <c r="IV27" s="77"/>
      <c r="IW27" s="77"/>
    </row>
    <row r="28" customFormat="false" ht="12.75" hidden="false" customHeight="false" outlineLevel="0" collapsed="false">
      <c r="A28" s="77"/>
      <c r="B28" s="78" t="s">
        <v>200</v>
      </c>
      <c r="C28" s="79" t="s">
        <v>283</v>
      </c>
      <c r="D28" s="79" t="s">
        <v>284</v>
      </c>
      <c r="E28" s="80" t="n">
        <v>36800</v>
      </c>
      <c r="F28" s="80" t="n">
        <v>36981</v>
      </c>
      <c r="G28" s="78" t="s">
        <v>285</v>
      </c>
      <c r="H28" s="78" t="s">
        <v>304</v>
      </c>
      <c r="I28" s="79" t="s">
        <v>305</v>
      </c>
      <c r="J28" s="81" t="n">
        <f aca="false">6.029/J$1</f>
        <v>0.194483870967742</v>
      </c>
      <c r="K28" s="82" t="n">
        <v>0.013</v>
      </c>
      <c r="L28" s="82" t="n">
        <v>0.0022</v>
      </c>
      <c r="M28" s="82" t="n">
        <v>0.0072</v>
      </c>
      <c r="N28" s="82" t="n">
        <v>0</v>
      </c>
      <c r="O28" s="83" t="n">
        <v>0.02116</v>
      </c>
      <c r="P28" s="82" t="n">
        <f aca="false">SUM(J28:N28)</f>
        <v>0.216883870967742</v>
      </c>
      <c r="Q28" s="84" t="n">
        <v>67694</v>
      </c>
      <c r="R28" s="79" t="n">
        <v>108648</v>
      </c>
      <c r="S28" s="78" t="s">
        <v>169</v>
      </c>
      <c r="T28" s="85" t="n">
        <f aca="false">J28*J$1*R28</f>
        <v>655038.792</v>
      </c>
      <c r="U28" s="85"/>
      <c r="V28" s="86" t="n">
        <v>231723</v>
      </c>
      <c r="W28" s="78"/>
      <c r="X28" s="88"/>
      <c r="Y28" s="88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77"/>
      <c r="IW28" s="77"/>
    </row>
    <row r="29" customFormat="false" ht="12.75" hidden="false" customHeight="false" outlineLevel="0" collapsed="false">
      <c r="A29" s="77"/>
      <c r="B29" s="78" t="s">
        <v>200</v>
      </c>
      <c r="C29" s="79" t="s">
        <v>283</v>
      </c>
      <c r="D29" s="79" t="s">
        <v>284</v>
      </c>
      <c r="E29" s="80" t="n">
        <v>36617</v>
      </c>
      <c r="F29" s="80" t="n">
        <v>36981</v>
      </c>
      <c r="G29" s="78" t="s">
        <v>285</v>
      </c>
      <c r="H29" s="78" t="s">
        <v>220</v>
      </c>
      <c r="I29" s="79" t="s">
        <v>286</v>
      </c>
      <c r="J29" s="81" t="n">
        <v>0.0293</v>
      </c>
      <c r="K29" s="82" t="n">
        <v>0</v>
      </c>
      <c r="L29" s="82" t="n">
        <v>0</v>
      </c>
      <c r="M29" s="82" t="n">
        <v>0</v>
      </c>
      <c r="N29" s="82" t="n">
        <v>0</v>
      </c>
      <c r="O29" s="83" t="n">
        <v>0</v>
      </c>
      <c r="P29" s="82" t="n">
        <f aca="false">SUM(J29:N29)</f>
        <v>0.0293</v>
      </c>
      <c r="Q29" s="84" t="n">
        <v>67712</v>
      </c>
      <c r="R29" s="79" t="n">
        <v>6050607</v>
      </c>
      <c r="S29" s="78" t="s">
        <v>306</v>
      </c>
      <c r="T29" s="85" t="n">
        <f aca="false">J29*R29</f>
        <v>177282.7851</v>
      </c>
      <c r="U29" s="85"/>
      <c r="V29" s="86" t="n">
        <v>235876</v>
      </c>
      <c r="W29" s="78" t="n">
        <v>231698</v>
      </c>
      <c r="X29" s="88"/>
      <c r="Y29" s="88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  <c r="IW29" s="77"/>
    </row>
    <row r="30" customFormat="false" ht="12.75" hidden="false" customHeight="false" outlineLevel="0" collapsed="false">
      <c r="A30" s="77"/>
      <c r="B30" s="78" t="s">
        <v>200</v>
      </c>
      <c r="C30" s="79" t="s">
        <v>283</v>
      </c>
      <c r="D30" s="79" t="s">
        <v>284</v>
      </c>
      <c r="E30" s="80" t="n">
        <v>36617</v>
      </c>
      <c r="F30" s="80" t="n">
        <v>36981</v>
      </c>
      <c r="G30" s="78" t="s">
        <v>285</v>
      </c>
      <c r="H30" s="78" t="s">
        <v>222</v>
      </c>
      <c r="I30" s="79" t="s">
        <v>286</v>
      </c>
      <c r="J30" s="81" t="n">
        <v>1.524</v>
      </c>
      <c r="K30" s="82" t="n">
        <v>0</v>
      </c>
      <c r="L30" s="82" t="n">
        <v>0</v>
      </c>
      <c r="M30" s="82" t="n">
        <v>0</v>
      </c>
      <c r="N30" s="82" t="n">
        <v>0</v>
      </c>
      <c r="O30" s="83" t="n">
        <v>0</v>
      </c>
      <c r="P30" s="82" t="n">
        <f aca="false">SUM(J30:N30)</f>
        <v>1.524</v>
      </c>
      <c r="Q30" s="84" t="n">
        <v>67712</v>
      </c>
      <c r="R30" s="79" t="n">
        <v>108648</v>
      </c>
      <c r="S30" s="78" t="s">
        <v>306</v>
      </c>
      <c r="T30" s="85" t="n">
        <f aca="false">J30*R30</f>
        <v>165579.552</v>
      </c>
      <c r="U30" s="85"/>
      <c r="V30" s="86" t="n">
        <v>235876</v>
      </c>
      <c r="W30" s="78" t="n">
        <v>231698</v>
      </c>
      <c r="X30" s="88"/>
      <c r="Y30" s="88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</row>
    <row r="31" customFormat="false" ht="12.75" hidden="false" customHeight="false" outlineLevel="0" collapsed="false">
      <c r="A31" s="77"/>
      <c r="B31" s="78" t="s">
        <v>200</v>
      </c>
      <c r="C31" s="79" t="s">
        <v>283</v>
      </c>
      <c r="D31" s="79" t="s">
        <v>284</v>
      </c>
      <c r="E31" s="80" t="n">
        <v>36617</v>
      </c>
      <c r="F31" s="80" t="n">
        <v>36981</v>
      </c>
      <c r="G31" s="78" t="s">
        <v>285</v>
      </c>
      <c r="H31" s="78" t="s">
        <v>220</v>
      </c>
      <c r="I31" s="79" t="s">
        <v>286</v>
      </c>
      <c r="J31" s="81" t="n">
        <v>0</v>
      </c>
      <c r="K31" s="82" t="n">
        <v>0</v>
      </c>
      <c r="L31" s="82" t="n">
        <v>0</v>
      </c>
      <c r="M31" s="82" t="n">
        <v>0</v>
      </c>
      <c r="N31" s="82" t="n">
        <v>0</v>
      </c>
      <c r="O31" s="83" t="n">
        <v>0</v>
      </c>
      <c r="P31" s="82" t="n">
        <f aca="false">SUM(J31:N31)</f>
        <v>0</v>
      </c>
      <c r="Q31" s="84" t="n">
        <v>67713</v>
      </c>
      <c r="R31" s="79" t="n">
        <v>0</v>
      </c>
      <c r="S31" s="78" t="s">
        <v>307</v>
      </c>
      <c r="T31" s="85" t="n">
        <f aca="false">J31*R31</f>
        <v>0</v>
      </c>
      <c r="U31" s="85"/>
      <c r="V31" s="86" t="n">
        <v>235876</v>
      </c>
      <c r="W31" s="78"/>
      <c r="X31" s="88"/>
      <c r="Y31" s="88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  <c r="IW31" s="77"/>
    </row>
    <row r="32" customFormat="false" ht="12.75" hidden="false" customHeight="false" outlineLevel="0" collapsed="false">
      <c r="A32" s="77"/>
      <c r="B32" s="78" t="s">
        <v>200</v>
      </c>
      <c r="C32" s="79" t="s">
        <v>283</v>
      </c>
      <c r="D32" s="79" t="s">
        <v>284</v>
      </c>
      <c r="E32" s="80" t="n">
        <v>36617</v>
      </c>
      <c r="F32" s="80" t="n">
        <v>36981</v>
      </c>
      <c r="G32" s="78" t="s">
        <v>285</v>
      </c>
      <c r="H32" s="78" t="s">
        <v>222</v>
      </c>
      <c r="I32" s="79" t="s">
        <v>286</v>
      </c>
      <c r="J32" s="81" t="n">
        <v>0</v>
      </c>
      <c r="K32" s="82" t="n">
        <v>0</v>
      </c>
      <c r="L32" s="82" t="n">
        <v>0</v>
      </c>
      <c r="M32" s="82" t="n">
        <v>0</v>
      </c>
      <c r="N32" s="82" t="n">
        <v>0</v>
      </c>
      <c r="O32" s="83" t="n">
        <v>0</v>
      </c>
      <c r="P32" s="82" t="n">
        <f aca="false">SUM(J32:N32)</f>
        <v>0</v>
      </c>
      <c r="Q32" s="84" t="n">
        <v>67713</v>
      </c>
      <c r="R32" s="79" t="n">
        <v>0</v>
      </c>
      <c r="S32" s="78" t="s">
        <v>307</v>
      </c>
      <c r="T32" s="85" t="n">
        <f aca="false">J32*R32</f>
        <v>0</v>
      </c>
      <c r="U32" s="85"/>
      <c r="V32" s="86" t="n">
        <v>235876</v>
      </c>
      <c r="W32" s="78"/>
      <c r="X32" s="88"/>
      <c r="Y32" s="88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7"/>
      <c r="CA32" s="77"/>
      <c r="CB32" s="77"/>
      <c r="CC32" s="77"/>
      <c r="CD32" s="77"/>
      <c r="CE32" s="77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7"/>
      <c r="CR32" s="77"/>
      <c r="CS32" s="77"/>
      <c r="CT32" s="77"/>
      <c r="CU32" s="77"/>
      <c r="CV32" s="77"/>
      <c r="CW32" s="77"/>
      <c r="CX32" s="77"/>
      <c r="CY32" s="77"/>
      <c r="CZ32" s="77"/>
      <c r="DA32" s="77"/>
      <c r="DB32" s="77"/>
      <c r="DC32" s="77"/>
      <c r="DD32" s="77"/>
      <c r="DE32" s="77"/>
      <c r="DF32" s="77"/>
      <c r="DG32" s="77"/>
      <c r="DH32" s="77"/>
      <c r="DI32" s="77"/>
      <c r="DJ32" s="77"/>
      <c r="DK32" s="77"/>
      <c r="DL32" s="77"/>
      <c r="DM32" s="77"/>
      <c r="DN32" s="77"/>
      <c r="DO32" s="77"/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77"/>
      <c r="EN32" s="77"/>
      <c r="EO32" s="77"/>
      <c r="EP32" s="77"/>
      <c r="EQ32" s="77"/>
      <c r="ER32" s="77"/>
      <c r="ES32" s="77"/>
      <c r="ET32" s="77"/>
      <c r="EU32" s="77"/>
      <c r="EV32" s="77"/>
      <c r="EW32" s="77"/>
      <c r="EX32" s="77"/>
      <c r="EY32" s="77"/>
      <c r="EZ32" s="77"/>
      <c r="FA32" s="77"/>
      <c r="FB32" s="77"/>
      <c r="FC32" s="77"/>
      <c r="FD32" s="77"/>
      <c r="FE32" s="77"/>
      <c r="FF32" s="77"/>
      <c r="FG32" s="77"/>
      <c r="FH32" s="77"/>
      <c r="FI32" s="77"/>
      <c r="FJ32" s="77"/>
      <c r="FK32" s="77"/>
      <c r="FL32" s="77"/>
      <c r="FM32" s="77"/>
      <c r="FN32" s="77"/>
      <c r="FO32" s="77"/>
      <c r="FP32" s="77"/>
      <c r="FQ32" s="77"/>
      <c r="FR32" s="77"/>
      <c r="FS32" s="77"/>
      <c r="FT32" s="77"/>
      <c r="FU32" s="77"/>
      <c r="FV32" s="77"/>
      <c r="FW32" s="77"/>
      <c r="FX32" s="77"/>
      <c r="FY32" s="77"/>
      <c r="FZ32" s="77"/>
      <c r="GA32" s="77"/>
      <c r="GB32" s="77"/>
      <c r="GC32" s="77"/>
      <c r="GD32" s="77"/>
      <c r="GE32" s="77"/>
      <c r="GF32" s="77"/>
      <c r="GG32" s="77"/>
      <c r="GH32" s="77"/>
      <c r="GI32" s="77"/>
      <c r="GJ32" s="77"/>
      <c r="GK32" s="77"/>
      <c r="GL32" s="77"/>
      <c r="GM32" s="77"/>
      <c r="GN32" s="77"/>
      <c r="GO32" s="77"/>
      <c r="GP32" s="77"/>
      <c r="GQ32" s="77"/>
      <c r="GR32" s="77"/>
      <c r="GS32" s="77"/>
      <c r="GT32" s="77"/>
      <c r="GU32" s="77"/>
      <c r="GV32" s="77"/>
      <c r="GW32" s="77"/>
      <c r="GX32" s="77"/>
      <c r="GY32" s="77"/>
      <c r="GZ32" s="77"/>
      <c r="HA32" s="77"/>
      <c r="HB32" s="77"/>
      <c r="HC32" s="77"/>
      <c r="HD32" s="77"/>
      <c r="HE32" s="77"/>
      <c r="HF32" s="77"/>
      <c r="HG32" s="77"/>
      <c r="HH32" s="77"/>
      <c r="HI32" s="77"/>
      <c r="HJ32" s="77"/>
      <c r="HK32" s="77"/>
      <c r="HL32" s="77"/>
      <c r="HM32" s="77"/>
      <c r="HN32" s="77"/>
      <c r="HO32" s="77"/>
      <c r="HP32" s="77"/>
      <c r="HQ32" s="77"/>
      <c r="HR32" s="77"/>
      <c r="HS32" s="77"/>
      <c r="HT32" s="77"/>
      <c r="HU32" s="77"/>
      <c r="HV32" s="77"/>
      <c r="HW32" s="77"/>
      <c r="HX32" s="77"/>
      <c r="HY32" s="77"/>
      <c r="HZ32" s="77"/>
      <c r="IA32" s="77"/>
      <c r="IB32" s="77"/>
      <c r="IC32" s="77"/>
      <c r="ID32" s="77"/>
      <c r="IE32" s="77"/>
      <c r="IF32" s="77"/>
      <c r="IG32" s="77"/>
      <c r="IH32" s="77"/>
      <c r="II32" s="77"/>
      <c r="IJ32" s="77"/>
      <c r="IK32" s="77"/>
      <c r="IL32" s="77"/>
      <c r="IM32" s="77"/>
      <c r="IN32" s="77"/>
      <c r="IO32" s="77"/>
      <c r="IP32" s="77"/>
      <c r="IQ32" s="77"/>
      <c r="IR32" s="77"/>
      <c r="IS32" s="77"/>
      <c r="IT32" s="77"/>
      <c r="IU32" s="77"/>
      <c r="IV32" s="77"/>
      <c r="IW32" s="77"/>
    </row>
    <row r="33" customFormat="false" ht="12.75" hidden="false" customHeight="false" outlineLevel="0" collapsed="false">
      <c r="A33" s="77"/>
      <c r="B33" s="78" t="s">
        <v>200</v>
      </c>
      <c r="C33" s="79" t="s">
        <v>283</v>
      </c>
      <c r="D33" s="79" t="s">
        <v>308</v>
      </c>
      <c r="E33" s="80" t="n">
        <v>36678</v>
      </c>
      <c r="F33" s="80" t="n">
        <v>37042</v>
      </c>
      <c r="G33" s="78" t="s">
        <v>309</v>
      </c>
      <c r="H33" s="78" t="s">
        <v>310</v>
      </c>
      <c r="I33" s="79" t="s">
        <v>116</v>
      </c>
      <c r="J33" s="81" t="n">
        <f aca="false">6.401/J$1</f>
        <v>0.206483870967742</v>
      </c>
      <c r="K33" s="82" t="n">
        <v>0.0132</v>
      </c>
      <c r="L33" s="82" t="n">
        <v>0.0022</v>
      </c>
      <c r="M33" s="82" t="n">
        <v>0.0072</v>
      </c>
      <c r="N33" s="82" t="n">
        <v>0</v>
      </c>
      <c r="O33" s="83" t="n">
        <v>0.02116</v>
      </c>
      <c r="P33" s="82" t="n">
        <f aca="false">SUM(J33:N33)</f>
        <v>0.229083870967742</v>
      </c>
      <c r="Q33" s="84" t="n">
        <v>68359</v>
      </c>
      <c r="R33" s="79" t="n">
        <v>285</v>
      </c>
      <c r="S33" s="78" t="s">
        <v>311</v>
      </c>
      <c r="T33" s="85" t="n">
        <f aca="false">J33*J$1*R33</f>
        <v>1824.285</v>
      </c>
      <c r="U33" s="85"/>
      <c r="V33" s="86" t="n">
        <v>271307</v>
      </c>
      <c r="W33" s="78"/>
      <c r="X33" s="88"/>
      <c r="Y33" s="88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7"/>
      <c r="CR33" s="77"/>
      <c r="CS33" s="77"/>
      <c r="CT33" s="77"/>
      <c r="CU33" s="77"/>
      <c r="CV33" s="77"/>
      <c r="CW33" s="77"/>
      <c r="CX33" s="77"/>
      <c r="CY33" s="77"/>
      <c r="CZ33" s="77"/>
      <c r="DA33" s="77"/>
      <c r="DB33" s="77"/>
      <c r="DC33" s="77"/>
      <c r="DD33" s="77"/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7"/>
      <c r="DS33" s="77"/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7"/>
      <c r="EH33" s="77"/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7"/>
      <c r="EW33" s="77"/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7"/>
      <c r="FL33" s="77"/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7"/>
      <c r="GA33" s="77"/>
      <c r="GB33" s="77"/>
      <c r="GC33" s="77"/>
      <c r="GD33" s="77"/>
      <c r="GE33" s="77"/>
      <c r="GF33" s="77"/>
      <c r="GG33" s="77"/>
      <c r="GH33" s="77"/>
      <c r="GI33" s="77"/>
      <c r="GJ33" s="77"/>
      <c r="GK33" s="77"/>
      <c r="GL33" s="77"/>
      <c r="GM33" s="77"/>
      <c r="GN33" s="77"/>
      <c r="GO33" s="77"/>
      <c r="GP33" s="77"/>
      <c r="GQ33" s="77"/>
      <c r="GR33" s="77"/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7"/>
      <c r="HG33" s="77"/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7"/>
      <c r="HV33" s="77"/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7"/>
      <c r="IK33" s="77"/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</row>
    <row r="34" customFormat="false" ht="12.75" hidden="false" customHeight="false" outlineLevel="0" collapsed="false">
      <c r="A34" s="77"/>
      <c r="B34" s="78" t="s">
        <v>200</v>
      </c>
      <c r="C34" s="79" t="s">
        <v>283</v>
      </c>
      <c r="D34" s="79" t="s">
        <v>312</v>
      </c>
      <c r="E34" s="80" t="n">
        <v>36678</v>
      </c>
      <c r="F34" s="80" t="n">
        <v>37042</v>
      </c>
      <c r="G34" s="78" t="s">
        <v>309</v>
      </c>
      <c r="H34" s="78" t="s">
        <v>313</v>
      </c>
      <c r="I34" s="79" t="s">
        <v>116</v>
      </c>
      <c r="J34" s="81" t="n">
        <f aca="false">6.401/J$1</f>
        <v>0.206483870967742</v>
      </c>
      <c r="K34" s="82" t="n">
        <v>0.0132</v>
      </c>
      <c r="L34" s="82" t="n">
        <v>0.0022</v>
      </c>
      <c r="M34" s="82" t="n">
        <v>0.0072</v>
      </c>
      <c r="N34" s="82" t="n">
        <v>0</v>
      </c>
      <c r="O34" s="83" t="n">
        <v>0.02116</v>
      </c>
      <c r="P34" s="82" t="n">
        <f aca="false">SUM(J34:N34)</f>
        <v>0.229083870967742</v>
      </c>
      <c r="Q34" s="84" t="n">
        <v>68384</v>
      </c>
      <c r="R34" s="79" t="n">
        <v>218</v>
      </c>
      <c r="S34" s="78" t="s">
        <v>314</v>
      </c>
      <c r="T34" s="85" t="n">
        <f aca="false">J34*J$1*R34</f>
        <v>1395.418</v>
      </c>
      <c r="U34" s="85"/>
      <c r="V34" s="86" t="n">
        <v>280570</v>
      </c>
      <c r="W34" s="78"/>
      <c r="X34" s="88"/>
      <c r="Y34" s="88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7"/>
      <c r="CR34" s="77"/>
      <c r="CS34" s="77"/>
      <c r="CT34" s="77"/>
      <c r="CU34" s="77"/>
      <c r="CV34" s="77"/>
      <c r="CW34" s="77"/>
      <c r="CX34" s="77"/>
      <c r="CY34" s="77"/>
      <c r="CZ34" s="77"/>
      <c r="DA34" s="77"/>
      <c r="DB34" s="77"/>
      <c r="DC34" s="77"/>
      <c r="DD34" s="77"/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7"/>
      <c r="DS34" s="77"/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7"/>
      <c r="EH34" s="77"/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7"/>
      <c r="FL34" s="77"/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7"/>
      <c r="GA34" s="77"/>
      <c r="GB34" s="77"/>
      <c r="GC34" s="77"/>
      <c r="GD34" s="77"/>
      <c r="GE34" s="77"/>
      <c r="GF34" s="77"/>
      <c r="GG34" s="77"/>
      <c r="GH34" s="77"/>
      <c r="GI34" s="77"/>
      <c r="GJ34" s="77"/>
      <c r="GK34" s="77"/>
      <c r="GL34" s="77"/>
      <c r="GM34" s="77"/>
      <c r="GN34" s="77"/>
      <c r="GO34" s="77"/>
      <c r="GP34" s="77"/>
      <c r="GQ34" s="77"/>
      <c r="GR34" s="77"/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7"/>
      <c r="HG34" s="77"/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7"/>
      <c r="HV34" s="77"/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7"/>
      <c r="IK34" s="77"/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</row>
    <row r="35" customFormat="false" ht="12.75" hidden="false" customHeight="false" outlineLevel="0" collapsed="false">
      <c r="A35" s="77"/>
      <c r="B35" s="78" t="s">
        <v>200</v>
      </c>
      <c r="C35" s="79" t="s">
        <v>283</v>
      </c>
      <c r="D35" s="79" t="s">
        <v>308</v>
      </c>
      <c r="E35" s="80" t="n">
        <v>36708</v>
      </c>
      <c r="F35" s="80" t="n">
        <v>37072</v>
      </c>
      <c r="G35" s="78" t="s">
        <v>309</v>
      </c>
      <c r="H35" s="78" t="s">
        <v>310</v>
      </c>
      <c r="I35" s="79" t="s">
        <v>116</v>
      </c>
      <c r="J35" s="81" t="n">
        <f aca="false">6.449/J$1</f>
        <v>0.208032258064516</v>
      </c>
      <c r="K35" s="82" t="n">
        <v>0.0132</v>
      </c>
      <c r="L35" s="82" t="n">
        <v>0.0022</v>
      </c>
      <c r="M35" s="82" t="n">
        <v>0.0072</v>
      </c>
      <c r="N35" s="82" t="n">
        <v>0</v>
      </c>
      <c r="O35" s="83" t="n">
        <v>0.02116</v>
      </c>
      <c r="P35" s="82" t="n">
        <f aca="false">SUM(J35:N35)</f>
        <v>0.230632258064516</v>
      </c>
      <c r="Q35" s="84" t="n">
        <v>68616</v>
      </c>
      <c r="R35" s="79" t="n">
        <v>900</v>
      </c>
      <c r="S35" s="78" t="s">
        <v>315</v>
      </c>
      <c r="T35" s="85" t="n">
        <f aca="false">J35*J$1*R35</f>
        <v>5804.1</v>
      </c>
      <c r="U35" s="85"/>
      <c r="V35" s="86" t="n">
        <v>309723</v>
      </c>
      <c r="W35" s="78" t="s">
        <v>316</v>
      </c>
      <c r="X35" s="88"/>
      <c r="Y35" s="88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77"/>
      <c r="CB35" s="77"/>
      <c r="CC35" s="77"/>
      <c r="CD35" s="77"/>
      <c r="CE35" s="77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7"/>
      <c r="CR35" s="77"/>
      <c r="CS35" s="77"/>
      <c r="CT35" s="77"/>
      <c r="CU35" s="77"/>
      <c r="CV35" s="77"/>
      <c r="CW35" s="77"/>
      <c r="CX35" s="77"/>
      <c r="CY35" s="77"/>
      <c r="CZ35" s="77"/>
      <c r="DA35" s="77"/>
      <c r="DB35" s="77"/>
      <c r="DC35" s="77"/>
      <c r="DD35" s="77"/>
      <c r="DE35" s="77"/>
      <c r="DF35" s="77"/>
      <c r="DG35" s="77"/>
      <c r="DH35" s="77"/>
      <c r="DI35" s="77"/>
      <c r="DJ35" s="77"/>
      <c r="DK35" s="77"/>
      <c r="DL35" s="77"/>
      <c r="DM35" s="77"/>
      <c r="DN35" s="77"/>
      <c r="DO35" s="77"/>
      <c r="DP35" s="77"/>
      <c r="DQ35" s="77"/>
      <c r="DR35" s="77"/>
      <c r="DS35" s="77"/>
      <c r="DT35" s="77"/>
      <c r="DU35" s="77"/>
      <c r="DV35" s="77"/>
      <c r="DW35" s="77"/>
      <c r="DX35" s="77"/>
      <c r="DY35" s="77"/>
      <c r="DZ35" s="77"/>
      <c r="EA35" s="77"/>
      <c r="EB35" s="77"/>
      <c r="EC35" s="77"/>
      <c r="ED35" s="77"/>
      <c r="EE35" s="77"/>
      <c r="EF35" s="77"/>
      <c r="EG35" s="77"/>
      <c r="EH35" s="77"/>
      <c r="EI35" s="77"/>
      <c r="EJ35" s="77"/>
      <c r="EK35" s="77"/>
      <c r="EL35" s="77"/>
      <c r="EM35" s="77"/>
      <c r="EN35" s="77"/>
      <c r="EO35" s="77"/>
      <c r="EP35" s="77"/>
      <c r="EQ35" s="77"/>
      <c r="ER35" s="77"/>
      <c r="ES35" s="77"/>
      <c r="ET35" s="77"/>
      <c r="EU35" s="77"/>
      <c r="EV35" s="77"/>
      <c r="EW35" s="77"/>
      <c r="EX35" s="77"/>
      <c r="EY35" s="77"/>
      <c r="EZ35" s="77"/>
      <c r="FA35" s="77"/>
      <c r="FB35" s="77"/>
      <c r="FC35" s="77"/>
      <c r="FD35" s="77"/>
      <c r="FE35" s="77"/>
      <c r="FF35" s="77"/>
      <c r="FG35" s="77"/>
      <c r="FH35" s="77"/>
      <c r="FI35" s="77"/>
      <c r="FJ35" s="77"/>
      <c r="FK35" s="77"/>
      <c r="FL35" s="77"/>
      <c r="FM35" s="77"/>
      <c r="FN35" s="77"/>
      <c r="FO35" s="77"/>
      <c r="FP35" s="77"/>
      <c r="FQ35" s="77"/>
      <c r="FR35" s="77"/>
      <c r="FS35" s="77"/>
      <c r="FT35" s="77"/>
      <c r="FU35" s="77"/>
      <c r="FV35" s="77"/>
      <c r="FW35" s="77"/>
      <c r="FX35" s="77"/>
      <c r="FY35" s="77"/>
      <c r="FZ35" s="77"/>
      <c r="GA35" s="77"/>
      <c r="GB35" s="77"/>
      <c r="GC35" s="77"/>
      <c r="GD35" s="77"/>
      <c r="GE35" s="77"/>
      <c r="GF35" s="77"/>
      <c r="GG35" s="77"/>
      <c r="GH35" s="77"/>
      <c r="GI35" s="77"/>
      <c r="GJ35" s="77"/>
      <c r="GK35" s="77"/>
      <c r="GL35" s="77"/>
      <c r="GM35" s="77"/>
      <c r="GN35" s="77"/>
      <c r="GO35" s="77"/>
      <c r="GP35" s="77"/>
      <c r="GQ35" s="77"/>
      <c r="GR35" s="77"/>
      <c r="GS35" s="77"/>
      <c r="GT35" s="77"/>
      <c r="GU35" s="77"/>
      <c r="GV35" s="77"/>
      <c r="GW35" s="77"/>
      <c r="GX35" s="77"/>
      <c r="GY35" s="77"/>
      <c r="GZ35" s="77"/>
      <c r="HA35" s="77"/>
      <c r="HB35" s="77"/>
      <c r="HC35" s="77"/>
      <c r="HD35" s="77"/>
      <c r="HE35" s="77"/>
      <c r="HF35" s="77"/>
      <c r="HG35" s="77"/>
      <c r="HH35" s="77"/>
      <c r="HI35" s="77"/>
      <c r="HJ35" s="77"/>
      <c r="HK35" s="77"/>
      <c r="HL35" s="77"/>
      <c r="HM35" s="77"/>
      <c r="HN35" s="77"/>
      <c r="HO35" s="77"/>
      <c r="HP35" s="77"/>
      <c r="HQ35" s="77"/>
      <c r="HR35" s="77"/>
      <c r="HS35" s="77"/>
      <c r="HT35" s="77"/>
      <c r="HU35" s="77"/>
      <c r="HV35" s="77"/>
      <c r="HW35" s="77"/>
      <c r="HX35" s="77"/>
      <c r="HY35" s="77"/>
      <c r="HZ35" s="77"/>
      <c r="IA35" s="77"/>
      <c r="IB35" s="77"/>
      <c r="IC35" s="77"/>
      <c r="ID35" s="77"/>
      <c r="IE35" s="77"/>
      <c r="IF35" s="77"/>
      <c r="IG35" s="77"/>
      <c r="IH35" s="77"/>
      <c r="II35" s="77"/>
      <c r="IJ35" s="77"/>
      <c r="IK35" s="77"/>
      <c r="IL35" s="77"/>
      <c r="IM35" s="77"/>
      <c r="IN35" s="77"/>
      <c r="IO35" s="77"/>
      <c r="IP35" s="77"/>
      <c r="IQ35" s="77"/>
      <c r="IR35" s="77"/>
      <c r="IS35" s="77"/>
      <c r="IT35" s="77"/>
      <c r="IU35" s="77"/>
      <c r="IV35" s="77"/>
      <c r="IW35" s="77"/>
    </row>
    <row r="36" customFormat="false" ht="12.75" hidden="false" customHeight="false" outlineLevel="0" collapsed="false">
      <c r="A36" s="77"/>
      <c r="B36" s="78" t="s">
        <v>200</v>
      </c>
      <c r="C36" s="79" t="s">
        <v>283</v>
      </c>
      <c r="D36" s="79" t="s">
        <v>312</v>
      </c>
      <c r="E36" s="80" t="n">
        <v>36708</v>
      </c>
      <c r="F36" s="80" t="n">
        <v>37072</v>
      </c>
      <c r="G36" s="78" t="s">
        <v>309</v>
      </c>
      <c r="H36" s="78" t="s">
        <v>317</v>
      </c>
      <c r="I36" s="79" t="s">
        <v>116</v>
      </c>
      <c r="J36" s="81" t="n">
        <f aca="false">6.449/J$1</f>
        <v>0.208032258064516</v>
      </c>
      <c r="K36" s="82" t="n">
        <v>0.0132</v>
      </c>
      <c r="L36" s="82" t="n">
        <v>0.0022</v>
      </c>
      <c r="M36" s="82" t="n">
        <v>0.0072</v>
      </c>
      <c r="N36" s="82" t="n">
        <v>0</v>
      </c>
      <c r="O36" s="83" t="n">
        <v>0.02116</v>
      </c>
      <c r="P36" s="82" t="n">
        <f aca="false">SUM(J36:N36)</f>
        <v>0.230632258064516</v>
      </c>
      <c r="Q36" s="84" t="n">
        <v>68635</v>
      </c>
      <c r="R36" s="79" t="n">
        <v>1</v>
      </c>
      <c r="S36" s="78" t="s">
        <v>318</v>
      </c>
      <c r="T36" s="85" t="n">
        <f aca="false">J36*J$1*R36</f>
        <v>6.449</v>
      </c>
      <c r="U36" s="85"/>
      <c r="V36" s="86" t="n">
        <v>312333</v>
      </c>
      <c r="W36" s="78"/>
      <c r="X36" s="88"/>
      <c r="Y36" s="88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7"/>
      <c r="CA36" s="77"/>
      <c r="CB36" s="77"/>
      <c r="CC36" s="77"/>
      <c r="CD36" s="77"/>
      <c r="CE36" s="77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7"/>
      <c r="CR36" s="77"/>
      <c r="CS36" s="77"/>
      <c r="CT36" s="77"/>
      <c r="CU36" s="77"/>
      <c r="CV36" s="77"/>
      <c r="CW36" s="77"/>
      <c r="CX36" s="77"/>
      <c r="CY36" s="77"/>
      <c r="CZ36" s="77"/>
      <c r="DA36" s="77"/>
      <c r="DB36" s="77"/>
      <c r="DC36" s="77"/>
      <c r="DD36" s="77"/>
      <c r="DE36" s="77"/>
      <c r="DF36" s="77"/>
      <c r="DG36" s="77"/>
      <c r="DH36" s="77"/>
      <c r="DI36" s="77"/>
      <c r="DJ36" s="77"/>
      <c r="DK36" s="77"/>
      <c r="DL36" s="77"/>
      <c r="DM36" s="77"/>
      <c r="DN36" s="77"/>
      <c r="DO36" s="77"/>
      <c r="DP36" s="77"/>
      <c r="DQ36" s="77"/>
      <c r="DR36" s="77"/>
      <c r="DS36" s="77"/>
      <c r="DT36" s="77"/>
      <c r="DU36" s="77"/>
      <c r="DV36" s="77"/>
      <c r="DW36" s="77"/>
      <c r="DX36" s="77"/>
      <c r="DY36" s="77"/>
      <c r="DZ36" s="77"/>
      <c r="EA36" s="77"/>
      <c r="EB36" s="77"/>
      <c r="EC36" s="77"/>
      <c r="ED36" s="77"/>
      <c r="EE36" s="77"/>
      <c r="EF36" s="77"/>
      <c r="EG36" s="77"/>
      <c r="EH36" s="77"/>
      <c r="EI36" s="77"/>
      <c r="EJ36" s="77"/>
      <c r="EK36" s="77"/>
      <c r="EL36" s="77"/>
      <c r="EM36" s="77"/>
      <c r="EN36" s="77"/>
      <c r="EO36" s="77"/>
      <c r="EP36" s="77"/>
      <c r="EQ36" s="77"/>
      <c r="ER36" s="77"/>
      <c r="ES36" s="77"/>
      <c r="ET36" s="77"/>
      <c r="EU36" s="77"/>
      <c r="EV36" s="77"/>
      <c r="EW36" s="77"/>
      <c r="EX36" s="77"/>
      <c r="EY36" s="77"/>
      <c r="EZ36" s="77"/>
      <c r="FA36" s="77"/>
      <c r="FB36" s="77"/>
      <c r="FC36" s="77"/>
      <c r="FD36" s="77"/>
      <c r="FE36" s="77"/>
      <c r="FF36" s="77"/>
      <c r="FG36" s="77"/>
      <c r="FH36" s="77"/>
      <c r="FI36" s="77"/>
      <c r="FJ36" s="77"/>
      <c r="FK36" s="77"/>
      <c r="FL36" s="77"/>
      <c r="FM36" s="77"/>
      <c r="FN36" s="77"/>
      <c r="FO36" s="77"/>
      <c r="FP36" s="77"/>
      <c r="FQ36" s="77"/>
      <c r="FR36" s="77"/>
      <c r="FS36" s="77"/>
      <c r="FT36" s="77"/>
      <c r="FU36" s="77"/>
      <c r="FV36" s="77"/>
      <c r="FW36" s="77"/>
      <c r="FX36" s="77"/>
      <c r="FY36" s="77"/>
      <c r="FZ36" s="77"/>
      <c r="GA36" s="77"/>
      <c r="GB36" s="77"/>
      <c r="GC36" s="77"/>
      <c r="GD36" s="77"/>
      <c r="GE36" s="77"/>
      <c r="GF36" s="77"/>
      <c r="GG36" s="77"/>
      <c r="GH36" s="77"/>
      <c r="GI36" s="77"/>
      <c r="GJ36" s="77"/>
      <c r="GK36" s="77"/>
      <c r="GL36" s="77"/>
      <c r="GM36" s="77"/>
      <c r="GN36" s="77"/>
      <c r="GO36" s="77"/>
      <c r="GP36" s="77"/>
      <c r="GQ36" s="77"/>
      <c r="GR36" s="77"/>
      <c r="GS36" s="77"/>
      <c r="GT36" s="77"/>
      <c r="GU36" s="77"/>
      <c r="GV36" s="77"/>
      <c r="GW36" s="77"/>
      <c r="GX36" s="77"/>
      <c r="GY36" s="77"/>
      <c r="GZ36" s="77"/>
      <c r="HA36" s="77"/>
      <c r="HB36" s="77"/>
      <c r="HC36" s="77"/>
      <c r="HD36" s="77"/>
      <c r="HE36" s="77"/>
      <c r="HF36" s="77"/>
      <c r="HG36" s="77"/>
      <c r="HH36" s="77"/>
      <c r="HI36" s="77"/>
      <c r="HJ36" s="77"/>
      <c r="HK36" s="77"/>
      <c r="HL36" s="77"/>
      <c r="HM36" s="77"/>
      <c r="HN36" s="77"/>
      <c r="HO36" s="77"/>
      <c r="HP36" s="77"/>
      <c r="HQ36" s="77"/>
      <c r="HR36" s="77"/>
      <c r="HS36" s="77"/>
      <c r="HT36" s="77"/>
      <c r="HU36" s="77"/>
      <c r="HV36" s="77"/>
      <c r="HW36" s="77"/>
      <c r="HX36" s="77"/>
      <c r="HY36" s="77"/>
      <c r="HZ36" s="77"/>
      <c r="IA36" s="77"/>
      <c r="IB36" s="77"/>
      <c r="IC36" s="77"/>
      <c r="ID36" s="77"/>
      <c r="IE36" s="77"/>
      <c r="IF36" s="77"/>
      <c r="IG36" s="77"/>
      <c r="IH36" s="77"/>
      <c r="II36" s="77"/>
      <c r="IJ36" s="77"/>
      <c r="IK36" s="77"/>
      <c r="IL36" s="77"/>
      <c r="IM36" s="77"/>
      <c r="IN36" s="77"/>
      <c r="IO36" s="77"/>
      <c r="IP36" s="77"/>
      <c r="IQ36" s="77"/>
      <c r="IR36" s="77"/>
      <c r="IS36" s="77"/>
      <c r="IT36" s="77"/>
      <c r="IU36" s="77"/>
      <c r="IV36" s="77"/>
      <c r="IW36" s="77"/>
    </row>
    <row r="37" customFormat="false" ht="12.75" hidden="false" customHeight="false" outlineLevel="0" collapsed="false">
      <c r="A37" s="77"/>
      <c r="B37" s="78" t="s">
        <v>200</v>
      </c>
      <c r="C37" s="79" t="s">
        <v>283</v>
      </c>
      <c r="D37" s="79" t="s">
        <v>312</v>
      </c>
      <c r="E37" s="80" t="n">
        <v>36739</v>
      </c>
      <c r="F37" s="80" t="n">
        <v>37103</v>
      </c>
      <c r="G37" s="78" t="s">
        <v>309</v>
      </c>
      <c r="H37" s="78" t="s">
        <v>310</v>
      </c>
      <c r="I37" s="79" t="s">
        <v>116</v>
      </c>
      <c r="J37" s="81" t="n">
        <f aca="false">6.449/J$1</f>
        <v>0.208032258064516</v>
      </c>
      <c r="K37" s="82" t="n">
        <v>0.0132</v>
      </c>
      <c r="L37" s="82" t="n">
        <v>0.0022</v>
      </c>
      <c r="M37" s="82" t="n">
        <v>0.0072</v>
      </c>
      <c r="N37" s="82" t="n">
        <v>0</v>
      </c>
      <c r="O37" s="83" t="n">
        <v>0.02116</v>
      </c>
      <c r="P37" s="82" t="n">
        <f aca="false">SUM(J37:N37)</f>
        <v>0.230632258064516</v>
      </c>
      <c r="Q37" s="84" t="n">
        <v>64328</v>
      </c>
      <c r="R37" s="79" t="n">
        <v>4</v>
      </c>
      <c r="S37" s="78" t="s">
        <v>319</v>
      </c>
      <c r="T37" s="85" t="n">
        <f aca="false">J37*J$1*R37</f>
        <v>25.796</v>
      </c>
      <c r="U37" s="85"/>
      <c r="V37" s="86" t="n">
        <v>345108</v>
      </c>
      <c r="W37" s="78"/>
      <c r="X37" s="88"/>
      <c r="Y37" s="88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  <c r="IV37" s="77"/>
      <c r="IW37" s="77"/>
    </row>
    <row r="38" customFormat="false" ht="12.75" hidden="false" customHeight="false" outlineLevel="0" collapsed="false">
      <c r="A38" s="77"/>
      <c r="B38" s="78" t="s">
        <v>200</v>
      </c>
      <c r="C38" s="79" t="s">
        <v>283</v>
      </c>
      <c r="D38" s="79" t="s">
        <v>312</v>
      </c>
      <c r="E38" s="80" t="n">
        <v>36739</v>
      </c>
      <c r="F38" s="80" t="n">
        <v>37103</v>
      </c>
      <c r="G38" s="78" t="s">
        <v>309</v>
      </c>
      <c r="H38" s="78" t="s">
        <v>313</v>
      </c>
      <c r="I38" s="79" t="s">
        <v>116</v>
      </c>
      <c r="J38" s="81" t="n">
        <f aca="false">6.401/J$1</f>
        <v>0.206483870967742</v>
      </c>
      <c r="K38" s="82" t="n">
        <v>0.0132</v>
      </c>
      <c r="L38" s="82" t="n">
        <v>0.0022</v>
      </c>
      <c r="M38" s="82" t="n">
        <v>0.0072</v>
      </c>
      <c r="N38" s="82" t="n">
        <v>0</v>
      </c>
      <c r="O38" s="83" t="n">
        <v>0.02116</v>
      </c>
      <c r="P38" s="82" t="n">
        <f aca="false">SUM(J38:N38)</f>
        <v>0.229083870967742</v>
      </c>
      <c r="Q38" s="84" t="n">
        <v>68926</v>
      </c>
      <c r="R38" s="79" t="n">
        <v>4</v>
      </c>
      <c r="S38" s="78" t="s">
        <v>320</v>
      </c>
      <c r="T38" s="85" t="n">
        <f aca="false">J38*J$1*R38</f>
        <v>25.604</v>
      </c>
      <c r="U38" s="85"/>
      <c r="V38" s="86" t="n">
        <v>345125</v>
      </c>
      <c r="W38" s="78"/>
      <c r="X38" s="88"/>
      <c r="Y38" s="88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7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  <c r="GA38" s="77"/>
      <c r="GB38" s="77"/>
      <c r="GC38" s="77"/>
      <c r="GD38" s="77"/>
      <c r="GE38" s="77"/>
      <c r="GF38" s="77"/>
      <c r="GG38" s="77"/>
      <c r="GH38" s="77"/>
      <c r="GI38" s="77"/>
      <c r="GJ38" s="77"/>
      <c r="GK38" s="77"/>
      <c r="GL38" s="77"/>
      <c r="GM38" s="77"/>
      <c r="GN38" s="77"/>
      <c r="GO38" s="77"/>
      <c r="GP38" s="77"/>
      <c r="GQ38" s="77"/>
      <c r="GR38" s="77"/>
      <c r="GS38" s="77"/>
      <c r="GT38" s="77"/>
      <c r="GU38" s="77"/>
      <c r="GV38" s="77"/>
      <c r="GW38" s="77"/>
      <c r="GX38" s="77"/>
      <c r="GY38" s="77"/>
      <c r="GZ38" s="77"/>
      <c r="HA38" s="77"/>
      <c r="HB38" s="77"/>
      <c r="HC38" s="77"/>
      <c r="HD38" s="77"/>
      <c r="HE38" s="77"/>
      <c r="HF38" s="77"/>
      <c r="HG38" s="77"/>
      <c r="HH38" s="77"/>
      <c r="HI38" s="77"/>
      <c r="HJ38" s="77"/>
      <c r="HK38" s="77"/>
      <c r="HL38" s="77"/>
      <c r="HM38" s="77"/>
      <c r="HN38" s="77"/>
      <c r="HO38" s="77"/>
      <c r="HP38" s="77"/>
      <c r="HQ38" s="77"/>
      <c r="HR38" s="77"/>
      <c r="HS38" s="77"/>
      <c r="HT38" s="77"/>
      <c r="HU38" s="77"/>
      <c r="HV38" s="77"/>
      <c r="HW38" s="77"/>
      <c r="HX38" s="77"/>
      <c r="HY38" s="77"/>
      <c r="HZ38" s="77"/>
      <c r="IA38" s="77"/>
      <c r="IB38" s="77"/>
      <c r="IC38" s="77"/>
      <c r="ID38" s="77"/>
      <c r="IE38" s="77"/>
      <c r="IF38" s="77"/>
      <c r="IG38" s="77"/>
      <c r="IH38" s="77"/>
      <c r="II38" s="77"/>
      <c r="IJ38" s="77"/>
      <c r="IK38" s="77"/>
      <c r="IL38" s="77"/>
      <c r="IM38" s="77"/>
      <c r="IN38" s="77"/>
      <c r="IO38" s="77"/>
      <c r="IP38" s="77"/>
      <c r="IQ38" s="77"/>
      <c r="IR38" s="77"/>
      <c r="IS38" s="77"/>
      <c r="IT38" s="77"/>
      <c r="IU38" s="77"/>
      <c r="IV38" s="77"/>
      <c r="IW38" s="77"/>
    </row>
    <row r="39" customFormat="false" ht="12.75" hidden="false" customHeight="false" outlineLevel="0" collapsed="false">
      <c r="A39" s="72"/>
      <c r="B39" s="45" t="s">
        <v>200</v>
      </c>
      <c r="C39" s="43" t="s">
        <v>283</v>
      </c>
      <c r="D39" s="43" t="s">
        <v>312</v>
      </c>
      <c r="E39" s="44" t="n">
        <v>36465</v>
      </c>
      <c r="F39" s="44" t="n">
        <v>36830</v>
      </c>
      <c r="G39" s="45" t="s">
        <v>309</v>
      </c>
      <c r="H39" s="45" t="s">
        <v>313</v>
      </c>
      <c r="I39" s="43" t="s">
        <v>116</v>
      </c>
      <c r="J39" s="57" t="n">
        <f aca="false">6.449/J$1</f>
        <v>0.208032258064516</v>
      </c>
      <c r="K39" s="48" t="n">
        <v>0.0132</v>
      </c>
      <c r="L39" s="48" t="n">
        <v>0.0022</v>
      </c>
      <c r="M39" s="48" t="n">
        <v>0.0072</v>
      </c>
      <c r="N39" s="48" t="n">
        <v>0</v>
      </c>
      <c r="O39" s="49" t="n">
        <v>0.02116</v>
      </c>
      <c r="P39" s="48" t="n">
        <f aca="false">SUM(J39:N39)</f>
        <v>0.230632258064516</v>
      </c>
      <c r="Q39" s="50" t="n">
        <v>65026</v>
      </c>
      <c r="R39" s="43" t="n">
        <v>128</v>
      </c>
      <c r="S39" s="45" t="s">
        <v>321</v>
      </c>
      <c r="T39" s="73" t="n">
        <f aca="false">J39*J$1*R39</f>
        <v>825.472</v>
      </c>
      <c r="U39" s="73"/>
      <c r="V39" s="74" t="n">
        <v>162286</v>
      </c>
      <c r="W39" s="45"/>
      <c r="X39" s="71"/>
      <c r="Y39" s="71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72"/>
      <c r="CK39" s="72"/>
      <c r="CL39" s="72"/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72"/>
      <c r="DI39" s="72"/>
      <c r="DJ39" s="72"/>
      <c r="DK39" s="72"/>
      <c r="DL39" s="72"/>
      <c r="DM39" s="72"/>
      <c r="DN39" s="72"/>
      <c r="DO39" s="72"/>
      <c r="DP39" s="72"/>
      <c r="DQ39" s="72"/>
      <c r="DR39" s="72"/>
      <c r="DS39" s="72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72"/>
      <c r="EG39" s="72"/>
      <c r="EH39" s="72"/>
      <c r="EI39" s="72"/>
      <c r="EJ39" s="72"/>
      <c r="EK39" s="72"/>
      <c r="EL39" s="72"/>
      <c r="EM39" s="72"/>
      <c r="EN39" s="72"/>
      <c r="EO39" s="72"/>
      <c r="EP39" s="72"/>
      <c r="EQ39" s="72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72"/>
      <c r="FE39" s="72"/>
      <c r="FF39" s="72"/>
      <c r="FG39" s="72"/>
      <c r="FH39" s="72"/>
      <c r="FI39" s="72"/>
      <c r="FJ39" s="72"/>
      <c r="FK39" s="72"/>
      <c r="FL39" s="72"/>
      <c r="FM39" s="72"/>
      <c r="FN39" s="72"/>
      <c r="FO39" s="72"/>
      <c r="FP39" s="72"/>
      <c r="FQ39" s="72"/>
      <c r="FR39" s="72"/>
      <c r="FS39" s="72"/>
      <c r="FT39" s="72"/>
      <c r="FU39" s="72"/>
      <c r="FV39" s="72"/>
      <c r="FW39" s="72"/>
      <c r="FX39" s="72"/>
      <c r="FY39" s="72"/>
      <c r="FZ39" s="72"/>
      <c r="GA39" s="72"/>
      <c r="GB39" s="72"/>
      <c r="GC39" s="72"/>
      <c r="GD39" s="72"/>
      <c r="GE39" s="72"/>
      <c r="GF39" s="72"/>
      <c r="GG39" s="72"/>
      <c r="GH39" s="72"/>
      <c r="GI39" s="72"/>
      <c r="GJ39" s="72"/>
      <c r="GK39" s="72"/>
      <c r="GL39" s="72"/>
      <c r="GM39" s="72"/>
      <c r="GN39" s="72"/>
      <c r="GO39" s="72"/>
      <c r="GP39" s="72"/>
      <c r="GQ39" s="72"/>
      <c r="GR39" s="72"/>
      <c r="GS39" s="72"/>
      <c r="GT39" s="72"/>
      <c r="GU39" s="72"/>
      <c r="GV39" s="72"/>
      <c r="GW39" s="72"/>
      <c r="GX39" s="72"/>
      <c r="GY39" s="72"/>
      <c r="GZ39" s="72"/>
      <c r="HA39" s="72"/>
      <c r="HB39" s="72"/>
      <c r="HC39" s="72"/>
      <c r="HD39" s="72"/>
      <c r="HE39" s="72"/>
      <c r="HF39" s="72"/>
      <c r="HG39" s="72"/>
      <c r="HH39" s="72"/>
      <c r="HI39" s="72"/>
      <c r="HJ39" s="72"/>
      <c r="HK39" s="72"/>
      <c r="HL39" s="72"/>
      <c r="HM39" s="72"/>
      <c r="HN39" s="72"/>
      <c r="HO39" s="72"/>
      <c r="HP39" s="72"/>
      <c r="HQ39" s="72"/>
      <c r="HR39" s="72"/>
      <c r="HS39" s="72"/>
      <c r="HT39" s="72"/>
      <c r="HU39" s="72"/>
      <c r="HV39" s="72"/>
      <c r="HW39" s="72"/>
      <c r="HX39" s="72"/>
      <c r="HY39" s="72"/>
      <c r="HZ39" s="72"/>
      <c r="IA39" s="72"/>
      <c r="IB39" s="72"/>
      <c r="IC39" s="72"/>
      <c r="ID39" s="72"/>
      <c r="IE39" s="72"/>
      <c r="IF39" s="72"/>
      <c r="IG39" s="72"/>
      <c r="IH39" s="72"/>
      <c r="II39" s="72"/>
      <c r="IJ39" s="72"/>
      <c r="IK39" s="72"/>
      <c r="IL39" s="72"/>
      <c r="IM39" s="72"/>
      <c r="IN39" s="72"/>
      <c r="IO39" s="72"/>
      <c r="IP39" s="72"/>
      <c r="IQ39" s="72"/>
      <c r="IR39" s="72"/>
      <c r="IS39" s="72"/>
      <c r="IT39" s="72"/>
      <c r="IU39" s="72"/>
      <c r="IV39" s="72"/>
      <c r="IW39" s="72"/>
    </row>
    <row r="40" customFormat="false" ht="12.75" hidden="false" customHeight="false" outlineLevel="0" collapsed="false">
      <c r="A40" s="72"/>
      <c r="B40" s="45" t="s">
        <v>200</v>
      </c>
      <c r="C40" s="43" t="s">
        <v>283</v>
      </c>
      <c r="D40" s="43" t="s">
        <v>322</v>
      </c>
      <c r="E40" s="44" t="n">
        <v>36465</v>
      </c>
      <c r="F40" s="44" t="n">
        <v>36830</v>
      </c>
      <c r="G40" s="45" t="s">
        <v>309</v>
      </c>
      <c r="H40" s="45" t="s">
        <v>323</v>
      </c>
      <c r="I40" s="43" t="s">
        <v>116</v>
      </c>
      <c r="J40" s="57" t="n">
        <f aca="false">6.449/J$1</f>
        <v>0.208032258064516</v>
      </c>
      <c r="K40" s="48" t="n">
        <v>0.0132</v>
      </c>
      <c r="L40" s="48" t="n">
        <v>0.0022</v>
      </c>
      <c r="M40" s="48" t="n">
        <v>0.0072</v>
      </c>
      <c r="N40" s="48" t="n">
        <v>0</v>
      </c>
      <c r="O40" s="49" t="n">
        <v>0.02116</v>
      </c>
      <c r="P40" s="48" t="n">
        <f aca="false">SUM(J40:N40)</f>
        <v>0.230632258064516</v>
      </c>
      <c r="Q40" s="50" t="n">
        <v>65041</v>
      </c>
      <c r="R40" s="43" t="n">
        <v>9619</v>
      </c>
      <c r="S40" s="45" t="s">
        <v>324</v>
      </c>
      <c r="T40" s="73" t="n">
        <f aca="false">J40*J$1*R40</f>
        <v>62032.931</v>
      </c>
      <c r="U40" s="73"/>
      <c r="V40" s="74" t="n">
        <v>162285</v>
      </c>
      <c r="W40" s="45"/>
      <c r="X40" s="71"/>
      <c r="Y40" s="71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  <c r="CZ40" s="72"/>
      <c r="DA40" s="72"/>
      <c r="DB40" s="72"/>
      <c r="DC40" s="72"/>
      <c r="DD40" s="72"/>
      <c r="DE40" s="72"/>
      <c r="DF40" s="72"/>
      <c r="DG40" s="72"/>
      <c r="DH40" s="72"/>
      <c r="DI40" s="72"/>
      <c r="DJ40" s="72"/>
      <c r="DK40" s="72"/>
      <c r="DL40" s="72"/>
      <c r="DM40" s="72"/>
      <c r="DN40" s="72"/>
      <c r="DO40" s="72"/>
      <c r="DP40" s="72"/>
      <c r="DQ40" s="72"/>
      <c r="DR40" s="72"/>
      <c r="DS40" s="72"/>
      <c r="DT40" s="72"/>
      <c r="DU40" s="72"/>
      <c r="DV40" s="72"/>
      <c r="DW40" s="72"/>
      <c r="DX40" s="72"/>
      <c r="DY40" s="72"/>
      <c r="DZ40" s="72"/>
      <c r="EA40" s="72"/>
      <c r="EB40" s="72"/>
      <c r="EC40" s="72"/>
      <c r="ED40" s="72"/>
      <c r="EE40" s="72"/>
      <c r="EF40" s="72"/>
      <c r="EG40" s="72"/>
      <c r="EH40" s="72"/>
      <c r="EI40" s="72"/>
      <c r="EJ40" s="72"/>
      <c r="EK40" s="72"/>
      <c r="EL40" s="72"/>
      <c r="EM40" s="72"/>
      <c r="EN40" s="72"/>
      <c r="EO40" s="72"/>
      <c r="EP40" s="72"/>
      <c r="EQ40" s="72"/>
      <c r="ER40" s="72"/>
      <c r="ES40" s="72"/>
      <c r="ET40" s="72"/>
      <c r="EU40" s="72"/>
      <c r="EV40" s="72"/>
      <c r="EW40" s="72"/>
      <c r="EX40" s="72"/>
      <c r="EY40" s="72"/>
      <c r="EZ40" s="72"/>
      <c r="FA40" s="72"/>
      <c r="FB40" s="72"/>
      <c r="FC40" s="72"/>
      <c r="FD40" s="72"/>
      <c r="FE40" s="72"/>
      <c r="FF40" s="72"/>
      <c r="FG40" s="72"/>
      <c r="FH40" s="72"/>
      <c r="FI40" s="72"/>
      <c r="FJ40" s="72"/>
      <c r="FK40" s="72"/>
      <c r="FL40" s="72"/>
      <c r="FM40" s="72"/>
      <c r="FN40" s="72"/>
      <c r="FO40" s="72"/>
      <c r="FP40" s="72"/>
      <c r="FQ40" s="72"/>
      <c r="FR40" s="72"/>
      <c r="FS40" s="72"/>
      <c r="FT40" s="72"/>
      <c r="FU40" s="72"/>
      <c r="FV40" s="72"/>
      <c r="FW40" s="72"/>
      <c r="FX40" s="72"/>
      <c r="FY40" s="72"/>
      <c r="FZ40" s="72"/>
      <c r="GA40" s="72"/>
      <c r="GB40" s="72"/>
      <c r="GC40" s="72"/>
      <c r="GD40" s="72"/>
      <c r="GE40" s="72"/>
      <c r="GF40" s="72"/>
      <c r="GG40" s="72"/>
      <c r="GH40" s="72"/>
      <c r="GI40" s="72"/>
      <c r="GJ40" s="72"/>
      <c r="GK40" s="72"/>
      <c r="GL40" s="72"/>
      <c r="GM40" s="72"/>
      <c r="GN40" s="72"/>
      <c r="GO40" s="72"/>
      <c r="GP40" s="72"/>
      <c r="GQ40" s="72"/>
      <c r="GR40" s="72"/>
      <c r="GS40" s="72"/>
      <c r="GT40" s="72"/>
      <c r="GU40" s="72"/>
      <c r="GV40" s="72"/>
      <c r="GW40" s="72"/>
      <c r="GX40" s="72"/>
      <c r="GY40" s="72"/>
      <c r="GZ40" s="72"/>
      <c r="HA40" s="72"/>
      <c r="HB40" s="72"/>
      <c r="HC40" s="72"/>
      <c r="HD40" s="72"/>
      <c r="HE40" s="72"/>
      <c r="HF40" s="72"/>
      <c r="HG40" s="72"/>
      <c r="HH40" s="72"/>
      <c r="HI40" s="72"/>
      <c r="HJ40" s="72"/>
      <c r="HK40" s="72"/>
      <c r="HL40" s="72"/>
      <c r="HM40" s="72"/>
      <c r="HN40" s="72"/>
      <c r="HO40" s="72"/>
      <c r="HP40" s="72"/>
      <c r="HQ40" s="72"/>
      <c r="HR40" s="72"/>
      <c r="HS40" s="72"/>
      <c r="HT40" s="72"/>
      <c r="HU40" s="72"/>
      <c r="HV40" s="72"/>
      <c r="HW40" s="72"/>
      <c r="HX40" s="72"/>
      <c r="HY40" s="72"/>
      <c r="HZ40" s="72"/>
      <c r="IA40" s="72"/>
      <c r="IB40" s="72"/>
      <c r="IC40" s="72"/>
      <c r="ID40" s="72"/>
      <c r="IE40" s="72"/>
      <c r="IF40" s="72"/>
      <c r="IG40" s="72"/>
      <c r="IH40" s="72"/>
      <c r="II40" s="72"/>
      <c r="IJ40" s="72"/>
      <c r="IK40" s="72"/>
      <c r="IL40" s="72"/>
      <c r="IM40" s="72"/>
      <c r="IN40" s="72"/>
      <c r="IO40" s="72"/>
      <c r="IP40" s="72"/>
      <c r="IQ40" s="72"/>
      <c r="IR40" s="72"/>
      <c r="IS40" s="72"/>
      <c r="IT40" s="72"/>
      <c r="IU40" s="72"/>
      <c r="IV40" s="72"/>
      <c r="IW40" s="72"/>
    </row>
    <row r="41" customFormat="false" ht="12.75" hidden="false" customHeight="false" outlineLevel="0" collapsed="false">
      <c r="A41" s="72"/>
      <c r="B41" s="45" t="s">
        <v>200</v>
      </c>
      <c r="C41" s="43" t="s">
        <v>283</v>
      </c>
      <c r="D41" s="43" t="s">
        <v>322</v>
      </c>
      <c r="E41" s="44" t="n">
        <v>36465</v>
      </c>
      <c r="F41" s="44" t="n">
        <v>36830</v>
      </c>
      <c r="G41" s="45" t="s">
        <v>309</v>
      </c>
      <c r="H41" s="45" t="s">
        <v>325</v>
      </c>
      <c r="I41" s="43" t="s">
        <v>116</v>
      </c>
      <c r="J41" s="57" t="n">
        <f aca="false">6.449/J$1</f>
        <v>0.208032258064516</v>
      </c>
      <c r="K41" s="48" t="n">
        <v>0.0132</v>
      </c>
      <c r="L41" s="48" t="n">
        <v>0.0022</v>
      </c>
      <c r="M41" s="48" t="n">
        <v>0.0072</v>
      </c>
      <c r="N41" s="48" t="n">
        <v>0</v>
      </c>
      <c r="O41" s="49" t="n">
        <v>0.02116</v>
      </c>
      <c r="P41" s="48" t="n">
        <f aca="false">SUM(J41:N41)</f>
        <v>0.230632258064516</v>
      </c>
      <c r="Q41" s="50" t="n">
        <v>65042</v>
      </c>
      <c r="R41" s="43" t="n">
        <v>4427</v>
      </c>
      <c r="S41" s="45" t="s">
        <v>326</v>
      </c>
      <c r="T41" s="73" t="n">
        <f aca="false">J41*J$1*R41</f>
        <v>28549.723</v>
      </c>
      <c r="U41" s="73"/>
      <c r="V41" s="74" t="n">
        <v>162287</v>
      </c>
      <c r="W41" s="45"/>
      <c r="X41" s="71"/>
      <c r="Y41" s="71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  <c r="BH41" s="72"/>
      <c r="BI41" s="72"/>
      <c r="BJ41" s="72"/>
      <c r="BK41" s="72"/>
      <c r="BL41" s="72"/>
      <c r="BM41" s="72"/>
      <c r="BN41" s="72"/>
      <c r="BO41" s="72"/>
      <c r="BP41" s="72"/>
      <c r="BQ41" s="72"/>
      <c r="BR41" s="72"/>
      <c r="BS41" s="72"/>
      <c r="BT41" s="72"/>
      <c r="BU41" s="72"/>
      <c r="BV41" s="72"/>
      <c r="BW41" s="72"/>
      <c r="BX41" s="72"/>
      <c r="BY41" s="72"/>
      <c r="BZ41" s="72"/>
      <c r="CA41" s="72"/>
      <c r="CB41" s="72"/>
      <c r="CC41" s="72"/>
      <c r="CD41" s="72"/>
      <c r="CE41" s="72"/>
      <c r="CF41" s="72"/>
      <c r="CG41" s="72"/>
      <c r="CH41" s="72"/>
      <c r="CI41" s="72"/>
      <c r="CJ41" s="72"/>
      <c r="CK41" s="72"/>
      <c r="CL41" s="72"/>
      <c r="CM41" s="72"/>
      <c r="CN41" s="72"/>
      <c r="CO41" s="72"/>
      <c r="CP41" s="72"/>
      <c r="CQ41" s="72"/>
      <c r="CR41" s="72"/>
      <c r="CS41" s="72"/>
      <c r="CT41" s="72"/>
      <c r="CU41" s="72"/>
      <c r="CV41" s="72"/>
      <c r="CW41" s="72"/>
      <c r="CX41" s="72"/>
      <c r="CY41" s="72"/>
      <c r="CZ41" s="72"/>
      <c r="DA41" s="72"/>
      <c r="DB41" s="72"/>
      <c r="DC41" s="72"/>
      <c r="DD41" s="72"/>
      <c r="DE41" s="72"/>
      <c r="DF41" s="72"/>
      <c r="DG41" s="72"/>
      <c r="DH41" s="72"/>
      <c r="DI41" s="72"/>
      <c r="DJ41" s="72"/>
      <c r="DK41" s="72"/>
      <c r="DL41" s="72"/>
      <c r="DM41" s="72"/>
      <c r="DN41" s="72"/>
      <c r="DO41" s="72"/>
      <c r="DP41" s="72"/>
      <c r="DQ41" s="72"/>
      <c r="DR41" s="72"/>
      <c r="DS41" s="72"/>
      <c r="DT41" s="72"/>
      <c r="DU41" s="72"/>
      <c r="DV41" s="72"/>
      <c r="DW41" s="72"/>
      <c r="DX41" s="72"/>
      <c r="DY41" s="72"/>
      <c r="DZ41" s="72"/>
      <c r="EA41" s="72"/>
      <c r="EB41" s="72"/>
      <c r="EC41" s="72"/>
      <c r="ED41" s="72"/>
      <c r="EE41" s="72"/>
      <c r="EF41" s="72"/>
      <c r="EG41" s="72"/>
      <c r="EH41" s="72"/>
      <c r="EI41" s="72"/>
      <c r="EJ41" s="72"/>
      <c r="EK41" s="72"/>
      <c r="EL41" s="72"/>
      <c r="EM41" s="72"/>
      <c r="EN41" s="72"/>
      <c r="EO41" s="72"/>
      <c r="EP41" s="72"/>
      <c r="EQ41" s="72"/>
      <c r="ER41" s="72"/>
      <c r="ES41" s="72"/>
      <c r="ET41" s="72"/>
      <c r="EU41" s="72"/>
      <c r="EV41" s="72"/>
      <c r="EW41" s="72"/>
      <c r="EX41" s="72"/>
      <c r="EY41" s="72"/>
      <c r="EZ41" s="72"/>
      <c r="FA41" s="72"/>
      <c r="FB41" s="72"/>
      <c r="FC41" s="72"/>
      <c r="FD41" s="72"/>
      <c r="FE41" s="72"/>
      <c r="FF41" s="72"/>
      <c r="FG41" s="72"/>
      <c r="FH41" s="72"/>
      <c r="FI41" s="72"/>
      <c r="FJ41" s="72"/>
      <c r="FK41" s="72"/>
      <c r="FL41" s="72"/>
      <c r="FM41" s="72"/>
      <c r="FN41" s="72"/>
      <c r="FO41" s="72"/>
      <c r="FP41" s="72"/>
      <c r="FQ41" s="72"/>
      <c r="FR41" s="72"/>
      <c r="FS41" s="72"/>
      <c r="FT41" s="72"/>
      <c r="FU41" s="72"/>
      <c r="FV41" s="72"/>
      <c r="FW41" s="72"/>
      <c r="FX41" s="72"/>
      <c r="FY41" s="72"/>
      <c r="FZ41" s="72"/>
      <c r="GA41" s="72"/>
      <c r="GB41" s="72"/>
      <c r="GC41" s="72"/>
      <c r="GD41" s="72"/>
      <c r="GE41" s="72"/>
      <c r="GF41" s="72"/>
      <c r="GG41" s="72"/>
      <c r="GH41" s="72"/>
      <c r="GI41" s="72"/>
      <c r="GJ41" s="72"/>
      <c r="GK41" s="72"/>
      <c r="GL41" s="72"/>
      <c r="GM41" s="72"/>
      <c r="GN41" s="72"/>
      <c r="GO41" s="72"/>
      <c r="GP41" s="72"/>
      <c r="GQ41" s="72"/>
      <c r="GR41" s="72"/>
      <c r="GS41" s="72"/>
      <c r="GT41" s="72"/>
      <c r="GU41" s="72"/>
      <c r="GV41" s="72"/>
      <c r="GW41" s="72"/>
      <c r="GX41" s="72"/>
      <c r="GY41" s="72"/>
      <c r="GZ41" s="72"/>
      <c r="HA41" s="72"/>
      <c r="HB41" s="72"/>
      <c r="HC41" s="72"/>
      <c r="HD41" s="72"/>
      <c r="HE41" s="72"/>
      <c r="HF41" s="72"/>
      <c r="HG41" s="72"/>
      <c r="HH41" s="72"/>
      <c r="HI41" s="72"/>
      <c r="HJ41" s="72"/>
      <c r="HK41" s="72"/>
      <c r="HL41" s="72"/>
      <c r="HM41" s="72"/>
      <c r="HN41" s="72"/>
      <c r="HO41" s="72"/>
      <c r="HP41" s="72"/>
      <c r="HQ41" s="72"/>
      <c r="HR41" s="72"/>
      <c r="HS41" s="72"/>
      <c r="HT41" s="72"/>
      <c r="HU41" s="72"/>
      <c r="HV41" s="72"/>
      <c r="HW41" s="72"/>
      <c r="HX41" s="72"/>
      <c r="HY41" s="72"/>
      <c r="HZ41" s="72"/>
      <c r="IA41" s="72"/>
      <c r="IB41" s="72"/>
      <c r="IC41" s="72"/>
      <c r="ID41" s="72"/>
      <c r="IE41" s="72"/>
      <c r="IF41" s="72"/>
      <c r="IG41" s="72"/>
      <c r="IH41" s="72"/>
      <c r="II41" s="72"/>
      <c r="IJ41" s="72"/>
      <c r="IK41" s="72"/>
      <c r="IL41" s="72"/>
      <c r="IM41" s="72"/>
      <c r="IN41" s="72"/>
      <c r="IO41" s="72"/>
      <c r="IP41" s="72"/>
      <c r="IQ41" s="72"/>
      <c r="IR41" s="72"/>
      <c r="IS41" s="72"/>
      <c r="IT41" s="72"/>
      <c r="IU41" s="72"/>
      <c r="IV41" s="72"/>
      <c r="IW41" s="72"/>
    </row>
    <row r="42" customFormat="false" ht="12.75" hidden="false" customHeight="false" outlineLevel="0" collapsed="false">
      <c r="A42" s="72"/>
      <c r="B42" s="45" t="s">
        <v>200</v>
      </c>
      <c r="C42" s="43" t="s">
        <v>283</v>
      </c>
      <c r="D42" s="43" t="s">
        <v>327</v>
      </c>
      <c r="E42" s="44" t="n">
        <v>36465</v>
      </c>
      <c r="F42" s="44" t="n">
        <v>37011</v>
      </c>
      <c r="G42" s="45" t="s">
        <v>309</v>
      </c>
      <c r="H42" s="45" t="s">
        <v>328</v>
      </c>
      <c r="I42" s="43" t="s">
        <v>116</v>
      </c>
      <c r="J42" s="57" t="n">
        <f aca="false">6.449/J$1</f>
        <v>0.208032258064516</v>
      </c>
      <c r="K42" s="48" t="n">
        <v>0.0132</v>
      </c>
      <c r="L42" s="48" t="n">
        <v>0.0022</v>
      </c>
      <c r="M42" s="48" t="n">
        <v>0.0072</v>
      </c>
      <c r="N42" s="48" t="n">
        <v>0</v>
      </c>
      <c r="O42" s="49" t="n">
        <v>0.02116</v>
      </c>
      <c r="P42" s="48" t="n">
        <f aca="false">SUM(J42:N42)</f>
        <v>0.230632258064516</v>
      </c>
      <c r="Q42" s="50" t="n">
        <v>65108</v>
      </c>
      <c r="R42" s="43" t="n">
        <v>5000</v>
      </c>
      <c r="S42" s="45" t="s">
        <v>329</v>
      </c>
      <c r="T42" s="73" t="n">
        <f aca="false">J42*J$1*R42</f>
        <v>32245</v>
      </c>
      <c r="U42" s="73"/>
      <c r="V42" s="74" t="n">
        <v>163001</v>
      </c>
      <c r="W42" s="45"/>
      <c r="X42" s="71"/>
      <c r="Y42" s="71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  <c r="BH42" s="72"/>
      <c r="BI42" s="72"/>
      <c r="BJ42" s="72"/>
      <c r="BK42" s="72"/>
      <c r="BL42" s="72"/>
      <c r="BM42" s="72"/>
      <c r="BN42" s="72"/>
      <c r="BO42" s="72"/>
      <c r="BP42" s="72"/>
      <c r="BQ42" s="72"/>
      <c r="BR42" s="72"/>
      <c r="BS42" s="72"/>
      <c r="BT42" s="72"/>
      <c r="BU42" s="72"/>
      <c r="BV42" s="72"/>
      <c r="BW42" s="72"/>
      <c r="BX42" s="72"/>
      <c r="BY42" s="72"/>
      <c r="BZ42" s="72"/>
      <c r="CA42" s="72"/>
      <c r="CB42" s="72"/>
      <c r="CC42" s="72"/>
      <c r="CD42" s="72"/>
      <c r="CE42" s="72"/>
      <c r="CF42" s="72"/>
      <c r="CG42" s="72"/>
      <c r="CH42" s="72"/>
      <c r="CI42" s="72"/>
      <c r="CJ42" s="72"/>
      <c r="CK42" s="72"/>
      <c r="CL42" s="72"/>
      <c r="CM42" s="72"/>
      <c r="CN42" s="72"/>
      <c r="CO42" s="72"/>
      <c r="CP42" s="72"/>
      <c r="CQ42" s="72"/>
      <c r="CR42" s="72"/>
      <c r="CS42" s="72"/>
      <c r="CT42" s="72"/>
      <c r="CU42" s="72"/>
      <c r="CV42" s="72"/>
      <c r="CW42" s="72"/>
      <c r="CX42" s="72"/>
      <c r="CY42" s="72"/>
      <c r="CZ42" s="72"/>
      <c r="DA42" s="72"/>
      <c r="DB42" s="72"/>
      <c r="DC42" s="72"/>
      <c r="DD42" s="72"/>
      <c r="DE42" s="72"/>
      <c r="DF42" s="72"/>
      <c r="DG42" s="72"/>
      <c r="DH42" s="72"/>
      <c r="DI42" s="72"/>
      <c r="DJ42" s="72"/>
      <c r="DK42" s="72"/>
      <c r="DL42" s="72"/>
      <c r="DM42" s="72"/>
      <c r="DN42" s="72"/>
      <c r="DO42" s="72"/>
      <c r="DP42" s="72"/>
      <c r="DQ42" s="72"/>
      <c r="DR42" s="72"/>
      <c r="DS42" s="72"/>
      <c r="DT42" s="72"/>
      <c r="DU42" s="72"/>
      <c r="DV42" s="72"/>
      <c r="DW42" s="72"/>
      <c r="DX42" s="72"/>
      <c r="DY42" s="72"/>
      <c r="DZ42" s="72"/>
      <c r="EA42" s="72"/>
      <c r="EB42" s="72"/>
      <c r="EC42" s="72"/>
      <c r="ED42" s="72"/>
      <c r="EE42" s="72"/>
      <c r="EF42" s="72"/>
      <c r="EG42" s="72"/>
      <c r="EH42" s="72"/>
      <c r="EI42" s="72"/>
      <c r="EJ42" s="72"/>
      <c r="EK42" s="72"/>
      <c r="EL42" s="72"/>
      <c r="EM42" s="72"/>
      <c r="EN42" s="72"/>
      <c r="EO42" s="72"/>
      <c r="EP42" s="72"/>
      <c r="EQ42" s="72"/>
      <c r="ER42" s="72"/>
      <c r="ES42" s="72"/>
      <c r="ET42" s="72"/>
      <c r="EU42" s="72"/>
      <c r="EV42" s="72"/>
      <c r="EW42" s="72"/>
      <c r="EX42" s="72"/>
      <c r="EY42" s="72"/>
      <c r="EZ42" s="72"/>
      <c r="FA42" s="72"/>
      <c r="FB42" s="72"/>
      <c r="FC42" s="72"/>
      <c r="FD42" s="72"/>
      <c r="FE42" s="72"/>
      <c r="FF42" s="72"/>
      <c r="FG42" s="72"/>
      <c r="FH42" s="72"/>
      <c r="FI42" s="72"/>
      <c r="FJ42" s="72"/>
      <c r="FK42" s="72"/>
      <c r="FL42" s="72"/>
      <c r="FM42" s="72"/>
      <c r="FN42" s="72"/>
      <c r="FO42" s="72"/>
      <c r="FP42" s="72"/>
      <c r="FQ42" s="72"/>
      <c r="FR42" s="72"/>
      <c r="FS42" s="72"/>
      <c r="FT42" s="72"/>
      <c r="FU42" s="72"/>
      <c r="FV42" s="72"/>
      <c r="FW42" s="72"/>
      <c r="FX42" s="72"/>
      <c r="FY42" s="72"/>
      <c r="FZ42" s="72"/>
      <c r="GA42" s="72"/>
      <c r="GB42" s="72"/>
      <c r="GC42" s="72"/>
      <c r="GD42" s="72"/>
      <c r="GE42" s="72"/>
      <c r="GF42" s="72"/>
      <c r="GG42" s="72"/>
      <c r="GH42" s="72"/>
      <c r="GI42" s="72"/>
      <c r="GJ42" s="72"/>
      <c r="GK42" s="72"/>
      <c r="GL42" s="72"/>
      <c r="GM42" s="72"/>
      <c r="GN42" s="72"/>
      <c r="GO42" s="72"/>
      <c r="GP42" s="72"/>
      <c r="GQ42" s="72"/>
      <c r="GR42" s="72"/>
      <c r="GS42" s="72"/>
      <c r="GT42" s="72"/>
      <c r="GU42" s="72"/>
      <c r="GV42" s="72"/>
      <c r="GW42" s="72"/>
      <c r="GX42" s="72"/>
      <c r="GY42" s="72"/>
      <c r="GZ42" s="72"/>
      <c r="HA42" s="72"/>
      <c r="HB42" s="72"/>
      <c r="HC42" s="72"/>
      <c r="HD42" s="72"/>
      <c r="HE42" s="72"/>
      <c r="HF42" s="72"/>
      <c r="HG42" s="72"/>
      <c r="HH42" s="72"/>
      <c r="HI42" s="72"/>
      <c r="HJ42" s="72"/>
      <c r="HK42" s="72"/>
      <c r="HL42" s="72"/>
      <c r="HM42" s="72"/>
      <c r="HN42" s="72"/>
      <c r="HO42" s="72"/>
      <c r="HP42" s="72"/>
      <c r="HQ42" s="72"/>
      <c r="HR42" s="72"/>
      <c r="HS42" s="72"/>
      <c r="HT42" s="72"/>
      <c r="HU42" s="72"/>
      <c r="HV42" s="72"/>
      <c r="HW42" s="72"/>
      <c r="HX42" s="72"/>
      <c r="HY42" s="72"/>
      <c r="HZ42" s="72"/>
      <c r="IA42" s="72"/>
      <c r="IB42" s="72"/>
      <c r="IC42" s="72"/>
      <c r="ID42" s="72"/>
      <c r="IE42" s="72"/>
      <c r="IF42" s="72"/>
      <c r="IG42" s="72"/>
      <c r="IH42" s="72"/>
      <c r="II42" s="72"/>
      <c r="IJ42" s="72"/>
      <c r="IK42" s="72"/>
      <c r="IL42" s="72"/>
      <c r="IM42" s="72"/>
      <c r="IN42" s="72"/>
      <c r="IO42" s="72"/>
      <c r="IP42" s="72"/>
      <c r="IQ42" s="72"/>
      <c r="IR42" s="72"/>
      <c r="IS42" s="72"/>
      <c r="IT42" s="72"/>
      <c r="IU42" s="72"/>
      <c r="IV42" s="72"/>
      <c r="IW42" s="72"/>
    </row>
    <row r="43" customFormat="false" ht="12.75" hidden="false" customHeight="false" outlineLevel="0" collapsed="false">
      <c r="A43" s="72"/>
      <c r="B43" s="45" t="s">
        <v>200</v>
      </c>
      <c r="C43" s="43" t="s">
        <v>283</v>
      </c>
      <c r="D43" s="43"/>
      <c r="E43" s="44" t="n">
        <v>36557</v>
      </c>
      <c r="F43" s="44" t="n">
        <v>36830</v>
      </c>
      <c r="G43" s="45" t="s">
        <v>295</v>
      </c>
      <c r="H43" s="45" t="s">
        <v>289</v>
      </c>
      <c r="I43" s="43" t="s">
        <v>116</v>
      </c>
      <c r="J43" s="57" t="n">
        <f aca="false">4.563/J$1</f>
        <v>0.147193548387097</v>
      </c>
      <c r="K43" s="48" t="n">
        <v>0.0132</v>
      </c>
      <c r="L43" s="48" t="n">
        <v>0.0022</v>
      </c>
      <c r="M43" s="48" t="n">
        <v>0.0072</v>
      </c>
      <c r="N43" s="48" t="n">
        <v>0</v>
      </c>
      <c r="O43" s="49" t="n">
        <v>0.02116</v>
      </c>
      <c r="P43" s="48" t="n">
        <f aca="false">SUM(J43:N43)</f>
        <v>0.169793548387097</v>
      </c>
      <c r="Q43" s="50" t="n">
        <v>65418</v>
      </c>
      <c r="R43" s="43" t="n">
        <v>500</v>
      </c>
      <c r="S43" s="45" t="s">
        <v>330</v>
      </c>
      <c r="T43" s="73" t="n">
        <f aca="false">J43*J$1*R43</f>
        <v>2281.5</v>
      </c>
      <c r="U43" s="73"/>
      <c r="V43" s="74" t="n">
        <v>156599</v>
      </c>
      <c r="W43" s="45"/>
      <c r="X43" s="71"/>
      <c r="Y43" s="71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  <c r="BJ43" s="72"/>
      <c r="BK43" s="72"/>
      <c r="BL43" s="72"/>
      <c r="BM43" s="72"/>
      <c r="BN43" s="72"/>
      <c r="BO43" s="72"/>
      <c r="BP43" s="72"/>
      <c r="BQ43" s="72"/>
      <c r="BR43" s="72"/>
      <c r="BS43" s="72"/>
      <c r="BT43" s="72"/>
      <c r="BU43" s="72"/>
      <c r="BV43" s="72"/>
      <c r="BW43" s="72"/>
      <c r="BX43" s="72"/>
      <c r="BY43" s="72"/>
      <c r="BZ43" s="72"/>
      <c r="CA43" s="72"/>
      <c r="CB43" s="72"/>
      <c r="CC43" s="72"/>
      <c r="CD43" s="72"/>
      <c r="CE43" s="72"/>
      <c r="CF43" s="72"/>
      <c r="CG43" s="72"/>
      <c r="CH43" s="72"/>
      <c r="CI43" s="72"/>
      <c r="CJ43" s="72"/>
      <c r="CK43" s="72"/>
      <c r="CL43" s="72"/>
      <c r="CM43" s="72"/>
      <c r="CN43" s="72"/>
      <c r="CO43" s="72"/>
      <c r="CP43" s="72"/>
      <c r="CQ43" s="72"/>
      <c r="CR43" s="72"/>
      <c r="CS43" s="72"/>
      <c r="CT43" s="72"/>
      <c r="CU43" s="72"/>
      <c r="CV43" s="72"/>
      <c r="CW43" s="72"/>
      <c r="CX43" s="72"/>
      <c r="CY43" s="72"/>
      <c r="CZ43" s="72"/>
      <c r="DA43" s="72"/>
      <c r="DB43" s="72"/>
      <c r="DC43" s="72"/>
      <c r="DD43" s="72"/>
      <c r="DE43" s="72"/>
      <c r="DF43" s="72"/>
      <c r="DG43" s="72"/>
      <c r="DH43" s="72"/>
      <c r="DI43" s="72"/>
      <c r="DJ43" s="72"/>
      <c r="DK43" s="72"/>
      <c r="DL43" s="72"/>
      <c r="DM43" s="72"/>
      <c r="DN43" s="72"/>
      <c r="DO43" s="72"/>
      <c r="DP43" s="72"/>
      <c r="DQ43" s="72"/>
      <c r="DR43" s="72"/>
      <c r="DS43" s="72"/>
      <c r="DT43" s="72"/>
      <c r="DU43" s="72"/>
      <c r="DV43" s="72"/>
      <c r="DW43" s="72"/>
      <c r="DX43" s="72"/>
      <c r="DY43" s="72"/>
      <c r="DZ43" s="72"/>
      <c r="EA43" s="72"/>
      <c r="EB43" s="72"/>
      <c r="EC43" s="72"/>
      <c r="ED43" s="72"/>
      <c r="EE43" s="72"/>
      <c r="EF43" s="72"/>
      <c r="EG43" s="72"/>
      <c r="EH43" s="72"/>
      <c r="EI43" s="72"/>
      <c r="EJ43" s="72"/>
      <c r="EK43" s="72"/>
      <c r="EL43" s="72"/>
      <c r="EM43" s="72"/>
      <c r="EN43" s="72"/>
      <c r="EO43" s="72"/>
      <c r="EP43" s="72"/>
      <c r="EQ43" s="72"/>
      <c r="ER43" s="72"/>
      <c r="ES43" s="72"/>
      <c r="ET43" s="72"/>
      <c r="EU43" s="72"/>
      <c r="EV43" s="72"/>
      <c r="EW43" s="72"/>
      <c r="EX43" s="72"/>
      <c r="EY43" s="72"/>
      <c r="EZ43" s="72"/>
      <c r="FA43" s="72"/>
      <c r="FB43" s="72"/>
      <c r="FC43" s="72"/>
      <c r="FD43" s="72"/>
      <c r="FE43" s="72"/>
      <c r="FF43" s="72"/>
      <c r="FG43" s="72"/>
      <c r="FH43" s="72"/>
      <c r="FI43" s="72"/>
      <c r="FJ43" s="72"/>
      <c r="FK43" s="72"/>
      <c r="FL43" s="72"/>
      <c r="FM43" s="72"/>
      <c r="FN43" s="72"/>
      <c r="FO43" s="72"/>
      <c r="FP43" s="72"/>
      <c r="FQ43" s="72"/>
      <c r="FR43" s="72"/>
      <c r="FS43" s="72"/>
      <c r="FT43" s="72"/>
      <c r="FU43" s="72"/>
      <c r="FV43" s="72"/>
      <c r="FW43" s="72"/>
      <c r="FX43" s="72"/>
      <c r="FY43" s="72"/>
      <c r="FZ43" s="72"/>
      <c r="GA43" s="72"/>
      <c r="GB43" s="72"/>
      <c r="GC43" s="72"/>
      <c r="GD43" s="72"/>
      <c r="GE43" s="72"/>
      <c r="GF43" s="72"/>
      <c r="GG43" s="72"/>
      <c r="GH43" s="72"/>
      <c r="GI43" s="72"/>
      <c r="GJ43" s="72"/>
      <c r="GK43" s="72"/>
      <c r="GL43" s="72"/>
      <c r="GM43" s="72"/>
      <c r="GN43" s="72"/>
      <c r="GO43" s="72"/>
      <c r="GP43" s="72"/>
      <c r="GQ43" s="72"/>
      <c r="GR43" s="72"/>
      <c r="GS43" s="72"/>
      <c r="GT43" s="72"/>
      <c r="GU43" s="72"/>
      <c r="GV43" s="72"/>
      <c r="GW43" s="72"/>
      <c r="GX43" s="72"/>
      <c r="GY43" s="72"/>
      <c r="GZ43" s="72"/>
      <c r="HA43" s="72"/>
      <c r="HB43" s="72"/>
      <c r="HC43" s="72"/>
      <c r="HD43" s="72"/>
      <c r="HE43" s="72"/>
      <c r="HF43" s="72"/>
      <c r="HG43" s="72"/>
      <c r="HH43" s="72"/>
      <c r="HI43" s="72"/>
      <c r="HJ43" s="72"/>
      <c r="HK43" s="72"/>
      <c r="HL43" s="72"/>
      <c r="HM43" s="72"/>
      <c r="HN43" s="72"/>
      <c r="HO43" s="72"/>
      <c r="HP43" s="72"/>
      <c r="HQ43" s="72"/>
      <c r="HR43" s="72"/>
      <c r="HS43" s="72"/>
      <c r="HT43" s="72"/>
      <c r="HU43" s="72"/>
      <c r="HV43" s="72"/>
      <c r="HW43" s="72"/>
      <c r="HX43" s="72"/>
      <c r="HY43" s="72"/>
      <c r="HZ43" s="72"/>
      <c r="IA43" s="72"/>
      <c r="IB43" s="72"/>
      <c r="IC43" s="72"/>
      <c r="ID43" s="72"/>
      <c r="IE43" s="72"/>
      <c r="IF43" s="72"/>
      <c r="IG43" s="72"/>
      <c r="IH43" s="72"/>
      <c r="II43" s="72"/>
      <c r="IJ43" s="72"/>
      <c r="IK43" s="72"/>
      <c r="IL43" s="72"/>
      <c r="IM43" s="72"/>
      <c r="IN43" s="72"/>
      <c r="IO43" s="72"/>
      <c r="IP43" s="72"/>
      <c r="IQ43" s="72"/>
      <c r="IR43" s="72"/>
      <c r="IS43" s="72"/>
      <c r="IT43" s="72"/>
      <c r="IU43" s="72"/>
      <c r="IV43" s="72"/>
      <c r="IW43" s="72"/>
    </row>
    <row r="44" customFormat="false" ht="12.75" hidden="false" customHeight="false" outlineLevel="0" collapsed="false">
      <c r="A44" s="72"/>
      <c r="B44" s="45" t="s">
        <v>200</v>
      </c>
      <c r="C44" s="43" t="s">
        <v>283</v>
      </c>
      <c r="D44" s="43" t="s">
        <v>312</v>
      </c>
      <c r="E44" s="44" t="n">
        <v>36557</v>
      </c>
      <c r="F44" s="44" t="n">
        <v>36860</v>
      </c>
      <c r="G44" s="45" t="s">
        <v>309</v>
      </c>
      <c r="H44" s="45" t="s">
        <v>313</v>
      </c>
      <c r="I44" s="43" t="s">
        <v>116</v>
      </c>
      <c r="J44" s="57" t="n">
        <f aca="false">6.449/J$1</f>
        <v>0.208032258064516</v>
      </c>
      <c r="K44" s="48" t="n">
        <v>0.0132</v>
      </c>
      <c r="L44" s="48" t="n">
        <v>0.0022</v>
      </c>
      <c r="M44" s="48" t="n">
        <v>0.0072</v>
      </c>
      <c r="N44" s="48" t="n">
        <v>0</v>
      </c>
      <c r="O44" s="49" t="n">
        <v>0.02116</v>
      </c>
      <c r="P44" s="48" t="n">
        <f aca="false">SUM(J44:N44)</f>
        <v>0.230632258064516</v>
      </c>
      <c r="Q44" s="50" t="n">
        <v>65556</v>
      </c>
      <c r="R44" s="43" t="n">
        <v>3</v>
      </c>
      <c r="S44" s="45" t="s">
        <v>331</v>
      </c>
      <c r="T44" s="73" t="n">
        <f aca="false">J44*J$1*R44</f>
        <v>19.347</v>
      </c>
      <c r="U44" s="73"/>
      <c r="V44" s="74" t="n">
        <v>156602</v>
      </c>
      <c r="W44" s="45"/>
      <c r="X44" s="71"/>
      <c r="Y44" s="71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  <c r="IW44" s="72"/>
    </row>
    <row r="45" customFormat="false" ht="12.75" hidden="false" customHeight="false" outlineLevel="0" collapsed="false">
      <c r="A45" s="72"/>
      <c r="B45" s="45" t="s">
        <v>200</v>
      </c>
      <c r="C45" s="43" t="s">
        <v>283</v>
      </c>
      <c r="D45" s="43" t="s">
        <v>206</v>
      </c>
      <c r="E45" s="44" t="n">
        <v>36557</v>
      </c>
      <c r="F45" s="44" t="n">
        <v>36922</v>
      </c>
      <c r="G45" s="45" t="s">
        <v>332</v>
      </c>
      <c r="H45" s="45" t="s">
        <v>333</v>
      </c>
      <c r="I45" s="43" t="s">
        <v>116</v>
      </c>
      <c r="J45" s="57" t="n">
        <f aca="false">6.449/J$1</f>
        <v>0.208032258064516</v>
      </c>
      <c r="K45" s="48"/>
      <c r="L45" s="48"/>
      <c r="M45" s="48"/>
      <c r="N45" s="48"/>
      <c r="O45" s="49"/>
      <c r="P45" s="48"/>
      <c r="Q45" s="50" t="n">
        <v>66280</v>
      </c>
      <c r="R45" s="43" t="n">
        <v>1</v>
      </c>
      <c r="S45" s="45" t="s">
        <v>334</v>
      </c>
      <c r="T45" s="73" t="n">
        <f aca="false">J45*J$1*R45</f>
        <v>6.449</v>
      </c>
      <c r="U45" s="73"/>
      <c r="V45" s="74" t="n">
        <v>156606</v>
      </c>
      <c r="W45" s="45"/>
      <c r="X45" s="71"/>
      <c r="Y45" s="71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2"/>
      <c r="BY45" s="72"/>
      <c r="BZ45" s="72"/>
      <c r="CA45" s="72"/>
      <c r="CB45" s="72"/>
      <c r="CC45" s="72"/>
      <c r="CD45" s="72"/>
      <c r="CE45" s="72"/>
      <c r="CF45" s="72"/>
      <c r="CG45" s="72"/>
      <c r="CH45" s="72"/>
      <c r="CI45" s="72"/>
      <c r="CJ45" s="72"/>
      <c r="CK45" s="72"/>
      <c r="CL45" s="72"/>
      <c r="CM45" s="72"/>
      <c r="CN45" s="72"/>
      <c r="CO45" s="72"/>
      <c r="CP45" s="72"/>
      <c r="CQ45" s="72"/>
      <c r="CR45" s="72"/>
      <c r="CS45" s="72"/>
      <c r="CT45" s="72"/>
      <c r="CU45" s="72"/>
      <c r="CV45" s="72"/>
      <c r="CW45" s="72"/>
      <c r="CX45" s="72"/>
      <c r="CY45" s="72"/>
      <c r="CZ45" s="72"/>
      <c r="DA45" s="72"/>
      <c r="DB45" s="72"/>
      <c r="DC45" s="72"/>
      <c r="DD45" s="72"/>
      <c r="DE45" s="72"/>
      <c r="DF45" s="72"/>
      <c r="DG45" s="72"/>
      <c r="DH45" s="72"/>
      <c r="DI45" s="72"/>
      <c r="DJ45" s="72"/>
      <c r="DK45" s="72"/>
      <c r="DL45" s="72"/>
      <c r="DM45" s="72"/>
      <c r="DN45" s="72"/>
      <c r="DO45" s="72"/>
      <c r="DP45" s="72"/>
      <c r="DQ45" s="72"/>
      <c r="DR45" s="72"/>
      <c r="DS45" s="72"/>
      <c r="DT45" s="72"/>
      <c r="DU45" s="72"/>
      <c r="DV45" s="72"/>
      <c r="DW45" s="72"/>
      <c r="DX45" s="72"/>
      <c r="DY45" s="72"/>
      <c r="DZ45" s="72"/>
      <c r="EA45" s="72"/>
      <c r="EB45" s="72"/>
      <c r="EC45" s="72"/>
      <c r="ED45" s="72"/>
      <c r="EE45" s="72"/>
      <c r="EF45" s="72"/>
      <c r="EG45" s="72"/>
      <c r="EH45" s="72"/>
      <c r="EI45" s="72"/>
      <c r="EJ45" s="72"/>
      <c r="EK45" s="72"/>
      <c r="EL45" s="72"/>
      <c r="EM45" s="72"/>
      <c r="EN45" s="72"/>
      <c r="EO45" s="72"/>
      <c r="EP45" s="72"/>
      <c r="EQ45" s="72"/>
      <c r="ER45" s="72"/>
      <c r="ES45" s="72"/>
      <c r="ET45" s="72"/>
      <c r="EU45" s="72"/>
      <c r="EV45" s="72"/>
      <c r="EW45" s="72"/>
      <c r="EX45" s="72"/>
      <c r="EY45" s="72"/>
      <c r="EZ45" s="72"/>
      <c r="FA45" s="72"/>
      <c r="FB45" s="72"/>
      <c r="FC45" s="72"/>
      <c r="FD45" s="72"/>
      <c r="FE45" s="72"/>
      <c r="FF45" s="72"/>
      <c r="FG45" s="72"/>
      <c r="FH45" s="72"/>
      <c r="FI45" s="72"/>
      <c r="FJ45" s="72"/>
      <c r="FK45" s="72"/>
      <c r="FL45" s="72"/>
      <c r="FM45" s="72"/>
      <c r="FN45" s="72"/>
      <c r="FO45" s="72"/>
      <c r="FP45" s="72"/>
      <c r="FQ45" s="72"/>
      <c r="FR45" s="72"/>
      <c r="FS45" s="72"/>
      <c r="FT45" s="72"/>
      <c r="FU45" s="72"/>
      <c r="FV45" s="72"/>
      <c r="FW45" s="72"/>
      <c r="FX45" s="72"/>
      <c r="FY45" s="72"/>
      <c r="FZ45" s="72"/>
      <c r="GA45" s="72"/>
      <c r="GB45" s="72"/>
      <c r="GC45" s="72"/>
      <c r="GD45" s="72"/>
      <c r="GE45" s="72"/>
      <c r="GF45" s="72"/>
      <c r="GG45" s="72"/>
      <c r="GH45" s="72"/>
      <c r="GI45" s="72"/>
      <c r="GJ45" s="72"/>
      <c r="GK45" s="72"/>
      <c r="GL45" s="72"/>
      <c r="GM45" s="72"/>
      <c r="GN45" s="72"/>
      <c r="GO45" s="72"/>
      <c r="GP45" s="72"/>
      <c r="GQ45" s="72"/>
      <c r="GR45" s="72"/>
      <c r="GS45" s="72"/>
      <c r="GT45" s="72"/>
      <c r="GU45" s="72"/>
      <c r="GV45" s="72"/>
      <c r="GW45" s="72"/>
      <c r="GX45" s="72"/>
      <c r="GY45" s="72"/>
      <c r="GZ45" s="72"/>
      <c r="HA45" s="72"/>
      <c r="HB45" s="72"/>
      <c r="HC45" s="72"/>
      <c r="HD45" s="72"/>
      <c r="HE45" s="72"/>
      <c r="HF45" s="72"/>
      <c r="HG45" s="72"/>
      <c r="HH45" s="72"/>
      <c r="HI45" s="72"/>
      <c r="HJ45" s="72"/>
      <c r="HK45" s="72"/>
      <c r="HL45" s="72"/>
      <c r="HM45" s="72"/>
      <c r="HN45" s="72"/>
      <c r="HO45" s="72"/>
      <c r="HP45" s="72"/>
      <c r="HQ45" s="72"/>
      <c r="HR45" s="72"/>
      <c r="HS45" s="72"/>
      <c r="HT45" s="72"/>
      <c r="HU45" s="72"/>
      <c r="HV45" s="72"/>
      <c r="HW45" s="72"/>
      <c r="HX45" s="72"/>
      <c r="HY45" s="72"/>
      <c r="HZ45" s="72"/>
      <c r="IA45" s="72"/>
      <c r="IB45" s="72"/>
      <c r="IC45" s="72"/>
      <c r="ID45" s="72"/>
      <c r="IE45" s="72"/>
      <c r="IF45" s="72"/>
      <c r="IG45" s="72"/>
      <c r="IH45" s="72"/>
      <c r="II45" s="72"/>
      <c r="IJ45" s="72"/>
      <c r="IK45" s="72"/>
      <c r="IL45" s="72"/>
      <c r="IM45" s="72"/>
      <c r="IN45" s="72"/>
      <c r="IO45" s="72"/>
      <c r="IP45" s="72"/>
      <c r="IQ45" s="72"/>
      <c r="IR45" s="72"/>
      <c r="IS45" s="72"/>
      <c r="IT45" s="72"/>
      <c r="IU45" s="72"/>
      <c r="IV45" s="72"/>
      <c r="IW45" s="72"/>
    </row>
    <row r="46" customFormat="false" ht="12.75" hidden="false" customHeight="false" outlineLevel="0" collapsed="false">
      <c r="A46" s="72"/>
      <c r="B46" s="45" t="s">
        <v>200</v>
      </c>
      <c r="C46" s="43" t="s">
        <v>283</v>
      </c>
      <c r="D46" s="43" t="s">
        <v>206</v>
      </c>
      <c r="E46" s="44" t="n">
        <v>36557</v>
      </c>
      <c r="F46" s="44" t="n">
        <v>36922</v>
      </c>
      <c r="G46" s="45" t="s">
        <v>332</v>
      </c>
      <c r="H46" s="45" t="s">
        <v>335</v>
      </c>
      <c r="I46" s="43" t="s">
        <v>116</v>
      </c>
      <c r="J46" s="57" t="n">
        <f aca="false">6.449/J$1</f>
        <v>0.208032258064516</v>
      </c>
      <c r="K46" s="48"/>
      <c r="L46" s="48"/>
      <c r="M46" s="48"/>
      <c r="N46" s="48"/>
      <c r="O46" s="49"/>
      <c r="P46" s="48"/>
      <c r="Q46" s="50" t="n">
        <v>66280</v>
      </c>
      <c r="R46" s="43" t="n">
        <v>4</v>
      </c>
      <c r="S46" s="45" t="s">
        <v>334</v>
      </c>
      <c r="T46" s="73" t="n">
        <f aca="false">J46*J$1*R46</f>
        <v>25.796</v>
      </c>
      <c r="U46" s="73"/>
      <c r="V46" s="74" t="n">
        <v>156606</v>
      </c>
      <c r="W46" s="45"/>
      <c r="X46" s="71"/>
      <c r="Y46" s="71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  <c r="BH46" s="72"/>
      <c r="BI46" s="72"/>
      <c r="BJ46" s="72"/>
      <c r="BK46" s="72"/>
      <c r="BL46" s="72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2"/>
      <c r="CA46" s="72"/>
      <c r="CB46" s="72"/>
      <c r="CC46" s="72"/>
      <c r="CD46" s="72"/>
      <c r="CE46" s="72"/>
      <c r="CF46" s="72"/>
      <c r="CG46" s="72"/>
      <c r="CH46" s="72"/>
      <c r="CI46" s="72"/>
      <c r="CJ46" s="72"/>
      <c r="CK46" s="72"/>
      <c r="CL46" s="72"/>
      <c r="CM46" s="72"/>
      <c r="CN46" s="72"/>
      <c r="CO46" s="72"/>
      <c r="CP46" s="72"/>
      <c r="CQ46" s="72"/>
      <c r="CR46" s="72"/>
      <c r="CS46" s="72"/>
      <c r="CT46" s="72"/>
      <c r="CU46" s="72"/>
      <c r="CV46" s="72"/>
      <c r="CW46" s="72"/>
      <c r="CX46" s="72"/>
      <c r="CY46" s="72"/>
      <c r="CZ46" s="72"/>
      <c r="DA46" s="72"/>
      <c r="DB46" s="72"/>
      <c r="DC46" s="72"/>
      <c r="DD46" s="72"/>
      <c r="DE46" s="72"/>
      <c r="DF46" s="72"/>
      <c r="DG46" s="72"/>
      <c r="DH46" s="72"/>
      <c r="DI46" s="72"/>
      <c r="DJ46" s="72"/>
      <c r="DK46" s="72"/>
      <c r="DL46" s="72"/>
      <c r="DM46" s="72"/>
      <c r="DN46" s="72"/>
      <c r="DO46" s="72"/>
      <c r="DP46" s="72"/>
      <c r="DQ46" s="72"/>
      <c r="DR46" s="72"/>
      <c r="DS46" s="72"/>
      <c r="DT46" s="72"/>
      <c r="DU46" s="72"/>
      <c r="DV46" s="72"/>
      <c r="DW46" s="72"/>
      <c r="DX46" s="72"/>
      <c r="DY46" s="72"/>
      <c r="DZ46" s="72"/>
      <c r="EA46" s="72"/>
      <c r="EB46" s="72"/>
      <c r="EC46" s="72"/>
      <c r="ED46" s="72"/>
      <c r="EE46" s="72"/>
      <c r="EF46" s="72"/>
      <c r="EG46" s="72"/>
      <c r="EH46" s="72"/>
      <c r="EI46" s="72"/>
      <c r="EJ46" s="72"/>
      <c r="EK46" s="72"/>
      <c r="EL46" s="72"/>
      <c r="EM46" s="72"/>
      <c r="EN46" s="72"/>
      <c r="EO46" s="72"/>
      <c r="EP46" s="72"/>
      <c r="EQ46" s="72"/>
      <c r="ER46" s="72"/>
      <c r="ES46" s="72"/>
      <c r="ET46" s="72"/>
      <c r="EU46" s="72"/>
      <c r="EV46" s="72"/>
      <c r="EW46" s="72"/>
      <c r="EX46" s="72"/>
      <c r="EY46" s="72"/>
      <c r="EZ46" s="72"/>
      <c r="FA46" s="72"/>
      <c r="FB46" s="72"/>
      <c r="FC46" s="72"/>
      <c r="FD46" s="72"/>
      <c r="FE46" s="72"/>
      <c r="FF46" s="72"/>
      <c r="FG46" s="72"/>
      <c r="FH46" s="72"/>
      <c r="FI46" s="72"/>
      <c r="FJ46" s="72"/>
      <c r="FK46" s="72"/>
      <c r="FL46" s="72"/>
      <c r="FM46" s="72"/>
      <c r="FN46" s="72"/>
      <c r="FO46" s="72"/>
      <c r="FP46" s="72"/>
      <c r="FQ46" s="72"/>
      <c r="FR46" s="72"/>
      <c r="FS46" s="72"/>
      <c r="FT46" s="72"/>
      <c r="FU46" s="72"/>
      <c r="FV46" s="72"/>
      <c r="FW46" s="72"/>
      <c r="FX46" s="72"/>
      <c r="FY46" s="72"/>
      <c r="FZ46" s="72"/>
      <c r="GA46" s="72"/>
      <c r="GB46" s="72"/>
      <c r="GC46" s="72"/>
      <c r="GD46" s="72"/>
      <c r="GE46" s="72"/>
      <c r="GF46" s="72"/>
      <c r="GG46" s="72"/>
      <c r="GH46" s="72"/>
      <c r="GI46" s="72"/>
      <c r="GJ46" s="72"/>
      <c r="GK46" s="72"/>
      <c r="GL46" s="72"/>
      <c r="GM46" s="72"/>
      <c r="GN46" s="72"/>
      <c r="GO46" s="72"/>
      <c r="GP46" s="72"/>
      <c r="GQ46" s="72"/>
      <c r="GR46" s="72"/>
      <c r="GS46" s="72"/>
      <c r="GT46" s="72"/>
      <c r="GU46" s="72"/>
      <c r="GV46" s="72"/>
      <c r="GW46" s="72"/>
      <c r="GX46" s="72"/>
      <c r="GY46" s="72"/>
      <c r="GZ46" s="72"/>
      <c r="HA46" s="72"/>
      <c r="HB46" s="72"/>
      <c r="HC46" s="72"/>
      <c r="HD46" s="72"/>
      <c r="HE46" s="72"/>
      <c r="HF46" s="72"/>
      <c r="HG46" s="72"/>
      <c r="HH46" s="72"/>
      <c r="HI46" s="72"/>
      <c r="HJ46" s="72"/>
      <c r="HK46" s="72"/>
      <c r="HL46" s="72"/>
      <c r="HM46" s="72"/>
      <c r="HN46" s="72"/>
      <c r="HO46" s="72"/>
      <c r="HP46" s="72"/>
      <c r="HQ46" s="72"/>
      <c r="HR46" s="72"/>
      <c r="HS46" s="72"/>
      <c r="HT46" s="72"/>
      <c r="HU46" s="72"/>
      <c r="HV46" s="72"/>
      <c r="HW46" s="72"/>
      <c r="HX46" s="72"/>
      <c r="HY46" s="72"/>
      <c r="HZ46" s="72"/>
      <c r="IA46" s="72"/>
      <c r="IB46" s="72"/>
      <c r="IC46" s="72"/>
      <c r="ID46" s="72"/>
      <c r="IE46" s="72"/>
      <c r="IF46" s="72"/>
      <c r="IG46" s="72"/>
      <c r="IH46" s="72"/>
      <c r="II46" s="72"/>
      <c r="IJ46" s="72"/>
      <c r="IK46" s="72"/>
      <c r="IL46" s="72"/>
      <c r="IM46" s="72"/>
      <c r="IN46" s="72"/>
      <c r="IO46" s="72"/>
      <c r="IP46" s="72"/>
      <c r="IQ46" s="72"/>
      <c r="IR46" s="72"/>
      <c r="IS46" s="72"/>
      <c r="IT46" s="72"/>
      <c r="IU46" s="72"/>
      <c r="IV46" s="72"/>
      <c r="IW46" s="72"/>
    </row>
    <row r="47" customFormat="false" ht="12.75" hidden="false" customHeight="false" outlineLevel="0" collapsed="false">
      <c r="A47" s="72"/>
      <c r="B47" s="45" t="s">
        <v>200</v>
      </c>
      <c r="C47" s="43" t="s">
        <v>283</v>
      </c>
      <c r="D47" s="43" t="s">
        <v>206</v>
      </c>
      <c r="E47" s="44" t="n">
        <v>36656</v>
      </c>
      <c r="F47" s="44" t="n">
        <v>36950</v>
      </c>
      <c r="G47" s="45" t="s">
        <v>332</v>
      </c>
      <c r="H47" s="45" t="s">
        <v>333</v>
      </c>
      <c r="I47" s="43" t="s">
        <v>116</v>
      </c>
      <c r="J47" s="57" t="n">
        <v>6.449</v>
      </c>
      <c r="K47" s="48"/>
      <c r="L47" s="48"/>
      <c r="M47" s="48"/>
      <c r="N47" s="48"/>
      <c r="O47" s="49"/>
      <c r="P47" s="48"/>
      <c r="Q47" s="50" t="n">
        <v>68308</v>
      </c>
      <c r="R47" s="43" t="n">
        <v>5</v>
      </c>
      <c r="S47" s="45" t="s">
        <v>336</v>
      </c>
      <c r="T47" s="73" t="n">
        <f aca="false">+R47*J47</f>
        <v>32.245</v>
      </c>
      <c r="U47" s="73"/>
      <c r="V47" s="74" t="n">
        <v>262094</v>
      </c>
      <c r="W47" s="45"/>
      <c r="X47" s="71"/>
      <c r="Y47" s="71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72"/>
      <c r="BN47" s="72"/>
      <c r="BO47" s="72"/>
      <c r="BP47" s="72"/>
      <c r="BQ47" s="72"/>
      <c r="BR47" s="72"/>
      <c r="BS47" s="72"/>
      <c r="BT47" s="72"/>
      <c r="BU47" s="72"/>
      <c r="BV47" s="72"/>
      <c r="BW47" s="72"/>
      <c r="BX47" s="72"/>
      <c r="BY47" s="72"/>
      <c r="BZ47" s="72"/>
      <c r="CA47" s="72"/>
      <c r="CB47" s="72"/>
      <c r="CC47" s="72"/>
      <c r="CD47" s="72"/>
      <c r="CE47" s="72"/>
      <c r="CF47" s="72"/>
      <c r="CG47" s="72"/>
      <c r="CH47" s="72"/>
      <c r="CI47" s="72"/>
      <c r="CJ47" s="72"/>
      <c r="CK47" s="72"/>
      <c r="CL47" s="72"/>
      <c r="CM47" s="72"/>
      <c r="CN47" s="72"/>
      <c r="CO47" s="72"/>
      <c r="CP47" s="72"/>
      <c r="CQ47" s="72"/>
      <c r="CR47" s="72"/>
      <c r="CS47" s="72"/>
      <c r="CT47" s="72"/>
      <c r="CU47" s="72"/>
      <c r="CV47" s="72"/>
      <c r="CW47" s="72"/>
      <c r="CX47" s="72"/>
      <c r="CY47" s="72"/>
      <c r="CZ47" s="72"/>
      <c r="DA47" s="72"/>
      <c r="DB47" s="72"/>
      <c r="DC47" s="72"/>
      <c r="DD47" s="72"/>
      <c r="DE47" s="72"/>
      <c r="DF47" s="72"/>
      <c r="DG47" s="72"/>
      <c r="DH47" s="72"/>
      <c r="DI47" s="72"/>
      <c r="DJ47" s="72"/>
      <c r="DK47" s="72"/>
      <c r="DL47" s="72"/>
      <c r="DM47" s="72"/>
      <c r="DN47" s="72"/>
      <c r="DO47" s="72"/>
      <c r="DP47" s="72"/>
      <c r="DQ47" s="72"/>
      <c r="DR47" s="72"/>
      <c r="DS47" s="72"/>
      <c r="DT47" s="72"/>
      <c r="DU47" s="72"/>
      <c r="DV47" s="72"/>
      <c r="DW47" s="72"/>
      <c r="DX47" s="72"/>
      <c r="DY47" s="72"/>
      <c r="DZ47" s="72"/>
      <c r="EA47" s="72"/>
      <c r="EB47" s="72"/>
      <c r="EC47" s="72"/>
      <c r="ED47" s="72"/>
      <c r="EE47" s="72"/>
      <c r="EF47" s="72"/>
      <c r="EG47" s="72"/>
      <c r="EH47" s="72"/>
      <c r="EI47" s="72"/>
      <c r="EJ47" s="72"/>
      <c r="EK47" s="72"/>
      <c r="EL47" s="72"/>
      <c r="EM47" s="72"/>
      <c r="EN47" s="72"/>
      <c r="EO47" s="72"/>
      <c r="EP47" s="72"/>
      <c r="EQ47" s="72"/>
      <c r="ER47" s="72"/>
      <c r="ES47" s="72"/>
      <c r="ET47" s="72"/>
      <c r="EU47" s="72"/>
      <c r="EV47" s="72"/>
      <c r="EW47" s="72"/>
      <c r="EX47" s="72"/>
      <c r="EY47" s="72"/>
      <c r="EZ47" s="72"/>
      <c r="FA47" s="72"/>
      <c r="FB47" s="72"/>
      <c r="FC47" s="72"/>
      <c r="FD47" s="72"/>
      <c r="FE47" s="72"/>
      <c r="FF47" s="72"/>
      <c r="FG47" s="72"/>
      <c r="FH47" s="72"/>
      <c r="FI47" s="72"/>
      <c r="FJ47" s="72"/>
      <c r="FK47" s="72"/>
      <c r="FL47" s="72"/>
      <c r="FM47" s="72"/>
      <c r="FN47" s="72"/>
      <c r="FO47" s="72"/>
      <c r="FP47" s="72"/>
      <c r="FQ47" s="72"/>
      <c r="FR47" s="72"/>
      <c r="FS47" s="72"/>
      <c r="FT47" s="72"/>
      <c r="FU47" s="72"/>
      <c r="FV47" s="72"/>
      <c r="FW47" s="72"/>
      <c r="FX47" s="72"/>
      <c r="FY47" s="72"/>
      <c r="FZ47" s="72"/>
      <c r="GA47" s="72"/>
      <c r="GB47" s="72"/>
      <c r="GC47" s="72"/>
      <c r="GD47" s="72"/>
      <c r="GE47" s="72"/>
      <c r="GF47" s="72"/>
      <c r="GG47" s="72"/>
      <c r="GH47" s="72"/>
      <c r="GI47" s="72"/>
      <c r="GJ47" s="72"/>
      <c r="GK47" s="72"/>
      <c r="GL47" s="72"/>
      <c r="GM47" s="72"/>
      <c r="GN47" s="72"/>
      <c r="GO47" s="72"/>
      <c r="GP47" s="72"/>
      <c r="GQ47" s="72"/>
      <c r="GR47" s="72"/>
      <c r="GS47" s="72"/>
      <c r="GT47" s="72"/>
      <c r="GU47" s="72"/>
      <c r="GV47" s="72"/>
      <c r="GW47" s="72"/>
      <c r="GX47" s="72"/>
      <c r="GY47" s="72"/>
      <c r="GZ47" s="72"/>
      <c r="HA47" s="72"/>
      <c r="HB47" s="72"/>
      <c r="HC47" s="72"/>
      <c r="HD47" s="72"/>
      <c r="HE47" s="72"/>
      <c r="HF47" s="72"/>
      <c r="HG47" s="72"/>
      <c r="HH47" s="72"/>
      <c r="HI47" s="72"/>
      <c r="HJ47" s="72"/>
      <c r="HK47" s="72"/>
      <c r="HL47" s="72"/>
      <c r="HM47" s="72"/>
      <c r="HN47" s="72"/>
      <c r="HO47" s="72"/>
      <c r="HP47" s="72"/>
      <c r="HQ47" s="72"/>
      <c r="HR47" s="72"/>
      <c r="HS47" s="72"/>
      <c r="HT47" s="72"/>
      <c r="HU47" s="72"/>
      <c r="HV47" s="72"/>
      <c r="HW47" s="72"/>
      <c r="HX47" s="72"/>
      <c r="HY47" s="72"/>
      <c r="HZ47" s="72"/>
      <c r="IA47" s="72"/>
      <c r="IB47" s="72"/>
      <c r="IC47" s="72"/>
      <c r="ID47" s="72"/>
      <c r="IE47" s="72"/>
      <c r="IF47" s="72"/>
      <c r="IG47" s="72"/>
      <c r="IH47" s="72"/>
      <c r="II47" s="72"/>
      <c r="IJ47" s="72"/>
      <c r="IK47" s="72"/>
      <c r="IL47" s="72"/>
      <c r="IM47" s="72"/>
      <c r="IN47" s="72"/>
      <c r="IO47" s="72"/>
      <c r="IP47" s="72"/>
      <c r="IQ47" s="72"/>
      <c r="IR47" s="72"/>
      <c r="IS47" s="72"/>
      <c r="IT47" s="72"/>
      <c r="IU47" s="72"/>
      <c r="IV47" s="72"/>
      <c r="IW47" s="72"/>
    </row>
    <row r="48" customFormat="false" ht="12.75" hidden="false" customHeight="false" outlineLevel="0" collapsed="false">
      <c r="A48" s="72"/>
      <c r="B48" s="45" t="s">
        <v>200</v>
      </c>
      <c r="C48" s="43" t="s">
        <v>283</v>
      </c>
      <c r="D48" s="43" t="s">
        <v>206</v>
      </c>
      <c r="E48" s="44" t="n">
        <v>36656</v>
      </c>
      <c r="F48" s="44" t="n">
        <v>36950</v>
      </c>
      <c r="G48" s="45" t="s">
        <v>332</v>
      </c>
      <c r="H48" s="45" t="s">
        <v>335</v>
      </c>
      <c r="I48" s="43" t="s">
        <v>116</v>
      </c>
      <c r="J48" s="57" t="n">
        <v>6.449</v>
      </c>
      <c r="K48" s="48"/>
      <c r="L48" s="48"/>
      <c r="M48" s="48"/>
      <c r="N48" s="48"/>
      <c r="O48" s="49"/>
      <c r="P48" s="48"/>
      <c r="Q48" s="50" t="n">
        <v>68308</v>
      </c>
      <c r="R48" s="43" t="n">
        <v>4</v>
      </c>
      <c r="S48" s="45" t="s">
        <v>336</v>
      </c>
      <c r="T48" s="73" t="n">
        <f aca="false">+R48*J48</f>
        <v>25.796</v>
      </c>
      <c r="U48" s="73"/>
      <c r="V48" s="74" t="n">
        <v>262094</v>
      </c>
      <c r="W48" s="45"/>
      <c r="X48" s="71"/>
      <c r="Y48" s="71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2"/>
      <c r="BQ48" s="72"/>
      <c r="BR48" s="72"/>
      <c r="BS48" s="72"/>
      <c r="BT48" s="72"/>
      <c r="BU48" s="72"/>
      <c r="BV48" s="72"/>
      <c r="BW48" s="72"/>
      <c r="BX48" s="72"/>
      <c r="BY48" s="72"/>
      <c r="BZ48" s="72"/>
      <c r="CA48" s="72"/>
      <c r="CB48" s="72"/>
      <c r="CC48" s="72"/>
      <c r="CD48" s="72"/>
      <c r="CE48" s="72"/>
      <c r="CF48" s="72"/>
      <c r="CG48" s="72"/>
      <c r="CH48" s="72"/>
      <c r="CI48" s="72"/>
      <c r="CJ48" s="72"/>
      <c r="CK48" s="72"/>
      <c r="CL48" s="72"/>
      <c r="CM48" s="72"/>
      <c r="CN48" s="72"/>
      <c r="CO48" s="72"/>
      <c r="CP48" s="72"/>
      <c r="CQ48" s="72"/>
      <c r="CR48" s="72"/>
      <c r="CS48" s="72"/>
      <c r="CT48" s="72"/>
      <c r="CU48" s="72"/>
      <c r="CV48" s="72"/>
      <c r="CW48" s="72"/>
      <c r="CX48" s="72"/>
      <c r="CY48" s="72"/>
      <c r="CZ48" s="72"/>
      <c r="DA48" s="72"/>
      <c r="DB48" s="72"/>
      <c r="DC48" s="72"/>
      <c r="DD48" s="72"/>
      <c r="DE48" s="72"/>
      <c r="DF48" s="72"/>
      <c r="DG48" s="72"/>
      <c r="DH48" s="72"/>
      <c r="DI48" s="72"/>
      <c r="DJ48" s="72"/>
      <c r="DK48" s="72"/>
      <c r="DL48" s="72"/>
      <c r="DM48" s="72"/>
      <c r="DN48" s="72"/>
      <c r="DO48" s="72"/>
      <c r="DP48" s="72"/>
      <c r="DQ48" s="72"/>
      <c r="DR48" s="72"/>
      <c r="DS48" s="72"/>
      <c r="DT48" s="72"/>
      <c r="DU48" s="72"/>
      <c r="DV48" s="72"/>
      <c r="DW48" s="72"/>
      <c r="DX48" s="72"/>
      <c r="DY48" s="72"/>
      <c r="DZ48" s="72"/>
      <c r="EA48" s="72"/>
      <c r="EB48" s="72"/>
      <c r="EC48" s="72"/>
      <c r="ED48" s="72"/>
      <c r="EE48" s="72"/>
      <c r="EF48" s="72"/>
      <c r="EG48" s="72"/>
      <c r="EH48" s="72"/>
      <c r="EI48" s="72"/>
      <c r="EJ48" s="72"/>
      <c r="EK48" s="72"/>
      <c r="EL48" s="72"/>
      <c r="EM48" s="72"/>
      <c r="EN48" s="72"/>
      <c r="EO48" s="72"/>
      <c r="EP48" s="72"/>
      <c r="EQ48" s="72"/>
      <c r="ER48" s="72"/>
      <c r="ES48" s="72"/>
      <c r="ET48" s="72"/>
      <c r="EU48" s="72"/>
      <c r="EV48" s="72"/>
      <c r="EW48" s="72"/>
      <c r="EX48" s="72"/>
      <c r="EY48" s="72"/>
      <c r="EZ48" s="72"/>
      <c r="FA48" s="72"/>
      <c r="FB48" s="72"/>
      <c r="FC48" s="72"/>
      <c r="FD48" s="72"/>
      <c r="FE48" s="72"/>
      <c r="FF48" s="72"/>
      <c r="FG48" s="72"/>
      <c r="FH48" s="72"/>
      <c r="FI48" s="72"/>
      <c r="FJ48" s="72"/>
      <c r="FK48" s="72"/>
      <c r="FL48" s="72"/>
      <c r="FM48" s="72"/>
      <c r="FN48" s="72"/>
      <c r="FO48" s="72"/>
      <c r="FP48" s="72"/>
      <c r="FQ48" s="72"/>
      <c r="FR48" s="72"/>
      <c r="FS48" s="72"/>
      <c r="FT48" s="72"/>
      <c r="FU48" s="72"/>
      <c r="FV48" s="72"/>
      <c r="FW48" s="72"/>
      <c r="FX48" s="72"/>
      <c r="FY48" s="72"/>
      <c r="FZ48" s="72"/>
      <c r="GA48" s="72"/>
      <c r="GB48" s="72"/>
      <c r="GC48" s="72"/>
      <c r="GD48" s="72"/>
      <c r="GE48" s="72"/>
      <c r="GF48" s="72"/>
      <c r="GG48" s="72"/>
      <c r="GH48" s="72"/>
      <c r="GI48" s="72"/>
      <c r="GJ48" s="72"/>
      <c r="GK48" s="72"/>
      <c r="GL48" s="72"/>
      <c r="GM48" s="72"/>
      <c r="GN48" s="72"/>
      <c r="GO48" s="72"/>
      <c r="GP48" s="72"/>
      <c r="GQ48" s="72"/>
      <c r="GR48" s="72"/>
      <c r="GS48" s="72"/>
      <c r="GT48" s="72"/>
      <c r="GU48" s="72"/>
      <c r="GV48" s="72"/>
      <c r="GW48" s="72"/>
      <c r="GX48" s="72"/>
      <c r="GY48" s="72"/>
      <c r="GZ48" s="72"/>
      <c r="HA48" s="72"/>
      <c r="HB48" s="72"/>
      <c r="HC48" s="72"/>
      <c r="HD48" s="72"/>
      <c r="HE48" s="72"/>
      <c r="HF48" s="72"/>
      <c r="HG48" s="72"/>
      <c r="HH48" s="72"/>
      <c r="HI48" s="72"/>
      <c r="HJ48" s="72"/>
      <c r="HK48" s="72"/>
      <c r="HL48" s="72"/>
      <c r="HM48" s="72"/>
      <c r="HN48" s="72"/>
      <c r="HO48" s="72"/>
      <c r="HP48" s="72"/>
      <c r="HQ48" s="72"/>
      <c r="HR48" s="72"/>
      <c r="HS48" s="72"/>
      <c r="HT48" s="72"/>
      <c r="HU48" s="72"/>
      <c r="HV48" s="72"/>
      <c r="HW48" s="72"/>
      <c r="HX48" s="72"/>
      <c r="HY48" s="72"/>
      <c r="HZ48" s="72"/>
      <c r="IA48" s="72"/>
      <c r="IB48" s="72"/>
      <c r="IC48" s="72"/>
      <c r="ID48" s="72"/>
      <c r="IE48" s="72"/>
      <c r="IF48" s="72"/>
      <c r="IG48" s="72"/>
      <c r="IH48" s="72"/>
      <c r="II48" s="72"/>
      <c r="IJ48" s="72"/>
      <c r="IK48" s="72"/>
      <c r="IL48" s="72"/>
      <c r="IM48" s="72"/>
      <c r="IN48" s="72"/>
      <c r="IO48" s="72"/>
      <c r="IP48" s="72"/>
      <c r="IQ48" s="72"/>
      <c r="IR48" s="72"/>
      <c r="IS48" s="72"/>
      <c r="IT48" s="72"/>
      <c r="IU48" s="72"/>
      <c r="IV48" s="72"/>
      <c r="IW48" s="72"/>
    </row>
    <row r="49" customFormat="false" ht="12.75" hidden="false" customHeight="false" outlineLevel="0" collapsed="false">
      <c r="A49" s="72"/>
      <c r="B49" s="45" t="s">
        <v>200</v>
      </c>
      <c r="C49" s="43" t="s">
        <v>283</v>
      </c>
      <c r="D49" s="43" t="s">
        <v>206</v>
      </c>
      <c r="E49" s="44" t="n">
        <v>36708</v>
      </c>
      <c r="F49" s="44" t="n">
        <v>37072</v>
      </c>
      <c r="G49" s="45" t="s">
        <v>203</v>
      </c>
      <c r="H49" s="45" t="s">
        <v>204</v>
      </c>
      <c r="I49" s="43" t="s">
        <v>205</v>
      </c>
      <c r="J49" s="57" t="n">
        <f aca="false">3.145/J$1</f>
        <v>0.101451612903226</v>
      </c>
      <c r="K49" s="48" t="n">
        <v>0.0132</v>
      </c>
      <c r="L49" s="48" t="n">
        <v>0.0022</v>
      </c>
      <c r="M49" s="48" t="n">
        <v>0</v>
      </c>
      <c r="N49" s="48" t="n">
        <v>0</v>
      </c>
      <c r="O49" s="49" t="n">
        <v>0.02116</v>
      </c>
      <c r="P49" s="48" t="n">
        <f aca="false">SUM(J49:N49)</f>
        <v>0.116851612903226</v>
      </c>
      <c r="Q49" s="50" t="n">
        <v>68635</v>
      </c>
      <c r="R49" s="43" t="n">
        <v>1</v>
      </c>
      <c r="S49" s="45" t="s">
        <v>337</v>
      </c>
      <c r="T49" s="73" t="n">
        <f aca="false">J49*J$1*R49</f>
        <v>3.145</v>
      </c>
      <c r="U49" s="73"/>
      <c r="V49" s="74" t="n">
        <v>312333</v>
      </c>
      <c r="W49" s="45"/>
      <c r="X49" s="71"/>
      <c r="Y49" s="71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2"/>
      <c r="CX49" s="72"/>
      <c r="CY49" s="72"/>
      <c r="CZ49" s="72"/>
      <c r="DA49" s="72"/>
      <c r="DB49" s="72"/>
      <c r="DC49" s="72"/>
      <c r="DD49" s="72"/>
      <c r="DE49" s="72"/>
      <c r="DF49" s="72"/>
      <c r="DG49" s="72"/>
      <c r="DH49" s="72"/>
      <c r="DI49" s="72"/>
      <c r="DJ49" s="72"/>
      <c r="DK49" s="72"/>
      <c r="DL49" s="72"/>
      <c r="DM49" s="72"/>
      <c r="DN49" s="72"/>
      <c r="DO49" s="72"/>
      <c r="DP49" s="72"/>
      <c r="DQ49" s="72"/>
      <c r="DR49" s="72"/>
      <c r="DS49" s="72"/>
      <c r="DT49" s="72"/>
      <c r="DU49" s="72"/>
      <c r="DV49" s="72"/>
      <c r="DW49" s="72"/>
      <c r="DX49" s="72"/>
      <c r="DY49" s="72"/>
      <c r="DZ49" s="72"/>
      <c r="EA49" s="72"/>
      <c r="EB49" s="72"/>
      <c r="EC49" s="72"/>
      <c r="ED49" s="72"/>
      <c r="EE49" s="72"/>
      <c r="EF49" s="72"/>
      <c r="EG49" s="72"/>
      <c r="EH49" s="72"/>
      <c r="EI49" s="72"/>
      <c r="EJ49" s="72"/>
      <c r="EK49" s="72"/>
      <c r="EL49" s="72"/>
      <c r="EM49" s="72"/>
      <c r="EN49" s="72"/>
      <c r="EO49" s="72"/>
      <c r="EP49" s="72"/>
      <c r="EQ49" s="72"/>
      <c r="ER49" s="72"/>
      <c r="ES49" s="72"/>
      <c r="ET49" s="72"/>
      <c r="EU49" s="72"/>
      <c r="EV49" s="72"/>
      <c r="EW49" s="72"/>
      <c r="EX49" s="72"/>
      <c r="EY49" s="72"/>
      <c r="EZ49" s="72"/>
      <c r="FA49" s="72"/>
      <c r="FB49" s="72"/>
      <c r="FC49" s="72"/>
      <c r="FD49" s="72"/>
      <c r="FE49" s="72"/>
      <c r="FF49" s="72"/>
      <c r="FG49" s="72"/>
      <c r="FH49" s="72"/>
      <c r="FI49" s="72"/>
      <c r="FJ49" s="72"/>
      <c r="FK49" s="72"/>
      <c r="FL49" s="72"/>
      <c r="FM49" s="72"/>
      <c r="FN49" s="72"/>
      <c r="FO49" s="72"/>
      <c r="FP49" s="72"/>
      <c r="FQ49" s="72"/>
      <c r="FR49" s="72"/>
      <c r="FS49" s="72"/>
      <c r="FT49" s="72"/>
      <c r="FU49" s="72"/>
      <c r="FV49" s="72"/>
      <c r="FW49" s="72"/>
      <c r="FX49" s="72"/>
      <c r="FY49" s="72"/>
      <c r="FZ49" s="72"/>
      <c r="GA49" s="72"/>
      <c r="GB49" s="72"/>
      <c r="GC49" s="72"/>
      <c r="GD49" s="72"/>
      <c r="GE49" s="72"/>
      <c r="GF49" s="72"/>
      <c r="GG49" s="72"/>
      <c r="GH49" s="72"/>
      <c r="GI49" s="72"/>
      <c r="GJ49" s="72"/>
      <c r="GK49" s="72"/>
      <c r="GL49" s="72"/>
      <c r="GM49" s="72"/>
      <c r="GN49" s="72"/>
      <c r="GO49" s="72"/>
      <c r="GP49" s="72"/>
      <c r="GQ49" s="72"/>
      <c r="GR49" s="72"/>
      <c r="GS49" s="72"/>
      <c r="GT49" s="72"/>
      <c r="GU49" s="72"/>
      <c r="GV49" s="72"/>
      <c r="GW49" s="72"/>
      <c r="GX49" s="72"/>
      <c r="GY49" s="72"/>
      <c r="GZ49" s="72"/>
      <c r="HA49" s="72"/>
      <c r="HB49" s="72"/>
      <c r="HC49" s="72"/>
      <c r="HD49" s="72"/>
      <c r="HE49" s="72"/>
      <c r="HF49" s="72"/>
      <c r="HG49" s="72"/>
      <c r="HH49" s="72"/>
      <c r="HI49" s="72"/>
      <c r="HJ49" s="72"/>
      <c r="HK49" s="72"/>
      <c r="HL49" s="72"/>
      <c r="HM49" s="72"/>
      <c r="HN49" s="72"/>
      <c r="HO49" s="72"/>
      <c r="HP49" s="72"/>
      <c r="HQ49" s="72"/>
      <c r="HR49" s="72"/>
      <c r="HS49" s="72"/>
      <c r="HT49" s="72"/>
      <c r="HU49" s="72"/>
      <c r="HV49" s="72"/>
      <c r="HW49" s="72"/>
      <c r="HX49" s="72"/>
      <c r="HY49" s="72"/>
      <c r="HZ49" s="72"/>
      <c r="IA49" s="72"/>
      <c r="IB49" s="72"/>
      <c r="IC49" s="72"/>
      <c r="ID49" s="72"/>
      <c r="IE49" s="72"/>
      <c r="IF49" s="72"/>
      <c r="IG49" s="72"/>
      <c r="IH49" s="72"/>
      <c r="II49" s="72"/>
      <c r="IJ49" s="72"/>
      <c r="IK49" s="72"/>
      <c r="IL49" s="72"/>
      <c r="IM49" s="72"/>
      <c r="IN49" s="72"/>
      <c r="IO49" s="72"/>
      <c r="IP49" s="72"/>
      <c r="IQ49" s="72"/>
      <c r="IR49" s="72"/>
      <c r="IS49" s="72"/>
      <c r="IT49" s="72"/>
      <c r="IU49" s="72"/>
      <c r="IV49" s="72"/>
      <c r="IW49" s="72"/>
    </row>
    <row r="50" customFormat="false" ht="12.75" hidden="false" customHeight="false" outlineLevel="0" collapsed="false">
      <c r="A50" s="72"/>
      <c r="B50" s="45" t="s">
        <v>200</v>
      </c>
      <c r="C50" s="43" t="s">
        <v>283</v>
      </c>
      <c r="D50" s="43" t="s">
        <v>338</v>
      </c>
      <c r="E50" s="44" t="n">
        <v>36617</v>
      </c>
      <c r="F50" s="44" t="s">
        <v>339</v>
      </c>
      <c r="G50" s="45" t="s">
        <v>340</v>
      </c>
      <c r="H50" s="45"/>
      <c r="I50" s="43" t="s">
        <v>341</v>
      </c>
      <c r="J50" s="57"/>
      <c r="K50" s="48"/>
      <c r="L50" s="48"/>
      <c r="M50" s="48"/>
      <c r="N50" s="48"/>
      <c r="O50" s="49"/>
      <c r="P50" s="48"/>
      <c r="Q50" s="50" t="n">
        <v>66917</v>
      </c>
      <c r="R50" s="43"/>
      <c r="S50" s="45"/>
      <c r="T50" s="73"/>
      <c r="U50" s="73"/>
      <c r="V50" s="74" t="n">
        <v>228085</v>
      </c>
      <c r="W50" s="45"/>
      <c r="X50" s="71"/>
      <c r="Y50" s="71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72"/>
      <c r="BK50" s="72"/>
      <c r="BL50" s="72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/>
      <c r="CB50" s="72"/>
      <c r="CC50" s="72"/>
      <c r="CD50" s="72"/>
      <c r="CE50" s="72"/>
      <c r="CF50" s="72"/>
      <c r="CG50" s="72"/>
      <c r="CH50" s="72"/>
      <c r="CI50" s="72"/>
      <c r="CJ50" s="72"/>
      <c r="CK50" s="72"/>
      <c r="CL50" s="72"/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  <c r="CZ50" s="72"/>
      <c r="DA50" s="72"/>
      <c r="DB50" s="72"/>
      <c r="DC50" s="72"/>
      <c r="DD50" s="72"/>
      <c r="DE50" s="72"/>
      <c r="DF50" s="72"/>
      <c r="DG50" s="72"/>
      <c r="DH50" s="72"/>
      <c r="DI50" s="72"/>
      <c r="DJ50" s="72"/>
      <c r="DK50" s="72"/>
      <c r="DL50" s="72"/>
      <c r="DM50" s="72"/>
      <c r="DN50" s="72"/>
      <c r="DO50" s="72"/>
      <c r="DP50" s="72"/>
      <c r="DQ50" s="72"/>
      <c r="DR50" s="72"/>
      <c r="DS50" s="72"/>
      <c r="DT50" s="72"/>
      <c r="DU50" s="72"/>
      <c r="DV50" s="72"/>
      <c r="DW50" s="72"/>
      <c r="DX50" s="72"/>
      <c r="DY50" s="72"/>
      <c r="DZ50" s="72"/>
      <c r="EA50" s="72"/>
      <c r="EB50" s="72"/>
      <c r="EC50" s="72"/>
      <c r="ED50" s="72"/>
      <c r="EE50" s="72"/>
      <c r="EF50" s="72"/>
      <c r="EG50" s="72"/>
      <c r="EH50" s="72"/>
      <c r="EI50" s="72"/>
      <c r="EJ50" s="72"/>
      <c r="EK50" s="72"/>
      <c r="EL50" s="72"/>
      <c r="EM50" s="72"/>
      <c r="EN50" s="72"/>
      <c r="EO50" s="72"/>
      <c r="EP50" s="72"/>
      <c r="EQ50" s="72"/>
      <c r="ER50" s="72"/>
      <c r="ES50" s="72"/>
      <c r="ET50" s="72"/>
      <c r="EU50" s="72"/>
      <c r="EV50" s="72"/>
      <c r="EW50" s="72"/>
      <c r="EX50" s="72"/>
      <c r="EY50" s="72"/>
      <c r="EZ50" s="72"/>
      <c r="FA50" s="72"/>
      <c r="FB50" s="72"/>
      <c r="FC50" s="72"/>
      <c r="FD50" s="72"/>
      <c r="FE50" s="72"/>
      <c r="FF50" s="72"/>
      <c r="FG50" s="72"/>
      <c r="FH50" s="72"/>
      <c r="FI50" s="72"/>
      <c r="FJ50" s="72"/>
      <c r="FK50" s="72"/>
      <c r="FL50" s="72"/>
      <c r="FM50" s="72"/>
      <c r="FN50" s="72"/>
      <c r="FO50" s="72"/>
      <c r="FP50" s="72"/>
      <c r="FQ50" s="72"/>
      <c r="FR50" s="72"/>
      <c r="FS50" s="72"/>
      <c r="FT50" s="72"/>
      <c r="FU50" s="72"/>
      <c r="FV50" s="72"/>
      <c r="FW50" s="72"/>
      <c r="FX50" s="72"/>
      <c r="FY50" s="72"/>
      <c r="FZ50" s="72"/>
      <c r="GA50" s="72"/>
      <c r="GB50" s="72"/>
      <c r="GC50" s="72"/>
      <c r="GD50" s="72"/>
      <c r="GE50" s="72"/>
      <c r="GF50" s="72"/>
      <c r="GG50" s="72"/>
      <c r="GH50" s="72"/>
      <c r="GI50" s="72"/>
      <c r="GJ50" s="72"/>
      <c r="GK50" s="72"/>
      <c r="GL50" s="72"/>
      <c r="GM50" s="72"/>
      <c r="GN50" s="72"/>
      <c r="GO50" s="72"/>
      <c r="GP50" s="72"/>
      <c r="GQ50" s="72"/>
      <c r="GR50" s="72"/>
      <c r="GS50" s="72"/>
      <c r="GT50" s="72"/>
      <c r="GU50" s="72"/>
      <c r="GV50" s="72"/>
      <c r="GW50" s="72"/>
      <c r="GX50" s="72"/>
      <c r="GY50" s="72"/>
      <c r="GZ50" s="72"/>
      <c r="HA50" s="72"/>
      <c r="HB50" s="72"/>
      <c r="HC50" s="72"/>
      <c r="HD50" s="72"/>
      <c r="HE50" s="72"/>
      <c r="HF50" s="72"/>
      <c r="HG50" s="72"/>
      <c r="HH50" s="72"/>
      <c r="HI50" s="72"/>
      <c r="HJ50" s="72"/>
      <c r="HK50" s="72"/>
      <c r="HL50" s="72"/>
      <c r="HM50" s="72"/>
      <c r="HN50" s="72"/>
      <c r="HO50" s="72"/>
      <c r="HP50" s="72"/>
      <c r="HQ50" s="72"/>
      <c r="HR50" s="72"/>
      <c r="HS50" s="72"/>
      <c r="HT50" s="72"/>
      <c r="HU50" s="72"/>
      <c r="HV50" s="72"/>
      <c r="HW50" s="72"/>
      <c r="HX50" s="72"/>
      <c r="HY50" s="72"/>
      <c r="HZ50" s="72"/>
      <c r="IA50" s="72"/>
      <c r="IB50" s="72"/>
      <c r="IC50" s="72"/>
      <c r="ID50" s="72"/>
      <c r="IE50" s="72"/>
      <c r="IF50" s="72"/>
      <c r="IG50" s="72"/>
      <c r="IH50" s="72"/>
      <c r="II50" s="72"/>
      <c r="IJ50" s="72"/>
      <c r="IK50" s="72"/>
      <c r="IL50" s="72"/>
      <c r="IM50" s="72"/>
      <c r="IN50" s="72"/>
      <c r="IO50" s="72"/>
      <c r="IP50" s="72"/>
      <c r="IQ50" s="72"/>
      <c r="IR50" s="72"/>
      <c r="IS50" s="72"/>
      <c r="IT50" s="72"/>
      <c r="IU50" s="72"/>
      <c r="IV50" s="72"/>
      <c r="IW50" s="72"/>
    </row>
    <row r="51" customFormat="false" ht="12.75" hidden="false" customHeight="false" outlineLevel="0" collapsed="false">
      <c r="A51" s="72"/>
      <c r="B51" s="45" t="s">
        <v>200</v>
      </c>
      <c r="C51" s="43" t="s">
        <v>283</v>
      </c>
      <c r="D51" s="43" t="s">
        <v>206</v>
      </c>
      <c r="E51" s="44" t="n">
        <v>36617</v>
      </c>
      <c r="F51" s="44" t="n">
        <v>36981</v>
      </c>
      <c r="G51" s="45" t="s">
        <v>332</v>
      </c>
      <c r="H51" s="45" t="s">
        <v>333</v>
      </c>
      <c r="I51" s="43" t="s">
        <v>116</v>
      </c>
      <c r="J51" s="57" t="n">
        <f aca="false">6.401/$J$1</f>
        <v>0.206483870967742</v>
      </c>
      <c r="K51" s="48"/>
      <c r="L51" s="48"/>
      <c r="M51" s="48"/>
      <c r="N51" s="48"/>
      <c r="O51" s="49"/>
      <c r="P51" s="48"/>
      <c r="Q51" s="50" t="n">
        <v>66939</v>
      </c>
      <c r="R51" s="43" t="n">
        <v>5</v>
      </c>
      <c r="S51" s="45" t="s">
        <v>342</v>
      </c>
      <c r="T51" s="73" t="n">
        <f aca="false">+R51*J51</f>
        <v>1.03241935483871</v>
      </c>
      <c r="U51" s="73"/>
      <c r="V51" s="74"/>
      <c r="W51" s="45"/>
      <c r="X51" s="71"/>
      <c r="Y51" s="71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/>
      <c r="CB51" s="72"/>
      <c r="CC51" s="72"/>
      <c r="CD51" s="72"/>
      <c r="CE51" s="72"/>
      <c r="CF51" s="72"/>
      <c r="CG51" s="72"/>
      <c r="CH51" s="72"/>
      <c r="CI51" s="72"/>
      <c r="CJ51" s="72"/>
      <c r="CK51" s="72"/>
      <c r="CL51" s="72"/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  <c r="CZ51" s="72"/>
      <c r="DA51" s="72"/>
      <c r="DB51" s="72"/>
      <c r="DC51" s="72"/>
      <c r="DD51" s="72"/>
      <c r="DE51" s="72"/>
      <c r="DF51" s="72"/>
      <c r="DG51" s="72"/>
      <c r="DH51" s="72"/>
      <c r="DI51" s="72"/>
      <c r="DJ51" s="72"/>
      <c r="DK51" s="72"/>
      <c r="DL51" s="72"/>
      <c r="DM51" s="72"/>
      <c r="DN51" s="72"/>
      <c r="DO51" s="72"/>
      <c r="DP51" s="72"/>
      <c r="DQ51" s="72"/>
      <c r="DR51" s="72"/>
      <c r="DS51" s="72"/>
      <c r="DT51" s="72"/>
      <c r="DU51" s="72"/>
      <c r="DV51" s="72"/>
      <c r="DW51" s="72"/>
      <c r="DX51" s="72"/>
      <c r="DY51" s="72"/>
      <c r="DZ51" s="72"/>
      <c r="EA51" s="72"/>
      <c r="EB51" s="72"/>
      <c r="EC51" s="72"/>
      <c r="ED51" s="72"/>
      <c r="EE51" s="72"/>
      <c r="EF51" s="72"/>
      <c r="EG51" s="72"/>
      <c r="EH51" s="72"/>
      <c r="EI51" s="72"/>
      <c r="EJ51" s="72"/>
      <c r="EK51" s="72"/>
      <c r="EL51" s="72"/>
      <c r="EM51" s="72"/>
      <c r="EN51" s="72"/>
      <c r="EO51" s="72"/>
      <c r="EP51" s="72"/>
      <c r="EQ51" s="72"/>
      <c r="ER51" s="72"/>
      <c r="ES51" s="72"/>
      <c r="ET51" s="72"/>
      <c r="EU51" s="72"/>
      <c r="EV51" s="72"/>
      <c r="EW51" s="72"/>
      <c r="EX51" s="72"/>
      <c r="EY51" s="72"/>
      <c r="EZ51" s="72"/>
      <c r="FA51" s="72"/>
      <c r="FB51" s="72"/>
      <c r="FC51" s="72"/>
      <c r="FD51" s="72"/>
      <c r="FE51" s="72"/>
      <c r="FF51" s="72"/>
      <c r="FG51" s="72"/>
      <c r="FH51" s="72"/>
      <c r="FI51" s="72"/>
      <c r="FJ51" s="72"/>
      <c r="FK51" s="72"/>
      <c r="FL51" s="72"/>
      <c r="FM51" s="72"/>
      <c r="FN51" s="72"/>
      <c r="FO51" s="72"/>
      <c r="FP51" s="72"/>
      <c r="FQ51" s="72"/>
      <c r="FR51" s="72"/>
      <c r="FS51" s="72"/>
      <c r="FT51" s="72"/>
      <c r="FU51" s="72"/>
      <c r="FV51" s="72"/>
      <c r="FW51" s="72"/>
      <c r="FX51" s="72"/>
      <c r="FY51" s="72"/>
      <c r="FZ51" s="72"/>
      <c r="GA51" s="72"/>
      <c r="GB51" s="72"/>
      <c r="GC51" s="72"/>
      <c r="GD51" s="72"/>
      <c r="GE51" s="72"/>
      <c r="GF51" s="72"/>
      <c r="GG51" s="72"/>
      <c r="GH51" s="72"/>
      <c r="GI51" s="72"/>
      <c r="GJ51" s="72"/>
      <c r="GK51" s="72"/>
      <c r="GL51" s="72"/>
      <c r="GM51" s="72"/>
      <c r="GN51" s="72"/>
      <c r="GO51" s="72"/>
      <c r="GP51" s="72"/>
      <c r="GQ51" s="72"/>
      <c r="GR51" s="72"/>
      <c r="GS51" s="72"/>
      <c r="GT51" s="72"/>
      <c r="GU51" s="72"/>
      <c r="GV51" s="72"/>
      <c r="GW51" s="72"/>
      <c r="GX51" s="72"/>
      <c r="GY51" s="72"/>
      <c r="GZ51" s="72"/>
      <c r="HA51" s="72"/>
      <c r="HB51" s="72"/>
      <c r="HC51" s="72"/>
      <c r="HD51" s="72"/>
      <c r="HE51" s="72"/>
      <c r="HF51" s="72"/>
      <c r="HG51" s="72"/>
      <c r="HH51" s="72"/>
      <c r="HI51" s="72"/>
      <c r="HJ51" s="72"/>
      <c r="HK51" s="72"/>
      <c r="HL51" s="72"/>
      <c r="HM51" s="72"/>
      <c r="HN51" s="72"/>
      <c r="HO51" s="72"/>
      <c r="HP51" s="72"/>
      <c r="HQ51" s="72"/>
      <c r="HR51" s="72"/>
      <c r="HS51" s="72"/>
      <c r="HT51" s="72"/>
      <c r="HU51" s="72"/>
      <c r="HV51" s="72"/>
      <c r="HW51" s="72"/>
      <c r="HX51" s="72"/>
      <c r="HY51" s="72"/>
      <c r="HZ51" s="72"/>
      <c r="IA51" s="72"/>
      <c r="IB51" s="72"/>
      <c r="IC51" s="72"/>
      <c r="ID51" s="72"/>
      <c r="IE51" s="72"/>
      <c r="IF51" s="72"/>
      <c r="IG51" s="72"/>
      <c r="IH51" s="72"/>
      <c r="II51" s="72"/>
      <c r="IJ51" s="72"/>
      <c r="IK51" s="72"/>
      <c r="IL51" s="72"/>
      <c r="IM51" s="72"/>
      <c r="IN51" s="72"/>
      <c r="IO51" s="72"/>
      <c r="IP51" s="72"/>
      <c r="IQ51" s="72"/>
      <c r="IR51" s="72"/>
      <c r="IS51" s="72"/>
      <c r="IT51" s="72"/>
      <c r="IU51" s="72"/>
      <c r="IV51" s="72"/>
      <c r="IW51" s="72"/>
    </row>
    <row r="52" customFormat="false" ht="12.75" hidden="false" customHeight="false" outlineLevel="0" collapsed="false">
      <c r="A52" s="72"/>
      <c r="B52" s="45" t="s">
        <v>200</v>
      </c>
      <c r="C52" s="43" t="s">
        <v>283</v>
      </c>
      <c r="D52" s="43" t="s">
        <v>206</v>
      </c>
      <c r="E52" s="44" t="n">
        <v>36617</v>
      </c>
      <c r="F52" s="44" t="n">
        <v>36981</v>
      </c>
      <c r="G52" s="45" t="s">
        <v>332</v>
      </c>
      <c r="H52" s="45" t="s">
        <v>335</v>
      </c>
      <c r="I52" s="43" t="s">
        <v>116</v>
      </c>
      <c r="J52" s="57" t="n">
        <f aca="false">6.401/$J$1</f>
        <v>0.206483870967742</v>
      </c>
      <c r="K52" s="48"/>
      <c r="L52" s="48"/>
      <c r="M52" s="48"/>
      <c r="N52" s="48"/>
      <c r="O52" s="49"/>
      <c r="P52" s="48"/>
      <c r="Q52" s="50" t="n">
        <v>66939</v>
      </c>
      <c r="R52" s="43" t="n">
        <v>27</v>
      </c>
      <c r="S52" s="45" t="s">
        <v>342</v>
      </c>
      <c r="T52" s="73" t="n">
        <f aca="false">+R52*J52</f>
        <v>5.57506451612903</v>
      </c>
      <c r="U52" s="73"/>
      <c r="V52" s="74"/>
      <c r="W52" s="45"/>
      <c r="X52" s="71"/>
      <c r="Y52" s="71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</row>
    <row r="53" customFormat="false" ht="12.75" hidden="false" customHeight="false" outlineLevel="0" collapsed="false">
      <c r="A53" s="72"/>
      <c r="B53" s="45" t="s">
        <v>200</v>
      </c>
      <c r="C53" s="43" t="s">
        <v>283</v>
      </c>
      <c r="D53" s="43" t="s">
        <v>206</v>
      </c>
      <c r="E53" s="44" t="n">
        <v>36617</v>
      </c>
      <c r="F53" s="44" t="n">
        <v>36981</v>
      </c>
      <c r="G53" s="45" t="s">
        <v>332</v>
      </c>
      <c r="H53" s="45" t="s">
        <v>343</v>
      </c>
      <c r="I53" s="43" t="s">
        <v>116</v>
      </c>
      <c r="J53" s="57" t="n">
        <f aca="false">6.401/$J$1</f>
        <v>0.206483870967742</v>
      </c>
      <c r="K53" s="48"/>
      <c r="L53" s="48"/>
      <c r="M53" s="48"/>
      <c r="N53" s="48"/>
      <c r="O53" s="49"/>
      <c r="P53" s="48"/>
      <c r="Q53" s="50" t="n">
        <v>66939</v>
      </c>
      <c r="R53" s="43" t="n">
        <v>3</v>
      </c>
      <c r="S53" s="45" t="s">
        <v>342</v>
      </c>
      <c r="T53" s="73" t="n">
        <f aca="false">+R53*J53</f>
        <v>0.619451612903226</v>
      </c>
      <c r="U53" s="73"/>
      <c r="V53" s="74"/>
      <c r="W53" s="45"/>
      <c r="X53" s="71"/>
      <c r="Y53" s="71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/>
      <c r="CB53" s="72"/>
      <c r="CC53" s="72"/>
      <c r="CD53" s="72"/>
      <c r="CE53" s="72"/>
      <c r="CF53" s="72"/>
      <c r="CG53" s="72"/>
      <c r="CH53" s="72"/>
      <c r="CI53" s="72"/>
      <c r="CJ53" s="72"/>
      <c r="CK53" s="72"/>
      <c r="CL53" s="72"/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  <c r="CZ53" s="72"/>
      <c r="DA53" s="72"/>
      <c r="DB53" s="72"/>
      <c r="DC53" s="72"/>
      <c r="DD53" s="72"/>
      <c r="DE53" s="72"/>
      <c r="DF53" s="72"/>
      <c r="DG53" s="72"/>
      <c r="DH53" s="72"/>
      <c r="DI53" s="72"/>
      <c r="DJ53" s="72"/>
      <c r="DK53" s="72"/>
      <c r="DL53" s="72"/>
      <c r="DM53" s="72"/>
      <c r="DN53" s="72"/>
      <c r="DO53" s="72"/>
      <c r="DP53" s="72"/>
      <c r="DQ53" s="72"/>
      <c r="DR53" s="72"/>
      <c r="DS53" s="72"/>
      <c r="DT53" s="72"/>
      <c r="DU53" s="72"/>
      <c r="DV53" s="72"/>
      <c r="DW53" s="72"/>
      <c r="DX53" s="72"/>
      <c r="DY53" s="72"/>
      <c r="DZ53" s="72"/>
      <c r="EA53" s="72"/>
      <c r="EB53" s="72"/>
      <c r="EC53" s="72"/>
      <c r="ED53" s="72"/>
      <c r="EE53" s="72"/>
      <c r="EF53" s="72"/>
      <c r="EG53" s="72"/>
      <c r="EH53" s="72"/>
      <c r="EI53" s="72"/>
      <c r="EJ53" s="72"/>
      <c r="EK53" s="72"/>
      <c r="EL53" s="72"/>
      <c r="EM53" s="72"/>
      <c r="EN53" s="72"/>
      <c r="EO53" s="72"/>
      <c r="EP53" s="72"/>
      <c r="EQ53" s="72"/>
      <c r="ER53" s="72"/>
      <c r="ES53" s="72"/>
      <c r="ET53" s="72"/>
      <c r="EU53" s="72"/>
      <c r="EV53" s="72"/>
      <c r="EW53" s="72"/>
      <c r="EX53" s="72"/>
      <c r="EY53" s="72"/>
      <c r="EZ53" s="72"/>
      <c r="FA53" s="72"/>
      <c r="FB53" s="72"/>
      <c r="FC53" s="72"/>
      <c r="FD53" s="72"/>
      <c r="FE53" s="72"/>
      <c r="FF53" s="72"/>
      <c r="FG53" s="72"/>
      <c r="FH53" s="72"/>
      <c r="FI53" s="72"/>
      <c r="FJ53" s="72"/>
      <c r="FK53" s="72"/>
      <c r="FL53" s="72"/>
      <c r="FM53" s="72"/>
      <c r="FN53" s="72"/>
      <c r="FO53" s="72"/>
      <c r="FP53" s="72"/>
      <c r="FQ53" s="72"/>
      <c r="FR53" s="72"/>
      <c r="FS53" s="72"/>
      <c r="FT53" s="72"/>
      <c r="FU53" s="72"/>
      <c r="FV53" s="72"/>
      <c r="FW53" s="72"/>
      <c r="FX53" s="72"/>
      <c r="FY53" s="72"/>
      <c r="FZ53" s="72"/>
      <c r="GA53" s="72"/>
      <c r="GB53" s="72"/>
      <c r="GC53" s="72"/>
      <c r="GD53" s="72"/>
      <c r="GE53" s="72"/>
      <c r="GF53" s="72"/>
      <c r="GG53" s="72"/>
      <c r="GH53" s="72"/>
      <c r="GI53" s="72"/>
      <c r="GJ53" s="72"/>
      <c r="GK53" s="72"/>
      <c r="GL53" s="72"/>
      <c r="GM53" s="72"/>
      <c r="GN53" s="72"/>
      <c r="GO53" s="72"/>
      <c r="GP53" s="72"/>
      <c r="GQ53" s="72"/>
      <c r="GR53" s="72"/>
      <c r="GS53" s="72"/>
      <c r="GT53" s="72"/>
      <c r="GU53" s="72"/>
      <c r="GV53" s="72"/>
      <c r="GW53" s="72"/>
      <c r="GX53" s="72"/>
      <c r="GY53" s="72"/>
      <c r="GZ53" s="72"/>
      <c r="HA53" s="72"/>
      <c r="HB53" s="72"/>
      <c r="HC53" s="72"/>
      <c r="HD53" s="72"/>
      <c r="HE53" s="72"/>
      <c r="HF53" s="72"/>
      <c r="HG53" s="72"/>
      <c r="HH53" s="72"/>
      <c r="HI53" s="72"/>
      <c r="HJ53" s="72"/>
      <c r="HK53" s="72"/>
      <c r="HL53" s="72"/>
      <c r="HM53" s="72"/>
      <c r="HN53" s="72"/>
      <c r="HO53" s="72"/>
      <c r="HP53" s="72"/>
      <c r="HQ53" s="72"/>
      <c r="HR53" s="72"/>
      <c r="HS53" s="72"/>
      <c r="HT53" s="72"/>
      <c r="HU53" s="72"/>
      <c r="HV53" s="72"/>
      <c r="HW53" s="72"/>
      <c r="HX53" s="72"/>
      <c r="HY53" s="72"/>
      <c r="HZ53" s="72"/>
      <c r="IA53" s="72"/>
      <c r="IB53" s="72"/>
      <c r="IC53" s="72"/>
      <c r="ID53" s="72"/>
      <c r="IE53" s="72"/>
      <c r="IF53" s="72"/>
      <c r="IG53" s="72"/>
      <c r="IH53" s="72"/>
      <c r="II53" s="72"/>
      <c r="IJ53" s="72"/>
      <c r="IK53" s="72"/>
      <c r="IL53" s="72"/>
      <c r="IM53" s="72"/>
      <c r="IN53" s="72"/>
      <c r="IO53" s="72"/>
      <c r="IP53" s="72"/>
      <c r="IQ53" s="72"/>
      <c r="IR53" s="72"/>
      <c r="IS53" s="72"/>
      <c r="IT53" s="72"/>
      <c r="IU53" s="72"/>
      <c r="IV53" s="72"/>
      <c r="IW53" s="72"/>
    </row>
    <row r="54" customFormat="false" ht="12.75" hidden="false" customHeight="false" outlineLevel="0" collapsed="false">
      <c r="A54" s="72"/>
      <c r="B54" s="45" t="s">
        <v>200</v>
      </c>
      <c r="C54" s="43" t="s">
        <v>283</v>
      </c>
      <c r="D54" s="43" t="s">
        <v>206</v>
      </c>
      <c r="E54" s="44" t="n">
        <v>36617</v>
      </c>
      <c r="F54" s="44" t="n">
        <v>36981</v>
      </c>
      <c r="G54" s="45" t="s">
        <v>332</v>
      </c>
      <c r="H54" s="45" t="s">
        <v>344</v>
      </c>
      <c r="I54" s="43" t="s">
        <v>116</v>
      </c>
      <c r="J54" s="57" t="n">
        <f aca="false">6.401/$J$1</f>
        <v>0.206483870967742</v>
      </c>
      <c r="K54" s="48"/>
      <c r="L54" s="48"/>
      <c r="M54" s="48"/>
      <c r="N54" s="48"/>
      <c r="O54" s="49"/>
      <c r="P54" s="48"/>
      <c r="Q54" s="50" t="n">
        <v>66939</v>
      </c>
      <c r="R54" s="43" t="n">
        <v>17</v>
      </c>
      <c r="S54" s="45" t="s">
        <v>342</v>
      </c>
      <c r="T54" s="73" t="n">
        <f aca="false">+R54*J54</f>
        <v>3.51022580645161</v>
      </c>
      <c r="U54" s="73"/>
      <c r="V54" s="74"/>
      <c r="W54" s="45"/>
      <c r="X54" s="71"/>
      <c r="Y54" s="71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/>
      <c r="CB54" s="72"/>
      <c r="CC54" s="72"/>
      <c r="CD54" s="72"/>
      <c r="CE54" s="72"/>
      <c r="CF54" s="72"/>
      <c r="CG54" s="72"/>
      <c r="CH54" s="72"/>
      <c r="CI54" s="72"/>
      <c r="CJ54" s="72"/>
      <c r="CK54" s="72"/>
      <c r="CL54" s="72"/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  <c r="CZ54" s="72"/>
      <c r="DA54" s="72"/>
      <c r="DB54" s="72"/>
      <c r="DC54" s="72"/>
      <c r="DD54" s="72"/>
      <c r="DE54" s="72"/>
      <c r="DF54" s="72"/>
      <c r="DG54" s="72"/>
      <c r="DH54" s="72"/>
      <c r="DI54" s="72"/>
      <c r="DJ54" s="72"/>
      <c r="DK54" s="72"/>
      <c r="DL54" s="72"/>
      <c r="DM54" s="72"/>
      <c r="DN54" s="72"/>
      <c r="DO54" s="72"/>
      <c r="DP54" s="72"/>
      <c r="DQ54" s="72"/>
      <c r="DR54" s="72"/>
      <c r="DS54" s="72"/>
      <c r="DT54" s="72"/>
      <c r="DU54" s="72"/>
      <c r="DV54" s="72"/>
      <c r="DW54" s="72"/>
      <c r="DX54" s="72"/>
      <c r="DY54" s="72"/>
      <c r="DZ54" s="72"/>
      <c r="EA54" s="72"/>
      <c r="EB54" s="72"/>
      <c r="EC54" s="72"/>
      <c r="ED54" s="72"/>
      <c r="EE54" s="72"/>
      <c r="EF54" s="72"/>
      <c r="EG54" s="72"/>
      <c r="EH54" s="72"/>
      <c r="EI54" s="72"/>
      <c r="EJ54" s="72"/>
      <c r="EK54" s="72"/>
      <c r="EL54" s="72"/>
      <c r="EM54" s="72"/>
      <c r="EN54" s="72"/>
      <c r="EO54" s="72"/>
      <c r="EP54" s="72"/>
      <c r="EQ54" s="72"/>
      <c r="ER54" s="72"/>
      <c r="ES54" s="72"/>
      <c r="ET54" s="72"/>
      <c r="EU54" s="72"/>
      <c r="EV54" s="72"/>
      <c r="EW54" s="72"/>
      <c r="EX54" s="72"/>
      <c r="EY54" s="72"/>
      <c r="EZ54" s="72"/>
      <c r="FA54" s="72"/>
      <c r="FB54" s="72"/>
      <c r="FC54" s="72"/>
      <c r="FD54" s="72"/>
      <c r="FE54" s="72"/>
      <c r="FF54" s="72"/>
      <c r="FG54" s="72"/>
      <c r="FH54" s="72"/>
      <c r="FI54" s="72"/>
      <c r="FJ54" s="72"/>
      <c r="FK54" s="72"/>
      <c r="FL54" s="72"/>
      <c r="FM54" s="72"/>
      <c r="FN54" s="72"/>
      <c r="FO54" s="72"/>
      <c r="FP54" s="72"/>
      <c r="FQ54" s="72"/>
      <c r="FR54" s="72"/>
      <c r="FS54" s="72"/>
      <c r="FT54" s="72"/>
      <c r="FU54" s="72"/>
      <c r="FV54" s="72"/>
      <c r="FW54" s="72"/>
      <c r="FX54" s="72"/>
      <c r="FY54" s="72"/>
      <c r="FZ54" s="72"/>
      <c r="GA54" s="72"/>
      <c r="GB54" s="72"/>
      <c r="GC54" s="72"/>
      <c r="GD54" s="72"/>
      <c r="GE54" s="72"/>
      <c r="GF54" s="72"/>
      <c r="GG54" s="72"/>
      <c r="GH54" s="72"/>
      <c r="GI54" s="72"/>
      <c r="GJ54" s="72"/>
      <c r="GK54" s="72"/>
      <c r="GL54" s="72"/>
      <c r="GM54" s="72"/>
      <c r="GN54" s="72"/>
      <c r="GO54" s="72"/>
      <c r="GP54" s="72"/>
      <c r="GQ54" s="72"/>
      <c r="GR54" s="72"/>
      <c r="GS54" s="72"/>
      <c r="GT54" s="72"/>
      <c r="GU54" s="72"/>
      <c r="GV54" s="72"/>
      <c r="GW54" s="72"/>
      <c r="GX54" s="72"/>
      <c r="GY54" s="72"/>
      <c r="GZ54" s="72"/>
      <c r="HA54" s="72"/>
      <c r="HB54" s="72"/>
      <c r="HC54" s="72"/>
      <c r="HD54" s="72"/>
      <c r="HE54" s="72"/>
      <c r="HF54" s="72"/>
      <c r="HG54" s="72"/>
      <c r="HH54" s="72"/>
      <c r="HI54" s="72"/>
      <c r="HJ54" s="72"/>
      <c r="HK54" s="72"/>
      <c r="HL54" s="72"/>
      <c r="HM54" s="72"/>
      <c r="HN54" s="72"/>
      <c r="HO54" s="72"/>
      <c r="HP54" s="72"/>
      <c r="HQ54" s="72"/>
      <c r="HR54" s="72"/>
      <c r="HS54" s="72"/>
      <c r="HT54" s="72"/>
      <c r="HU54" s="72"/>
      <c r="HV54" s="72"/>
      <c r="HW54" s="72"/>
      <c r="HX54" s="72"/>
      <c r="HY54" s="72"/>
      <c r="HZ54" s="72"/>
      <c r="IA54" s="72"/>
      <c r="IB54" s="72"/>
      <c r="IC54" s="72"/>
      <c r="ID54" s="72"/>
      <c r="IE54" s="72"/>
      <c r="IF54" s="72"/>
      <c r="IG54" s="72"/>
      <c r="IH54" s="72"/>
      <c r="II54" s="72"/>
      <c r="IJ54" s="72"/>
      <c r="IK54" s="72"/>
      <c r="IL54" s="72"/>
      <c r="IM54" s="72"/>
      <c r="IN54" s="72"/>
      <c r="IO54" s="72"/>
      <c r="IP54" s="72"/>
      <c r="IQ54" s="72"/>
      <c r="IR54" s="72"/>
      <c r="IS54" s="72"/>
      <c r="IT54" s="72"/>
      <c r="IU54" s="72"/>
      <c r="IV54" s="72"/>
      <c r="IW54" s="72"/>
    </row>
    <row r="55" customFormat="false" ht="12.75" hidden="false" customHeight="false" outlineLevel="0" collapsed="false">
      <c r="A55" s="72"/>
      <c r="B55" s="45" t="s">
        <v>200</v>
      </c>
      <c r="C55" s="43" t="s">
        <v>283</v>
      </c>
      <c r="D55" s="43" t="s">
        <v>345</v>
      </c>
      <c r="E55" s="44" t="n">
        <v>36617</v>
      </c>
      <c r="F55" s="44" t="n">
        <v>36981</v>
      </c>
      <c r="G55" s="45" t="s">
        <v>332</v>
      </c>
      <c r="H55" s="45" t="s">
        <v>346</v>
      </c>
      <c r="I55" s="43" t="s">
        <v>116</v>
      </c>
      <c r="J55" s="57" t="n">
        <f aca="false">6.401/$J$1</f>
        <v>0.206483870967742</v>
      </c>
      <c r="K55" s="48"/>
      <c r="L55" s="48"/>
      <c r="M55" s="48"/>
      <c r="N55" s="48"/>
      <c r="O55" s="49"/>
      <c r="P55" s="48"/>
      <c r="Q55" s="50" t="n">
        <v>66940</v>
      </c>
      <c r="R55" s="43" t="n">
        <v>1</v>
      </c>
      <c r="S55" s="45" t="s">
        <v>347</v>
      </c>
      <c r="T55" s="73" t="n">
        <f aca="false">+R55*J55</f>
        <v>0.206483870967742</v>
      </c>
      <c r="U55" s="73"/>
      <c r="V55" s="74" t="n">
        <v>228134</v>
      </c>
      <c r="W55" s="45"/>
      <c r="X55" s="71"/>
      <c r="Y55" s="71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  <c r="BH55" s="72"/>
      <c r="BI55" s="72"/>
      <c r="BJ55" s="72"/>
      <c r="BK55" s="72"/>
      <c r="BL55" s="72"/>
      <c r="BM55" s="72"/>
      <c r="BN55" s="72"/>
      <c r="BO55" s="72"/>
      <c r="BP55" s="72"/>
      <c r="BQ55" s="72"/>
      <c r="BR55" s="72"/>
      <c r="BS55" s="72"/>
      <c r="BT55" s="72"/>
      <c r="BU55" s="72"/>
      <c r="BV55" s="72"/>
      <c r="BW55" s="72"/>
      <c r="BX55" s="72"/>
      <c r="BY55" s="72"/>
      <c r="BZ55" s="72"/>
      <c r="CA55" s="72"/>
      <c r="CB55" s="72"/>
      <c r="CC55" s="72"/>
      <c r="CD55" s="72"/>
      <c r="CE55" s="72"/>
      <c r="CF55" s="72"/>
      <c r="CG55" s="72"/>
      <c r="CH55" s="72"/>
      <c r="CI55" s="72"/>
      <c r="CJ55" s="72"/>
      <c r="CK55" s="72"/>
      <c r="CL55" s="72"/>
      <c r="CM55" s="72"/>
      <c r="CN55" s="72"/>
      <c r="CO55" s="72"/>
      <c r="CP55" s="72"/>
      <c r="CQ55" s="72"/>
      <c r="CR55" s="72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2"/>
      <c r="DE55" s="72"/>
      <c r="DF55" s="72"/>
      <c r="DG55" s="72"/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2"/>
      <c r="EF55" s="72"/>
      <c r="EG55" s="72"/>
      <c r="EH55" s="72"/>
      <c r="EI55" s="72"/>
      <c r="EJ55" s="72"/>
      <c r="EK55" s="72"/>
      <c r="EL55" s="72"/>
      <c r="EM55" s="72"/>
      <c r="EN55" s="72"/>
      <c r="EO55" s="72"/>
      <c r="EP55" s="72"/>
      <c r="EQ55" s="72"/>
      <c r="ER55" s="72"/>
      <c r="ES55" s="72"/>
      <c r="ET55" s="72"/>
      <c r="EU55" s="72"/>
      <c r="EV55" s="72"/>
      <c r="EW55" s="72"/>
      <c r="EX55" s="72"/>
      <c r="EY55" s="72"/>
      <c r="EZ55" s="72"/>
      <c r="FA55" s="72"/>
      <c r="FB55" s="72"/>
      <c r="FC55" s="72"/>
      <c r="FD55" s="72"/>
      <c r="FE55" s="72"/>
      <c r="FF55" s="72"/>
      <c r="FG55" s="72"/>
      <c r="FH55" s="72"/>
      <c r="FI55" s="72"/>
      <c r="FJ55" s="72"/>
      <c r="FK55" s="72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2"/>
      <c r="GJ55" s="72"/>
      <c r="GK55" s="72"/>
      <c r="GL55" s="72"/>
      <c r="GM55" s="72"/>
      <c r="GN55" s="72"/>
      <c r="GO55" s="72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2"/>
      <c r="HB55" s="72"/>
      <c r="HC55" s="72"/>
      <c r="HD55" s="72"/>
      <c r="HE55" s="72"/>
      <c r="HF55" s="72"/>
      <c r="HG55" s="72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2"/>
      <c r="IF55" s="72"/>
      <c r="IG55" s="72"/>
      <c r="IH55" s="72"/>
      <c r="II55" s="72"/>
      <c r="IJ55" s="72"/>
      <c r="IK55" s="72"/>
      <c r="IL55" s="72"/>
      <c r="IM55" s="72"/>
      <c r="IN55" s="72"/>
      <c r="IO55" s="72"/>
      <c r="IP55" s="72"/>
      <c r="IQ55" s="72"/>
      <c r="IR55" s="72"/>
      <c r="IS55" s="72"/>
      <c r="IT55" s="72"/>
      <c r="IU55" s="72"/>
      <c r="IV55" s="72"/>
      <c r="IW55" s="72"/>
    </row>
    <row r="56" customFormat="false" ht="12.75" hidden="false" customHeight="false" outlineLevel="0" collapsed="false">
      <c r="A56" s="72"/>
      <c r="B56" s="45" t="s">
        <v>200</v>
      </c>
      <c r="C56" s="43" t="s">
        <v>283</v>
      </c>
      <c r="D56" s="43" t="s">
        <v>345</v>
      </c>
      <c r="E56" s="44" t="n">
        <v>36617</v>
      </c>
      <c r="F56" s="44" t="n">
        <v>36981</v>
      </c>
      <c r="G56" s="45" t="s">
        <v>332</v>
      </c>
      <c r="H56" s="45" t="s">
        <v>348</v>
      </c>
      <c r="I56" s="43" t="s">
        <v>116</v>
      </c>
      <c r="J56" s="57" t="n">
        <f aca="false">6.401/$J$1</f>
        <v>0.206483870967742</v>
      </c>
      <c r="K56" s="48"/>
      <c r="L56" s="48"/>
      <c r="M56" s="48"/>
      <c r="N56" s="48"/>
      <c r="O56" s="49"/>
      <c r="P56" s="48"/>
      <c r="Q56" s="50" t="n">
        <v>66940</v>
      </c>
      <c r="R56" s="43" t="n">
        <v>1</v>
      </c>
      <c r="S56" s="45" t="s">
        <v>347</v>
      </c>
      <c r="T56" s="73" t="n">
        <f aca="false">+R56*J56</f>
        <v>0.206483870967742</v>
      </c>
      <c r="U56" s="73"/>
      <c r="V56" s="74" t="n">
        <v>228134</v>
      </c>
      <c r="W56" s="45"/>
      <c r="X56" s="71"/>
      <c r="Y56" s="71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  <c r="IT56" s="72"/>
      <c r="IU56" s="72"/>
      <c r="IV56" s="72"/>
      <c r="IW56" s="72"/>
    </row>
    <row r="57" customFormat="false" ht="12.75" hidden="false" customHeight="false" outlineLevel="0" collapsed="false">
      <c r="A57" s="72"/>
      <c r="B57" s="45" t="s">
        <v>200</v>
      </c>
      <c r="C57" s="43" t="s">
        <v>283</v>
      </c>
      <c r="D57" s="43" t="s">
        <v>345</v>
      </c>
      <c r="E57" s="44" t="n">
        <v>36647</v>
      </c>
      <c r="F57" s="44" t="n">
        <v>37011</v>
      </c>
      <c r="G57" s="45" t="s">
        <v>349</v>
      </c>
      <c r="H57" s="45" t="s">
        <v>350</v>
      </c>
      <c r="I57" s="43" t="s">
        <v>116</v>
      </c>
      <c r="J57" s="57" t="n">
        <f aca="false">6.401/J1</f>
        <v>0.206483870967742</v>
      </c>
      <c r="K57" s="48"/>
      <c r="L57" s="48"/>
      <c r="M57" s="48"/>
      <c r="N57" s="48"/>
      <c r="O57" s="49"/>
      <c r="P57" s="48"/>
      <c r="Q57" s="50" t="n">
        <v>68188</v>
      </c>
      <c r="R57" s="43" t="n">
        <v>1</v>
      </c>
      <c r="S57" s="45" t="s">
        <v>351</v>
      </c>
      <c r="T57" s="73" t="n">
        <f aca="false">+J57*R57*13</f>
        <v>2.68429032258065</v>
      </c>
      <c r="U57" s="73"/>
      <c r="V57" s="74" t="n">
        <v>253195</v>
      </c>
      <c r="W57" s="45"/>
      <c r="X57" s="71"/>
      <c r="Y57" s="71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72"/>
      <c r="BK57" s="72"/>
      <c r="BL57" s="72"/>
      <c r="BM57" s="72"/>
      <c r="BN57" s="72"/>
      <c r="BO57" s="72"/>
      <c r="BP57" s="72"/>
      <c r="BQ57" s="72"/>
      <c r="BR57" s="72"/>
      <c r="BS57" s="72"/>
      <c r="BT57" s="72"/>
      <c r="BU57" s="72"/>
      <c r="BV57" s="72"/>
      <c r="BW57" s="72"/>
      <c r="BX57" s="72"/>
      <c r="BY57" s="72"/>
      <c r="BZ57" s="72"/>
      <c r="CA57" s="72"/>
      <c r="CB57" s="72"/>
      <c r="CC57" s="72"/>
      <c r="CD57" s="72"/>
      <c r="CE57" s="72"/>
      <c r="CF57" s="72"/>
      <c r="CG57" s="72"/>
      <c r="CH57" s="72"/>
      <c r="CI57" s="72"/>
      <c r="CJ57" s="72"/>
      <c r="CK57" s="72"/>
      <c r="CL57" s="72"/>
      <c r="CM57" s="72"/>
      <c r="CN57" s="72"/>
      <c r="CO57" s="72"/>
      <c r="CP57" s="72"/>
      <c r="CQ57" s="72"/>
      <c r="CR57" s="72"/>
      <c r="CS57" s="72"/>
      <c r="CT57" s="72"/>
      <c r="CU57" s="72"/>
      <c r="CV57" s="72"/>
      <c r="CW57" s="72"/>
      <c r="CX57" s="72"/>
      <c r="CY57" s="72"/>
      <c r="CZ57" s="72"/>
      <c r="DA57" s="72"/>
      <c r="DB57" s="72"/>
      <c r="DC57" s="72"/>
      <c r="DD57" s="72"/>
      <c r="DE57" s="72"/>
      <c r="DF57" s="72"/>
      <c r="DG57" s="72"/>
      <c r="DH57" s="72"/>
      <c r="DI57" s="72"/>
      <c r="DJ57" s="72"/>
      <c r="DK57" s="72"/>
      <c r="DL57" s="72"/>
      <c r="DM57" s="72"/>
      <c r="DN57" s="72"/>
      <c r="DO57" s="72"/>
      <c r="DP57" s="72"/>
      <c r="DQ57" s="72"/>
      <c r="DR57" s="72"/>
      <c r="DS57" s="72"/>
      <c r="DT57" s="72"/>
      <c r="DU57" s="72"/>
      <c r="DV57" s="72"/>
      <c r="DW57" s="72"/>
      <c r="DX57" s="72"/>
      <c r="DY57" s="72"/>
      <c r="DZ57" s="72"/>
      <c r="EA57" s="72"/>
      <c r="EB57" s="72"/>
      <c r="EC57" s="72"/>
      <c r="ED57" s="72"/>
      <c r="EE57" s="72"/>
      <c r="EF57" s="72"/>
      <c r="EG57" s="72"/>
      <c r="EH57" s="72"/>
      <c r="EI57" s="72"/>
      <c r="EJ57" s="72"/>
      <c r="EK57" s="72"/>
      <c r="EL57" s="72"/>
      <c r="EM57" s="72"/>
      <c r="EN57" s="72"/>
      <c r="EO57" s="72"/>
      <c r="EP57" s="72"/>
      <c r="EQ57" s="72"/>
      <c r="ER57" s="72"/>
      <c r="ES57" s="72"/>
      <c r="ET57" s="72"/>
      <c r="EU57" s="72"/>
      <c r="EV57" s="72"/>
      <c r="EW57" s="72"/>
      <c r="EX57" s="72"/>
      <c r="EY57" s="72"/>
      <c r="EZ57" s="72"/>
      <c r="FA57" s="72"/>
      <c r="FB57" s="72"/>
      <c r="FC57" s="72"/>
      <c r="FD57" s="72"/>
      <c r="FE57" s="72"/>
      <c r="FF57" s="72"/>
      <c r="FG57" s="72"/>
      <c r="FH57" s="72"/>
      <c r="FI57" s="72"/>
      <c r="FJ57" s="72"/>
      <c r="FK57" s="72"/>
      <c r="FL57" s="72"/>
      <c r="FM57" s="72"/>
      <c r="FN57" s="72"/>
      <c r="FO57" s="72"/>
      <c r="FP57" s="72"/>
      <c r="FQ57" s="72"/>
      <c r="FR57" s="72"/>
      <c r="FS57" s="72"/>
      <c r="FT57" s="72"/>
      <c r="FU57" s="72"/>
      <c r="FV57" s="72"/>
      <c r="FW57" s="72"/>
      <c r="FX57" s="72"/>
      <c r="FY57" s="72"/>
      <c r="FZ57" s="72"/>
      <c r="GA57" s="72"/>
      <c r="GB57" s="72"/>
      <c r="GC57" s="72"/>
      <c r="GD57" s="72"/>
      <c r="GE57" s="72"/>
      <c r="GF57" s="72"/>
      <c r="GG57" s="72"/>
      <c r="GH57" s="72"/>
      <c r="GI57" s="72"/>
      <c r="GJ57" s="72"/>
      <c r="GK57" s="72"/>
      <c r="GL57" s="72"/>
      <c r="GM57" s="72"/>
      <c r="GN57" s="72"/>
      <c r="GO57" s="72"/>
      <c r="GP57" s="72"/>
      <c r="GQ57" s="72"/>
      <c r="GR57" s="72"/>
      <c r="GS57" s="72"/>
      <c r="GT57" s="72"/>
      <c r="GU57" s="72"/>
      <c r="GV57" s="72"/>
      <c r="GW57" s="72"/>
      <c r="GX57" s="72"/>
      <c r="GY57" s="72"/>
      <c r="GZ57" s="72"/>
      <c r="HA57" s="72"/>
      <c r="HB57" s="72"/>
      <c r="HC57" s="72"/>
      <c r="HD57" s="72"/>
      <c r="HE57" s="72"/>
      <c r="HF57" s="72"/>
      <c r="HG57" s="72"/>
      <c r="HH57" s="72"/>
      <c r="HI57" s="72"/>
      <c r="HJ57" s="72"/>
      <c r="HK57" s="72"/>
      <c r="HL57" s="72"/>
      <c r="HM57" s="72"/>
      <c r="HN57" s="72"/>
      <c r="HO57" s="72"/>
      <c r="HP57" s="72"/>
      <c r="HQ57" s="72"/>
      <c r="HR57" s="72"/>
      <c r="HS57" s="72"/>
      <c r="HT57" s="72"/>
      <c r="HU57" s="72"/>
      <c r="HV57" s="72"/>
      <c r="HW57" s="72"/>
      <c r="HX57" s="72"/>
      <c r="HY57" s="72"/>
      <c r="HZ57" s="72"/>
      <c r="IA57" s="72"/>
      <c r="IB57" s="72"/>
      <c r="IC57" s="72"/>
      <c r="ID57" s="72"/>
      <c r="IE57" s="72"/>
      <c r="IF57" s="72"/>
      <c r="IG57" s="72"/>
      <c r="IH57" s="72"/>
      <c r="II57" s="72"/>
      <c r="IJ57" s="72"/>
      <c r="IK57" s="72"/>
      <c r="IL57" s="72"/>
      <c r="IM57" s="72"/>
      <c r="IN57" s="72"/>
      <c r="IO57" s="72"/>
      <c r="IP57" s="72"/>
      <c r="IQ57" s="72"/>
      <c r="IR57" s="72"/>
      <c r="IS57" s="72"/>
      <c r="IT57" s="72"/>
      <c r="IU57" s="72"/>
      <c r="IV57" s="72"/>
      <c r="IW57" s="72"/>
    </row>
    <row r="58" customFormat="false" ht="12.75" hidden="false" customHeight="false" outlineLevel="0" collapsed="false">
      <c r="A58" s="138"/>
      <c r="B58" s="54" t="s">
        <v>200</v>
      </c>
      <c r="C58" s="123" t="s">
        <v>283</v>
      </c>
      <c r="D58" s="123" t="s">
        <v>37</v>
      </c>
      <c r="E58" s="139" t="n">
        <v>36312</v>
      </c>
      <c r="F58" s="139" t="n">
        <v>37011</v>
      </c>
      <c r="G58" s="54" t="s">
        <v>309</v>
      </c>
      <c r="H58" s="54" t="s">
        <v>352</v>
      </c>
      <c r="I58" s="123" t="s">
        <v>116</v>
      </c>
      <c r="J58" s="140"/>
      <c r="K58" s="76"/>
      <c r="L58" s="76"/>
      <c r="M58" s="76"/>
      <c r="N58" s="76"/>
      <c r="O58" s="141"/>
      <c r="P58" s="76"/>
      <c r="Q58" s="120" t="n">
        <v>65403</v>
      </c>
      <c r="R58" s="123"/>
      <c r="S58" s="54" t="s">
        <v>353</v>
      </c>
      <c r="T58" s="52"/>
      <c r="U58" s="52"/>
      <c r="V58" s="53"/>
      <c r="W58" s="54" t="s">
        <v>354</v>
      </c>
      <c r="X58" s="55"/>
      <c r="Y58" s="55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8"/>
      <c r="BR58" s="138"/>
      <c r="BS58" s="138"/>
      <c r="BT58" s="138"/>
      <c r="BU58" s="138"/>
      <c r="BV58" s="138"/>
      <c r="BW58" s="138"/>
      <c r="BX58" s="138"/>
      <c r="BY58" s="138"/>
      <c r="BZ58" s="138"/>
      <c r="CA58" s="138"/>
      <c r="CB58" s="138"/>
      <c r="CC58" s="138"/>
      <c r="CD58" s="138"/>
      <c r="CE58" s="138"/>
      <c r="CF58" s="138"/>
      <c r="CG58" s="138"/>
      <c r="CH58" s="138"/>
      <c r="CI58" s="138"/>
      <c r="CJ58" s="138"/>
      <c r="CK58" s="138"/>
      <c r="CL58" s="138"/>
      <c r="CM58" s="138"/>
      <c r="CN58" s="138"/>
      <c r="CO58" s="138"/>
      <c r="CP58" s="138"/>
      <c r="CQ58" s="138"/>
      <c r="CR58" s="138"/>
      <c r="CS58" s="138"/>
      <c r="CT58" s="138"/>
      <c r="CU58" s="138"/>
      <c r="CV58" s="138"/>
      <c r="CW58" s="138"/>
      <c r="CX58" s="138"/>
      <c r="CY58" s="138"/>
      <c r="CZ58" s="138"/>
      <c r="DA58" s="138"/>
      <c r="DB58" s="138"/>
      <c r="DC58" s="138"/>
      <c r="DD58" s="138"/>
      <c r="DE58" s="138"/>
      <c r="DF58" s="138"/>
      <c r="DG58" s="138"/>
      <c r="DH58" s="138"/>
      <c r="DI58" s="138"/>
      <c r="DJ58" s="138"/>
      <c r="DK58" s="138"/>
      <c r="DL58" s="138"/>
      <c r="DM58" s="138"/>
      <c r="DN58" s="138"/>
      <c r="DO58" s="138"/>
      <c r="DP58" s="138"/>
      <c r="DQ58" s="138"/>
      <c r="DR58" s="138"/>
      <c r="DS58" s="138"/>
      <c r="DT58" s="138"/>
      <c r="DU58" s="138"/>
      <c r="DV58" s="138"/>
      <c r="DW58" s="138"/>
      <c r="DX58" s="138"/>
      <c r="DY58" s="138"/>
      <c r="DZ58" s="138"/>
      <c r="EA58" s="138"/>
      <c r="EB58" s="138"/>
      <c r="EC58" s="138"/>
      <c r="ED58" s="138"/>
      <c r="EE58" s="138"/>
      <c r="EF58" s="138"/>
      <c r="EG58" s="138"/>
      <c r="EH58" s="138"/>
      <c r="EI58" s="138"/>
      <c r="EJ58" s="138"/>
      <c r="EK58" s="138"/>
      <c r="EL58" s="138"/>
      <c r="EM58" s="138"/>
      <c r="EN58" s="138"/>
      <c r="EO58" s="138"/>
      <c r="EP58" s="138"/>
      <c r="EQ58" s="138"/>
      <c r="ER58" s="138"/>
      <c r="ES58" s="138"/>
      <c r="ET58" s="138"/>
      <c r="EU58" s="138"/>
      <c r="EV58" s="138"/>
      <c r="EW58" s="138"/>
      <c r="EX58" s="138"/>
      <c r="EY58" s="138"/>
      <c r="EZ58" s="138"/>
      <c r="FA58" s="138"/>
      <c r="FB58" s="138"/>
      <c r="FC58" s="138"/>
      <c r="FD58" s="138"/>
      <c r="FE58" s="138"/>
      <c r="FF58" s="138"/>
      <c r="FG58" s="138"/>
      <c r="FH58" s="138"/>
      <c r="FI58" s="138"/>
      <c r="FJ58" s="138"/>
      <c r="FK58" s="138"/>
      <c r="FL58" s="138"/>
      <c r="FM58" s="138"/>
      <c r="FN58" s="138"/>
      <c r="FO58" s="138"/>
      <c r="FP58" s="138"/>
      <c r="FQ58" s="138"/>
      <c r="FR58" s="138"/>
      <c r="FS58" s="138"/>
      <c r="FT58" s="138"/>
      <c r="FU58" s="138"/>
      <c r="FV58" s="138"/>
      <c r="FW58" s="138"/>
      <c r="FX58" s="138"/>
      <c r="FY58" s="138"/>
      <c r="FZ58" s="138"/>
      <c r="GA58" s="138"/>
      <c r="GB58" s="138"/>
      <c r="GC58" s="138"/>
      <c r="GD58" s="138"/>
      <c r="GE58" s="138"/>
      <c r="GF58" s="138"/>
      <c r="GG58" s="138"/>
      <c r="GH58" s="138"/>
      <c r="GI58" s="138"/>
      <c r="GJ58" s="138"/>
      <c r="GK58" s="138"/>
      <c r="GL58" s="138"/>
      <c r="GM58" s="138"/>
      <c r="GN58" s="138"/>
      <c r="GO58" s="138"/>
      <c r="GP58" s="138"/>
      <c r="GQ58" s="138"/>
      <c r="GR58" s="138"/>
      <c r="GS58" s="138"/>
      <c r="GT58" s="138"/>
      <c r="GU58" s="138"/>
      <c r="GV58" s="138"/>
      <c r="GW58" s="138"/>
      <c r="GX58" s="138"/>
      <c r="GY58" s="138"/>
      <c r="GZ58" s="138"/>
      <c r="HA58" s="138"/>
      <c r="HB58" s="138"/>
      <c r="HC58" s="138"/>
      <c r="HD58" s="138"/>
      <c r="HE58" s="138"/>
      <c r="HF58" s="138"/>
      <c r="HG58" s="138"/>
      <c r="HH58" s="138"/>
      <c r="HI58" s="138"/>
      <c r="HJ58" s="138"/>
      <c r="HK58" s="138"/>
      <c r="HL58" s="138"/>
      <c r="HM58" s="138"/>
      <c r="HN58" s="138"/>
      <c r="HO58" s="138"/>
      <c r="HP58" s="138"/>
      <c r="HQ58" s="138"/>
      <c r="HR58" s="138"/>
      <c r="HS58" s="138"/>
      <c r="HT58" s="138"/>
      <c r="HU58" s="138"/>
      <c r="HV58" s="138"/>
      <c r="HW58" s="138"/>
      <c r="HX58" s="138"/>
      <c r="HY58" s="138"/>
      <c r="HZ58" s="138"/>
      <c r="IA58" s="138"/>
      <c r="IB58" s="138"/>
      <c r="IC58" s="138"/>
      <c r="ID58" s="138"/>
      <c r="IE58" s="138"/>
      <c r="IF58" s="138"/>
      <c r="IG58" s="138"/>
      <c r="IH58" s="138"/>
      <c r="II58" s="138"/>
      <c r="IJ58" s="138"/>
      <c r="IK58" s="138"/>
      <c r="IL58" s="138"/>
      <c r="IM58" s="138"/>
      <c r="IN58" s="138"/>
      <c r="IO58" s="138"/>
      <c r="IP58" s="138"/>
      <c r="IQ58" s="138"/>
      <c r="IR58" s="138"/>
      <c r="IS58" s="138"/>
      <c r="IT58" s="138"/>
      <c r="IU58" s="138"/>
      <c r="IV58" s="138"/>
      <c r="IW58" s="138"/>
    </row>
    <row r="59" customFormat="false" ht="12.75" hidden="false" customHeight="false" outlineLevel="0" collapsed="false">
      <c r="A59" s="138"/>
      <c r="B59" s="54" t="s">
        <v>200</v>
      </c>
      <c r="C59" s="123" t="s">
        <v>283</v>
      </c>
      <c r="D59" s="123" t="s">
        <v>202</v>
      </c>
      <c r="E59" s="139" t="n">
        <v>36739</v>
      </c>
      <c r="F59" s="139" t="n">
        <v>37103</v>
      </c>
      <c r="G59" s="54" t="s">
        <v>332</v>
      </c>
      <c r="H59" s="54" t="s">
        <v>355</v>
      </c>
      <c r="I59" s="123" t="s">
        <v>116</v>
      </c>
      <c r="J59" s="57" t="n">
        <f aca="false">6.401/$J$1</f>
        <v>0.206483870967742</v>
      </c>
      <c r="K59" s="76"/>
      <c r="L59" s="76"/>
      <c r="M59" s="76"/>
      <c r="N59" s="76"/>
      <c r="O59" s="141"/>
      <c r="P59" s="76"/>
      <c r="Q59" s="120" t="n">
        <v>68928</v>
      </c>
      <c r="R59" s="123" t="n">
        <v>47</v>
      </c>
      <c r="S59" s="54" t="s">
        <v>319</v>
      </c>
      <c r="T59" s="52" t="n">
        <f aca="false">+J59*R59</f>
        <v>9.70474193548387</v>
      </c>
      <c r="U59" s="52"/>
      <c r="V59" s="53" t="n">
        <v>351966</v>
      </c>
      <c r="W59" s="54"/>
      <c r="X59" s="55"/>
      <c r="Y59" s="55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  <c r="BR59" s="138"/>
      <c r="BS59" s="138"/>
      <c r="BT59" s="138"/>
      <c r="BU59" s="138"/>
      <c r="BV59" s="138"/>
      <c r="BW59" s="138"/>
      <c r="BX59" s="138"/>
      <c r="BY59" s="138"/>
      <c r="BZ59" s="138"/>
      <c r="CA59" s="138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8"/>
      <c r="CM59" s="138"/>
      <c r="CN59" s="138"/>
      <c r="CO59" s="138"/>
      <c r="CP59" s="138"/>
      <c r="CQ59" s="138"/>
      <c r="CR59" s="138"/>
      <c r="CS59" s="138"/>
      <c r="CT59" s="138"/>
      <c r="CU59" s="138"/>
      <c r="CV59" s="138"/>
      <c r="CW59" s="138"/>
      <c r="CX59" s="138"/>
      <c r="CY59" s="138"/>
      <c r="CZ59" s="138"/>
      <c r="DA59" s="138"/>
      <c r="DB59" s="138"/>
      <c r="DC59" s="138"/>
      <c r="DD59" s="138"/>
      <c r="DE59" s="138"/>
      <c r="DF59" s="138"/>
      <c r="DG59" s="138"/>
      <c r="DH59" s="138"/>
      <c r="DI59" s="138"/>
      <c r="DJ59" s="138"/>
      <c r="DK59" s="138"/>
      <c r="DL59" s="138"/>
      <c r="DM59" s="138"/>
      <c r="DN59" s="138"/>
      <c r="DO59" s="138"/>
      <c r="DP59" s="138"/>
      <c r="DQ59" s="138"/>
      <c r="DR59" s="138"/>
      <c r="DS59" s="138"/>
      <c r="DT59" s="138"/>
      <c r="DU59" s="138"/>
      <c r="DV59" s="138"/>
      <c r="DW59" s="138"/>
      <c r="DX59" s="138"/>
      <c r="DY59" s="138"/>
      <c r="DZ59" s="138"/>
      <c r="EA59" s="138"/>
      <c r="EB59" s="138"/>
      <c r="EC59" s="138"/>
      <c r="ED59" s="138"/>
      <c r="EE59" s="138"/>
      <c r="EF59" s="138"/>
      <c r="EG59" s="138"/>
      <c r="EH59" s="138"/>
      <c r="EI59" s="138"/>
      <c r="EJ59" s="138"/>
      <c r="EK59" s="138"/>
      <c r="EL59" s="138"/>
      <c r="EM59" s="138"/>
      <c r="EN59" s="138"/>
      <c r="EO59" s="138"/>
      <c r="EP59" s="138"/>
      <c r="EQ59" s="138"/>
      <c r="ER59" s="138"/>
      <c r="ES59" s="138"/>
      <c r="ET59" s="138"/>
      <c r="EU59" s="138"/>
      <c r="EV59" s="138"/>
      <c r="EW59" s="138"/>
      <c r="EX59" s="138"/>
      <c r="EY59" s="138"/>
      <c r="EZ59" s="138"/>
      <c r="FA59" s="138"/>
      <c r="FB59" s="138"/>
      <c r="FC59" s="138"/>
      <c r="FD59" s="138"/>
      <c r="FE59" s="138"/>
      <c r="FF59" s="138"/>
      <c r="FG59" s="138"/>
      <c r="FH59" s="138"/>
      <c r="FI59" s="138"/>
      <c r="FJ59" s="138"/>
      <c r="FK59" s="138"/>
      <c r="FL59" s="138"/>
      <c r="FM59" s="138"/>
      <c r="FN59" s="138"/>
      <c r="FO59" s="138"/>
      <c r="FP59" s="138"/>
      <c r="FQ59" s="138"/>
      <c r="FR59" s="138"/>
      <c r="FS59" s="138"/>
      <c r="FT59" s="138"/>
      <c r="FU59" s="138"/>
      <c r="FV59" s="138"/>
      <c r="FW59" s="138"/>
      <c r="FX59" s="138"/>
      <c r="FY59" s="138"/>
      <c r="FZ59" s="138"/>
      <c r="GA59" s="138"/>
      <c r="GB59" s="138"/>
      <c r="GC59" s="138"/>
      <c r="GD59" s="138"/>
      <c r="GE59" s="138"/>
      <c r="GF59" s="138"/>
      <c r="GG59" s="138"/>
      <c r="GH59" s="138"/>
      <c r="GI59" s="138"/>
      <c r="GJ59" s="138"/>
      <c r="GK59" s="138"/>
      <c r="GL59" s="138"/>
      <c r="GM59" s="138"/>
      <c r="GN59" s="138"/>
      <c r="GO59" s="138"/>
      <c r="GP59" s="138"/>
      <c r="GQ59" s="138"/>
      <c r="GR59" s="138"/>
      <c r="GS59" s="138"/>
      <c r="GT59" s="138"/>
      <c r="GU59" s="138"/>
      <c r="GV59" s="138"/>
      <c r="GW59" s="138"/>
      <c r="GX59" s="138"/>
      <c r="GY59" s="138"/>
      <c r="GZ59" s="138"/>
      <c r="HA59" s="138"/>
      <c r="HB59" s="138"/>
      <c r="HC59" s="138"/>
      <c r="HD59" s="138"/>
      <c r="HE59" s="138"/>
      <c r="HF59" s="138"/>
      <c r="HG59" s="138"/>
      <c r="HH59" s="138"/>
      <c r="HI59" s="138"/>
      <c r="HJ59" s="138"/>
      <c r="HK59" s="138"/>
      <c r="HL59" s="138"/>
      <c r="HM59" s="138"/>
      <c r="HN59" s="138"/>
      <c r="HO59" s="138"/>
      <c r="HP59" s="138"/>
      <c r="HQ59" s="138"/>
      <c r="HR59" s="138"/>
      <c r="HS59" s="138"/>
      <c r="HT59" s="138"/>
      <c r="HU59" s="138"/>
      <c r="HV59" s="138"/>
      <c r="HW59" s="138"/>
      <c r="HX59" s="138"/>
      <c r="HY59" s="138"/>
      <c r="HZ59" s="138"/>
      <c r="IA59" s="138"/>
      <c r="IB59" s="138"/>
      <c r="IC59" s="138"/>
      <c r="ID59" s="138"/>
      <c r="IE59" s="138"/>
      <c r="IF59" s="138"/>
      <c r="IG59" s="138"/>
      <c r="IH59" s="138"/>
      <c r="II59" s="138"/>
      <c r="IJ59" s="138"/>
      <c r="IK59" s="138"/>
      <c r="IL59" s="138"/>
      <c r="IM59" s="138"/>
      <c r="IN59" s="138"/>
      <c r="IO59" s="138"/>
      <c r="IP59" s="138"/>
      <c r="IQ59" s="138"/>
      <c r="IR59" s="138"/>
      <c r="IS59" s="138"/>
      <c r="IT59" s="138"/>
      <c r="IU59" s="138"/>
      <c r="IV59" s="138"/>
      <c r="IW59" s="138"/>
    </row>
    <row r="60" customFormat="false" ht="12.75" hidden="false" customHeight="false" outlineLevel="0" collapsed="false">
      <c r="A60" s="138"/>
      <c r="B60" s="54" t="s">
        <v>200</v>
      </c>
      <c r="C60" s="123" t="s">
        <v>283</v>
      </c>
      <c r="D60" s="123" t="s">
        <v>206</v>
      </c>
      <c r="E60" s="139" t="n">
        <v>36770</v>
      </c>
      <c r="F60" s="139" t="n">
        <v>37134</v>
      </c>
      <c r="G60" s="54" t="s">
        <v>332</v>
      </c>
      <c r="H60" s="54" t="s">
        <v>356</v>
      </c>
      <c r="I60" s="123" t="s">
        <v>116</v>
      </c>
      <c r="J60" s="57" t="n">
        <f aca="false">6.401/$J$1</f>
        <v>0.206483870967742</v>
      </c>
      <c r="K60" s="76"/>
      <c r="L60" s="76"/>
      <c r="M60" s="76"/>
      <c r="N60" s="76"/>
      <c r="O60" s="141"/>
      <c r="P60" s="76"/>
      <c r="Q60" s="120" t="n">
        <v>69144</v>
      </c>
      <c r="R60" s="123" t="n">
        <v>62</v>
      </c>
      <c r="S60" s="54" t="s">
        <v>357</v>
      </c>
      <c r="T60" s="52" t="n">
        <f aca="false">+J60*R60</f>
        <v>12.802</v>
      </c>
      <c r="U60" s="52"/>
      <c r="V60" s="53"/>
      <c r="W60" s="54"/>
      <c r="X60" s="55"/>
      <c r="Y60" s="55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138"/>
      <c r="BN60" s="138"/>
      <c r="BO60" s="138"/>
      <c r="BP60" s="138"/>
      <c r="BQ60" s="138"/>
      <c r="BR60" s="138"/>
      <c r="BS60" s="138"/>
      <c r="BT60" s="138"/>
      <c r="BU60" s="138"/>
      <c r="BV60" s="138"/>
      <c r="BW60" s="138"/>
      <c r="BX60" s="138"/>
      <c r="BY60" s="138"/>
      <c r="BZ60" s="138"/>
      <c r="CA60" s="138"/>
      <c r="CB60" s="138"/>
      <c r="CC60" s="138"/>
      <c r="CD60" s="138"/>
      <c r="CE60" s="138"/>
      <c r="CF60" s="138"/>
      <c r="CG60" s="138"/>
      <c r="CH60" s="138"/>
      <c r="CI60" s="138"/>
      <c r="CJ60" s="138"/>
      <c r="CK60" s="138"/>
      <c r="CL60" s="138"/>
      <c r="CM60" s="138"/>
      <c r="CN60" s="138"/>
      <c r="CO60" s="138"/>
      <c r="CP60" s="138"/>
      <c r="CQ60" s="138"/>
      <c r="CR60" s="138"/>
      <c r="CS60" s="138"/>
      <c r="CT60" s="138"/>
      <c r="CU60" s="138"/>
      <c r="CV60" s="138"/>
      <c r="CW60" s="138"/>
      <c r="CX60" s="138"/>
      <c r="CY60" s="138"/>
      <c r="CZ60" s="138"/>
      <c r="DA60" s="138"/>
      <c r="DB60" s="138"/>
      <c r="DC60" s="138"/>
      <c r="DD60" s="138"/>
      <c r="DE60" s="138"/>
      <c r="DF60" s="138"/>
      <c r="DG60" s="138"/>
      <c r="DH60" s="138"/>
      <c r="DI60" s="138"/>
      <c r="DJ60" s="138"/>
      <c r="DK60" s="138"/>
      <c r="DL60" s="138"/>
      <c r="DM60" s="138"/>
      <c r="DN60" s="138"/>
      <c r="DO60" s="138"/>
      <c r="DP60" s="138"/>
      <c r="DQ60" s="138"/>
      <c r="DR60" s="138"/>
      <c r="DS60" s="138"/>
      <c r="DT60" s="138"/>
      <c r="DU60" s="138"/>
      <c r="DV60" s="138"/>
      <c r="DW60" s="138"/>
      <c r="DX60" s="138"/>
      <c r="DY60" s="138"/>
      <c r="DZ60" s="138"/>
      <c r="EA60" s="138"/>
      <c r="EB60" s="138"/>
      <c r="EC60" s="138"/>
      <c r="ED60" s="138"/>
      <c r="EE60" s="138"/>
      <c r="EF60" s="138"/>
      <c r="EG60" s="138"/>
      <c r="EH60" s="138"/>
      <c r="EI60" s="138"/>
      <c r="EJ60" s="138"/>
      <c r="EK60" s="138"/>
      <c r="EL60" s="138"/>
      <c r="EM60" s="138"/>
      <c r="EN60" s="138"/>
      <c r="EO60" s="138"/>
      <c r="EP60" s="138"/>
      <c r="EQ60" s="138"/>
      <c r="ER60" s="138"/>
      <c r="ES60" s="138"/>
      <c r="ET60" s="138"/>
      <c r="EU60" s="138"/>
      <c r="EV60" s="138"/>
      <c r="EW60" s="138"/>
      <c r="EX60" s="138"/>
      <c r="EY60" s="138"/>
      <c r="EZ60" s="138"/>
      <c r="FA60" s="138"/>
      <c r="FB60" s="138"/>
      <c r="FC60" s="138"/>
      <c r="FD60" s="138"/>
      <c r="FE60" s="138"/>
      <c r="FF60" s="138"/>
      <c r="FG60" s="138"/>
      <c r="FH60" s="138"/>
      <c r="FI60" s="138"/>
      <c r="FJ60" s="138"/>
      <c r="FK60" s="138"/>
      <c r="FL60" s="138"/>
      <c r="FM60" s="138"/>
      <c r="FN60" s="138"/>
      <c r="FO60" s="138"/>
      <c r="FP60" s="138"/>
      <c r="FQ60" s="138"/>
      <c r="FR60" s="138"/>
      <c r="FS60" s="138"/>
      <c r="FT60" s="138"/>
      <c r="FU60" s="138"/>
      <c r="FV60" s="138"/>
      <c r="FW60" s="138"/>
      <c r="FX60" s="138"/>
      <c r="FY60" s="138"/>
      <c r="FZ60" s="138"/>
      <c r="GA60" s="138"/>
      <c r="GB60" s="138"/>
      <c r="GC60" s="138"/>
      <c r="GD60" s="138"/>
      <c r="GE60" s="138"/>
      <c r="GF60" s="138"/>
      <c r="GG60" s="138"/>
      <c r="GH60" s="138"/>
      <c r="GI60" s="138"/>
      <c r="GJ60" s="138"/>
      <c r="GK60" s="138"/>
      <c r="GL60" s="138"/>
      <c r="GM60" s="138"/>
      <c r="GN60" s="138"/>
      <c r="GO60" s="138"/>
      <c r="GP60" s="138"/>
      <c r="GQ60" s="138"/>
      <c r="GR60" s="138"/>
      <c r="GS60" s="138"/>
      <c r="GT60" s="138"/>
      <c r="GU60" s="138"/>
      <c r="GV60" s="138"/>
      <c r="GW60" s="138"/>
      <c r="GX60" s="138"/>
      <c r="GY60" s="138"/>
      <c r="GZ60" s="138"/>
      <c r="HA60" s="138"/>
      <c r="HB60" s="138"/>
      <c r="HC60" s="138"/>
      <c r="HD60" s="138"/>
      <c r="HE60" s="138"/>
      <c r="HF60" s="138"/>
      <c r="HG60" s="138"/>
      <c r="HH60" s="138"/>
      <c r="HI60" s="138"/>
      <c r="HJ60" s="138"/>
      <c r="HK60" s="138"/>
      <c r="HL60" s="138"/>
      <c r="HM60" s="138"/>
      <c r="HN60" s="138"/>
      <c r="HO60" s="138"/>
      <c r="HP60" s="138"/>
      <c r="HQ60" s="138"/>
      <c r="HR60" s="138"/>
      <c r="HS60" s="138"/>
      <c r="HT60" s="138"/>
      <c r="HU60" s="138"/>
      <c r="HV60" s="138"/>
      <c r="HW60" s="138"/>
      <c r="HX60" s="138"/>
      <c r="HY60" s="138"/>
      <c r="HZ60" s="138"/>
      <c r="IA60" s="138"/>
      <c r="IB60" s="138"/>
      <c r="IC60" s="138"/>
      <c r="ID60" s="138"/>
      <c r="IE60" s="138"/>
      <c r="IF60" s="138"/>
      <c r="IG60" s="138"/>
      <c r="IH60" s="138"/>
      <c r="II60" s="138"/>
      <c r="IJ60" s="138"/>
      <c r="IK60" s="138"/>
      <c r="IL60" s="138"/>
      <c r="IM60" s="138"/>
      <c r="IN60" s="138"/>
      <c r="IO60" s="138"/>
      <c r="IP60" s="138"/>
      <c r="IQ60" s="138"/>
      <c r="IR60" s="138"/>
      <c r="IS60" s="138"/>
      <c r="IT60" s="138"/>
      <c r="IU60" s="138"/>
      <c r="IV60" s="138"/>
      <c r="IW60" s="138"/>
    </row>
    <row r="61" customFormat="false" ht="12.75" hidden="false" customHeight="false" outlineLevel="0" collapsed="false">
      <c r="A61" s="142"/>
      <c r="B61" s="143" t="s">
        <v>200</v>
      </c>
      <c r="C61" s="117" t="s">
        <v>283</v>
      </c>
      <c r="D61" s="117" t="s">
        <v>206</v>
      </c>
      <c r="E61" s="144" t="n">
        <v>36800</v>
      </c>
      <c r="F61" s="144" t="n">
        <v>37164</v>
      </c>
      <c r="G61" s="143" t="s">
        <v>332</v>
      </c>
      <c r="H61" s="143" t="s">
        <v>358</v>
      </c>
      <c r="I61" s="117" t="s">
        <v>116</v>
      </c>
      <c r="J61" s="145" t="n">
        <f aca="false">6.401/J1</f>
        <v>0.206483870967742</v>
      </c>
      <c r="K61" s="146"/>
      <c r="L61" s="146"/>
      <c r="M61" s="146"/>
      <c r="N61" s="146"/>
      <c r="O61" s="147"/>
      <c r="P61" s="146"/>
      <c r="Q61" s="148" t="n">
        <v>69424</v>
      </c>
      <c r="R61" s="117" t="n">
        <v>13</v>
      </c>
      <c r="S61" s="143" t="s">
        <v>359</v>
      </c>
      <c r="T61" s="149" t="n">
        <f aca="false">+J61*R61</f>
        <v>2.68429032258065</v>
      </c>
      <c r="U61" s="149"/>
      <c r="V61" s="150" t="n">
        <v>418221</v>
      </c>
      <c r="W61" s="143"/>
      <c r="X61" s="151"/>
      <c r="Y61" s="151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2"/>
      <c r="DE61" s="142"/>
      <c r="DF61" s="142"/>
      <c r="DG61" s="142"/>
      <c r="DH61" s="142"/>
      <c r="DI61" s="142"/>
      <c r="DJ61" s="142"/>
      <c r="DK61" s="142"/>
      <c r="DL61" s="142"/>
      <c r="DM61" s="142"/>
      <c r="DN61" s="142"/>
      <c r="DO61" s="142"/>
      <c r="DP61" s="142"/>
      <c r="DQ61" s="142"/>
      <c r="DR61" s="142"/>
      <c r="DS61" s="142"/>
      <c r="DT61" s="142"/>
      <c r="DU61" s="142"/>
      <c r="DV61" s="142"/>
      <c r="DW61" s="142"/>
      <c r="DX61" s="142"/>
      <c r="DY61" s="142"/>
      <c r="DZ61" s="142"/>
      <c r="EA61" s="142"/>
      <c r="EB61" s="142"/>
      <c r="EC61" s="142"/>
      <c r="ED61" s="142"/>
      <c r="EE61" s="142"/>
      <c r="EF61" s="142"/>
      <c r="EG61" s="142"/>
      <c r="EH61" s="142"/>
      <c r="EI61" s="142"/>
      <c r="EJ61" s="142"/>
      <c r="EK61" s="142"/>
      <c r="EL61" s="142"/>
      <c r="EM61" s="142"/>
      <c r="EN61" s="142"/>
      <c r="EO61" s="142"/>
      <c r="EP61" s="142"/>
      <c r="EQ61" s="142"/>
      <c r="ER61" s="142"/>
      <c r="ES61" s="142"/>
      <c r="ET61" s="142"/>
      <c r="EU61" s="142"/>
      <c r="EV61" s="142"/>
      <c r="EW61" s="142"/>
      <c r="EX61" s="142"/>
      <c r="EY61" s="142"/>
      <c r="EZ61" s="142"/>
      <c r="FA61" s="142"/>
      <c r="FB61" s="142"/>
      <c r="FC61" s="142"/>
      <c r="FD61" s="142"/>
      <c r="FE61" s="142"/>
      <c r="FF61" s="142"/>
      <c r="FG61" s="142"/>
      <c r="FH61" s="142"/>
      <c r="FI61" s="142"/>
      <c r="FJ61" s="142"/>
      <c r="FK61" s="142"/>
      <c r="FL61" s="142"/>
      <c r="FM61" s="142"/>
      <c r="FN61" s="142"/>
      <c r="FO61" s="142"/>
      <c r="FP61" s="142"/>
      <c r="FQ61" s="142"/>
      <c r="FR61" s="142"/>
      <c r="FS61" s="142"/>
      <c r="FT61" s="142"/>
      <c r="FU61" s="142"/>
      <c r="FV61" s="142"/>
      <c r="FW61" s="142"/>
      <c r="FX61" s="142"/>
      <c r="FY61" s="142"/>
      <c r="FZ61" s="142"/>
      <c r="GA61" s="142"/>
      <c r="GB61" s="142"/>
      <c r="GC61" s="142"/>
      <c r="GD61" s="142"/>
      <c r="GE61" s="142"/>
      <c r="GF61" s="142"/>
      <c r="GG61" s="142"/>
      <c r="GH61" s="142"/>
      <c r="GI61" s="142"/>
      <c r="GJ61" s="142"/>
      <c r="GK61" s="142"/>
      <c r="GL61" s="142"/>
      <c r="GM61" s="142"/>
      <c r="GN61" s="142"/>
      <c r="GO61" s="142"/>
      <c r="GP61" s="142"/>
      <c r="GQ61" s="142"/>
      <c r="GR61" s="142"/>
      <c r="GS61" s="142"/>
      <c r="GT61" s="142"/>
      <c r="GU61" s="142"/>
      <c r="GV61" s="142"/>
      <c r="GW61" s="142"/>
      <c r="GX61" s="142"/>
      <c r="GY61" s="142"/>
      <c r="GZ61" s="142"/>
      <c r="HA61" s="142"/>
      <c r="HB61" s="142"/>
      <c r="HC61" s="142"/>
      <c r="HD61" s="142"/>
      <c r="HE61" s="142"/>
      <c r="HF61" s="142"/>
      <c r="HG61" s="142"/>
      <c r="HH61" s="142"/>
      <c r="HI61" s="142"/>
      <c r="HJ61" s="142"/>
      <c r="HK61" s="142"/>
      <c r="HL61" s="142"/>
      <c r="HM61" s="142"/>
      <c r="HN61" s="142"/>
      <c r="HO61" s="142"/>
      <c r="HP61" s="142"/>
      <c r="HQ61" s="142"/>
      <c r="HR61" s="142"/>
      <c r="HS61" s="142"/>
      <c r="HT61" s="142"/>
      <c r="HU61" s="142"/>
      <c r="HV61" s="142"/>
      <c r="HW61" s="142"/>
      <c r="HX61" s="142"/>
      <c r="HY61" s="142"/>
      <c r="HZ61" s="142"/>
      <c r="IA61" s="142"/>
      <c r="IB61" s="142"/>
      <c r="IC61" s="142"/>
      <c r="ID61" s="142"/>
      <c r="IE61" s="142"/>
      <c r="IF61" s="142"/>
      <c r="IG61" s="142"/>
      <c r="IH61" s="142"/>
      <c r="II61" s="142"/>
      <c r="IJ61" s="142"/>
      <c r="IK61" s="142"/>
      <c r="IL61" s="142"/>
      <c r="IM61" s="142"/>
      <c r="IN61" s="142"/>
      <c r="IO61" s="142"/>
      <c r="IP61" s="142"/>
      <c r="IQ61" s="142"/>
      <c r="IR61" s="142"/>
      <c r="IS61" s="142"/>
      <c r="IT61" s="142"/>
      <c r="IU61" s="142"/>
      <c r="IV61" s="142"/>
      <c r="IW61" s="142"/>
    </row>
    <row r="62" customFormat="false" ht="12.75" hidden="false" customHeight="false" outlineLevel="0" collapsed="false">
      <c r="A62" s="138"/>
      <c r="B62" s="54" t="s">
        <v>200</v>
      </c>
      <c r="C62" s="123" t="s">
        <v>283</v>
      </c>
      <c r="D62" s="123" t="s">
        <v>202</v>
      </c>
      <c r="E62" s="139" t="n">
        <v>36647</v>
      </c>
      <c r="F62" s="139" t="n">
        <v>37011</v>
      </c>
      <c r="G62" s="54" t="s">
        <v>332</v>
      </c>
      <c r="H62" s="54" t="s">
        <v>360</v>
      </c>
      <c r="I62" s="123" t="s">
        <v>116</v>
      </c>
      <c r="J62" s="57" t="n">
        <f aca="false">6.401/$J$1</f>
        <v>0.206483870967742</v>
      </c>
      <c r="K62" s="76"/>
      <c r="L62" s="76"/>
      <c r="M62" s="76"/>
      <c r="N62" s="76"/>
      <c r="O62" s="141"/>
      <c r="P62" s="76"/>
      <c r="Q62" s="120" t="n">
        <v>68257</v>
      </c>
      <c r="R62" s="123" t="n">
        <v>21</v>
      </c>
      <c r="S62" s="54" t="s">
        <v>361</v>
      </c>
      <c r="T62" s="52" t="n">
        <f aca="false">+R62*J62</f>
        <v>4.33616129032258</v>
      </c>
      <c r="U62" s="52"/>
      <c r="V62" s="53" t="n">
        <v>254718</v>
      </c>
      <c r="W62" s="54"/>
      <c r="X62" s="55"/>
      <c r="Y62" s="55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138"/>
      <c r="BP62" s="138"/>
      <c r="BQ62" s="138"/>
      <c r="BR62" s="138"/>
      <c r="BS62" s="138"/>
      <c r="BT62" s="138"/>
      <c r="BU62" s="138"/>
      <c r="BV62" s="138"/>
      <c r="BW62" s="138"/>
      <c r="BX62" s="138"/>
      <c r="BY62" s="138"/>
      <c r="BZ62" s="138"/>
      <c r="CA62" s="138"/>
      <c r="CB62" s="138"/>
      <c r="CC62" s="138"/>
      <c r="CD62" s="138"/>
      <c r="CE62" s="138"/>
      <c r="CF62" s="138"/>
      <c r="CG62" s="138"/>
      <c r="CH62" s="138"/>
      <c r="CI62" s="138"/>
      <c r="CJ62" s="138"/>
      <c r="CK62" s="138"/>
      <c r="CL62" s="138"/>
      <c r="CM62" s="138"/>
      <c r="CN62" s="138"/>
      <c r="CO62" s="138"/>
      <c r="CP62" s="138"/>
      <c r="CQ62" s="138"/>
      <c r="CR62" s="138"/>
      <c r="CS62" s="138"/>
      <c r="CT62" s="138"/>
      <c r="CU62" s="138"/>
      <c r="CV62" s="138"/>
      <c r="CW62" s="138"/>
      <c r="CX62" s="138"/>
      <c r="CY62" s="138"/>
      <c r="CZ62" s="138"/>
      <c r="DA62" s="138"/>
      <c r="DB62" s="138"/>
      <c r="DC62" s="138"/>
      <c r="DD62" s="138"/>
      <c r="DE62" s="138"/>
      <c r="DF62" s="138"/>
      <c r="DG62" s="138"/>
      <c r="DH62" s="138"/>
      <c r="DI62" s="138"/>
      <c r="DJ62" s="138"/>
      <c r="DK62" s="138"/>
      <c r="DL62" s="138"/>
      <c r="DM62" s="138"/>
      <c r="DN62" s="138"/>
      <c r="DO62" s="138"/>
      <c r="DP62" s="138"/>
      <c r="DQ62" s="138"/>
      <c r="DR62" s="138"/>
      <c r="DS62" s="138"/>
      <c r="DT62" s="138"/>
      <c r="DU62" s="138"/>
      <c r="DV62" s="138"/>
      <c r="DW62" s="138"/>
      <c r="DX62" s="138"/>
      <c r="DY62" s="138"/>
      <c r="DZ62" s="138"/>
      <c r="EA62" s="138"/>
      <c r="EB62" s="138"/>
      <c r="EC62" s="138"/>
      <c r="ED62" s="138"/>
      <c r="EE62" s="138"/>
      <c r="EF62" s="138"/>
      <c r="EG62" s="138"/>
      <c r="EH62" s="138"/>
      <c r="EI62" s="138"/>
      <c r="EJ62" s="138"/>
      <c r="EK62" s="138"/>
      <c r="EL62" s="138"/>
      <c r="EM62" s="138"/>
      <c r="EN62" s="138"/>
      <c r="EO62" s="138"/>
      <c r="EP62" s="138"/>
      <c r="EQ62" s="138"/>
      <c r="ER62" s="138"/>
      <c r="ES62" s="138"/>
      <c r="ET62" s="138"/>
      <c r="EU62" s="138"/>
      <c r="EV62" s="138"/>
      <c r="EW62" s="138"/>
      <c r="EX62" s="138"/>
      <c r="EY62" s="138"/>
      <c r="EZ62" s="138"/>
      <c r="FA62" s="138"/>
      <c r="FB62" s="138"/>
      <c r="FC62" s="138"/>
      <c r="FD62" s="138"/>
      <c r="FE62" s="138"/>
      <c r="FF62" s="138"/>
      <c r="FG62" s="138"/>
      <c r="FH62" s="138"/>
      <c r="FI62" s="138"/>
      <c r="FJ62" s="138"/>
      <c r="FK62" s="138"/>
      <c r="FL62" s="138"/>
      <c r="FM62" s="138"/>
      <c r="FN62" s="138"/>
      <c r="FO62" s="138"/>
      <c r="FP62" s="138"/>
      <c r="FQ62" s="138"/>
      <c r="FR62" s="138"/>
      <c r="FS62" s="138"/>
      <c r="FT62" s="138"/>
      <c r="FU62" s="138"/>
      <c r="FV62" s="138"/>
      <c r="FW62" s="138"/>
      <c r="FX62" s="138"/>
      <c r="FY62" s="138"/>
      <c r="FZ62" s="138"/>
      <c r="GA62" s="138"/>
      <c r="GB62" s="138"/>
      <c r="GC62" s="138"/>
      <c r="GD62" s="138"/>
      <c r="GE62" s="138"/>
      <c r="GF62" s="138"/>
      <c r="GG62" s="138"/>
      <c r="GH62" s="138"/>
      <c r="GI62" s="138"/>
      <c r="GJ62" s="138"/>
      <c r="GK62" s="138"/>
      <c r="GL62" s="138"/>
      <c r="GM62" s="138"/>
      <c r="GN62" s="138"/>
      <c r="GO62" s="138"/>
      <c r="GP62" s="138"/>
      <c r="GQ62" s="138"/>
      <c r="GR62" s="138"/>
      <c r="GS62" s="138"/>
      <c r="GT62" s="138"/>
      <c r="GU62" s="138"/>
      <c r="GV62" s="138"/>
      <c r="GW62" s="138"/>
      <c r="GX62" s="138"/>
      <c r="GY62" s="138"/>
      <c r="GZ62" s="138"/>
      <c r="HA62" s="138"/>
      <c r="HB62" s="138"/>
      <c r="HC62" s="138"/>
      <c r="HD62" s="138"/>
      <c r="HE62" s="138"/>
      <c r="HF62" s="138"/>
      <c r="HG62" s="138"/>
      <c r="HH62" s="138"/>
      <c r="HI62" s="138"/>
      <c r="HJ62" s="138"/>
      <c r="HK62" s="138"/>
      <c r="HL62" s="138"/>
      <c r="HM62" s="138"/>
      <c r="HN62" s="138"/>
      <c r="HO62" s="138"/>
      <c r="HP62" s="138"/>
      <c r="HQ62" s="138"/>
      <c r="HR62" s="138"/>
      <c r="HS62" s="138"/>
      <c r="HT62" s="138"/>
      <c r="HU62" s="138"/>
      <c r="HV62" s="138"/>
      <c r="HW62" s="138"/>
      <c r="HX62" s="138"/>
      <c r="HY62" s="138"/>
      <c r="HZ62" s="138"/>
      <c r="IA62" s="138"/>
      <c r="IB62" s="138"/>
      <c r="IC62" s="138"/>
      <c r="ID62" s="138"/>
      <c r="IE62" s="138"/>
      <c r="IF62" s="138"/>
      <c r="IG62" s="138"/>
      <c r="IH62" s="138"/>
      <c r="II62" s="138"/>
      <c r="IJ62" s="138"/>
      <c r="IK62" s="138"/>
      <c r="IL62" s="138"/>
      <c r="IM62" s="138"/>
      <c r="IN62" s="138"/>
      <c r="IO62" s="138"/>
      <c r="IP62" s="138"/>
      <c r="IQ62" s="138"/>
      <c r="IR62" s="138"/>
      <c r="IS62" s="138"/>
      <c r="IT62" s="138"/>
      <c r="IU62" s="138"/>
      <c r="IV62" s="138"/>
      <c r="IW62" s="138"/>
    </row>
    <row r="63" customFormat="false" ht="12.75" hidden="false" customHeight="false" outlineLevel="0" collapsed="false">
      <c r="T63" s="73" t="n">
        <f aca="false">+R63*J63</f>
        <v>0</v>
      </c>
    </row>
    <row r="64" customFormat="false" ht="12.75" hidden="false" customHeight="false" outlineLevel="0" collapsed="false">
      <c r="B64" s="127" t="s">
        <v>169</v>
      </c>
      <c r="C64" s="128" t="s">
        <v>169</v>
      </c>
      <c r="D64" s="128" t="s">
        <v>169</v>
      </c>
      <c r="E64" s="130" t="s">
        <v>169</v>
      </c>
      <c r="F64" s="130" t="s">
        <v>169</v>
      </c>
      <c r="G64" s="127" t="s">
        <v>169</v>
      </c>
      <c r="H64" s="131" t="s">
        <v>169</v>
      </c>
      <c r="I64" s="128" t="s">
        <v>169</v>
      </c>
      <c r="J64" s="132"/>
      <c r="K64" s="133"/>
      <c r="L64" s="133"/>
      <c r="M64" s="133"/>
      <c r="N64" s="133"/>
      <c r="O64" s="134"/>
      <c r="P64" s="133"/>
      <c r="Q64" s="135" t="s">
        <v>169</v>
      </c>
      <c r="R64" s="128" t="n">
        <f aca="false">SUM(R31:R62)</f>
        <v>21302</v>
      </c>
      <c r="S64" s="127" t="s">
        <v>169</v>
      </c>
      <c r="T64" s="136" t="n">
        <f aca="false">SUM(T19:T62)</f>
        <v>1207673.5467129</v>
      </c>
      <c r="U64" s="136" t="e">
        <f aca="false">SUM(#REF!)</f>
        <v>#REF!</v>
      </c>
      <c r="V64" s="137"/>
      <c r="W64" s="131"/>
      <c r="X64" s="71"/>
      <c r="Y64" s="71"/>
    </row>
    <row r="65" customFormat="false" ht="12.75" hidden="false" customHeight="false" outlineLevel="0" collapsed="false">
      <c r="B65" s="62" t="s">
        <v>180</v>
      </c>
      <c r="C65" s="63" t="s">
        <v>181</v>
      </c>
      <c r="D65" s="63" t="s">
        <v>182</v>
      </c>
      <c r="E65" s="64" t="s">
        <v>183</v>
      </c>
      <c r="F65" s="64"/>
      <c r="G65" s="62" t="s">
        <v>184</v>
      </c>
      <c r="H65" s="62" t="s">
        <v>185</v>
      </c>
      <c r="I65" s="63" t="s">
        <v>186</v>
      </c>
      <c r="J65" s="65" t="s">
        <v>187</v>
      </c>
      <c r="K65" s="63" t="s">
        <v>188</v>
      </c>
      <c r="L65" s="63" t="s">
        <v>189</v>
      </c>
      <c r="M65" s="63" t="s">
        <v>190</v>
      </c>
      <c r="N65" s="63" t="s">
        <v>191</v>
      </c>
      <c r="O65" s="66" t="s">
        <v>192</v>
      </c>
      <c r="P65" s="63" t="s">
        <v>193</v>
      </c>
      <c r="Q65" s="67" t="s">
        <v>194</v>
      </c>
      <c r="R65" s="63" t="s">
        <v>195</v>
      </c>
      <c r="S65" s="62" t="s">
        <v>196</v>
      </c>
      <c r="T65" s="68" t="s">
        <v>197</v>
      </c>
      <c r="U65" s="68" t="s">
        <v>198</v>
      </c>
      <c r="V65" s="69" t="s">
        <v>199</v>
      </c>
      <c r="W65" s="70" t="n">
        <f aca="false">+W38</f>
        <v>0</v>
      </c>
      <c r="X65" s="71"/>
      <c r="Y65" s="71"/>
    </row>
    <row r="66" customFormat="false" ht="12" hidden="false" customHeight="true" outlineLevel="0" collapsed="false">
      <c r="A66" s="102"/>
      <c r="B66" s="103" t="s">
        <v>200</v>
      </c>
      <c r="C66" s="104" t="s">
        <v>362</v>
      </c>
      <c r="D66" s="104" t="s">
        <v>363</v>
      </c>
      <c r="E66" s="105" t="n">
        <v>35612</v>
      </c>
      <c r="F66" s="105" t="n">
        <v>37437</v>
      </c>
      <c r="G66" s="103" t="s">
        <v>364</v>
      </c>
      <c r="H66" s="103" t="s">
        <v>365</v>
      </c>
      <c r="I66" s="104" t="s">
        <v>116</v>
      </c>
      <c r="J66" s="106" t="n">
        <f aca="false">+(5.7625+0.2)/J$1</f>
        <v>0.192338709677419</v>
      </c>
      <c r="K66" s="107" t="n">
        <v>0</v>
      </c>
      <c r="L66" s="107" t="n">
        <v>0.0022</v>
      </c>
      <c r="M66" s="107" t="n">
        <v>0.0072</v>
      </c>
      <c r="N66" s="107" t="n">
        <v>0</v>
      </c>
      <c r="O66" s="108" t="n">
        <v>0</v>
      </c>
      <c r="P66" s="107" t="n">
        <f aca="false">SUM(J66:N66)</f>
        <v>0.201738709677419</v>
      </c>
      <c r="Q66" s="109" t="n">
        <v>270</v>
      </c>
      <c r="R66" s="104" t="n">
        <v>1000</v>
      </c>
      <c r="S66" s="103"/>
      <c r="T66" s="110" t="n">
        <f aca="false">J66*J$1*R66</f>
        <v>5962.5</v>
      </c>
      <c r="U66" s="110"/>
      <c r="V66" s="111" t="n">
        <v>348630</v>
      </c>
      <c r="W66" s="103"/>
      <c r="X66" s="112"/>
      <c r="Y66" s="11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/>
      <c r="CB66" s="102"/>
      <c r="CC66" s="102"/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102"/>
      <c r="DF66" s="102"/>
      <c r="DG66" s="102"/>
      <c r="DH66" s="102"/>
      <c r="DI66" s="102"/>
      <c r="DJ66" s="102"/>
      <c r="DK66" s="102"/>
      <c r="DL66" s="102"/>
      <c r="DM66" s="102"/>
      <c r="DN66" s="102"/>
      <c r="DO66" s="102"/>
      <c r="DP66" s="102"/>
      <c r="DQ66" s="102"/>
      <c r="DR66" s="102"/>
      <c r="DS66" s="102"/>
      <c r="DT66" s="102"/>
      <c r="DU66" s="102"/>
      <c r="DV66" s="102"/>
      <c r="DW66" s="102"/>
      <c r="DX66" s="102"/>
      <c r="DY66" s="102"/>
      <c r="DZ66" s="102"/>
      <c r="EA66" s="102"/>
      <c r="EB66" s="102"/>
      <c r="EC66" s="102"/>
      <c r="ED66" s="102"/>
      <c r="EE66" s="102"/>
      <c r="EF66" s="102"/>
      <c r="EG66" s="102"/>
      <c r="EH66" s="102"/>
      <c r="EI66" s="102"/>
      <c r="EJ66" s="102"/>
      <c r="EK66" s="102"/>
      <c r="EL66" s="102"/>
      <c r="EM66" s="102"/>
      <c r="EN66" s="102"/>
      <c r="EO66" s="102"/>
      <c r="EP66" s="102"/>
      <c r="EQ66" s="102"/>
      <c r="ER66" s="102"/>
      <c r="ES66" s="102"/>
      <c r="ET66" s="102"/>
      <c r="EU66" s="102"/>
      <c r="EV66" s="102"/>
      <c r="EW66" s="102"/>
      <c r="EX66" s="102"/>
      <c r="EY66" s="102"/>
      <c r="EZ66" s="102"/>
      <c r="FA66" s="102"/>
      <c r="FB66" s="102"/>
      <c r="FC66" s="102"/>
      <c r="FD66" s="102"/>
      <c r="FE66" s="102"/>
      <c r="FF66" s="102"/>
      <c r="FG66" s="102"/>
      <c r="FH66" s="102"/>
      <c r="FI66" s="102"/>
      <c r="FJ66" s="102"/>
      <c r="FK66" s="102"/>
      <c r="FL66" s="102"/>
      <c r="FM66" s="102"/>
      <c r="FN66" s="102"/>
      <c r="FO66" s="102"/>
      <c r="FP66" s="102"/>
      <c r="FQ66" s="102"/>
      <c r="FR66" s="102"/>
      <c r="FS66" s="102"/>
      <c r="FT66" s="102"/>
      <c r="FU66" s="102"/>
      <c r="FV66" s="102"/>
      <c r="FW66" s="102"/>
      <c r="FX66" s="102"/>
      <c r="FY66" s="102"/>
      <c r="FZ66" s="102"/>
      <c r="GA66" s="102"/>
      <c r="GB66" s="102"/>
      <c r="GC66" s="102"/>
      <c r="GD66" s="102"/>
      <c r="GE66" s="102"/>
      <c r="GF66" s="102"/>
      <c r="GG66" s="102"/>
      <c r="GH66" s="102"/>
      <c r="GI66" s="102"/>
      <c r="GJ66" s="102"/>
      <c r="GK66" s="102"/>
      <c r="GL66" s="102"/>
      <c r="GM66" s="102"/>
      <c r="GN66" s="102"/>
      <c r="GO66" s="102"/>
      <c r="GP66" s="102"/>
      <c r="GQ66" s="102"/>
      <c r="GR66" s="102"/>
      <c r="GS66" s="102"/>
      <c r="GT66" s="102"/>
      <c r="GU66" s="102"/>
      <c r="GV66" s="102"/>
      <c r="GW66" s="102"/>
      <c r="GX66" s="102"/>
      <c r="GY66" s="102"/>
      <c r="GZ66" s="102"/>
      <c r="HA66" s="102"/>
      <c r="HB66" s="102"/>
      <c r="HC66" s="102"/>
      <c r="HD66" s="102"/>
      <c r="HE66" s="102"/>
      <c r="HF66" s="102"/>
      <c r="HG66" s="102"/>
      <c r="HH66" s="102"/>
      <c r="HI66" s="102"/>
      <c r="HJ66" s="102"/>
      <c r="HK66" s="102"/>
      <c r="HL66" s="102"/>
      <c r="HM66" s="102"/>
      <c r="HN66" s="102"/>
      <c r="HO66" s="102"/>
      <c r="HP66" s="102"/>
      <c r="HQ66" s="102"/>
      <c r="HR66" s="102"/>
      <c r="HS66" s="102"/>
      <c r="HT66" s="102"/>
      <c r="HU66" s="102"/>
      <c r="HV66" s="102"/>
      <c r="HW66" s="102"/>
      <c r="HX66" s="102"/>
      <c r="HY66" s="102"/>
      <c r="HZ66" s="102"/>
      <c r="IA66" s="102"/>
      <c r="IB66" s="102"/>
      <c r="IC66" s="102"/>
      <c r="ID66" s="102"/>
      <c r="IE66" s="102"/>
      <c r="IF66" s="102"/>
      <c r="IG66" s="102"/>
      <c r="IH66" s="102"/>
      <c r="II66" s="102"/>
      <c r="IJ66" s="102"/>
      <c r="IK66" s="102"/>
      <c r="IL66" s="102"/>
      <c r="IM66" s="102"/>
      <c r="IN66" s="102"/>
      <c r="IO66" s="102"/>
      <c r="IP66" s="102"/>
      <c r="IQ66" s="102"/>
      <c r="IR66" s="102"/>
      <c r="IS66" s="102"/>
      <c r="IT66" s="102"/>
      <c r="IU66" s="102"/>
      <c r="IV66" s="102"/>
      <c r="IW66" s="102"/>
    </row>
    <row r="67" customFormat="false" ht="12" hidden="false" customHeight="true" outlineLevel="0" collapsed="false">
      <c r="A67" s="72"/>
      <c r="B67" s="45"/>
      <c r="C67" s="43"/>
      <c r="D67" s="43"/>
      <c r="E67" s="44"/>
      <c r="F67" s="44"/>
      <c r="G67" s="45"/>
      <c r="H67" s="45"/>
      <c r="I67" s="43"/>
      <c r="J67" s="57"/>
      <c r="K67" s="48"/>
      <c r="L67" s="48"/>
      <c r="M67" s="48"/>
      <c r="N67" s="48"/>
      <c r="O67" s="49"/>
      <c r="P67" s="48"/>
      <c r="Q67" s="50"/>
      <c r="R67" s="43"/>
      <c r="S67" s="45"/>
      <c r="T67" s="73" t="n">
        <f aca="false">SUM(T66)</f>
        <v>5962.5</v>
      </c>
      <c r="U67" s="73"/>
      <c r="V67" s="74"/>
      <c r="W67" s="45"/>
      <c r="X67" s="71"/>
      <c r="Y67" s="71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  <c r="BQ67" s="72"/>
      <c r="BR67" s="72"/>
      <c r="BS67" s="72"/>
      <c r="BT67" s="72"/>
      <c r="BU67" s="72"/>
      <c r="BV67" s="72"/>
      <c r="BW67" s="72"/>
      <c r="BX67" s="72"/>
      <c r="BY67" s="72"/>
      <c r="BZ67" s="72"/>
      <c r="CA67" s="72"/>
      <c r="CB67" s="72"/>
      <c r="CC67" s="72"/>
      <c r="CD67" s="72"/>
      <c r="CE67" s="72"/>
      <c r="CF67" s="72"/>
      <c r="CG67" s="72"/>
      <c r="CH67" s="72"/>
      <c r="CI67" s="72"/>
      <c r="CJ67" s="72"/>
      <c r="CK67" s="72"/>
      <c r="CL67" s="72"/>
      <c r="CM67" s="72"/>
      <c r="CN67" s="72"/>
      <c r="CO67" s="72"/>
      <c r="CP67" s="72"/>
      <c r="CQ67" s="72"/>
      <c r="CR67" s="72"/>
      <c r="CS67" s="72"/>
      <c r="CT67" s="72"/>
      <c r="CU67" s="72"/>
      <c r="CV67" s="72"/>
      <c r="CW67" s="72"/>
      <c r="CX67" s="72"/>
      <c r="CY67" s="72"/>
      <c r="CZ67" s="72"/>
      <c r="DA67" s="72"/>
      <c r="DB67" s="72"/>
      <c r="DC67" s="72"/>
      <c r="DD67" s="72"/>
      <c r="DE67" s="72"/>
      <c r="DF67" s="72"/>
      <c r="DG67" s="72"/>
      <c r="DH67" s="72"/>
      <c r="DI67" s="72"/>
      <c r="DJ67" s="72"/>
      <c r="DK67" s="72"/>
      <c r="DL67" s="72"/>
      <c r="DM67" s="72"/>
      <c r="DN67" s="72"/>
      <c r="DO67" s="72"/>
      <c r="DP67" s="72"/>
      <c r="DQ67" s="72"/>
      <c r="DR67" s="72"/>
      <c r="DS67" s="72"/>
      <c r="DT67" s="72"/>
      <c r="DU67" s="72"/>
      <c r="DV67" s="72"/>
      <c r="DW67" s="72"/>
      <c r="DX67" s="72"/>
      <c r="DY67" s="72"/>
      <c r="DZ67" s="72"/>
      <c r="EA67" s="72"/>
      <c r="EB67" s="72"/>
      <c r="EC67" s="72"/>
      <c r="ED67" s="72"/>
      <c r="EE67" s="72"/>
      <c r="EF67" s="72"/>
      <c r="EG67" s="72"/>
      <c r="EH67" s="72"/>
      <c r="EI67" s="72"/>
      <c r="EJ67" s="72"/>
      <c r="EK67" s="72"/>
      <c r="EL67" s="72"/>
      <c r="EM67" s="72"/>
      <c r="EN67" s="72"/>
      <c r="EO67" s="72"/>
      <c r="EP67" s="72"/>
      <c r="EQ67" s="72"/>
      <c r="ER67" s="72"/>
      <c r="ES67" s="72"/>
      <c r="ET67" s="72"/>
      <c r="EU67" s="72"/>
      <c r="EV67" s="72"/>
      <c r="EW67" s="72"/>
      <c r="EX67" s="72"/>
      <c r="EY67" s="72"/>
      <c r="EZ67" s="72"/>
      <c r="FA67" s="72"/>
      <c r="FB67" s="72"/>
      <c r="FC67" s="72"/>
      <c r="FD67" s="72"/>
      <c r="FE67" s="72"/>
      <c r="FF67" s="72"/>
      <c r="FG67" s="72"/>
      <c r="FH67" s="72"/>
      <c r="FI67" s="72"/>
      <c r="FJ67" s="72"/>
      <c r="FK67" s="72"/>
      <c r="FL67" s="72"/>
      <c r="FM67" s="72"/>
      <c r="FN67" s="72"/>
      <c r="FO67" s="72"/>
      <c r="FP67" s="72"/>
      <c r="FQ67" s="72"/>
      <c r="FR67" s="72"/>
      <c r="FS67" s="72"/>
      <c r="FT67" s="72"/>
      <c r="FU67" s="72"/>
      <c r="FV67" s="72"/>
      <c r="FW67" s="72"/>
      <c r="FX67" s="72"/>
      <c r="FY67" s="72"/>
      <c r="FZ67" s="72"/>
      <c r="GA67" s="72"/>
      <c r="GB67" s="72"/>
      <c r="GC67" s="72"/>
      <c r="GD67" s="72"/>
      <c r="GE67" s="72"/>
      <c r="GF67" s="72"/>
      <c r="GG67" s="72"/>
      <c r="GH67" s="72"/>
      <c r="GI67" s="72"/>
      <c r="GJ67" s="72"/>
      <c r="GK67" s="72"/>
      <c r="GL67" s="72"/>
      <c r="GM67" s="72"/>
      <c r="GN67" s="72"/>
      <c r="GO67" s="72"/>
      <c r="GP67" s="72"/>
      <c r="GQ67" s="72"/>
      <c r="GR67" s="72"/>
      <c r="GS67" s="72"/>
      <c r="GT67" s="72"/>
      <c r="GU67" s="72"/>
      <c r="GV67" s="72"/>
      <c r="GW67" s="72"/>
      <c r="GX67" s="72"/>
      <c r="GY67" s="72"/>
      <c r="GZ67" s="72"/>
      <c r="HA67" s="72"/>
      <c r="HB67" s="72"/>
      <c r="HC67" s="72"/>
      <c r="HD67" s="72"/>
      <c r="HE67" s="72"/>
      <c r="HF67" s="72"/>
      <c r="HG67" s="72"/>
      <c r="HH67" s="72"/>
      <c r="HI67" s="72"/>
      <c r="HJ67" s="72"/>
      <c r="HK67" s="72"/>
      <c r="HL67" s="72"/>
      <c r="HM67" s="72"/>
      <c r="HN67" s="72"/>
      <c r="HO67" s="72"/>
      <c r="HP67" s="72"/>
      <c r="HQ67" s="72"/>
      <c r="HR67" s="72"/>
      <c r="HS67" s="72"/>
      <c r="HT67" s="72"/>
      <c r="HU67" s="72"/>
      <c r="HV67" s="72"/>
      <c r="HW67" s="72"/>
      <c r="HX67" s="72"/>
      <c r="HY67" s="72"/>
      <c r="HZ67" s="72"/>
      <c r="IA67" s="72"/>
      <c r="IB67" s="72"/>
      <c r="IC67" s="72"/>
      <c r="ID67" s="72"/>
      <c r="IE67" s="72"/>
      <c r="IF67" s="72"/>
      <c r="IG67" s="72"/>
      <c r="IH67" s="72"/>
      <c r="II67" s="72"/>
      <c r="IJ67" s="72"/>
      <c r="IK67" s="72"/>
      <c r="IL67" s="72"/>
      <c r="IM67" s="72"/>
      <c r="IN67" s="72"/>
      <c r="IO67" s="72"/>
      <c r="IP67" s="72"/>
      <c r="IQ67" s="72"/>
      <c r="IR67" s="72"/>
      <c r="IS67" s="72"/>
      <c r="IT67" s="72"/>
      <c r="IU67" s="72"/>
      <c r="IV67" s="72"/>
      <c r="IW67" s="72"/>
    </row>
    <row r="68" customFormat="false" ht="12.75" hidden="false" customHeight="false" outlineLevel="0" collapsed="false">
      <c r="B68" s="39"/>
      <c r="C68" s="43"/>
      <c r="D68" s="43"/>
      <c r="E68" s="44"/>
      <c r="F68" s="44"/>
      <c r="G68" s="45"/>
      <c r="H68" s="45"/>
      <c r="I68" s="43"/>
      <c r="J68" s="48"/>
      <c r="K68" s="48"/>
      <c r="L68" s="48"/>
      <c r="M68" s="48"/>
      <c r="N68" s="48"/>
      <c r="O68" s="49"/>
      <c r="P68" s="48"/>
      <c r="Q68" s="120"/>
      <c r="R68" s="121"/>
      <c r="S68" s="52"/>
      <c r="T68" s="52"/>
      <c r="U68" s="52"/>
      <c r="V68" s="53"/>
      <c r="W68" s="54"/>
      <c r="X68" s="55"/>
      <c r="Y68" s="55"/>
    </row>
    <row r="69" customFormat="false" ht="12.75" hidden="false" customHeight="false" outlineLevel="0" collapsed="false">
      <c r="B69" s="39"/>
      <c r="C69" s="43"/>
      <c r="D69" s="43"/>
      <c r="E69" s="44"/>
      <c r="F69" s="44"/>
      <c r="G69" s="45"/>
      <c r="H69" s="45"/>
      <c r="I69" s="43"/>
      <c r="J69" s="57"/>
      <c r="K69" s="48"/>
      <c r="L69" s="48"/>
      <c r="M69" s="48"/>
      <c r="N69" s="48"/>
      <c r="O69" s="49"/>
      <c r="P69" s="48"/>
      <c r="Q69" s="120"/>
      <c r="R69" s="121"/>
      <c r="S69" s="52"/>
      <c r="T69" s="52"/>
      <c r="U69" s="52"/>
      <c r="V69" s="53"/>
      <c r="W69" s="54"/>
      <c r="X69" s="55"/>
      <c r="Y69" s="55"/>
    </row>
    <row r="70" customFormat="false" ht="13.5" hidden="false" customHeight="false" outlineLevel="0" collapsed="false">
      <c r="B70" s="39"/>
      <c r="C70" s="43"/>
      <c r="D70" s="43"/>
      <c r="E70" s="44"/>
      <c r="F70" s="44"/>
      <c r="G70" s="45"/>
      <c r="H70" s="45"/>
      <c r="I70" s="43"/>
      <c r="J70" s="48"/>
      <c r="K70" s="48"/>
      <c r="L70" s="48"/>
      <c r="M70" s="48"/>
      <c r="N70" s="48"/>
      <c r="O70" s="49"/>
      <c r="P70" s="48"/>
      <c r="Q70" s="120"/>
      <c r="R70" s="121"/>
      <c r="S70" s="52"/>
      <c r="T70" s="152" t="n">
        <f aca="false">SUM(T67,T64,T17,)</f>
        <v>1214098.3425129</v>
      </c>
      <c r="U70" s="52" t="s">
        <v>276</v>
      </c>
      <c r="V70" s="53"/>
      <c r="W70" s="54"/>
      <c r="X70" s="55"/>
      <c r="Y70" s="55"/>
    </row>
    <row r="71" customFormat="false" ht="13.5" hidden="false" customHeight="false" outlineLevel="0" collapsed="false">
      <c r="B71" s="39"/>
      <c r="C71" s="43"/>
      <c r="D71" s="43"/>
      <c r="E71" s="44"/>
      <c r="F71" s="44"/>
      <c r="G71" s="45"/>
      <c r="H71" s="45"/>
      <c r="I71" s="43"/>
      <c r="J71" s="48"/>
      <c r="K71" s="48"/>
      <c r="L71" s="48"/>
      <c r="M71" s="48"/>
      <c r="N71" s="48"/>
      <c r="O71" s="49"/>
      <c r="P71" s="48"/>
      <c r="Q71" s="120"/>
      <c r="R71" s="121"/>
      <c r="S71" s="52"/>
      <c r="T71" s="52"/>
      <c r="U71" s="54" t="s">
        <v>277</v>
      </c>
      <c r="V71" s="53"/>
      <c r="W71" s="54"/>
      <c r="X71" s="123"/>
      <c r="Y71" s="55"/>
    </row>
    <row r="72" customFormat="false" ht="12.75" hidden="false" customHeight="false" outlineLevel="0" collapsed="false">
      <c r="B72" s="39"/>
      <c r="C72" s="43"/>
      <c r="D72" s="43"/>
      <c r="E72" s="44"/>
      <c r="F72" s="44"/>
      <c r="G72" s="45"/>
      <c r="H72" s="45"/>
      <c r="I72" s="43"/>
      <c r="J72" s="48"/>
      <c r="K72" s="48"/>
      <c r="L72" s="48"/>
      <c r="M72" s="48"/>
      <c r="N72" s="48"/>
      <c r="O72" s="49"/>
      <c r="P72" s="48"/>
      <c r="Q72" s="120"/>
      <c r="R72" s="121"/>
      <c r="S72" s="52"/>
      <c r="T72" s="52"/>
      <c r="U72" s="52"/>
      <c r="V72" s="53"/>
      <c r="W72" s="54"/>
      <c r="X72" s="55"/>
      <c r="Y72" s="55"/>
    </row>
    <row r="73" customFormat="false" ht="12.75" hidden="false" customHeight="false" outlineLevel="0" collapsed="false">
      <c r="B73" s="39"/>
      <c r="C73" s="43"/>
      <c r="D73" s="43"/>
      <c r="E73" s="44"/>
      <c r="F73" s="44"/>
      <c r="G73" s="45"/>
      <c r="H73" s="45"/>
      <c r="I73" s="43"/>
      <c r="J73" s="48"/>
      <c r="K73" s="48"/>
      <c r="L73" s="48"/>
      <c r="M73" s="48"/>
      <c r="N73" s="48"/>
      <c r="O73" s="49"/>
      <c r="P73" s="48"/>
      <c r="Q73" s="120"/>
      <c r="R73" s="121"/>
      <c r="S73" s="52"/>
      <c r="T73" s="52"/>
      <c r="U73" s="52"/>
      <c r="V73" s="53"/>
      <c r="W73" s="54"/>
      <c r="X73" s="55"/>
      <c r="Y73" s="55"/>
    </row>
    <row r="74" customFormat="false" ht="12.75" hidden="false" customHeight="false" outlineLevel="0" collapsed="false">
      <c r="B74" s="39"/>
      <c r="C74" s="43"/>
      <c r="D74" s="43"/>
      <c r="E74" s="44"/>
      <c r="F74" s="44"/>
      <c r="G74" s="45"/>
      <c r="H74" s="45"/>
      <c r="I74" s="43"/>
      <c r="J74" s="57"/>
      <c r="K74" s="48"/>
      <c r="L74" s="48"/>
      <c r="M74" s="48"/>
      <c r="N74" s="48"/>
      <c r="O74" s="49"/>
      <c r="P74" s="48"/>
      <c r="Q74" s="120"/>
      <c r="R74" s="121"/>
      <c r="S74" s="123"/>
      <c r="T74" s="52"/>
      <c r="U74" s="52"/>
      <c r="V74" s="53"/>
      <c r="W74" s="54"/>
      <c r="X74" s="55"/>
      <c r="Y74" s="55"/>
    </row>
    <row r="75" customFormat="false" ht="12.75" hidden="false" customHeight="false" outlineLevel="0" collapsed="false">
      <c r="B75" s="39"/>
      <c r="C75" s="43"/>
      <c r="D75" s="43"/>
      <c r="E75" s="44"/>
      <c r="F75" s="44"/>
      <c r="G75" s="45"/>
      <c r="H75" s="45"/>
      <c r="I75" s="43"/>
      <c r="J75" s="57"/>
      <c r="K75" s="48"/>
      <c r="L75" s="48"/>
      <c r="M75" s="48"/>
      <c r="N75" s="48"/>
      <c r="O75" s="49"/>
      <c r="P75" s="48"/>
      <c r="Q75" s="120"/>
      <c r="R75" s="121"/>
      <c r="S75" s="123"/>
      <c r="T75" s="52"/>
      <c r="U75" s="52"/>
      <c r="V75" s="53"/>
      <c r="W75" s="54"/>
      <c r="X75" s="55"/>
      <c r="Y75" s="55"/>
    </row>
    <row r="76" customFormat="false" ht="12.75" hidden="false" customHeight="false" outlineLevel="0" collapsed="false">
      <c r="Q76" s="36"/>
      <c r="R76" s="36"/>
      <c r="S76" s="36"/>
      <c r="T76" s="36"/>
      <c r="U76" s="36"/>
      <c r="V76" s="124"/>
      <c r="W76" s="125"/>
      <c r="X76" s="124"/>
    </row>
    <row r="77" customFormat="false" ht="12.75" hidden="false" customHeight="false" outlineLevel="0" collapsed="false">
      <c r="Q77" s="36"/>
      <c r="R77" s="36"/>
      <c r="S77" s="36"/>
      <c r="T77" s="36"/>
      <c r="U77" s="36"/>
      <c r="V77" s="124"/>
      <c r="W77" s="125"/>
      <c r="X77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Q78"/>
  <sheetViews>
    <sheetView showFormulas="false" showGridLines="true" showRowColHeaders="true" showZeros="true" rightToLeft="false" tabSelected="false" showOutlineSymbols="true" defaultGridColor="true" view="normal" topLeftCell="C73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11.28"/>
    <col collapsed="false" customWidth="true" hidden="false" outlineLevel="0" max="11" min="11" style="0" width="11.28"/>
    <col collapsed="false" customWidth="true" hidden="false" outlineLevel="0" max="13" min="13" style="0" width="12.56"/>
  </cols>
  <sheetData>
    <row r="1" customFormat="false" ht="12.75" hidden="false" customHeight="false" outlineLevel="0" collapsed="false">
      <c r="C1" s="0" t="s">
        <v>366</v>
      </c>
      <c r="D1" s="0" t="s">
        <v>367</v>
      </c>
      <c r="E1" s="0" t="s">
        <v>368</v>
      </c>
      <c r="F1" s="0" t="s">
        <v>369</v>
      </c>
      <c r="G1" s="0" t="s">
        <v>370</v>
      </c>
      <c r="H1" s="0" t="s">
        <v>371</v>
      </c>
      <c r="I1" s="0" t="s">
        <v>372</v>
      </c>
      <c r="J1" s="0" t="s">
        <v>373</v>
      </c>
      <c r="K1" s="0" t="s">
        <v>374</v>
      </c>
      <c r="L1" s="0" t="s">
        <v>375</v>
      </c>
      <c r="M1" s="0" t="s">
        <v>376</v>
      </c>
      <c r="N1" s="0" t="s">
        <v>377</v>
      </c>
      <c r="O1" s="0" t="s">
        <v>378</v>
      </c>
    </row>
    <row r="2" customFormat="false" ht="12.75" hidden="false" customHeight="false" outlineLevel="0" collapsed="false">
      <c r="B2" s="153"/>
      <c r="C2" s="153" t="s">
        <v>379</v>
      </c>
      <c r="D2" s="153" t="n">
        <v>37147</v>
      </c>
      <c r="E2" s="153" t="s">
        <v>380</v>
      </c>
      <c r="F2" s="153" t="s">
        <v>381</v>
      </c>
      <c r="G2" s="153" t="s">
        <v>381</v>
      </c>
      <c r="H2" s="154" t="n">
        <v>35582</v>
      </c>
      <c r="I2" s="153" t="s">
        <v>381</v>
      </c>
      <c r="J2" s="153" t="s">
        <v>381</v>
      </c>
      <c r="K2" s="153" t="n">
        <v>0</v>
      </c>
      <c r="L2" s="153" t="n">
        <v>0</v>
      </c>
      <c r="M2" s="153" t="n">
        <v>0</v>
      </c>
      <c r="N2" s="153" t="n">
        <v>0</v>
      </c>
      <c r="O2" s="153" t="n">
        <v>0</v>
      </c>
      <c r="P2" s="153" t="n">
        <v>0</v>
      </c>
      <c r="Q2" s="153" t="s">
        <v>381</v>
      </c>
    </row>
    <row r="3" customFormat="false" ht="12.75" hidden="false" customHeight="false" outlineLevel="0" collapsed="false">
      <c r="B3" s="155"/>
      <c r="C3" s="155" t="s">
        <v>379</v>
      </c>
      <c r="D3" s="155" t="n">
        <v>39149</v>
      </c>
      <c r="E3" s="155" t="s">
        <v>341</v>
      </c>
      <c r="F3" s="155" t="s">
        <v>381</v>
      </c>
      <c r="G3" s="155" t="s">
        <v>381</v>
      </c>
      <c r="H3" s="156" t="n">
        <v>35582</v>
      </c>
      <c r="I3" s="155" t="s">
        <v>381</v>
      </c>
      <c r="J3" s="155" t="s">
        <v>381</v>
      </c>
      <c r="K3" s="157" t="n">
        <v>500000</v>
      </c>
      <c r="L3" s="155" t="n">
        <v>0</v>
      </c>
      <c r="M3" s="157" t="n">
        <v>500000</v>
      </c>
      <c r="N3" s="155" t="n">
        <v>0</v>
      </c>
      <c r="O3" s="155" t="n">
        <v>0</v>
      </c>
      <c r="P3" s="155" t="n">
        <v>0</v>
      </c>
      <c r="Q3" s="155" t="s">
        <v>381</v>
      </c>
    </row>
    <row r="4" customFormat="false" ht="12.75" hidden="false" customHeight="false" outlineLevel="0" collapsed="false">
      <c r="B4" s="153"/>
      <c r="C4" s="153" t="s">
        <v>379</v>
      </c>
      <c r="D4" s="153" t="n">
        <v>39607</v>
      </c>
      <c r="E4" s="153" t="s">
        <v>382</v>
      </c>
      <c r="F4" s="153" t="s">
        <v>381</v>
      </c>
      <c r="G4" s="153" t="s">
        <v>381</v>
      </c>
      <c r="H4" s="154" t="n">
        <v>35582</v>
      </c>
      <c r="I4" s="153" t="s">
        <v>381</v>
      </c>
      <c r="J4" s="153" t="s">
        <v>381</v>
      </c>
      <c r="K4" s="158" t="n">
        <v>10000000</v>
      </c>
      <c r="L4" s="153" t="n">
        <v>0</v>
      </c>
      <c r="M4" s="158" t="n">
        <v>10000000</v>
      </c>
      <c r="N4" s="153" t="n">
        <v>0</v>
      </c>
      <c r="O4" s="153" t="n">
        <v>0</v>
      </c>
      <c r="P4" s="153" t="n">
        <v>0</v>
      </c>
      <c r="Q4" s="153" t="s">
        <v>381</v>
      </c>
    </row>
    <row r="5" customFormat="false" ht="12.75" hidden="false" customHeight="false" outlineLevel="0" collapsed="false">
      <c r="B5" s="155"/>
      <c r="C5" s="155" t="s">
        <v>379</v>
      </c>
      <c r="D5" s="155" t="n">
        <v>39764</v>
      </c>
      <c r="E5" s="155" t="s">
        <v>383</v>
      </c>
      <c r="F5" s="155" t="s">
        <v>381</v>
      </c>
      <c r="G5" s="155" t="s">
        <v>381</v>
      </c>
      <c r="H5" s="156" t="n">
        <v>35582</v>
      </c>
      <c r="I5" s="155" t="s">
        <v>381</v>
      </c>
      <c r="J5" s="155" t="s">
        <v>381</v>
      </c>
      <c r="K5" s="157" t="n">
        <v>60000</v>
      </c>
      <c r="L5" s="155" t="n">
        <v>0</v>
      </c>
      <c r="M5" s="157" t="n">
        <v>60000</v>
      </c>
      <c r="N5" s="155" t="n">
        <v>0</v>
      </c>
      <c r="O5" s="155" t="n">
        <v>0</v>
      </c>
      <c r="P5" s="155" t="n">
        <v>0</v>
      </c>
      <c r="Q5" s="155" t="s">
        <v>381</v>
      </c>
    </row>
    <row r="6" customFormat="false" ht="12.75" hidden="false" customHeight="false" outlineLevel="0" collapsed="false">
      <c r="B6" s="153"/>
      <c r="C6" s="153" t="s">
        <v>379</v>
      </c>
      <c r="D6" s="153" t="n">
        <v>40998</v>
      </c>
      <c r="E6" s="153" t="s">
        <v>384</v>
      </c>
      <c r="F6" s="153" t="s">
        <v>381</v>
      </c>
      <c r="G6" s="153" t="s">
        <v>381</v>
      </c>
      <c r="H6" s="154" t="n">
        <v>34393</v>
      </c>
      <c r="I6" s="153" t="s">
        <v>381</v>
      </c>
      <c r="J6" s="153" t="s">
        <v>381</v>
      </c>
      <c r="K6" s="158" t="n">
        <v>250000</v>
      </c>
      <c r="L6" s="153" t="n">
        <v>0</v>
      </c>
      <c r="M6" s="158" t="n">
        <v>250000</v>
      </c>
      <c r="N6" s="153" t="n">
        <v>0</v>
      </c>
      <c r="O6" s="153" t="n">
        <v>0</v>
      </c>
      <c r="P6" s="153" t="n">
        <v>0</v>
      </c>
      <c r="Q6" s="153" t="s">
        <v>381</v>
      </c>
    </row>
    <row r="7" customFormat="false" ht="12.75" hidden="false" customHeight="false" outlineLevel="0" collapsed="false">
      <c r="B7" s="155"/>
      <c r="C7" s="155" t="s">
        <v>379</v>
      </c>
      <c r="D7" s="155" t="n">
        <v>60094</v>
      </c>
      <c r="E7" s="155" t="s">
        <v>385</v>
      </c>
      <c r="F7" s="155" t="s">
        <v>381</v>
      </c>
      <c r="G7" s="155" t="s">
        <v>381</v>
      </c>
      <c r="H7" s="156" t="n">
        <v>35916</v>
      </c>
      <c r="I7" s="155" t="s">
        <v>381</v>
      </c>
      <c r="J7" s="155" t="s">
        <v>381</v>
      </c>
      <c r="K7" s="155" t="n">
        <v>0</v>
      </c>
      <c r="L7" s="155" t="n">
        <v>0</v>
      </c>
      <c r="M7" s="155" t="n">
        <v>0</v>
      </c>
      <c r="N7" s="155" t="n">
        <v>0</v>
      </c>
      <c r="O7" s="155" t="n">
        <v>0</v>
      </c>
      <c r="P7" s="155" t="n">
        <v>0</v>
      </c>
      <c r="Q7" s="155" t="s">
        <v>381</v>
      </c>
    </row>
    <row r="8" customFormat="false" ht="12.75" hidden="false" customHeight="false" outlineLevel="0" collapsed="false">
      <c r="B8" s="153"/>
      <c r="C8" s="153" t="s">
        <v>379</v>
      </c>
      <c r="D8" s="153" t="n">
        <v>61822</v>
      </c>
      <c r="E8" s="153" t="s">
        <v>116</v>
      </c>
      <c r="F8" s="153" t="s">
        <v>381</v>
      </c>
      <c r="G8" s="153" t="s">
        <v>381</v>
      </c>
      <c r="H8" s="154" t="n">
        <v>36557</v>
      </c>
      <c r="I8" s="153" t="s">
        <v>381</v>
      </c>
      <c r="J8" s="153" t="n">
        <v>22429</v>
      </c>
      <c r="K8" s="158" t="n">
        <v>4000</v>
      </c>
      <c r="L8" s="153" t="n">
        <v>0</v>
      </c>
      <c r="M8" s="158" t="n">
        <v>4000</v>
      </c>
      <c r="N8" s="153" t="n">
        <v>0</v>
      </c>
      <c r="O8" s="153" t="n">
        <v>0</v>
      </c>
      <c r="P8" s="153" t="n">
        <v>0</v>
      </c>
      <c r="Q8" s="153" t="s">
        <v>381</v>
      </c>
    </row>
    <row r="9" customFormat="false" ht="12.75" hidden="false" customHeight="false" outlineLevel="0" collapsed="false">
      <c r="B9" s="155"/>
      <c r="C9" s="155" t="s">
        <v>379</v>
      </c>
      <c r="D9" s="155" t="n">
        <v>61825</v>
      </c>
      <c r="E9" s="155" t="s">
        <v>116</v>
      </c>
      <c r="F9" s="155" t="s">
        <v>381</v>
      </c>
      <c r="G9" s="155" t="s">
        <v>381</v>
      </c>
      <c r="H9" s="156" t="n">
        <v>36557</v>
      </c>
      <c r="I9" s="156" t="n">
        <v>36830</v>
      </c>
      <c r="J9" s="155" t="n">
        <v>22428</v>
      </c>
      <c r="K9" s="157" t="n">
        <v>8000</v>
      </c>
      <c r="L9" s="155" t="n">
        <v>0</v>
      </c>
      <c r="M9" s="157" t="n">
        <v>8000</v>
      </c>
      <c r="N9" s="155" t="n">
        <v>0</v>
      </c>
      <c r="O9" s="155" t="n">
        <v>0</v>
      </c>
      <c r="P9" s="155" t="n">
        <v>0</v>
      </c>
      <c r="Q9" s="155" t="s">
        <v>381</v>
      </c>
    </row>
    <row r="10" customFormat="false" ht="12.75" hidden="false" customHeight="false" outlineLevel="0" collapsed="false">
      <c r="B10" s="153"/>
      <c r="C10" s="153" t="s">
        <v>379</v>
      </c>
      <c r="D10" s="153" t="n">
        <v>61838</v>
      </c>
      <c r="E10" s="153" t="s">
        <v>116</v>
      </c>
      <c r="F10" s="153" t="s">
        <v>381</v>
      </c>
      <c r="G10" s="153" t="s">
        <v>381</v>
      </c>
      <c r="H10" s="154" t="n">
        <v>36557</v>
      </c>
      <c r="I10" s="153" t="s">
        <v>381</v>
      </c>
      <c r="J10" s="153" t="n">
        <v>22422</v>
      </c>
      <c r="K10" s="158" t="n">
        <v>1000</v>
      </c>
      <c r="L10" s="153" t="n">
        <v>0</v>
      </c>
      <c r="M10" s="158" t="n">
        <v>1000</v>
      </c>
      <c r="N10" s="153" t="n">
        <v>0</v>
      </c>
      <c r="O10" s="153" t="n">
        <v>0</v>
      </c>
      <c r="P10" s="153" t="n">
        <v>0</v>
      </c>
      <c r="Q10" s="153" t="s">
        <v>381</v>
      </c>
    </row>
    <row r="11" customFormat="false" ht="12.75" hidden="false" customHeight="false" outlineLevel="0" collapsed="false">
      <c r="B11" s="155"/>
      <c r="C11" s="155" t="s">
        <v>379</v>
      </c>
      <c r="D11" s="155" t="n">
        <v>61990</v>
      </c>
      <c r="E11" s="155" t="s">
        <v>116</v>
      </c>
      <c r="F11" s="155" t="s">
        <v>381</v>
      </c>
      <c r="G11" s="155" t="s">
        <v>381</v>
      </c>
      <c r="H11" s="156" t="n">
        <v>36557</v>
      </c>
      <c r="I11" s="155" t="s">
        <v>381</v>
      </c>
      <c r="J11" s="155" t="n">
        <v>22747</v>
      </c>
      <c r="K11" s="157" t="n">
        <v>2000</v>
      </c>
      <c r="L11" s="155" t="n">
        <v>0</v>
      </c>
      <c r="M11" s="157" t="n">
        <v>2000</v>
      </c>
      <c r="N11" s="155" t="n">
        <v>0</v>
      </c>
      <c r="O11" s="155" t="n">
        <v>0</v>
      </c>
      <c r="P11" s="155" t="n">
        <v>0</v>
      </c>
      <c r="Q11" s="155" t="s">
        <v>381</v>
      </c>
    </row>
    <row r="12" customFormat="false" ht="12.75" hidden="false" customHeight="false" outlineLevel="0" collapsed="false">
      <c r="B12" s="153"/>
      <c r="C12" s="153" t="s">
        <v>379</v>
      </c>
      <c r="D12" s="153" t="n">
        <v>62164</v>
      </c>
      <c r="E12" s="153" t="s">
        <v>116</v>
      </c>
      <c r="F12" s="153" t="s">
        <v>381</v>
      </c>
      <c r="G12" s="153" t="s">
        <v>381</v>
      </c>
      <c r="H12" s="154" t="n">
        <v>36557</v>
      </c>
      <c r="I12" s="154" t="n">
        <v>36891</v>
      </c>
      <c r="J12" s="153" t="n">
        <v>23652</v>
      </c>
      <c r="K12" s="158" t="n">
        <v>2000</v>
      </c>
      <c r="L12" s="153" t="n">
        <v>0</v>
      </c>
      <c r="M12" s="158" t="n">
        <v>2000</v>
      </c>
      <c r="N12" s="153" t="n">
        <v>0</v>
      </c>
      <c r="O12" s="153" t="n">
        <v>0</v>
      </c>
      <c r="P12" s="153" t="n">
        <v>0</v>
      </c>
      <c r="Q12" s="153" t="s">
        <v>381</v>
      </c>
    </row>
    <row r="13" customFormat="false" ht="12.75" hidden="false" customHeight="false" outlineLevel="0" collapsed="false">
      <c r="B13" s="155"/>
      <c r="C13" s="155" t="s">
        <v>379</v>
      </c>
      <c r="D13" s="155" t="n">
        <v>64034</v>
      </c>
      <c r="E13" s="155" t="s">
        <v>116</v>
      </c>
      <c r="F13" s="155" t="s">
        <v>381</v>
      </c>
      <c r="G13" s="155" t="s">
        <v>381</v>
      </c>
      <c r="H13" s="156" t="n">
        <v>36557</v>
      </c>
      <c r="I13" s="156" t="n">
        <v>36707</v>
      </c>
      <c r="J13" s="155" t="n">
        <v>25699</v>
      </c>
      <c r="K13" s="155" t="n">
        <v>911</v>
      </c>
      <c r="L13" s="155" t="n">
        <v>0</v>
      </c>
      <c r="M13" s="155" t="n">
        <v>911</v>
      </c>
      <c r="N13" s="155" t="n">
        <v>0</v>
      </c>
      <c r="O13" s="155" t="n">
        <v>0</v>
      </c>
      <c r="P13" s="155" t="n">
        <v>0</v>
      </c>
      <c r="Q13" s="155" t="s">
        <v>381</v>
      </c>
    </row>
    <row r="14" customFormat="false" ht="12.75" hidden="false" customHeight="false" outlineLevel="0" collapsed="false">
      <c r="B14" s="153"/>
      <c r="C14" s="153" t="s">
        <v>379</v>
      </c>
      <c r="D14" s="153" t="n">
        <v>64036</v>
      </c>
      <c r="E14" s="153" t="s">
        <v>116</v>
      </c>
      <c r="F14" s="153" t="s">
        <v>381</v>
      </c>
      <c r="G14" s="153" t="s">
        <v>381</v>
      </c>
      <c r="H14" s="154" t="n">
        <v>36557</v>
      </c>
      <c r="I14" s="154" t="n">
        <v>36707</v>
      </c>
      <c r="J14" s="153" t="n">
        <v>25712</v>
      </c>
      <c r="K14" s="153" t="n">
        <v>1</v>
      </c>
      <c r="L14" s="153" t="n">
        <v>0</v>
      </c>
      <c r="M14" s="153" t="n">
        <v>1</v>
      </c>
      <c r="N14" s="153" t="n">
        <v>0</v>
      </c>
      <c r="O14" s="153" t="n">
        <v>0</v>
      </c>
      <c r="P14" s="153" t="n">
        <v>0</v>
      </c>
      <c r="Q14" s="153" t="s">
        <v>381</v>
      </c>
    </row>
    <row r="15" customFormat="false" ht="12.75" hidden="false" customHeight="false" outlineLevel="0" collapsed="false">
      <c r="B15" s="155"/>
      <c r="C15" s="155" t="s">
        <v>379</v>
      </c>
      <c r="D15" s="155" t="n">
        <v>64328</v>
      </c>
      <c r="E15" s="155" t="s">
        <v>116</v>
      </c>
      <c r="F15" s="155" t="s">
        <v>381</v>
      </c>
      <c r="G15" s="155" t="s">
        <v>381</v>
      </c>
      <c r="H15" s="156" t="n">
        <v>36557</v>
      </c>
      <c r="I15" s="156" t="n">
        <v>36738</v>
      </c>
      <c r="J15" s="155" t="n">
        <v>25955</v>
      </c>
      <c r="K15" s="155" t="n">
        <v>51</v>
      </c>
      <c r="L15" s="155" t="n">
        <v>0</v>
      </c>
      <c r="M15" s="155" t="n">
        <v>51</v>
      </c>
      <c r="N15" s="155" t="n">
        <v>0</v>
      </c>
      <c r="O15" s="155" t="n">
        <v>0</v>
      </c>
      <c r="P15" s="155" t="n">
        <v>0</v>
      </c>
      <c r="Q15" s="155" t="s">
        <v>381</v>
      </c>
    </row>
    <row r="16" customFormat="false" ht="12.75" hidden="false" customHeight="false" outlineLevel="0" collapsed="false">
      <c r="B16" s="153"/>
      <c r="C16" s="153" t="s">
        <v>379</v>
      </c>
      <c r="D16" s="153" t="n">
        <v>64329</v>
      </c>
      <c r="E16" s="153" t="s">
        <v>116</v>
      </c>
      <c r="F16" s="153" t="s">
        <v>381</v>
      </c>
      <c r="G16" s="153" t="s">
        <v>381</v>
      </c>
      <c r="H16" s="154" t="n">
        <v>36557</v>
      </c>
      <c r="I16" s="154" t="n">
        <v>36738</v>
      </c>
      <c r="J16" s="153" t="n">
        <v>25965</v>
      </c>
      <c r="K16" s="153" t="n">
        <v>12</v>
      </c>
      <c r="L16" s="153" t="n">
        <v>0</v>
      </c>
      <c r="M16" s="153" t="n">
        <v>12</v>
      </c>
      <c r="N16" s="153" t="n">
        <v>0</v>
      </c>
      <c r="O16" s="153" t="n">
        <v>0</v>
      </c>
      <c r="P16" s="153" t="n">
        <v>0</v>
      </c>
      <c r="Q16" s="153" t="s">
        <v>381</v>
      </c>
    </row>
    <row r="17" customFormat="false" ht="12.75" hidden="false" customHeight="false" outlineLevel="0" collapsed="false">
      <c r="B17" s="155"/>
      <c r="C17" s="155" t="s">
        <v>379</v>
      </c>
      <c r="D17" s="155" t="n">
        <v>64356</v>
      </c>
      <c r="E17" s="155" t="s">
        <v>386</v>
      </c>
      <c r="F17" s="155" t="s">
        <v>387</v>
      </c>
      <c r="G17" s="155" t="s">
        <v>381</v>
      </c>
      <c r="H17" s="156" t="n">
        <v>36526</v>
      </c>
      <c r="I17" s="156" t="n">
        <v>36707</v>
      </c>
      <c r="J17" s="155" t="s">
        <v>381</v>
      </c>
      <c r="K17" s="157" t="n">
        <v>310000</v>
      </c>
      <c r="L17" s="155" t="n">
        <v>0</v>
      </c>
      <c r="M17" s="157" t="n">
        <v>310000</v>
      </c>
      <c r="N17" s="155" t="n">
        <v>0</v>
      </c>
      <c r="O17" s="155" t="n">
        <v>0</v>
      </c>
      <c r="P17" s="155" t="n">
        <v>0</v>
      </c>
      <c r="Q17" s="155"/>
    </row>
    <row r="18" customFormat="false" ht="12.75" hidden="false" customHeight="false" outlineLevel="0" collapsed="false">
      <c r="B18" s="153"/>
      <c r="C18" s="153" t="s">
        <v>379</v>
      </c>
      <c r="D18" s="153" t="n">
        <v>64651</v>
      </c>
      <c r="E18" s="153" t="s">
        <v>116</v>
      </c>
      <c r="F18" s="153" t="s">
        <v>381</v>
      </c>
      <c r="G18" s="153" t="s">
        <v>381</v>
      </c>
      <c r="H18" s="154" t="n">
        <v>36557</v>
      </c>
      <c r="I18" s="154" t="n">
        <v>36769</v>
      </c>
      <c r="J18" s="153" t="n">
        <v>26150</v>
      </c>
      <c r="K18" s="153" t="n">
        <v>64</v>
      </c>
      <c r="L18" s="153" t="n">
        <v>0</v>
      </c>
      <c r="M18" s="153" t="n">
        <v>64</v>
      </c>
      <c r="N18" s="153" t="n">
        <v>0</v>
      </c>
      <c r="O18" s="153" t="n">
        <v>0</v>
      </c>
      <c r="P18" s="153" t="n">
        <v>0</v>
      </c>
      <c r="Q18" s="153" t="s">
        <v>381</v>
      </c>
    </row>
    <row r="19" customFormat="false" ht="12.75" hidden="false" customHeight="false" outlineLevel="0" collapsed="false">
      <c r="B19" s="155"/>
      <c r="C19" s="155" t="s">
        <v>379</v>
      </c>
      <c r="D19" s="155" t="n">
        <v>64862</v>
      </c>
      <c r="E19" s="155" t="s">
        <v>116</v>
      </c>
      <c r="F19" s="155" t="s">
        <v>381</v>
      </c>
      <c r="G19" s="155" t="s">
        <v>381</v>
      </c>
      <c r="H19" s="156" t="n">
        <v>36557</v>
      </c>
      <c r="I19" s="156" t="n">
        <v>36799</v>
      </c>
      <c r="J19" s="155" t="n">
        <v>26503</v>
      </c>
      <c r="K19" s="155" t="n">
        <v>13</v>
      </c>
      <c r="L19" s="155" t="n">
        <v>0</v>
      </c>
      <c r="M19" s="155" t="n">
        <v>13</v>
      </c>
      <c r="N19" s="155" t="n">
        <v>0</v>
      </c>
      <c r="O19" s="155" t="n">
        <v>0</v>
      </c>
      <c r="P19" s="155" t="n">
        <v>0</v>
      </c>
      <c r="Q19" s="155" t="s">
        <v>381</v>
      </c>
    </row>
    <row r="20" customFormat="false" ht="12.75" hidden="false" customHeight="false" outlineLevel="0" collapsed="false">
      <c r="B20" s="153"/>
      <c r="C20" s="153" t="s">
        <v>379</v>
      </c>
      <c r="D20" s="153" t="n">
        <v>64939</v>
      </c>
      <c r="E20" s="153" t="s">
        <v>116</v>
      </c>
      <c r="F20" s="153" t="s">
        <v>381</v>
      </c>
      <c r="G20" s="153" t="s">
        <v>381</v>
      </c>
      <c r="H20" s="154" t="n">
        <v>36557</v>
      </c>
      <c r="I20" s="154" t="n">
        <v>36799</v>
      </c>
      <c r="J20" s="153" t="n">
        <v>26577</v>
      </c>
      <c r="K20" s="158" t="n">
        <v>2300</v>
      </c>
      <c r="L20" s="153" t="n">
        <v>0</v>
      </c>
      <c r="M20" s="158" t="n">
        <v>2300</v>
      </c>
      <c r="N20" s="153" t="n">
        <v>0</v>
      </c>
      <c r="O20" s="153" t="n">
        <v>0</v>
      </c>
      <c r="P20" s="153" t="n">
        <v>0</v>
      </c>
      <c r="Q20" s="153" t="s">
        <v>381</v>
      </c>
    </row>
    <row r="21" customFormat="false" ht="12.75" hidden="false" customHeight="false" outlineLevel="0" collapsed="false">
      <c r="B21" s="155"/>
      <c r="C21" s="155" t="s">
        <v>379</v>
      </c>
      <c r="D21" s="155" t="n">
        <v>65026</v>
      </c>
      <c r="E21" s="155" t="s">
        <v>116</v>
      </c>
      <c r="F21" s="155" t="s">
        <v>381</v>
      </c>
      <c r="G21" s="155" t="s">
        <v>381</v>
      </c>
      <c r="H21" s="156" t="n">
        <v>36557</v>
      </c>
      <c r="I21" s="156" t="n">
        <v>36830</v>
      </c>
      <c r="J21" s="155" t="n">
        <v>26726</v>
      </c>
      <c r="K21" s="155" t="n">
        <v>128</v>
      </c>
      <c r="L21" s="155" t="n">
        <v>0</v>
      </c>
      <c r="M21" s="155" t="n">
        <v>128</v>
      </c>
      <c r="N21" s="155" t="n">
        <v>0</v>
      </c>
      <c r="O21" s="155" t="n">
        <v>0</v>
      </c>
      <c r="P21" s="155" t="n">
        <v>0</v>
      </c>
      <c r="Q21" s="155" t="s">
        <v>381</v>
      </c>
    </row>
    <row r="22" customFormat="false" ht="12.75" hidden="false" customHeight="false" outlineLevel="0" collapsed="false">
      <c r="B22" s="153"/>
      <c r="C22" s="153" t="s">
        <v>379</v>
      </c>
      <c r="D22" s="153" t="n">
        <v>65041</v>
      </c>
      <c r="E22" s="153" t="s">
        <v>116</v>
      </c>
      <c r="F22" s="153" t="s">
        <v>381</v>
      </c>
      <c r="G22" s="153" t="s">
        <v>381</v>
      </c>
      <c r="H22" s="154" t="n">
        <v>36557</v>
      </c>
      <c r="I22" s="154" t="n">
        <v>36830</v>
      </c>
      <c r="J22" s="153" t="n">
        <v>26754</v>
      </c>
      <c r="K22" s="158" t="n">
        <v>9619</v>
      </c>
      <c r="L22" s="153" t="n">
        <v>0</v>
      </c>
      <c r="M22" s="158" t="n">
        <v>9619</v>
      </c>
      <c r="N22" s="153" t="n">
        <v>0</v>
      </c>
      <c r="O22" s="153" t="n">
        <v>0</v>
      </c>
      <c r="P22" s="153" t="n">
        <v>0</v>
      </c>
      <c r="Q22" s="153" t="s">
        <v>381</v>
      </c>
    </row>
    <row r="23" customFormat="false" ht="12.75" hidden="false" customHeight="false" outlineLevel="0" collapsed="false">
      <c r="B23" s="155"/>
      <c r="C23" s="155" t="s">
        <v>379</v>
      </c>
      <c r="D23" s="155" t="n">
        <v>65042</v>
      </c>
      <c r="E23" s="155" t="s">
        <v>116</v>
      </c>
      <c r="F23" s="155" t="s">
        <v>381</v>
      </c>
      <c r="G23" s="155" t="s">
        <v>381</v>
      </c>
      <c r="H23" s="156" t="n">
        <v>36557</v>
      </c>
      <c r="I23" s="156" t="n">
        <v>36830</v>
      </c>
      <c r="J23" s="155" t="n">
        <v>26753</v>
      </c>
      <c r="K23" s="157" t="n">
        <v>4427</v>
      </c>
      <c r="L23" s="155" t="n">
        <v>0</v>
      </c>
      <c r="M23" s="157" t="n">
        <v>4427</v>
      </c>
      <c r="N23" s="155" t="n">
        <v>0</v>
      </c>
      <c r="O23" s="155" t="n">
        <v>0</v>
      </c>
      <c r="P23" s="155" t="n">
        <v>0</v>
      </c>
      <c r="Q23" s="155" t="s">
        <v>381</v>
      </c>
    </row>
    <row r="24" customFormat="false" ht="12.75" hidden="false" customHeight="false" outlineLevel="0" collapsed="false">
      <c r="B24" s="153"/>
      <c r="C24" s="153" t="s">
        <v>379</v>
      </c>
      <c r="D24" s="153" t="n">
        <v>65071</v>
      </c>
      <c r="E24" s="153" t="s">
        <v>116</v>
      </c>
      <c r="F24" s="153" t="s">
        <v>381</v>
      </c>
      <c r="G24" s="153" t="s">
        <v>381</v>
      </c>
      <c r="H24" s="154" t="n">
        <v>36557</v>
      </c>
      <c r="I24" s="154" t="n">
        <v>36830</v>
      </c>
      <c r="J24" s="153" t="n">
        <v>26782</v>
      </c>
      <c r="K24" s="158" t="n">
        <v>7429</v>
      </c>
      <c r="L24" s="153" t="n">
        <v>0</v>
      </c>
      <c r="M24" s="158" t="n">
        <v>7035</v>
      </c>
      <c r="N24" s="153" t="n">
        <v>394</v>
      </c>
      <c r="O24" s="153" t="n">
        <v>0</v>
      </c>
      <c r="P24" s="153" t="n">
        <v>0</v>
      </c>
      <c r="Q24" s="153" t="s">
        <v>381</v>
      </c>
    </row>
    <row r="25" customFormat="false" ht="12.75" hidden="false" customHeight="false" outlineLevel="0" collapsed="false">
      <c r="B25" s="155"/>
      <c r="C25" s="155" t="s">
        <v>379</v>
      </c>
      <c r="D25" s="155" t="n">
        <v>65108</v>
      </c>
      <c r="E25" s="155" t="s">
        <v>116</v>
      </c>
      <c r="F25" s="155" t="s">
        <v>381</v>
      </c>
      <c r="G25" s="155" t="s">
        <v>381</v>
      </c>
      <c r="H25" s="156" t="n">
        <v>36557</v>
      </c>
      <c r="I25" s="156" t="n">
        <v>37011</v>
      </c>
      <c r="J25" s="155" t="s">
        <v>381</v>
      </c>
      <c r="K25" s="157" t="n">
        <v>5000</v>
      </c>
      <c r="L25" s="155" t="n">
        <v>0</v>
      </c>
      <c r="M25" s="157" t="n">
        <v>5000</v>
      </c>
      <c r="N25" s="155" t="n">
        <v>0</v>
      </c>
      <c r="O25" s="155" t="n">
        <v>0</v>
      </c>
      <c r="P25" s="155" t="n">
        <v>0</v>
      </c>
      <c r="Q25" s="155" t="s">
        <v>381</v>
      </c>
    </row>
    <row r="26" customFormat="false" ht="12.75" hidden="false" customHeight="false" outlineLevel="0" collapsed="false">
      <c r="B26" s="153"/>
      <c r="C26" s="153" t="s">
        <v>379</v>
      </c>
      <c r="D26" s="153" t="n">
        <v>65402</v>
      </c>
      <c r="E26" s="153" t="s">
        <v>116</v>
      </c>
      <c r="F26" s="153" t="s">
        <v>381</v>
      </c>
      <c r="G26" s="153" t="s">
        <v>381</v>
      </c>
      <c r="H26" s="154" t="n">
        <v>36557</v>
      </c>
      <c r="I26" s="154" t="n">
        <v>36830</v>
      </c>
      <c r="J26" s="153" t="n">
        <v>26694</v>
      </c>
      <c r="K26" s="158" t="n">
        <v>20000</v>
      </c>
      <c r="L26" s="153" t="n">
        <v>0</v>
      </c>
      <c r="M26" s="153" t="n">
        <v>0</v>
      </c>
      <c r="N26" s="158" t="n">
        <v>20000</v>
      </c>
      <c r="O26" s="153" t="n">
        <v>0</v>
      </c>
      <c r="P26" s="153" t="n">
        <v>0</v>
      </c>
      <c r="Q26" s="153" t="s">
        <v>381</v>
      </c>
    </row>
    <row r="27" customFormat="false" ht="12.75" hidden="false" customHeight="false" outlineLevel="0" collapsed="false">
      <c r="B27" s="155"/>
      <c r="C27" s="155" t="s">
        <v>379</v>
      </c>
      <c r="D27" s="155" t="n">
        <v>65403</v>
      </c>
      <c r="E27" s="155" t="s">
        <v>116</v>
      </c>
      <c r="F27" s="155" t="s">
        <v>381</v>
      </c>
      <c r="G27" s="155" t="s">
        <v>381</v>
      </c>
      <c r="H27" s="156" t="n">
        <v>36557</v>
      </c>
      <c r="I27" s="156" t="n">
        <v>37011</v>
      </c>
      <c r="J27" s="155" t="n">
        <v>26714</v>
      </c>
      <c r="K27" s="157" t="n">
        <v>19293</v>
      </c>
      <c r="L27" s="155" t="n">
        <v>0</v>
      </c>
      <c r="M27" s="157" t="n">
        <v>19293</v>
      </c>
      <c r="N27" s="155" t="n">
        <v>0</v>
      </c>
      <c r="O27" s="155" t="n">
        <v>0</v>
      </c>
      <c r="P27" s="155" t="n">
        <v>0</v>
      </c>
      <c r="Q27" s="155" t="s">
        <v>381</v>
      </c>
    </row>
    <row r="28" customFormat="false" ht="12.75" hidden="false" customHeight="false" outlineLevel="0" collapsed="false">
      <c r="B28" s="153"/>
      <c r="C28" s="153" t="s">
        <v>379</v>
      </c>
      <c r="D28" s="153" t="n">
        <v>65418</v>
      </c>
      <c r="E28" s="153" t="s">
        <v>116</v>
      </c>
      <c r="F28" s="153" t="s">
        <v>381</v>
      </c>
      <c r="G28" s="153" t="s">
        <v>381</v>
      </c>
      <c r="H28" s="154" t="n">
        <v>36557</v>
      </c>
      <c r="I28" s="153" t="s">
        <v>381</v>
      </c>
      <c r="J28" s="153" t="n">
        <v>26722</v>
      </c>
      <c r="K28" s="153" t="n">
        <v>500</v>
      </c>
      <c r="L28" s="153" t="n">
        <v>0</v>
      </c>
      <c r="M28" s="153" t="n">
        <v>500</v>
      </c>
      <c r="N28" s="153" t="n">
        <v>0</v>
      </c>
      <c r="O28" s="153" t="n">
        <v>0</v>
      </c>
      <c r="P28" s="153" t="n">
        <v>0</v>
      </c>
      <c r="Q28" s="153" t="s">
        <v>381</v>
      </c>
    </row>
    <row r="29" customFormat="false" ht="12.75" hidden="false" customHeight="false" outlineLevel="0" collapsed="false">
      <c r="B29" s="155"/>
      <c r="C29" s="155" t="s">
        <v>379</v>
      </c>
      <c r="D29" s="155" t="n">
        <v>65556</v>
      </c>
      <c r="E29" s="155" t="s">
        <v>116</v>
      </c>
      <c r="F29" s="155" t="s">
        <v>381</v>
      </c>
      <c r="G29" s="155" t="s">
        <v>381</v>
      </c>
      <c r="H29" s="156" t="n">
        <v>36557</v>
      </c>
      <c r="I29" s="156" t="n">
        <v>36860</v>
      </c>
      <c r="J29" s="155" t="n">
        <v>27127</v>
      </c>
      <c r="K29" s="155" t="n">
        <v>3</v>
      </c>
      <c r="L29" s="155" t="n">
        <v>0</v>
      </c>
      <c r="M29" s="155" t="n">
        <v>3</v>
      </c>
      <c r="N29" s="155" t="n">
        <v>0</v>
      </c>
      <c r="O29" s="155" t="n">
        <v>0</v>
      </c>
      <c r="P29" s="155" t="n">
        <v>0</v>
      </c>
      <c r="Q29" s="155" t="s">
        <v>381</v>
      </c>
    </row>
    <row r="30" customFormat="false" ht="12.75" hidden="false" customHeight="false" outlineLevel="0" collapsed="false">
      <c r="B30" s="153"/>
      <c r="C30" s="153" t="s">
        <v>379</v>
      </c>
      <c r="D30" s="153" t="n">
        <v>66280</v>
      </c>
      <c r="E30" s="153" t="s">
        <v>116</v>
      </c>
      <c r="F30" s="153" t="s">
        <v>381</v>
      </c>
      <c r="G30" s="153" t="s">
        <v>381</v>
      </c>
      <c r="H30" s="154" t="n">
        <v>36557</v>
      </c>
      <c r="I30" s="154" t="n">
        <v>36922</v>
      </c>
      <c r="J30" s="153" t="n">
        <v>27772</v>
      </c>
      <c r="K30" s="153" t="n">
        <v>5</v>
      </c>
      <c r="L30" s="153" t="n">
        <v>0</v>
      </c>
      <c r="M30" s="153" t="n">
        <v>5</v>
      </c>
      <c r="N30" s="153" t="n">
        <v>0</v>
      </c>
      <c r="O30" s="153" t="n">
        <v>0</v>
      </c>
      <c r="P30" s="153" t="n">
        <v>0</v>
      </c>
      <c r="Q30" s="153" t="s">
        <v>381</v>
      </c>
    </row>
    <row r="31" customFormat="false" ht="12.75" hidden="false" customHeight="false" outlineLevel="0" collapsed="false">
      <c r="B31" s="155"/>
      <c r="C31" s="155" t="s">
        <v>379</v>
      </c>
      <c r="D31" s="155" t="n">
        <v>66917</v>
      </c>
      <c r="E31" s="155" t="s">
        <v>341</v>
      </c>
      <c r="F31" s="155" t="s">
        <v>381</v>
      </c>
      <c r="G31" s="155" t="s">
        <v>381</v>
      </c>
      <c r="H31" s="156" t="n">
        <v>36617</v>
      </c>
      <c r="I31" s="155" t="s">
        <v>381</v>
      </c>
      <c r="J31" s="155" t="s">
        <v>381</v>
      </c>
      <c r="K31" s="157" t="n">
        <v>50000</v>
      </c>
      <c r="L31" s="155" t="n">
        <v>0</v>
      </c>
      <c r="M31" s="157" t="n">
        <v>50000</v>
      </c>
      <c r="N31" s="155" t="n">
        <v>0</v>
      </c>
      <c r="O31" s="155" t="n">
        <v>0</v>
      </c>
      <c r="P31" s="155" t="n">
        <v>0</v>
      </c>
      <c r="Q31" s="155" t="s">
        <v>381</v>
      </c>
    </row>
    <row r="32" customFormat="false" ht="12.75" hidden="false" customHeight="false" outlineLevel="0" collapsed="false">
      <c r="B32" s="153"/>
      <c r="C32" s="153" t="s">
        <v>379</v>
      </c>
      <c r="D32" s="153" t="n">
        <v>66930</v>
      </c>
      <c r="E32" s="153" t="s">
        <v>116</v>
      </c>
      <c r="F32" s="153" t="s">
        <v>381</v>
      </c>
      <c r="G32" s="153" t="s">
        <v>381</v>
      </c>
      <c r="H32" s="154" t="n">
        <v>36617</v>
      </c>
      <c r="I32" s="154" t="n">
        <v>36981</v>
      </c>
      <c r="J32" s="153" t="n">
        <v>28188</v>
      </c>
      <c r="K32" s="158" t="n">
        <v>4000</v>
      </c>
      <c r="L32" s="153" t="n">
        <v>0</v>
      </c>
      <c r="M32" s="158" t="n">
        <v>4000</v>
      </c>
      <c r="N32" s="153" t="n">
        <v>0</v>
      </c>
      <c r="O32" s="153" t="n">
        <v>0</v>
      </c>
      <c r="P32" s="153" t="n">
        <v>0</v>
      </c>
      <c r="Q32" s="153" t="s">
        <v>381</v>
      </c>
    </row>
    <row r="33" customFormat="false" ht="12.75" hidden="false" customHeight="false" outlineLevel="0" collapsed="false">
      <c r="B33" s="155"/>
      <c r="C33" s="155" t="s">
        <v>379</v>
      </c>
      <c r="D33" s="155" t="n">
        <v>66931</v>
      </c>
      <c r="E33" s="155" t="s">
        <v>116</v>
      </c>
      <c r="F33" s="155" t="s">
        <v>381</v>
      </c>
      <c r="G33" s="155" t="s">
        <v>381</v>
      </c>
      <c r="H33" s="156" t="n">
        <v>36617</v>
      </c>
      <c r="I33" s="156" t="n">
        <v>36981</v>
      </c>
      <c r="J33" s="155" t="n">
        <v>28189</v>
      </c>
      <c r="K33" s="157" t="n">
        <v>4000</v>
      </c>
      <c r="L33" s="155" t="n">
        <v>0</v>
      </c>
      <c r="M33" s="157" t="n">
        <v>4000</v>
      </c>
      <c r="N33" s="155" t="n">
        <v>0</v>
      </c>
      <c r="O33" s="155" t="n">
        <v>0</v>
      </c>
      <c r="P33" s="155" t="n">
        <v>0</v>
      </c>
      <c r="Q33" s="155" t="s">
        <v>381</v>
      </c>
    </row>
    <row r="34" customFormat="false" ht="12.75" hidden="false" customHeight="false" outlineLevel="0" collapsed="false">
      <c r="B34" s="153"/>
      <c r="C34" s="153" t="s">
        <v>379</v>
      </c>
      <c r="D34" s="153" t="n">
        <v>66932</v>
      </c>
      <c r="E34" s="153" t="s">
        <v>116</v>
      </c>
      <c r="F34" s="153" t="s">
        <v>381</v>
      </c>
      <c r="G34" s="153" t="s">
        <v>381</v>
      </c>
      <c r="H34" s="154" t="n">
        <v>36617</v>
      </c>
      <c r="I34" s="154" t="n">
        <v>36981</v>
      </c>
      <c r="J34" s="153" t="n">
        <v>28176</v>
      </c>
      <c r="K34" s="158" t="n">
        <v>4000</v>
      </c>
      <c r="L34" s="153" t="n">
        <v>0</v>
      </c>
      <c r="M34" s="158" t="n">
        <v>4000</v>
      </c>
      <c r="N34" s="153" t="n">
        <v>0</v>
      </c>
      <c r="O34" s="153" t="n">
        <v>0</v>
      </c>
      <c r="P34" s="153" t="n">
        <v>0</v>
      </c>
      <c r="Q34" s="153" t="s">
        <v>381</v>
      </c>
    </row>
    <row r="35" customFormat="false" ht="12.75" hidden="false" customHeight="false" outlineLevel="0" collapsed="false">
      <c r="B35" s="155"/>
      <c r="C35" s="155" t="s">
        <v>379</v>
      </c>
      <c r="D35" s="155" t="n">
        <v>66939</v>
      </c>
      <c r="E35" s="155" t="s">
        <v>116</v>
      </c>
      <c r="F35" s="155" t="s">
        <v>381</v>
      </c>
      <c r="G35" s="155" t="s">
        <v>381</v>
      </c>
      <c r="H35" s="156" t="n">
        <v>36617</v>
      </c>
      <c r="I35" s="156" t="n">
        <v>36981</v>
      </c>
      <c r="J35" s="155" t="n">
        <v>28332</v>
      </c>
      <c r="K35" s="155" t="n">
        <v>52</v>
      </c>
      <c r="L35" s="155" t="n">
        <v>0</v>
      </c>
      <c r="M35" s="155" t="n">
        <v>52</v>
      </c>
      <c r="N35" s="155" t="n">
        <v>0</v>
      </c>
      <c r="O35" s="155" t="n">
        <v>0</v>
      </c>
      <c r="P35" s="155" t="n">
        <v>0</v>
      </c>
      <c r="Q35" s="155" t="s">
        <v>381</v>
      </c>
    </row>
    <row r="36" customFormat="false" ht="12.75" hidden="false" customHeight="false" outlineLevel="0" collapsed="false">
      <c r="B36" s="153"/>
      <c r="C36" s="153" t="s">
        <v>379</v>
      </c>
      <c r="D36" s="153" t="n">
        <v>66940</v>
      </c>
      <c r="E36" s="153" t="s">
        <v>116</v>
      </c>
      <c r="F36" s="153" t="s">
        <v>381</v>
      </c>
      <c r="G36" s="153" t="s">
        <v>381</v>
      </c>
      <c r="H36" s="154" t="n">
        <v>36617</v>
      </c>
      <c r="I36" s="154" t="n">
        <v>36981</v>
      </c>
      <c r="J36" s="153" t="n">
        <v>28331</v>
      </c>
      <c r="K36" s="153" t="n">
        <v>2</v>
      </c>
      <c r="L36" s="153" t="n">
        <v>0</v>
      </c>
      <c r="M36" s="153" t="n">
        <v>2</v>
      </c>
      <c r="N36" s="153" t="n">
        <v>0</v>
      </c>
      <c r="O36" s="153" t="n">
        <v>0</v>
      </c>
      <c r="P36" s="153" t="n">
        <v>0</v>
      </c>
      <c r="Q36" s="153" t="s">
        <v>381</v>
      </c>
    </row>
    <row r="37" customFormat="false" ht="12.75" hidden="false" customHeight="false" outlineLevel="0" collapsed="false">
      <c r="B37" s="155"/>
      <c r="C37" s="155" t="s">
        <v>379</v>
      </c>
      <c r="D37" s="155" t="n">
        <v>66965</v>
      </c>
      <c r="E37" s="155" t="s">
        <v>305</v>
      </c>
      <c r="F37" s="155" t="s">
        <v>381</v>
      </c>
      <c r="G37" s="155" t="s">
        <v>381</v>
      </c>
      <c r="H37" s="156" t="n">
        <v>36617</v>
      </c>
      <c r="I37" s="156" t="n">
        <v>36830</v>
      </c>
      <c r="J37" s="155" t="n">
        <v>28226</v>
      </c>
      <c r="K37" s="157" t="n">
        <v>20000</v>
      </c>
      <c r="L37" s="155" t="n">
        <v>0</v>
      </c>
      <c r="M37" s="157" t="n">
        <v>20000</v>
      </c>
      <c r="N37" s="155" t="n">
        <v>0</v>
      </c>
      <c r="O37" s="155" t="n">
        <v>0</v>
      </c>
      <c r="P37" s="155" t="n">
        <v>0</v>
      </c>
      <c r="Q37" s="155" t="s">
        <v>381</v>
      </c>
    </row>
    <row r="38" customFormat="false" ht="12.75" hidden="false" customHeight="false" outlineLevel="0" collapsed="false">
      <c r="B38" s="153"/>
      <c r="C38" s="153" t="s">
        <v>379</v>
      </c>
      <c r="D38" s="153" t="n">
        <v>67693</v>
      </c>
      <c r="E38" s="153" t="s">
        <v>305</v>
      </c>
      <c r="F38" s="153" t="s">
        <v>381</v>
      </c>
      <c r="G38" s="153" t="s">
        <v>381</v>
      </c>
      <c r="H38" s="154" t="n">
        <v>36617</v>
      </c>
      <c r="I38" s="154" t="n">
        <v>36799</v>
      </c>
      <c r="J38" s="153" t="n">
        <v>28390</v>
      </c>
      <c r="K38" s="158" t="n">
        <v>54327</v>
      </c>
      <c r="L38" s="153" t="n">
        <v>0</v>
      </c>
      <c r="M38" s="158" t="n">
        <v>29827</v>
      </c>
      <c r="N38" s="158" t="n">
        <v>24500</v>
      </c>
      <c r="O38" s="153" t="n">
        <v>0</v>
      </c>
      <c r="P38" s="153" t="n">
        <v>0</v>
      </c>
      <c r="Q38" s="153" t="s">
        <v>381</v>
      </c>
    </row>
    <row r="39" customFormat="false" ht="12.75" hidden="false" customHeight="false" outlineLevel="0" collapsed="false">
      <c r="B39" s="155"/>
      <c r="C39" s="155" t="s">
        <v>379</v>
      </c>
      <c r="D39" s="155" t="n">
        <v>67712</v>
      </c>
      <c r="E39" s="155" t="s">
        <v>286</v>
      </c>
      <c r="F39" s="155" t="s">
        <v>381</v>
      </c>
      <c r="G39" s="155" t="s">
        <v>381</v>
      </c>
      <c r="H39" s="156" t="n">
        <v>36617</v>
      </c>
      <c r="I39" s="156" t="n">
        <v>36981</v>
      </c>
      <c r="J39" s="155" t="n">
        <v>28389</v>
      </c>
      <c r="K39" s="157" t="n">
        <v>108648</v>
      </c>
      <c r="L39" s="157" t="n">
        <v>6050607</v>
      </c>
      <c r="M39" s="157" t="n">
        <v>108648</v>
      </c>
      <c r="N39" s="155" t="n">
        <v>0</v>
      </c>
      <c r="O39" s="155" t="n">
        <v>0</v>
      </c>
      <c r="P39" s="155" t="n">
        <v>0</v>
      </c>
      <c r="Q39" s="155" t="n">
        <v>67713</v>
      </c>
    </row>
    <row r="40" customFormat="false" ht="12.75" hidden="false" customHeight="false" outlineLevel="0" collapsed="false">
      <c r="B40" s="153"/>
      <c r="C40" s="153" t="s">
        <v>379</v>
      </c>
      <c r="D40" s="153" t="n">
        <v>67713</v>
      </c>
      <c r="E40" s="153" t="s">
        <v>286</v>
      </c>
      <c r="F40" s="153" t="s">
        <v>381</v>
      </c>
      <c r="G40" s="153" t="s">
        <v>381</v>
      </c>
      <c r="H40" s="154" t="n">
        <v>36617</v>
      </c>
      <c r="I40" s="154" t="n">
        <v>36981</v>
      </c>
      <c r="J40" s="153" t="n">
        <v>28389</v>
      </c>
      <c r="K40" s="158" t="n">
        <v>108648</v>
      </c>
      <c r="L40" s="158" t="n">
        <v>6050607</v>
      </c>
      <c r="M40" s="158" t="n">
        <v>108648</v>
      </c>
      <c r="N40" s="153" t="n">
        <v>0</v>
      </c>
      <c r="O40" s="153" t="n">
        <v>0</v>
      </c>
      <c r="P40" s="153" t="n">
        <v>0</v>
      </c>
      <c r="Q40" s="153" t="n">
        <v>67713</v>
      </c>
    </row>
    <row r="41" customFormat="false" ht="12.75" hidden="false" customHeight="false" outlineLevel="0" collapsed="false">
      <c r="B41" s="155"/>
      <c r="C41" s="155" t="s">
        <v>379</v>
      </c>
      <c r="D41" s="155" t="n">
        <v>68188</v>
      </c>
      <c r="E41" s="155" t="s">
        <v>116</v>
      </c>
      <c r="F41" s="155" t="s">
        <v>381</v>
      </c>
      <c r="G41" s="155" t="s">
        <v>381</v>
      </c>
      <c r="H41" s="156" t="n">
        <v>36647</v>
      </c>
      <c r="I41" s="156" t="n">
        <v>37011</v>
      </c>
      <c r="J41" s="155" t="n">
        <v>28742</v>
      </c>
      <c r="K41" s="155" t="n">
        <v>1</v>
      </c>
      <c r="L41" s="155" t="n">
        <v>0</v>
      </c>
      <c r="M41" s="155" t="n">
        <v>1</v>
      </c>
      <c r="N41" s="155" t="n">
        <v>0</v>
      </c>
      <c r="O41" s="155" t="n">
        <v>0</v>
      </c>
      <c r="P41" s="155" t="n">
        <v>0</v>
      </c>
      <c r="Q41" s="155" t="s">
        <v>381</v>
      </c>
    </row>
    <row r="42" customFormat="false" ht="12.75" hidden="false" customHeight="false" outlineLevel="0" collapsed="false">
      <c r="B42" s="153"/>
      <c r="C42" s="153" t="s">
        <v>379</v>
      </c>
      <c r="D42" s="153" t="n">
        <v>68257</v>
      </c>
      <c r="E42" s="153" t="s">
        <v>116</v>
      </c>
      <c r="F42" s="153" t="s">
        <v>381</v>
      </c>
      <c r="G42" s="153" t="s">
        <v>381</v>
      </c>
      <c r="H42" s="154" t="n">
        <v>36647</v>
      </c>
      <c r="I42" s="154" t="n">
        <v>37011</v>
      </c>
      <c r="J42" s="153" t="n">
        <v>28631</v>
      </c>
      <c r="K42" s="153" t="n">
        <v>21</v>
      </c>
      <c r="L42" s="153" t="n">
        <v>0</v>
      </c>
      <c r="M42" s="153" t="n">
        <v>21</v>
      </c>
      <c r="N42" s="153" t="n">
        <v>0</v>
      </c>
      <c r="O42" s="153" t="n">
        <v>0</v>
      </c>
      <c r="P42" s="153" t="n">
        <v>0</v>
      </c>
      <c r="Q42" s="153"/>
    </row>
    <row r="43" customFormat="false" ht="12.75" hidden="false" customHeight="false" outlineLevel="0" collapsed="false">
      <c r="B43" s="155"/>
      <c r="C43" s="155" t="s">
        <v>379</v>
      </c>
      <c r="D43" s="155" t="n">
        <v>68308</v>
      </c>
      <c r="E43" s="155" t="s">
        <v>116</v>
      </c>
      <c r="F43" s="155" t="s">
        <v>381</v>
      </c>
      <c r="G43" s="155" t="s">
        <v>381</v>
      </c>
      <c r="H43" s="156" t="n">
        <v>36656</v>
      </c>
      <c r="I43" s="156" t="n">
        <v>36950</v>
      </c>
      <c r="J43" s="155" t="n">
        <v>28864</v>
      </c>
      <c r="K43" s="155" t="n">
        <v>9</v>
      </c>
      <c r="L43" s="155" t="n">
        <v>0</v>
      </c>
      <c r="M43" s="155" t="n">
        <v>9</v>
      </c>
      <c r="N43" s="155" t="n">
        <v>0</v>
      </c>
      <c r="O43" s="155" t="n">
        <v>0</v>
      </c>
      <c r="P43" s="155" t="n">
        <v>0</v>
      </c>
      <c r="Q43" s="155" t="s">
        <v>381</v>
      </c>
    </row>
    <row r="44" customFormat="false" ht="12.75" hidden="false" customHeight="false" outlineLevel="0" collapsed="false">
      <c r="B44" s="153"/>
      <c r="C44" s="153" t="s">
        <v>379</v>
      </c>
      <c r="D44" s="153" t="n">
        <v>68359</v>
      </c>
      <c r="E44" s="153" t="s">
        <v>116</v>
      </c>
      <c r="F44" s="153" t="s">
        <v>381</v>
      </c>
      <c r="G44" s="153" t="s">
        <v>381</v>
      </c>
      <c r="H44" s="154" t="n">
        <v>36678</v>
      </c>
      <c r="I44" s="154" t="n">
        <v>37042</v>
      </c>
      <c r="J44" s="153" t="n">
        <v>28933</v>
      </c>
      <c r="K44" s="153" t="n">
        <v>285</v>
      </c>
      <c r="L44" s="153" t="n">
        <v>0</v>
      </c>
      <c r="M44" s="153" t="n">
        <v>285</v>
      </c>
      <c r="N44" s="153" t="n">
        <v>0</v>
      </c>
      <c r="O44" s="153" t="n">
        <v>0</v>
      </c>
      <c r="P44" s="153" t="n">
        <v>0</v>
      </c>
      <c r="Q44" s="153" t="s">
        <v>381</v>
      </c>
    </row>
    <row r="45" customFormat="false" ht="12.75" hidden="false" customHeight="false" outlineLevel="0" collapsed="false">
      <c r="B45" s="155"/>
      <c r="C45" s="155" t="s">
        <v>379</v>
      </c>
      <c r="D45" s="155" t="n">
        <v>68384</v>
      </c>
      <c r="E45" s="155" t="s">
        <v>116</v>
      </c>
      <c r="F45" s="155" t="s">
        <v>381</v>
      </c>
      <c r="G45" s="155" t="s">
        <v>381</v>
      </c>
      <c r="H45" s="156" t="n">
        <v>36678</v>
      </c>
      <c r="I45" s="156" t="n">
        <v>37042</v>
      </c>
      <c r="J45" s="155" t="n">
        <v>28962</v>
      </c>
      <c r="K45" s="155" t="n">
        <v>218</v>
      </c>
      <c r="L45" s="155" t="n">
        <v>0</v>
      </c>
      <c r="M45" s="155" t="n">
        <v>218</v>
      </c>
      <c r="N45" s="155" t="n">
        <v>0</v>
      </c>
      <c r="O45" s="155" t="n">
        <v>0</v>
      </c>
      <c r="P45" s="155" t="n">
        <v>0</v>
      </c>
      <c r="Q45" s="155" t="s">
        <v>381</v>
      </c>
    </row>
    <row r="46" customFormat="false" ht="12.75" hidden="false" customHeight="false" outlineLevel="0" collapsed="false">
      <c r="B46" s="153"/>
      <c r="C46" s="153" t="s">
        <v>379</v>
      </c>
      <c r="D46" s="153" t="n">
        <v>68443</v>
      </c>
      <c r="E46" s="153" t="s">
        <v>305</v>
      </c>
      <c r="F46" s="153" t="s">
        <v>381</v>
      </c>
      <c r="G46" s="153" t="s">
        <v>381</v>
      </c>
      <c r="H46" s="154" t="n">
        <v>36678</v>
      </c>
      <c r="I46" s="154" t="n">
        <v>36707</v>
      </c>
      <c r="J46" s="153" t="n">
        <v>29005</v>
      </c>
      <c r="K46" s="158" t="n">
        <v>10000</v>
      </c>
      <c r="L46" s="153" t="n">
        <v>0</v>
      </c>
      <c r="M46" s="158" t="n">
        <v>10000</v>
      </c>
      <c r="N46" s="153" t="n">
        <v>0</v>
      </c>
      <c r="O46" s="153" t="n">
        <v>0</v>
      </c>
      <c r="P46" s="153" t="n">
        <v>0</v>
      </c>
      <c r="Q46" s="153" t="s">
        <v>381</v>
      </c>
    </row>
    <row r="47" customFormat="false" ht="12.75" hidden="false" customHeight="false" outlineLevel="0" collapsed="false">
      <c r="B47" s="155"/>
      <c r="C47" s="155" t="s">
        <v>379</v>
      </c>
      <c r="D47" s="155" t="n">
        <v>68447</v>
      </c>
      <c r="E47" s="155" t="s">
        <v>116</v>
      </c>
      <c r="F47" s="155" t="s">
        <v>381</v>
      </c>
      <c r="G47" s="155" t="s">
        <v>381</v>
      </c>
      <c r="H47" s="156" t="n">
        <v>36678</v>
      </c>
      <c r="I47" s="156" t="n">
        <v>36707</v>
      </c>
      <c r="J47" s="155" t="n">
        <v>29095</v>
      </c>
      <c r="K47" s="157" t="n">
        <v>7500</v>
      </c>
      <c r="L47" s="155" t="n">
        <v>0</v>
      </c>
      <c r="M47" s="157" t="n">
        <v>7500</v>
      </c>
      <c r="N47" s="155" t="n">
        <v>0</v>
      </c>
      <c r="O47" s="155" t="n">
        <v>0</v>
      </c>
      <c r="P47" s="155" t="n">
        <v>0</v>
      </c>
      <c r="Q47" s="155" t="s">
        <v>381</v>
      </c>
    </row>
    <row r="48" customFormat="false" ht="38.25" hidden="false" customHeight="false" outlineLevel="0" collapsed="false">
      <c r="B48" s="153"/>
      <c r="C48" s="153" t="s">
        <v>388</v>
      </c>
      <c r="D48" s="153" t="n">
        <v>37393</v>
      </c>
      <c r="E48" s="153" t="s">
        <v>389</v>
      </c>
      <c r="F48" s="153" t="s">
        <v>381</v>
      </c>
      <c r="G48" s="153" t="s">
        <v>381</v>
      </c>
      <c r="H48" s="154" t="n">
        <v>34274</v>
      </c>
      <c r="I48" s="153" t="s">
        <v>381</v>
      </c>
      <c r="J48" s="153" t="s">
        <v>381</v>
      </c>
      <c r="K48" s="158" t="n">
        <v>20000</v>
      </c>
      <c r="L48" s="153" t="n">
        <v>0</v>
      </c>
      <c r="M48" s="158" t="n">
        <v>20000</v>
      </c>
      <c r="N48" s="153" t="n">
        <v>0</v>
      </c>
      <c r="O48" s="153" t="n">
        <v>0</v>
      </c>
      <c r="P48" s="153" t="n">
        <v>0</v>
      </c>
      <c r="Q48" s="153" t="s">
        <v>381</v>
      </c>
    </row>
    <row r="49" customFormat="false" ht="38.25" hidden="false" customHeight="false" outlineLevel="0" collapsed="false">
      <c r="B49" s="155"/>
      <c r="C49" s="155" t="s">
        <v>388</v>
      </c>
      <c r="D49" s="155" t="n">
        <v>37556</v>
      </c>
      <c r="E49" s="155" t="s">
        <v>390</v>
      </c>
      <c r="F49" s="155" t="s">
        <v>381</v>
      </c>
      <c r="G49" s="155" t="s">
        <v>381</v>
      </c>
      <c r="H49" s="156" t="n">
        <v>34274</v>
      </c>
      <c r="I49" s="155" t="s">
        <v>381</v>
      </c>
      <c r="J49" s="155" t="s">
        <v>381</v>
      </c>
      <c r="K49" s="157" t="n">
        <v>300000</v>
      </c>
      <c r="L49" s="155" t="n">
        <v>0</v>
      </c>
      <c r="M49" s="157" t="n">
        <v>300000</v>
      </c>
      <c r="N49" s="155" t="n">
        <v>0</v>
      </c>
      <c r="O49" s="155" t="n">
        <v>0</v>
      </c>
      <c r="P49" s="155" t="n">
        <v>0</v>
      </c>
      <c r="Q49" s="155" t="s">
        <v>381</v>
      </c>
    </row>
    <row r="50" customFormat="false" ht="38.25" hidden="false" customHeight="false" outlineLevel="0" collapsed="false">
      <c r="B50" s="153"/>
      <c r="C50" s="153" t="s">
        <v>388</v>
      </c>
      <c r="D50" s="153" t="n">
        <v>37861</v>
      </c>
      <c r="E50" s="153" t="s">
        <v>391</v>
      </c>
      <c r="F50" s="153" t="s">
        <v>381</v>
      </c>
      <c r="G50" s="153" t="s">
        <v>381</v>
      </c>
      <c r="H50" s="154" t="n">
        <v>35582</v>
      </c>
      <c r="I50" s="153" t="s">
        <v>381</v>
      </c>
      <c r="J50" s="153" t="s">
        <v>381</v>
      </c>
      <c r="K50" s="158" t="n">
        <v>15000</v>
      </c>
      <c r="L50" s="153" t="n">
        <v>0</v>
      </c>
      <c r="M50" s="158" t="n">
        <v>15000</v>
      </c>
      <c r="N50" s="153" t="n">
        <v>0</v>
      </c>
      <c r="O50" s="153" t="n">
        <v>0</v>
      </c>
      <c r="P50" s="153" t="n">
        <v>0</v>
      </c>
      <c r="Q50" s="153" t="s">
        <v>381</v>
      </c>
    </row>
    <row r="51" customFormat="false" ht="38.25" hidden="false" customHeight="false" outlineLevel="0" collapsed="false">
      <c r="B51" s="155"/>
      <c r="C51" s="155" t="s">
        <v>388</v>
      </c>
      <c r="D51" s="155" t="n">
        <v>38641</v>
      </c>
      <c r="E51" s="155" t="s">
        <v>392</v>
      </c>
      <c r="F51" s="155" t="s">
        <v>381</v>
      </c>
      <c r="G51" s="155" t="s">
        <v>381</v>
      </c>
      <c r="H51" s="156" t="n">
        <v>34274</v>
      </c>
      <c r="I51" s="155" t="s">
        <v>381</v>
      </c>
      <c r="J51" s="155" t="s">
        <v>381</v>
      </c>
      <c r="K51" s="157" t="n">
        <v>450000</v>
      </c>
      <c r="L51" s="155" t="n">
        <v>0</v>
      </c>
      <c r="M51" s="157" t="n">
        <v>450000</v>
      </c>
      <c r="N51" s="155" t="n">
        <v>0</v>
      </c>
      <c r="O51" s="155" t="n">
        <v>0</v>
      </c>
      <c r="P51" s="155" t="n">
        <v>0</v>
      </c>
      <c r="Q51" s="155" t="s">
        <v>381</v>
      </c>
    </row>
    <row r="52" customFormat="false" ht="38.25" hidden="false" customHeight="false" outlineLevel="0" collapsed="false">
      <c r="B52" s="153"/>
      <c r="C52" s="153" t="s">
        <v>388</v>
      </c>
      <c r="D52" s="153" t="n">
        <v>39229</v>
      </c>
      <c r="E52" s="153" t="s">
        <v>380</v>
      </c>
      <c r="F52" s="153" t="s">
        <v>381</v>
      </c>
      <c r="G52" s="153" t="s">
        <v>381</v>
      </c>
      <c r="H52" s="154" t="n">
        <v>34274</v>
      </c>
      <c r="I52" s="153" t="s">
        <v>381</v>
      </c>
      <c r="J52" s="153" t="s">
        <v>381</v>
      </c>
      <c r="K52" s="153" t="n">
        <v>0</v>
      </c>
      <c r="L52" s="153" t="n">
        <v>0</v>
      </c>
      <c r="M52" s="153" t="n">
        <v>0</v>
      </c>
      <c r="N52" s="153" t="n">
        <v>0</v>
      </c>
      <c r="O52" s="153" t="n">
        <v>0</v>
      </c>
      <c r="P52" s="153" t="n">
        <v>0</v>
      </c>
      <c r="Q52" s="153" t="s">
        <v>381</v>
      </c>
    </row>
    <row r="53" customFormat="false" ht="38.25" hidden="false" customHeight="false" outlineLevel="0" collapsed="false">
      <c r="B53" s="155"/>
      <c r="C53" s="155" t="s">
        <v>388</v>
      </c>
      <c r="D53" s="155" t="n">
        <v>39266</v>
      </c>
      <c r="E53" s="155" t="s">
        <v>341</v>
      </c>
      <c r="F53" s="155" t="s">
        <v>381</v>
      </c>
      <c r="G53" s="155" t="s">
        <v>381</v>
      </c>
      <c r="H53" s="156" t="n">
        <v>34274</v>
      </c>
      <c r="I53" s="155" t="s">
        <v>381</v>
      </c>
      <c r="J53" s="155" t="s">
        <v>381</v>
      </c>
      <c r="K53" s="157" t="n">
        <v>300000</v>
      </c>
      <c r="L53" s="155" t="n">
        <v>0</v>
      </c>
      <c r="M53" s="157" t="n">
        <v>300000</v>
      </c>
      <c r="N53" s="155" t="n">
        <v>0</v>
      </c>
      <c r="O53" s="155" t="n">
        <v>0</v>
      </c>
      <c r="P53" s="155" t="n">
        <v>0</v>
      </c>
      <c r="Q53" s="155" t="s">
        <v>381</v>
      </c>
    </row>
    <row r="54" customFormat="false" ht="38.25" hidden="false" customHeight="false" outlineLevel="0" collapsed="false">
      <c r="B54" s="153"/>
      <c r="C54" s="153" t="s">
        <v>388</v>
      </c>
      <c r="D54" s="153" t="n">
        <v>42789</v>
      </c>
      <c r="E54" s="153" t="s">
        <v>389</v>
      </c>
      <c r="F54" s="153" t="s">
        <v>381</v>
      </c>
      <c r="G54" s="153" t="s">
        <v>381</v>
      </c>
      <c r="H54" s="154" t="n">
        <v>36557</v>
      </c>
      <c r="I54" s="153" t="s">
        <v>381</v>
      </c>
      <c r="J54" s="153" t="s">
        <v>381</v>
      </c>
      <c r="K54" s="158" t="n">
        <v>30000</v>
      </c>
      <c r="L54" s="153" t="n">
        <v>0</v>
      </c>
      <c r="M54" s="158" t="n">
        <v>30000</v>
      </c>
      <c r="N54" s="153" t="n">
        <v>0</v>
      </c>
      <c r="O54" s="153" t="n">
        <v>0</v>
      </c>
      <c r="P54" s="153" t="n">
        <v>0</v>
      </c>
      <c r="Q54" s="153" t="s">
        <v>381</v>
      </c>
    </row>
    <row r="55" customFormat="false" ht="38.25" hidden="false" customHeight="false" outlineLevel="0" collapsed="false">
      <c r="B55" s="155"/>
      <c r="C55" s="155" t="s">
        <v>388</v>
      </c>
      <c r="D55" s="155" t="n">
        <v>50250</v>
      </c>
      <c r="E55" s="155" t="s">
        <v>389</v>
      </c>
      <c r="F55" s="155" t="s">
        <v>381</v>
      </c>
      <c r="G55" s="155" t="s">
        <v>381</v>
      </c>
      <c r="H55" s="156" t="n">
        <v>36557</v>
      </c>
      <c r="I55" s="155" t="s">
        <v>381</v>
      </c>
      <c r="J55" s="155" t="s">
        <v>381</v>
      </c>
      <c r="K55" s="157" t="n">
        <v>20000</v>
      </c>
      <c r="L55" s="155" t="n">
        <v>0</v>
      </c>
      <c r="M55" s="157" t="n">
        <v>20000</v>
      </c>
      <c r="N55" s="155" t="n">
        <v>0</v>
      </c>
      <c r="O55" s="155" t="n">
        <v>0</v>
      </c>
      <c r="P55" s="155" t="n">
        <v>0</v>
      </c>
      <c r="Q55" s="155" t="s">
        <v>381</v>
      </c>
    </row>
    <row r="56" customFormat="false" ht="38.25" hidden="false" customHeight="false" outlineLevel="0" collapsed="false">
      <c r="B56" s="153"/>
      <c r="C56" s="153" t="s">
        <v>388</v>
      </c>
      <c r="D56" s="153" t="n">
        <v>58654</v>
      </c>
      <c r="E56" s="153" t="s">
        <v>391</v>
      </c>
      <c r="F56" s="153" t="s">
        <v>381</v>
      </c>
      <c r="G56" s="153" t="s">
        <v>381</v>
      </c>
      <c r="H56" s="154" t="n">
        <v>36557</v>
      </c>
      <c r="I56" s="153" t="s">
        <v>381</v>
      </c>
      <c r="J56" s="153" t="s">
        <v>381</v>
      </c>
      <c r="K56" s="158" t="n">
        <v>15000</v>
      </c>
      <c r="L56" s="153" t="n">
        <v>0</v>
      </c>
      <c r="M56" s="158" t="n">
        <v>15000</v>
      </c>
      <c r="N56" s="153" t="n">
        <v>0</v>
      </c>
      <c r="O56" s="153" t="n">
        <v>0</v>
      </c>
      <c r="P56" s="153" t="n">
        <v>0</v>
      </c>
      <c r="Q56" s="153" t="s">
        <v>381</v>
      </c>
    </row>
    <row r="57" customFormat="false" ht="38.25" hidden="false" customHeight="false" outlineLevel="0" collapsed="false">
      <c r="B57" s="155"/>
      <c r="C57" s="155" t="s">
        <v>388</v>
      </c>
      <c r="D57" s="155" t="n">
        <v>62408</v>
      </c>
      <c r="E57" s="155" t="s">
        <v>389</v>
      </c>
      <c r="F57" s="155" t="s">
        <v>381</v>
      </c>
      <c r="G57" s="155" t="s">
        <v>381</v>
      </c>
      <c r="H57" s="156" t="n">
        <v>36557</v>
      </c>
      <c r="I57" s="155" t="s">
        <v>381</v>
      </c>
      <c r="J57" s="155" t="s">
        <v>381</v>
      </c>
      <c r="K57" s="157" t="n">
        <v>40000</v>
      </c>
      <c r="L57" s="155" t="n">
        <v>0</v>
      </c>
      <c r="M57" s="157" t="n">
        <v>40000</v>
      </c>
      <c r="N57" s="155" t="n">
        <v>0</v>
      </c>
      <c r="O57" s="155" t="n">
        <v>0</v>
      </c>
      <c r="P57" s="155" t="n">
        <v>0</v>
      </c>
      <c r="Q57" s="155" t="s">
        <v>381</v>
      </c>
    </row>
    <row r="58" customFormat="false" ht="38.25" hidden="false" customHeight="false" outlineLevel="0" collapsed="false">
      <c r="B58" s="153"/>
      <c r="C58" s="153" t="s">
        <v>388</v>
      </c>
      <c r="D58" s="153" t="n">
        <v>63115</v>
      </c>
      <c r="E58" s="153" t="s">
        <v>391</v>
      </c>
      <c r="F58" s="153" t="s">
        <v>381</v>
      </c>
      <c r="G58" s="153" t="s">
        <v>381</v>
      </c>
      <c r="H58" s="154" t="n">
        <v>36557</v>
      </c>
      <c r="I58" s="154" t="n">
        <v>37346</v>
      </c>
      <c r="J58" s="153" t="n">
        <v>24770</v>
      </c>
      <c r="K58" s="158" t="n">
        <v>30000</v>
      </c>
      <c r="L58" s="153" t="n">
        <v>0</v>
      </c>
      <c r="M58" s="158" t="n">
        <v>30000</v>
      </c>
      <c r="N58" s="153" t="n">
        <v>0</v>
      </c>
      <c r="O58" s="153" t="n">
        <v>0</v>
      </c>
      <c r="P58" s="153" t="n">
        <v>0</v>
      </c>
      <c r="Q58" s="153" t="s">
        <v>381</v>
      </c>
    </row>
    <row r="59" customFormat="false" ht="38.25" hidden="false" customHeight="false" outlineLevel="0" collapsed="false">
      <c r="B59" s="155"/>
      <c r="C59" s="155" t="s">
        <v>388</v>
      </c>
      <c r="D59" s="155" t="n">
        <v>63922</v>
      </c>
      <c r="E59" s="155" t="s">
        <v>389</v>
      </c>
      <c r="F59" s="155" t="s">
        <v>381</v>
      </c>
      <c r="G59" s="155" t="s">
        <v>381</v>
      </c>
      <c r="H59" s="156" t="n">
        <v>36557</v>
      </c>
      <c r="I59" s="156" t="n">
        <v>38291</v>
      </c>
      <c r="J59" s="155" t="n">
        <v>25471</v>
      </c>
      <c r="K59" s="157" t="n">
        <v>25654</v>
      </c>
      <c r="L59" s="155" t="n">
        <v>0</v>
      </c>
      <c r="M59" s="157" t="n">
        <v>25654</v>
      </c>
      <c r="N59" s="155" t="n">
        <v>0</v>
      </c>
      <c r="O59" s="155" t="n">
        <v>0</v>
      </c>
      <c r="P59" s="155" t="n">
        <v>0</v>
      </c>
      <c r="Q59" s="155" t="s">
        <v>381</v>
      </c>
    </row>
    <row r="60" customFormat="false" ht="38.25" hidden="false" customHeight="false" outlineLevel="0" collapsed="false">
      <c r="B60" s="153"/>
      <c r="C60" s="153" t="s">
        <v>388</v>
      </c>
      <c r="D60" s="153" t="n">
        <v>64033</v>
      </c>
      <c r="E60" s="153" t="s">
        <v>391</v>
      </c>
      <c r="F60" s="153" t="s">
        <v>381</v>
      </c>
      <c r="G60" s="153" t="s">
        <v>381</v>
      </c>
      <c r="H60" s="154" t="n">
        <v>36557</v>
      </c>
      <c r="I60" s="154" t="n">
        <v>36707</v>
      </c>
      <c r="J60" s="153" t="n">
        <v>25713</v>
      </c>
      <c r="K60" s="153" t="n">
        <v>1</v>
      </c>
      <c r="L60" s="153" t="n">
        <v>0</v>
      </c>
      <c r="M60" s="153" t="n">
        <v>1</v>
      </c>
      <c r="N60" s="153" t="n">
        <v>0</v>
      </c>
      <c r="O60" s="153" t="n">
        <v>0</v>
      </c>
      <c r="P60" s="153" t="n">
        <v>0</v>
      </c>
      <c r="Q60" s="153" t="s">
        <v>381</v>
      </c>
    </row>
    <row r="61" customFormat="false" ht="38.25" hidden="false" customHeight="false" outlineLevel="0" collapsed="false">
      <c r="B61" s="155"/>
      <c r="C61" s="155" t="s">
        <v>388</v>
      </c>
      <c r="D61" s="155" t="n">
        <v>64035</v>
      </c>
      <c r="E61" s="155" t="s">
        <v>391</v>
      </c>
      <c r="F61" s="155" t="s">
        <v>381</v>
      </c>
      <c r="G61" s="155" t="s">
        <v>381</v>
      </c>
      <c r="H61" s="156" t="n">
        <v>36557</v>
      </c>
      <c r="I61" s="156" t="n">
        <v>36707</v>
      </c>
      <c r="J61" s="155" t="n">
        <v>25700</v>
      </c>
      <c r="K61" s="155" t="n">
        <v>931</v>
      </c>
      <c r="L61" s="155" t="n">
        <v>0</v>
      </c>
      <c r="M61" s="155" t="n">
        <v>931</v>
      </c>
      <c r="N61" s="155" t="n">
        <v>0</v>
      </c>
      <c r="O61" s="155" t="n">
        <v>0</v>
      </c>
      <c r="P61" s="155" t="n">
        <v>0</v>
      </c>
      <c r="Q61" s="155" t="s">
        <v>381</v>
      </c>
    </row>
    <row r="62" customFormat="false" ht="38.25" hidden="false" customHeight="false" outlineLevel="0" collapsed="false">
      <c r="B62" s="153"/>
      <c r="C62" s="153" t="s">
        <v>388</v>
      </c>
      <c r="D62" s="153" t="n">
        <v>64332</v>
      </c>
      <c r="E62" s="153" t="s">
        <v>391</v>
      </c>
      <c r="F62" s="153" t="s">
        <v>381</v>
      </c>
      <c r="G62" s="153" t="s">
        <v>381</v>
      </c>
      <c r="H62" s="154" t="n">
        <v>36557</v>
      </c>
      <c r="I62" s="154" t="n">
        <v>36738</v>
      </c>
      <c r="J62" s="153" t="n">
        <v>25966</v>
      </c>
      <c r="K62" s="153" t="n">
        <v>12</v>
      </c>
      <c r="L62" s="153" t="n">
        <v>0</v>
      </c>
      <c r="M62" s="153" t="n">
        <v>12</v>
      </c>
      <c r="N62" s="153" t="n">
        <v>0</v>
      </c>
      <c r="O62" s="153" t="n">
        <v>0</v>
      </c>
      <c r="P62" s="153" t="n">
        <v>0</v>
      </c>
      <c r="Q62" s="153" t="s">
        <v>381</v>
      </c>
    </row>
    <row r="63" customFormat="false" ht="38.25" hidden="false" customHeight="false" outlineLevel="0" collapsed="false">
      <c r="B63" s="155"/>
      <c r="C63" s="155" t="s">
        <v>388</v>
      </c>
      <c r="D63" s="155" t="n">
        <v>64334</v>
      </c>
      <c r="E63" s="155" t="s">
        <v>391</v>
      </c>
      <c r="F63" s="155" t="s">
        <v>381</v>
      </c>
      <c r="G63" s="155" t="s">
        <v>381</v>
      </c>
      <c r="H63" s="156" t="n">
        <v>36557</v>
      </c>
      <c r="I63" s="156" t="n">
        <v>36738</v>
      </c>
      <c r="J63" s="155" t="n">
        <v>25956</v>
      </c>
      <c r="K63" s="155" t="n">
        <v>52</v>
      </c>
      <c r="L63" s="155" t="n">
        <v>0</v>
      </c>
      <c r="M63" s="155" t="n">
        <v>52</v>
      </c>
      <c r="N63" s="155" t="n">
        <v>0</v>
      </c>
      <c r="O63" s="155" t="n">
        <v>0</v>
      </c>
      <c r="P63" s="155" t="n">
        <v>0</v>
      </c>
      <c r="Q63" s="155" t="s">
        <v>381</v>
      </c>
    </row>
    <row r="64" customFormat="false" ht="38.25" hidden="false" customHeight="false" outlineLevel="0" collapsed="false">
      <c r="B64" s="153"/>
      <c r="C64" s="153" t="s">
        <v>388</v>
      </c>
      <c r="D64" s="153" t="n">
        <v>64446</v>
      </c>
      <c r="E64" s="153" t="s">
        <v>391</v>
      </c>
      <c r="F64" s="153" t="s">
        <v>381</v>
      </c>
      <c r="G64" s="153" t="s">
        <v>381</v>
      </c>
      <c r="H64" s="154" t="n">
        <v>36557</v>
      </c>
      <c r="I64" s="154" t="n">
        <v>36738</v>
      </c>
      <c r="J64" s="153" t="n">
        <v>26081</v>
      </c>
      <c r="K64" s="153" t="n">
        <v>142</v>
      </c>
      <c r="L64" s="153" t="n">
        <v>0</v>
      </c>
      <c r="M64" s="153" t="n">
        <v>142</v>
      </c>
      <c r="N64" s="153" t="n">
        <v>0</v>
      </c>
      <c r="O64" s="153" t="n">
        <v>0</v>
      </c>
      <c r="P64" s="153" t="n">
        <v>0</v>
      </c>
      <c r="Q64" s="153" t="s">
        <v>381</v>
      </c>
    </row>
    <row r="65" customFormat="false" ht="38.25" hidden="false" customHeight="false" outlineLevel="0" collapsed="false">
      <c r="B65" s="155"/>
      <c r="C65" s="155" t="s">
        <v>388</v>
      </c>
      <c r="D65" s="155" t="n">
        <v>64502</v>
      </c>
      <c r="E65" s="155" t="s">
        <v>389</v>
      </c>
      <c r="F65" s="155" t="s">
        <v>381</v>
      </c>
      <c r="G65" s="155" t="s">
        <v>381</v>
      </c>
      <c r="H65" s="156" t="n">
        <v>36557</v>
      </c>
      <c r="I65" s="155" t="s">
        <v>381</v>
      </c>
      <c r="J65" s="155" t="s">
        <v>381</v>
      </c>
      <c r="K65" s="157" t="n">
        <v>29000</v>
      </c>
      <c r="L65" s="155" t="n">
        <v>0</v>
      </c>
      <c r="M65" s="157" t="n">
        <v>29000</v>
      </c>
      <c r="N65" s="155" t="n">
        <v>0</v>
      </c>
      <c r="O65" s="155" t="n">
        <v>0</v>
      </c>
      <c r="P65" s="155" t="n">
        <v>0</v>
      </c>
      <c r="Q65" s="155"/>
    </row>
    <row r="66" customFormat="false" ht="38.25" hidden="false" customHeight="false" outlineLevel="0" collapsed="false">
      <c r="B66" s="153"/>
      <c r="C66" s="153" t="s">
        <v>388</v>
      </c>
      <c r="D66" s="153" t="n">
        <v>64652</v>
      </c>
      <c r="E66" s="153" t="s">
        <v>391</v>
      </c>
      <c r="F66" s="153" t="s">
        <v>381</v>
      </c>
      <c r="G66" s="153" t="s">
        <v>381</v>
      </c>
      <c r="H66" s="154" t="n">
        <v>36557</v>
      </c>
      <c r="I66" s="154" t="n">
        <v>36769</v>
      </c>
      <c r="J66" s="153" t="n">
        <v>26151</v>
      </c>
      <c r="K66" s="153" t="n">
        <v>65</v>
      </c>
      <c r="L66" s="153" t="n">
        <v>0</v>
      </c>
      <c r="M66" s="153" t="n">
        <v>65</v>
      </c>
      <c r="N66" s="153" t="n">
        <v>0</v>
      </c>
      <c r="O66" s="153" t="n">
        <v>0</v>
      </c>
      <c r="P66" s="153" t="n">
        <v>0</v>
      </c>
      <c r="Q66" s="153" t="s">
        <v>381</v>
      </c>
    </row>
    <row r="67" customFormat="false" ht="38.25" hidden="false" customHeight="false" outlineLevel="0" collapsed="false">
      <c r="B67" s="155"/>
      <c r="C67" s="155" t="s">
        <v>388</v>
      </c>
      <c r="D67" s="155" t="n">
        <v>64863</v>
      </c>
      <c r="E67" s="155" t="s">
        <v>391</v>
      </c>
      <c r="F67" s="155" t="s">
        <v>381</v>
      </c>
      <c r="G67" s="155" t="s">
        <v>381</v>
      </c>
      <c r="H67" s="156" t="n">
        <v>36557</v>
      </c>
      <c r="I67" s="156" t="n">
        <v>36799</v>
      </c>
      <c r="J67" s="155" t="n">
        <v>26504</v>
      </c>
      <c r="K67" s="155" t="n">
        <v>13</v>
      </c>
      <c r="L67" s="155" t="n">
        <v>0</v>
      </c>
      <c r="M67" s="155" t="n">
        <v>13</v>
      </c>
      <c r="N67" s="155" t="n">
        <v>0</v>
      </c>
      <c r="O67" s="155" t="n">
        <v>0</v>
      </c>
      <c r="P67" s="155" t="n">
        <v>0</v>
      </c>
      <c r="Q67" s="155" t="s">
        <v>381</v>
      </c>
    </row>
    <row r="68" customFormat="false" ht="38.25" hidden="false" customHeight="false" outlineLevel="0" collapsed="false">
      <c r="B68" s="153"/>
      <c r="C68" s="153" t="s">
        <v>388</v>
      </c>
      <c r="D68" s="153" t="n">
        <v>64937</v>
      </c>
      <c r="E68" s="153" t="s">
        <v>389</v>
      </c>
      <c r="F68" s="153" t="s">
        <v>381</v>
      </c>
      <c r="G68" s="153" t="s">
        <v>381</v>
      </c>
      <c r="H68" s="154" t="n">
        <v>36434</v>
      </c>
      <c r="I68" s="153" t="s">
        <v>381</v>
      </c>
      <c r="J68" s="153" t="s">
        <v>381</v>
      </c>
      <c r="K68" s="158" t="n">
        <v>10000</v>
      </c>
      <c r="L68" s="153" t="n">
        <v>0</v>
      </c>
      <c r="M68" s="158" t="n">
        <v>10000</v>
      </c>
      <c r="N68" s="153" t="n">
        <v>0</v>
      </c>
      <c r="O68" s="153" t="n">
        <v>0</v>
      </c>
      <c r="P68" s="153" t="n">
        <v>0</v>
      </c>
      <c r="Q68" s="153" t="s">
        <v>381</v>
      </c>
    </row>
    <row r="69" customFormat="false" ht="38.25" hidden="false" customHeight="false" outlineLevel="0" collapsed="false">
      <c r="B69" s="155"/>
      <c r="C69" s="155" t="s">
        <v>388</v>
      </c>
      <c r="D69" s="155" t="n">
        <v>65027</v>
      </c>
      <c r="E69" s="155" t="s">
        <v>391</v>
      </c>
      <c r="F69" s="155" t="s">
        <v>381</v>
      </c>
      <c r="G69" s="155" t="s">
        <v>381</v>
      </c>
      <c r="H69" s="156" t="n">
        <v>36557</v>
      </c>
      <c r="I69" s="156" t="n">
        <v>36830</v>
      </c>
      <c r="J69" s="155" t="n">
        <v>26727</v>
      </c>
      <c r="K69" s="155" t="n">
        <v>131</v>
      </c>
      <c r="L69" s="155" t="n">
        <v>0</v>
      </c>
      <c r="M69" s="155" t="n">
        <v>131</v>
      </c>
      <c r="N69" s="155" t="n">
        <v>0</v>
      </c>
      <c r="O69" s="155" t="n">
        <v>0</v>
      </c>
      <c r="P69" s="155" t="n">
        <v>0</v>
      </c>
      <c r="Q69" s="155" t="s">
        <v>381</v>
      </c>
    </row>
    <row r="70" customFormat="false" ht="38.25" hidden="false" customHeight="false" outlineLevel="0" collapsed="false">
      <c r="B70" s="153"/>
      <c r="C70" s="153" t="s">
        <v>388</v>
      </c>
      <c r="D70" s="153" t="n">
        <v>65072</v>
      </c>
      <c r="E70" s="153" t="s">
        <v>391</v>
      </c>
      <c r="F70" s="153" t="s">
        <v>381</v>
      </c>
      <c r="G70" s="153" t="s">
        <v>381</v>
      </c>
      <c r="H70" s="154" t="n">
        <v>36617</v>
      </c>
      <c r="I70" s="154" t="n">
        <v>36830</v>
      </c>
      <c r="J70" s="153" t="n">
        <v>26785</v>
      </c>
      <c r="K70" s="158" t="n">
        <v>7391</v>
      </c>
      <c r="L70" s="153" t="n">
        <v>0</v>
      </c>
      <c r="M70" s="158" t="n">
        <v>6987</v>
      </c>
      <c r="N70" s="153" t="n">
        <v>404</v>
      </c>
      <c r="O70" s="153" t="n">
        <v>0</v>
      </c>
      <c r="P70" s="153" t="n">
        <v>0</v>
      </c>
      <c r="Q70" s="153" t="s">
        <v>381</v>
      </c>
    </row>
    <row r="71" customFormat="false" ht="38.25" hidden="false" customHeight="false" outlineLevel="0" collapsed="false">
      <c r="B71" s="155"/>
      <c r="C71" s="155" t="s">
        <v>388</v>
      </c>
      <c r="D71" s="155" t="n">
        <v>65557</v>
      </c>
      <c r="E71" s="155" t="s">
        <v>391</v>
      </c>
      <c r="F71" s="155" t="s">
        <v>381</v>
      </c>
      <c r="G71" s="155" t="s">
        <v>381</v>
      </c>
      <c r="H71" s="156" t="n">
        <v>36557</v>
      </c>
      <c r="I71" s="156" t="n">
        <v>36860</v>
      </c>
      <c r="J71" s="155" t="n">
        <v>27128</v>
      </c>
      <c r="K71" s="155" t="n">
        <v>3</v>
      </c>
      <c r="L71" s="155" t="n">
        <v>0</v>
      </c>
      <c r="M71" s="155" t="n">
        <v>3</v>
      </c>
      <c r="N71" s="155" t="n">
        <v>0</v>
      </c>
      <c r="O71" s="155" t="n">
        <v>0</v>
      </c>
      <c r="P71" s="155" t="n">
        <v>0</v>
      </c>
      <c r="Q71" s="155" t="s">
        <v>381</v>
      </c>
    </row>
    <row r="72" customFormat="false" ht="38.25" hidden="false" customHeight="false" outlineLevel="0" collapsed="false">
      <c r="B72" s="153"/>
      <c r="C72" s="153" t="s">
        <v>388</v>
      </c>
      <c r="D72" s="153" t="n">
        <v>66283</v>
      </c>
      <c r="E72" s="153" t="s">
        <v>391</v>
      </c>
      <c r="F72" s="153" t="s">
        <v>381</v>
      </c>
      <c r="G72" s="153" t="s">
        <v>381</v>
      </c>
      <c r="H72" s="154" t="n">
        <v>36557</v>
      </c>
      <c r="I72" s="154" t="n">
        <v>36922</v>
      </c>
      <c r="J72" s="153" t="n">
        <v>27775</v>
      </c>
      <c r="K72" s="153" t="n">
        <v>5</v>
      </c>
      <c r="L72" s="153" t="n">
        <v>0</v>
      </c>
      <c r="M72" s="153" t="n">
        <v>5</v>
      </c>
      <c r="N72" s="153" t="n">
        <v>0</v>
      </c>
      <c r="O72" s="153" t="n">
        <v>0</v>
      </c>
      <c r="P72" s="153" t="n">
        <v>0</v>
      </c>
      <c r="Q72" s="153" t="s">
        <v>381</v>
      </c>
    </row>
    <row r="73" customFormat="false" ht="38.25" hidden="false" customHeight="false" outlineLevel="0" collapsed="false">
      <c r="B73" s="155"/>
      <c r="C73" s="155" t="s">
        <v>388</v>
      </c>
      <c r="D73" s="155" t="n">
        <v>66941</v>
      </c>
      <c r="E73" s="155" t="s">
        <v>391</v>
      </c>
      <c r="F73" s="155" t="s">
        <v>381</v>
      </c>
      <c r="G73" s="155" t="s">
        <v>381</v>
      </c>
      <c r="H73" s="156" t="n">
        <v>36617</v>
      </c>
      <c r="I73" s="156" t="n">
        <v>36981</v>
      </c>
      <c r="J73" s="155" t="n">
        <v>28330</v>
      </c>
      <c r="K73" s="155" t="n">
        <v>53</v>
      </c>
      <c r="L73" s="155" t="n">
        <v>0</v>
      </c>
      <c r="M73" s="155" t="n">
        <v>53</v>
      </c>
      <c r="N73" s="155" t="n">
        <v>0</v>
      </c>
      <c r="O73" s="155" t="n">
        <v>0</v>
      </c>
      <c r="P73" s="155" t="n">
        <v>0</v>
      </c>
      <c r="Q73" s="155" t="s">
        <v>381</v>
      </c>
    </row>
    <row r="74" customFormat="false" ht="38.25" hidden="false" customHeight="false" outlineLevel="0" collapsed="false">
      <c r="B74" s="153"/>
      <c r="C74" s="153" t="s">
        <v>388</v>
      </c>
      <c r="D74" s="153" t="n">
        <v>66973</v>
      </c>
      <c r="E74" s="153" t="s">
        <v>389</v>
      </c>
      <c r="F74" s="153" t="s">
        <v>381</v>
      </c>
      <c r="G74" s="153" t="s">
        <v>381</v>
      </c>
      <c r="H74" s="154" t="n">
        <v>36678</v>
      </c>
      <c r="I74" s="154" t="n">
        <v>36981</v>
      </c>
      <c r="J74" s="153" t="s">
        <v>381</v>
      </c>
      <c r="K74" s="158" t="n">
        <v>10000</v>
      </c>
      <c r="L74" s="153" t="n">
        <v>0</v>
      </c>
      <c r="M74" s="158" t="n">
        <v>10000</v>
      </c>
      <c r="N74" s="153" t="n">
        <v>0</v>
      </c>
      <c r="O74" s="153" t="n">
        <v>0</v>
      </c>
      <c r="P74" s="153" t="n">
        <v>0</v>
      </c>
      <c r="Q74" s="153" t="s">
        <v>381</v>
      </c>
    </row>
    <row r="75" customFormat="false" ht="38.25" hidden="false" customHeight="false" outlineLevel="0" collapsed="false">
      <c r="B75" s="155"/>
      <c r="C75" s="155" t="s">
        <v>388</v>
      </c>
      <c r="D75" s="155" t="n">
        <v>68281</v>
      </c>
      <c r="E75" s="155" t="s">
        <v>391</v>
      </c>
      <c r="F75" s="155" t="s">
        <v>381</v>
      </c>
      <c r="G75" s="155" t="s">
        <v>381</v>
      </c>
      <c r="H75" s="156" t="n">
        <v>36647</v>
      </c>
      <c r="I75" s="156" t="n">
        <v>37011</v>
      </c>
      <c r="J75" s="155" t="n">
        <v>28632</v>
      </c>
      <c r="K75" s="155" t="n">
        <v>21</v>
      </c>
      <c r="L75" s="155" t="n">
        <v>0</v>
      </c>
      <c r="M75" s="155" t="n">
        <v>21</v>
      </c>
      <c r="N75" s="155" t="n">
        <v>0</v>
      </c>
      <c r="O75" s="155" t="n">
        <v>0</v>
      </c>
      <c r="P75" s="155" t="n">
        <v>0</v>
      </c>
      <c r="Q75" s="155"/>
    </row>
    <row r="76" customFormat="false" ht="38.25" hidden="false" customHeight="false" outlineLevel="0" collapsed="false">
      <c r="B76" s="153"/>
      <c r="C76" s="153" t="s">
        <v>388</v>
      </c>
      <c r="D76" s="153" t="n">
        <v>68309</v>
      </c>
      <c r="E76" s="153" t="s">
        <v>391</v>
      </c>
      <c r="F76" s="153" t="s">
        <v>381</v>
      </c>
      <c r="G76" s="153" t="s">
        <v>381</v>
      </c>
      <c r="H76" s="154" t="n">
        <v>36656</v>
      </c>
      <c r="I76" s="154" t="n">
        <v>36950</v>
      </c>
      <c r="J76" s="153" t="n">
        <v>28865</v>
      </c>
      <c r="K76" s="153" t="n">
        <v>9</v>
      </c>
      <c r="L76" s="153" t="n">
        <v>0</v>
      </c>
      <c r="M76" s="153" t="n">
        <v>9</v>
      </c>
      <c r="N76" s="153" t="n">
        <v>0</v>
      </c>
      <c r="O76" s="153" t="n">
        <v>0</v>
      </c>
      <c r="P76" s="153" t="n">
        <v>0</v>
      </c>
      <c r="Q76" s="153" t="s">
        <v>381</v>
      </c>
    </row>
    <row r="77" customFormat="false" ht="38.25" hidden="false" customHeight="false" outlineLevel="0" collapsed="false">
      <c r="B77" s="155"/>
      <c r="C77" s="155" t="s">
        <v>388</v>
      </c>
      <c r="D77" s="155" t="n">
        <v>68360</v>
      </c>
      <c r="E77" s="155" t="s">
        <v>391</v>
      </c>
      <c r="F77" s="155" t="s">
        <v>381</v>
      </c>
      <c r="G77" s="155" t="s">
        <v>381</v>
      </c>
      <c r="H77" s="156" t="n">
        <v>36678</v>
      </c>
      <c r="I77" s="156" t="n">
        <v>37042</v>
      </c>
      <c r="J77" s="155" t="n">
        <v>28934</v>
      </c>
      <c r="K77" s="155" t="n">
        <v>291</v>
      </c>
      <c r="L77" s="155" t="n">
        <v>0</v>
      </c>
      <c r="M77" s="155" t="n">
        <v>291</v>
      </c>
      <c r="N77" s="155" t="n">
        <v>0</v>
      </c>
      <c r="O77" s="155" t="n">
        <v>0</v>
      </c>
      <c r="P77" s="155" t="n">
        <v>0</v>
      </c>
      <c r="Q77" s="155" t="s">
        <v>381</v>
      </c>
    </row>
    <row r="78" customFormat="false" ht="38.25" hidden="false" customHeight="false" outlineLevel="0" collapsed="false">
      <c r="B78" s="153"/>
      <c r="C78" s="153" t="s">
        <v>388</v>
      </c>
      <c r="D78" s="153" t="n">
        <v>68385</v>
      </c>
      <c r="E78" s="153" t="s">
        <v>391</v>
      </c>
      <c r="F78" s="153" t="s">
        <v>381</v>
      </c>
      <c r="G78" s="153" t="s">
        <v>381</v>
      </c>
      <c r="H78" s="154" t="n">
        <v>36678</v>
      </c>
      <c r="I78" s="154" t="n">
        <v>37042</v>
      </c>
      <c r="J78" s="153" t="n">
        <v>28963</v>
      </c>
      <c r="K78" s="153" t="n">
        <v>223</v>
      </c>
      <c r="L78" s="153" t="n">
        <v>0</v>
      </c>
      <c r="M78" s="153" t="n">
        <v>223</v>
      </c>
      <c r="N78" s="153" t="n">
        <v>0</v>
      </c>
      <c r="O78" s="153" t="n">
        <v>0</v>
      </c>
      <c r="P78" s="153" t="n">
        <v>0</v>
      </c>
      <c r="Q78" s="153" t="s">
        <v>381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/>
  <dc:language>en-US</dc:language>
  <cp:lastModifiedBy>cgerman</cp:lastModifiedBy>
  <cp:lastPrinted>2000-09-14T15:03:17Z</cp:lastPrinted>
  <cp:revision>0</cp:revision>
  <dc:subject/>
  <dc:title/>
</cp:coreProperties>
</file>