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CES Retail East" sheetId="2" state="visible" r:id="rId4"/>
    <sheet name="CES Retail Mrkt" sheetId="3" state="visible" r:id="rId5"/>
    <sheet name="Sheet1" sheetId="4" state="visible" r:id="rId6"/>
    <sheet name="Sheet2" sheetId="5" state="visible" r:id="rId7"/>
  </sheets>
  <definedNames>
    <definedName function="false" hidden="false" localSheetId="1" name="_xlnm.Print_Area" vbProcedure="false">'CES Retail East'!$A$1:$AC$96</definedName>
    <definedName function="false" hidden="false" localSheetId="2" name="_xlnm.Print_Area" vbProcedure="false">'CES Retail Mrkt'!$A$18:$W$65</definedName>
    <definedName function="false" hidden="false" localSheetId="3" name="_xlnm.Print_Titles" vbProcedure="false">Sheet1!$1:$1</definedName>
    <definedName function="false" hidden="false" localSheetId="3" name="TABLE" vbProcedure="false">Sheet1!$B$2:$Q$78</definedName>
    <definedName function="false" hidden="false" localSheetId="3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<sst xmlns="http://schemas.openxmlformats.org/spreadsheetml/2006/main" count="1634" uniqueCount="302">
  <si>
    <t xml:space="preserve">CNG</t>
  </si>
  <si>
    <t xml:space="preserve">FT</t>
  </si>
  <si>
    <t xml:space="preserve">Index</t>
  </si>
  <si>
    <t xml:space="preserve">CGAS</t>
  </si>
  <si>
    <t xml:space="preserve">Index Prem</t>
  </si>
  <si>
    <t xml:space="preserve">Comm</t>
  </si>
  <si>
    <t xml:space="preserve">Surcharges</t>
  </si>
  <si>
    <t xml:space="preserve">Fuel</t>
  </si>
  <si>
    <t xml:space="preserve">Transport</t>
  </si>
  <si>
    <t xml:space="preserve">Demand For ENA Trans</t>
  </si>
  <si>
    <t xml:space="preserve">Deal 384397</t>
  </si>
  <si>
    <t xml:space="preserve">FTS</t>
  </si>
  <si>
    <t xml:space="preserve">ENA Trsp</t>
  </si>
  <si>
    <t xml:space="preserve">Storage Injection:</t>
  </si>
  <si>
    <t xml:space="preserve">Inj Comm</t>
  </si>
  <si>
    <t xml:space="preserve">Deal 377076</t>
  </si>
  <si>
    <t xml:space="preserve">Deal 377245</t>
  </si>
  <si>
    <t xml:space="preserve">Does not apply for September.</t>
  </si>
  <si>
    <t xml:space="preserve">Other Deals</t>
  </si>
  <si>
    <t xml:space="preserve">Bookout - deal 289587 with deal 376880.  Deal 376880 is a NYMX plus sale to New Power.  ENA purchased the gas back</t>
  </si>
  <si>
    <t xml:space="preserve">at CGAS IF + $.0075 at the pool and includes the volume in the FOM citygate deal.</t>
  </si>
  <si>
    <t xml:space="preserve">Bookout - deal 378935 with deal 377268.   Deal 377268 is a NYMX plus deal for deliveries to WGL.  New Power is taking all deliveries to WGL</t>
  </si>
  <si>
    <t xml:space="preserve">on CGAS with CGAS FOM pricing.  I will purchase the TRCO gas back at the FOM CGAS citygate price of $4.9476.</t>
  </si>
  <si>
    <t xml:space="preserve">Bookout - deal 378939 with deal 377264.   Deal 377264 is a NYMX plus deal for deliveries to WGL.  New Power is taking all deliveries to WGL</t>
  </si>
  <si>
    <t xml:space="preserve">CGLF</t>
  </si>
  <si>
    <t xml:space="preserve">FT-1</t>
  </si>
  <si>
    <t xml:space="preserve">Volume</t>
  </si>
  <si>
    <t xml:space="preserve">Deal 378894 (bookout with deal 380571)</t>
  </si>
  <si>
    <t xml:space="preserve">Deals 433359 and 433385</t>
  </si>
  <si>
    <t xml:space="preserve">Deal 227081, 227113</t>
  </si>
  <si>
    <t xml:space="preserve">Note:  New Power purchased gas from ENA at CGLF Mainline (deal 202939).  ENA will buy this gas back at the CGLF Onshore Index plus $.05,</t>
  </si>
  <si>
    <t xml:space="preserve">and sell the gas back to New Power at CGAS pool at CGLFOnshore Index +$.05 + variable cost from Mainline to Leach.</t>
  </si>
  <si>
    <t xml:space="preserve">ENA will buy the CGAS Pool gas back at the FOM price for CGAS.</t>
  </si>
  <si>
    <t xml:space="preserve">Equitrans</t>
  </si>
  <si>
    <t xml:space="preserve">IT</t>
  </si>
  <si>
    <t xml:space="preserve">Delivered Price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</si>
  <si>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</si>
  <si>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</si>
  <si>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</si>
  <si>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</si>
  <si>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Texas Eastern M3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</si>
  <si>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</si>
  <si>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</si>
  <si>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</si>
  <si>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</si>
  <si>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Transco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</si>
  <si>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</si>
  <si>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</si>
  <si>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</si>
  <si>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</si>
  <si>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</si>
  <si>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</si>
  <si>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</si>
  <si>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</si>
  <si>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</si>
  <si>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</si>
  <si>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</si>
  <si>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</si>
  <si>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</si>
  <si>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</si>
  <si>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</si>
  <si>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</si>
  <si>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</si>
  <si>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</si>
  <si>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</si>
  <si>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</si>
  <si>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</si>
  <si>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</si>
  <si>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Sonat</t>
  </si>
  <si>
    <t xml:space="preserve">La</t>
  </si>
  <si>
    <t xml:space="preserve">Deal 231744</t>
  </si>
  <si>
    <t xml:space="preserve">CES East Desk Transportation Capacity for September,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</si>
  <si>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</si>
  <si>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</si>
  <si>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</si>
  <si>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</si>
  <si>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</si>
  <si>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</si>
  <si>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</si>
  <si>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</si>
  <si>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</si>
  <si>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</si>
  <si>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</si>
  <si>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</si>
  <si>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</si>
  <si>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</si>
  <si>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</si>
  <si>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</si>
  <si>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</si>
  <si>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</si>
  <si>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</si>
  <si>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</si>
  <si>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</si>
  <si>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</si>
  <si>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</si>
  <si>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</si>
  <si>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</si>
  <si>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</si>
  <si>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</si>
  <si>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</si>
  <si>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</si>
  <si>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</si>
  <si>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</si>
  <si>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</si>
  <si>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</si>
  <si>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</si>
  <si>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</si>
  <si>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</si>
  <si>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6/31/01</t>
  </si>
  <si>
    <t xml:space="preserve">From CES #66615</t>
  </si>
  <si>
    <t xml:space="preserve">#29638</t>
  </si>
  <si>
    <t xml:space="preserve">#29637</t>
  </si>
  <si>
    <t xml:space="preserve">#29879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</si>
  <si>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</si>
  <si>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</si>
  <si>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</si>
  <si>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</si>
  <si>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</si>
  <si>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</si>
  <si>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20000001616</t>
  </si>
  <si>
    <t xml:space="preserve">MDWQ</t>
  </si>
  <si>
    <t xml:space="preserve">Z3</t>
  </si>
  <si>
    <t xml:space="preserve">FSNG101</t>
  </si>
  <si>
    <t xml:space="preserve">2000001743</t>
  </si>
  <si>
    <t xml:space="preserve">2000001653</t>
  </si>
  <si>
    <t xml:space="preserve">Z2</t>
  </si>
  <si>
    <t xml:space="preserve">z3</t>
  </si>
  <si>
    <t xml:space="preserve">2000001730</t>
  </si>
  <si>
    <t xml:space="preserve">2000001777</t>
  </si>
  <si>
    <t xml:space="preserve">2000001764</t>
  </si>
  <si>
    <t xml:space="preserve">SGA</t>
  </si>
  <si>
    <t xml:space="preserve">FSGA25</t>
  </si>
  <si>
    <t xml:space="preserve">2000001719</t>
  </si>
  <si>
    <t xml:space="preserve">Tenn</t>
  </si>
  <si>
    <t xml:space="preserve">Atlanta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</si>
  <si>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</si>
  <si>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</si>
  <si>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</si>
  <si>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</si>
  <si>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</si>
  <si>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</si>
  <si>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</si>
  <si>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</si>
  <si>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</si>
  <si>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</si>
  <si>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</si>
  <si>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Texas Eastern</t>
  </si>
  <si>
    <t xml:space="preserve">NO CONTACTS FOR RETAIL</t>
  </si>
  <si>
    <t xml:space="preserve">Boston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</si>
  <si>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</si>
  <si>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</si>
  <si>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</si>
  <si>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</si>
  <si>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Release ended 6/30/2000</t>
  </si>
  <si>
    <t xml:space="preserve">Zone 1</t>
  </si>
  <si>
    <t xml:space="preserve">St 30</t>
  </si>
  <si>
    <t xml:space="preserve">6484 Atlanta</t>
  </si>
  <si>
    <t xml:space="preserve">FT -R</t>
  </si>
  <si>
    <t xml:space="preserve">#021351</t>
  </si>
  <si>
    <t xml:space="preserve">St 45</t>
  </si>
  <si>
    <t xml:space="preserve">#021461</t>
  </si>
  <si>
    <t xml:space="preserve">#021349</t>
  </si>
  <si>
    <t xml:space="preserve">6971 St 85</t>
  </si>
  <si>
    <t xml:space="preserve">FTCHR</t>
  </si>
  <si>
    <t xml:space="preserve">#021350</t>
  </si>
  <si>
    <t xml:space="preserve">#021462</t>
  </si>
  <si>
    <t xml:space="preserve">#021463</t>
  </si>
  <si>
    <t xml:space="preserve">WSR Capacity</t>
  </si>
  <si>
    <t xml:space="preserve">WSR</t>
  </si>
  <si>
    <t xml:space="preserve">#</t>
  </si>
  <si>
    <t xml:space="preserve">WSR Demand</t>
  </si>
  <si>
    <t xml:space="preserve">#021378</t>
  </si>
  <si>
    <t xml:space="preserve">9/31/2003</t>
  </si>
  <si>
    <t xml:space="preserve">ESR Capacity</t>
  </si>
  <si>
    <t xml:space="preserve">ESR</t>
  </si>
  <si>
    <t xml:space="preserve">#021377</t>
  </si>
  <si>
    <t xml:space="preserve">ESR Demand</t>
  </si>
  <si>
    <t xml:space="preserve">#21484</t>
  </si>
  <si>
    <t xml:space="preserve">Deal 381811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</si>
  <si>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</si>
  <si>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</si>
  <si>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</si>
  <si>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</si>
  <si>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#14174</t>
  </si>
  <si>
    <t xml:space="preserve">#14203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</si>
  <si>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</si>
  <si>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</si>
  <si>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</si>
  <si>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</si>
  <si>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</si>
  <si>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</si>
  <si>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</si>
  <si>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</si>
  <si>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</si>
  <si>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</si>
  <si>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</si>
  <si>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</si>
  <si>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</si>
  <si>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</si>
  <si>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</si>
  <si>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</si>
  <si>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</si>
  <si>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</si>
  <si>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</si>
  <si>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</si>
  <si>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</si>
  <si>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</si>
  <si>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</si>
  <si>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</si>
  <si>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</si>
  <si>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</si>
  <si>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</si>
  <si>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</si>
  <si>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</si>
  <si>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</si>
  <si>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</si>
  <si>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</si>
  <si>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</si>
  <si>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</si>
  <si>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</si>
  <si>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</si>
  <si>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</si>
  <si>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#29635</t>
  </si>
  <si>
    <t xml:space="preserve">#26150</t>
  </si>
  <si>
    <t xml:space="preserve">#26503</t>
  </si>
  <si>
    <t xml:space="preserve">COH-08</t>
  </si>
  <si>
    <t xml:space="preserve">#26577</t>
  </si>
  <si>
    <t xml:space="preserve">#29259</t>
  </si>
  <si>
    <t xml:space="preserve">Release to IGS For TIMET Contract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</si>
  <si>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</si>
  <si>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</si>
  <si>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</si>
  <si>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</si>
  <si>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</si>
  <si>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</si>
  <si>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</si>
  <si>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</si>
  <si>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</si>
  <si>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</si>
  <si>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</si>
  <si>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</si>
  <si>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</si>
  <si>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</si>
  <si>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</si>
  <si>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</si>
  <si>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#29290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</si>
  <si>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</si>
  <si>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</si>
  <si>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</si>
  <si>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</si>
  <si>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</si>
  <si>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</si>
  <si>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</si>
  <si>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</si>
  <si>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</si>
  <si>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</si>
  <si>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</si>
  <si>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</si>
  <si>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</si>
  <si>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</si>
  <si>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 BG&amp;E</t>
  </si>
  <si>
    <t xml:space="preserve">#26714 ENA purchased from CES</t>
  </si>
  <si>
    <t xml:space="preserve">ENA Bought 19,293 @.18 see annuity deal 327906</t>
  </si>
  <si>
    <t xml:space="preserve">CGV-10-30</t>
  </si>
  <si>
    <t xml:space="preserve">#29636</t>
  </si>
  <si>
    <t xml:space="preserve">19e, 19-32, 19-27, 19-26</t>
  </si>
  <si>
    <t xml:space="preserve">#29880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</si>
  <si>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</si>
  <si>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</si>
  <si>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</si>
  <si>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</si>
  <si>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</si>
  <si>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</si>
  <si>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9/28/2000 Should go away for September.</t>
  </si>
  <si>
    <t xml:space="preserve">Scheduling Fee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</si>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</sst>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\$#,##0.0000_);&quot;($&quot;#,##0.0000\)"/>
    <numFmt numFmtId="166" formatCode="0%"/>
    <numFmt numFmtId="167" formatCode="0.0000%"/>
    <numFmt numFmtId="168" formatCode="_(* #,##0.00_);_(* \(#,##0.00\);_(* \-??_);_(@_)"/>
    <numFmt numFmtId="169" formatCode="\$#,##0.00_);&quot;($&quot;#,##0.00\)"/>
    <numFmt numFmtId="170" formatCode="_(* #,##0_);_(* \(#,##0\);_(* \-??_);_(@_)"/>
    <numFmt numFmtId="171" formatCode="0.00%"/>
    <numFmt numFmtId="172" formatCode="0.000%"/>
    <numFmt numFmtId="173" formatCode="[$-409]#,##0_);[RED]\(#,##0\)"/>
    <numFmt numFmtId="174" formatCode="[$-409]m/d/yyyy"/>
    <numFmt numFmtId="175" formatCode="#,##0"/>
    <numFmt numFmtId="176" formatCode="\$#,##0.0000_);[RED]&quot;($&quot;#,##0.0000\)"/>
    <numFmt numFmtId="177" formatCode="0"/>
    <numFmt numFmtId="178" formatCode="#,##0.00000"/>
    <numFmt numFmtId="179" formatCode="@"/>
    <numFmt numFmtId="180" formatCode="[$-409]d\-mmm"/>
    <numFmt numFmtId="181" formatCode="[$-409]#,##0.00_);[RED]\(#,##0.00\)"/>
    <numFmt numFmtId="182" formatCode="0_);[RED]\(0\)"/>
    <numFmt numFmtId="183" formatCode="0.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70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true" hidden="false" outlineLevel="0" max="4" min="4" style="1" width="12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4.99"/>
    <col collapsed="false" customWidth="false" hidden="false" outlineLevel="0" max="11" min="8" style="1" width="9.14"/>
    <col collapsed="false" customWidth="true" hidden="false" outlineLevel="0" max="12" min="12" style="1" width="14.7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2.75" hidden="false" customHeight="false" outlineLevel="0" collapsed="false">
      <c r="A3" s="3" t="s">
        <v>0</v>
      </c>
      <c r="C3" s="1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2.75" hidden="false" customHeight="false" outlineLevel="0" collapsed="false">
      <c r="A4" s="1" t="s">
        <v>2</v>
      </c>
      <c r="B4" s="1" t="s">
        <v>3</v>
      </c>
      <c r="C4" s="4" t="n">
        <v>4.85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2.75" hidden="false" customHeight="false" outlineLevel="0" collapsed="false">
      <c r="A5" s="1" t="s">
        <v>4</v>
      </c>
      <c r="C5" s="5" t="n">
        <v>0.0075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customFormat="false" ht="12.75" hidden="false" customHeight="false" outlineLevel="0" collapsed="false">
      <c r="A6" s="1" t="s">
        <v>5</v>
      </c>
      <c r="C6" s="5" t="n">
        <v>0.044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customFormat="false" ht="12.75" hidden="false" customHeight="false" outlineLevel="0" collapsed="false">
      <c r="A7" s="1" t="s">
        <v>6</v>
      </c>
      <c r="C7" s="5" t="n">
        <v>0.0022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12.75" hidden="false" customHeight="false" outlineLevel="0" collapsed="false">
      <c r="A8" s="1" t="s">
        <v>7</v>
      </c>
      <c r="C8" s="6" t="n">
        <v>0.0228</v>
      </c>
      <c r="E8" s="2"/>
      <c r="F8" s="2"/>
      <c r="G8" s="2"/>
      <c r="H8" s="2"/>
      <c r="I8" s="2"/>
      <c r="J8" s="2"/>
      <c r="K8" s="2"/>
      <c r="L8" s="2"/>
      <c r="M8" s="2"/>
      <c r="N8" s="2"/>
    </row>
    <row r="9" customFormat="false" ht="12.75" hidden="false" customHeight="false" outlineLevel="0" collapsed="false">
      <c r="A9" s="1" t="s">
        <v>8</v>
      </c>
      <c r="C9" s="7" t="n">
        <f aca="false">ROUND((+C4+C5)/(1-C8)+(C6+C7),4)-C4-C5</f>
        <v>0.159500000000001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2.75" hidden="false" customHeight="false" outlineLevel="0" collapsed="false">
      <c r="A10" s="1" t="s">
        <v>9</v>
      </c>
      <c r="C10" s="8" t="n">
        <v>0.02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3.5" hidden="false" customHeight="false" outlineLevel="0" collapsed="false">
      <c r="C11" s="9" t="n">
        <f aca="false">SUM(C4:C5,C9,C10)</f>
        <v>5.037</v>
      </c>
      <c r="D11" s="10" t="s">
        <v>10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customFormat="false" ht="13.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customFormat="false" ht="12.75" hidden="false" customHeight="false" outlineLevel="0" collapsed="false">
      <c r="A15" s="3" t="s">
        <v>3</v>
      </c>
      <c r="C15" s="1" t="s">
        <v>11</v>
      </c>
      <c r="E15" s="11" t="s">
        <v>12</v>
      </c>
      <c r="F15" s="12"/>
      <c r="G15" s="2"/>
      <c r="H15" s="2"/>
      <c r="I15" s="2"/>
      <c r="J15" s="2"/>
      <c r="K15" s="2"/>
      <c r="L15" s="2"/>
      <c r="M15" s="2"/>
      <c r="N15" s="2"/>
    </row>
    <row r="16" customFormat="false" ht="12.75" hidden="false" customHeight="false" outlineLevel="0" collapsed="false">
      <c r="A16" s="1" t="s">
        <v>2</v>
      </c>
      <c r="B16" s="1" t="s">
        <v>3</v>
      </c>
      <c r="C16" s="4" t="n">
        <v>4.81</v>
      </c>
      <c r="E16" s="13" t="n">
        <v>4.81</v>
      </c>
      <c r="F16" s="12"/>
      <c r="G16" s="2" t="s">
        <v>13</v>
      </c>
      <c r="H16" s="2"/>
      <c r="I16" s="5" t="n">
        <f aca="false">+C22</f>
        <v>4.9476</v>
      </c>
      <c r="J16" s="2"/>
      <c r="K16" s="2"/>
      <c r="L16" s="2"/>
      <c r="M16" s="2"/>
      <c r="N16" s="2"/>
    </row>
    <row r="17" customFormat="false" ht="12.75" hidden="false" customHeight="false" outlineLevel="0" collapsed="false">
      <c r="A17" s="1" t="s">
        <v>4</v>
      </c>
      <c r="C17" s="5" t="n">
        <v>0.0075</v>
      </c>
      <c r="E17" s="13" t="n">
        <v>0.0075</v>
      </c>
      <c r="F17" s="12"/>
      <c r="G17" s="2"/>
      <c r="H17" s="2"/>
      <c r="I17" s="5" t="n">
        <v>0</v>
      </c>
      <c r="J17" s="2"/>
      <c r="K17" s="2"/>
      <c r="L17" s="2"/>
      <c r="M17" s="2"/>
      <c r="N17" s="2"/>
    </row>
    <row r="18" customFormat="false" ht="12.75" hidden="false" customHeight="false" outlineLevel="0" collapsed="false">
      <c r="A18" s="1" t="s">
        <v>5</v>
      </c>
      <c r="C18" s="5" t="n">
        <v>0.0133</v>
      </c>
      <c r="E18" s="13" t="n">
        <v>0.0133</v>
      </c>
      <c r="F18" s="12"/>
      <c r="G18" s="2" t="s">
        <v>14</v>
      </c>
      <c r="H18" s="2"/>
      <c r="I18" s="5" t="n">
        <v>0.0153</v>
      </c>
      <c r="J18" s="2"/>
      <c r="K18" s="2"/>
      <c r="L18" s="2"/>
      <c r="M18" s="2"/>
      <c r="N18" s="2"/>
    </row>
    <row r="19" customFormat="false" ht="12.75" hidden="false" customHeight="false" outlineLevel="0" collapsed="false">
      <c r="A19" s="1" t="s">
        <v>6</v>
      </c>
      <c r="C19" s="5" t="n">
        <v>0.0094</v>
      </c>
      <c r="E19" s="13" t="n">
        <v>0.0094</v>
      </c>
      <c r="F19" s="12"/>
      <c r="G19" s="2" t="s">
        <v>7</v>
      </c>
      <c r="H19" s="2"/>
      <c r="I19" s="6" t="n">
        <v>0.0017</v>
      </c>
      <c r="J19" s="2"/>
      <c r="K19" s="2"/>
      <c r="L19" s="2"/>
      <c r="M19" s="2"/>
      <c r="N19" s="2"/>
    </row>
    <row r="20" customFormat="false" ht="12.75" hidden="false" customHeight="false" outlineLevel="0" collapsed="false">
      <c r="A20" s="1" t="s">
        <v>7</v>
      </c>
      <c r="C20" s="6" t="n">
        <v>0.02184</v>
      </c>
      <c r="E20" s="14" t="n">
        <v>0.02184</v>
      </c>
      <c r="F20" s="12"/>
      <c r="G20" s="2"/>
      <c r="H20" s="2"/>
      <c r="I20" s="7" t="n">
        <f aca="false">ROUND(+I16/(1-I19)+I18,4)-I16</f>
        <v>0.0236999999999998</v>
      </c>
      <c r="J20" s="2"/>
      <c r="K20" s="2"/>
      <c r="L20" s="2"/>
      <c r="M20" s="2"/>
      <c r="N20" s="2"/>
    </row>
    <row r="21" customFormat="false" ht="13.5" hidden="false" customHeight="false" outlineLevel="0" collapsed="false">
      <c r="A21" s="1" t="s">
        <v>8</v>
      </c>
      <c r="C21" s="7" t="n">
        <f aca="false">ROUND(+C16/(1-C20)+(C18+C19),4)-C16</f>
        <v>0.130100000000001</v>
      </c>
      <c r="E21" s="15" t="n">
        <f aca="false">ROUND(+E16/(1-E20)+(E18+E19),4)-E16</f>
        <v>0.130100000000001</v>
      </c>
      <c r="F21" s="12"/>
      <c r="G21" s="2"/>
      <c r="H21" s="2"/>
      <c r="I21" s="9" t="n">
        <f aca="false">I16+I20</f>
        <v>4.9713</v>
      </c>
      <c r="J21" s="16" t="s">
        <v>15</v>
      </c>
      <c r="K21" s="2"/>
      <c r="L21" s="17"/>
      <c r="M21" s="2"/>
      <c r="N21" s="2"/>
    </row>
    <row r="22" customFormat="false" ht="14.25" hidden="false" customHeight="false" outlineLevel="0" collapsed="false">
      <c r="C22" s="9" t="n">
        <f aca="false">SUM(C16,C17,C21)</f>
        <v>4.9476</v>
      </c>
      <c r="D22" s="10" t="s">
        <v>16</v>
      </c>
      <c r="E22" s="15" t="n">
        <v>0.02</v>
      </c>
      <c r="F22" s="12"/>
      <c r="G22" s="2"/>
      <c r="H22" s="2"/>
      <c r="I22" s="18"/>
      <c r="J22" s="2"/>
      <c r="K22" s="2"/>
      <c r="L22" s="17"/>
      <c r="M22" s="2"/>
      <c r="N22" s="2"/>
    </row>
    <row r="23" customFormat="false" ht="14.25" hidden="false" customHeight="false" outlineLevel="0" collapsed="false">
      <c r="E23" s="19" t="n">
        <f aca="false">+E22+E21+E16</f>
        <v>4.9601</v>
      </c>
      <c r="F23" s="11" t="s">
        <v>17</v>
      </c>
      <c r="H23" s="2"/>
      <c r="I23" s="20"/>
      <c r="J23" s="2"/>
      <c r="K23" s="2"/>
      <c r="L23" s="17"/>
      <c r="M23" s="2"/>
      <c r="N23" s="2"/>
    </row>
    <row r="24" customFormat="false" ht="13.5" hidden="false" customHeight="false" outlineLevel="0" collapsed="false">
      <c r="C24" s="21"/>
      <c r="E24" s="21"/>
      <c r="H24" s="2"/>
      <c r="I24" s="20"/>
      <c r="J24" s="2"/>
      <c r="K24" s="2"/>
      <c r="L24" s="17"/>
      <c r="M24" s="2"/>
      <c r="N24" s="2"/>
    </row>
    <row r="25" customFormat="false" ht="12.75" hidden="false" customHeight="false" outlineLevel="0" collapsed="false">
      <c r="A25" s="1" t="s">
        <v>18</v>
      </c>
      <c r="C25" s="21"/>
      <c r="E25" s="21"/>
      <c r="H25" s="2"/>
      <c r="I25" s="20"/>
      <c r="J25" s="2"/>
      <c r="K25" s="2"/>
      <c r="L25" s="17"/>
      <c r="M25" s="2"/>
      <c r="N25" s="2"/>
    </row>
    <row r="26" customFormat="false" ht="12.75" hidden="false" customHeight="false" outlineLevel="0" collapsed="false">
      <c r="B26" s="10" t="s">
        <v>19</v>
      </c>
      <c r="C26" s="22"/>
      <c r="D26" s="10"/>
      <c r="E26" s="22"/>
      <c r="F26" s="10"/>
      <c r="G26" s="10"/>
      <c r="H26" s="16"/>
      <c r="I26" s="23"/>
      <c r="J26" s="16"/>
      <c r="K26" s="2"/>
      <c r="L26" s="17"/>
      <c r="M26" s="2"/>
      <c r="N26" s="2"/>
    </row>
    <row r="27" customFormat="false" ht="12.75" hidden="false" customHeight="false" outlineLevel="0" collapsed="false">
      <c r="B27" s="10"/>
      <c r="C27" s="22" t="s">
        <v>20</v>
      </c>
      <c r="D27" s="10"/>
      <c r="E27" s="22"/>
      <c r="F27" s="10"/>
      <c r="G27" s="10"/>
      <c r="H27" s="16"/>
      <c r="I27" s="23"/>
      <c r="J27" s="16"/>
      <c r="K27" s="2"/>
      <c r="L27" s="17"/>
      <c r="M27" s="2"/>
      <c r="N27" s="2"/>
    </row>
    <row r="28" customFormat="false" ht="12.75" hidden="false" customHeight="false" outlineLevel="0" collapsed="false">
      <c r="C28" s="21"/>
      <c r="E28" s="21"/>
      <c r="H28" s="2"/>
      <c r="I28" s="20"/>
      <c r="J28" s="2"/>
      <c r="K28" s="2"/>
      <c r="L28" s="17"/>
      <c r="M28" s="2"/>
      <c r="N28" s="2"/>
    </row>
    <row r="29" customFormat="false" ht="12.75" hidden="false" customHeight="false" outlineLevel="0" collapsed="false">
      <c r="B29" s="10" t="s">
        <v>21</v>
      </c>
      <c r="C29" s="22"/>
      <c r="D29" s="10"/>
      <c r="E29" s="22"/>
      <c r="F29" s="10"/>
      <c r="G29" s="10"/>
      <c r="H29" s="16"/>
      <c r="I29" s="23"/>
      <c r="J29" s="16"/>
      <c r="K29" s="16"/>
      <c r="L29" s="24"/>
      <c r="M29" s="2"/>
      <c r="N29" s="2"/>
    </row>
    <row r="30" customFormat="false" ht="12.75" hidden="false" customHeight="false" outlineLevel="0" collapsed="false">
      <c r="B30" s="10"/>
      <c r="C30" s="22" t="s">
        <v>22</v>
      </c>
      <c r="D30" s="10"/>
      <c r="E30" s="22"/>
      <c r="F30" s="10"/>
      <c r="G30" s="10"/>
      <c r="H30" s="16"/>
      <c r="I30" s="23"/>
      <c r="J30" s="16"/>
      <c r="K30" s="16"/>
      <c r="L30" s="24"/>
      <c r="M30" s="2"/>
      <c r="N30" s="2"/>
    </row>
    <row r="31" customFormat="false" ht="12.75" hidden="false" customHeight="false" outlineLevel="0" collapsed="false">
      <c r="C31" s="21"/>
      <c r="E31" s="21"/>
      <c r="H31" s="2"/>
      <c r="I31" s="20"/>
      <c r="J31" s="2"/>
      <c r="K31" s="2"/>
      <c r="L31" s="17"/>
      <c r="M31" s="2"/>
      <c r="N31" s="2"/>
    </row>
    <row r="32" customFormat="false" ht="12.75" hidden="false" customHeight="false" outlineLevel="0" collapsed="false">
      <c r="B32" s="10" t="s">
        <v>23</v>
      </c>
      <c r="C32" s="22"/>
      <c r="D32" s="10"/>
      <c r="E32" s="22"/>
      <c r="F32" s="10"/>
      <c r="G32" s="10"/>
      <c r="H32" s="16"/>
      <c r="I32" s="23"/>
      <c r="J32" s="16"/>
      <c r="K32" s="16"/>
      <c r="L32" s="24"/>
      <c r="M32" s="2"/>
      <c r="N32" s="2"/>
    </row>
    <row r="33" customFormat="false" ht="12.75" hidden="false" customHeight="false" outlineLevel="0" collapsed="false">
      <c r="B33" s="10"/>
      <c r="C33" s="22" t="s">
        <v>22</v>
      </c>
      <c r="D33" s="10"/>
      <c r="E33" s="22"/>
      <c r="F33" s="10"/>
      <c r="G33" s="10"/>
      <c r="H33" s="16"/>
      <c r="I33" s="23"/>
      <c r="J33" s="16"/>
      <c r="K33" s="16"/>
      <c r="L33" s="24"/>
      <c r="M33" s="2"/>
      <c r="N33" s="2"/>
    </row>
    <row r="34" customFormat="false" ht="12.75" hidden="false" customHeight="false" outlineLevel="0" collapsed="false">
      <c r="C34" s="21"/>
      <c r="E34" s="21"/>
      <c r="H34" s="2"/>
      <c r="I34" s="20"/>
      <c r="J34" s="2"/>
      <c r="K34" s="2"/>
      <c r="L34" s="17"/>
      <c r="M34" s="2"/>
      <c r="N34" s="2"/>
    </row>
    <row r="35" customFormat="false" ht="12.75" hidden="false" customHeight="false" outlineLevel="0" collapsed="false">
      <c r="C35" s="25"/>
      <c r="E35" s="25"/>
      <c r="H35" s="2"/>
      <c r="I35" s="2"/>
      <c r="J35" s="2"/>
      <c r="K35" s="2"/>
      <c r="L35" s="17"/>
      <c r="M35" s="2"/>
      <c r="N35" s="2"/>
    </row>
    <row r="36" customFormat="false" ht="12.75" hidden="false" customHeight="false" outlineLevel="0" collapsed="false">
      <c r="C36" s="25"/>
      <c r="E36" s="25"/>
      <c r="H36" s="2"/>
      <c r="I36" s="2"/>
      <c r="J36" s="2"/>
      <c r="K36" s="2"/>
      <c r="L36" s="17"/>
      <c r="M36" s="2"/>
      <c r="N36" s="2"/>
    </row>
    <row r="37" customFormat="false" ht="12.75" hidden="false" customHeight="false" outlineLevel="0" collapsed="false">
      <c r="C37" s="25"/>
      <c r="E37" s="25"/>
      <c r="H37" s="2"/>
      <c r="I37" s="2"/>
      <c r="J37" s="2"/>
      <c r="K37" s="2"/>
      <c r="L37" s="17"/>
      <c r="M37" s="2"/>
      <c r="N37" s="2"/>
    </row>
    <row r="38" customFormat="false" ht="12.75" hidden="false" customHeight="false" outlineLevel="0" collapsed="false">
      <c r="A38" s="26" t="s">
        <v>24</v>
      </c>
      <c r="B38" s="10"/>
      <c r="C38" s="10" t="s">
        <v>25</v>
      </c>
      <c r="D38" s="27" t="s">
        <v>26</v>
      </c>
      <c r="E38" s="27"/>
      <c r="F38" s="28"/>
      <c r="G38" s="28"/>
      <c r="H38" s="28"/>
      <c r="I38" s="28"/>
      <c r="J38" s="16"/>
      <c r="K38" s="2"/>
      <c r="L38" s="2"/>
      <c r="M38" s="2"/>
      <c r="N38" s="2"/>
    </row>
    <row r="39" customFormat="false" ht="12.75" hidden="false" customHeight="false" outlineLevel="0" collapsed="false">
      <c r="A39" s="10" t="s">
        <v>2</v>
      </c>
      <c r="B39" s="10" t="s">
        <v>24</v>
      </c>
      <c r="C39" s="4" t="n">
        <v>4.59</v>
      </c>
      <c r="D39" s="29" t="n">
        <v>1142</v>
      </c>
      <c r="E39" s="27" t="s">
        <v>27</v>
      </c>
      <c r="F39" s="28"/>
      <c r="G39" s="28"/>
      <c r="H39" s="28"/>
      <c r="I39" s="30"/>
      <c r="J39" s="16"/>
      <c r="K39" s="2"/>
      <c r="L39" s="2"/>
      <c r="M39" s="2"/>
      <c r="N39" s="2"/>
    </row>
    <row r="40" customFormat="false" ht="12.75" hidden="false" customHeight="false" outlineLevel="0" collapsed="false">
      <c r="A40" s="10" t="s">
        <v>4</v>
      </c>
      <c r="B40" s="10"/>
      <c r="C40" s="4" t="n">
        <v>0.05</v>
      </c>
      <c r="D40" s="27"/>
      <c r="E40" s="30"/>
      <c r="F40" s="28"/>
      <c r="G40" s="28"/>
      <c r="H40" s="28"/>
      <c r="I40" s="30"/>
      <c r="J40" s="16"/>
      <c r="K40" s="2"/>
      <c r="L40" s="2"/>
      <c r="M40" s="2"/>
      <c r="N40" s="2"/>
    </row>
    <row r="41" customFormat="false" ht="12.75" hidden="false" customHeight="false" outlineLevel="0" collapsed="false">
      <c r="A41" s="10" t="s">
        <v>5</v>
      </c>
      <c r="B41" s="10"/>
      <c r="C41" s="4" t="n">
        <v>0.017</v>
      </c>
      <c r="D41" s="27"/>
      <c r="E41" s="30"/>
      <c r="F41" s="28"/>
      <c r="G41" s="28"/>
      <c r="H41" s="28"/>
      <c r="I41" s="30"/>
      <c r="J41" s="16"/>
      <c r="K41" s="2"/>
      <c r="L41" s="2"/>
      <c r="M41" s="2"/>
      <c r="N41" s="2"/>
    </row>
    <row r="42" customFormat="false" ht="12.75" hidden="false" customHeight="false" outlineLevel="0" collapsed="false">
      <c r="A42" s="10" t="s">
        <v>6</v>
      </c>
      <c r="B42" s="10"/>
      <c r="C42" s="4" t="n">
        <v>0.0022</v>
      </c>
      <c r="D42" s="27"/>
      <c r="E42" s="30"/>
      <c r="F42" s="28"/>
      <c r="G42" s="28"/>
      <c r="H42" s="28"/>
      <c r="I42" s="31"/>
      <c r="J42" s="16"/>
      <c r="K42" s="2"/>
      <c r="L42" s="2"/>
      <c r="M42" s="2"/>
      <c r="N42" s="2"/>
    </row>
    <row r="43" customFormat="false" ht="12.75" hidden="false" customHeight="false" outlineLevel="0" collapsed="false">
      <c r="A43" s="10" t="s">
        <v>7</v>
      </c>
      <c r="B43" s="10"/>
      <c r="C43" s="31" t="n">
        <v>0.0282</v>
      </c>
      <c r="D43" s="27" t="n">
        <f aca="false">ROUND(+D39*(1-C43),0)</f>
        <v>1110</v>
      </c>
      <c r="E43" s="31" t="s">
        <v>28</v>
      </c>
      <c r="F43" s="28"/>
      <c r="G43" s="28"/>
      <c r="H43" s="28"/>
      <c r="I43" s="30"/>
      <c r="J43" s="16"/>
      <c r="K43" s="2"/>
      <c r="L43" s="2"/>
      <c r="M43" s="2"/>
      <c r="N43" s="2"/>
    </row>
    <row r="44" customFormat="false" ht="12.75" hidden="false" customHeight="false" outlineLevel="0" collapsed="false">
      <c r="A44" s="10" t="s">
        <v>8</v>
      </c>
      <c r="B44" s="10"/>
      <c r="C44" s="32" t="n">
        <f aca="false">ROUND((+C39+C40)/(1-C43)+(C41+C42),4)-C39-C40</f>
        <v>0.1538</v>
      </c>
      <c r="D44" s="27"/>
      <c r="E44" s="30"/>
      <c r="F44" s="28"/>
      <c r="G44" s="28"/>
      <c r="H44" s="28"/>
      <c r="I44" s="30"/>
      <c r="J44" s="16"/>
      <c r="K44" s="2"/>
      <c r="L44" s="17"/>
      <c r="M44" s="2"/>
      <c r="N44" s="2"/>
    </row>
    <row r="45" customFormat="false" ht="13.5" hidden="false" customHeight="false" outlineLevel="0" collapsed="false">
      <c r="A45" s="10"/>
      <c r="B45" s="10"/>
      <c r="C45" s="33" t="n">
        <f aca="false">SUM(C39,C40,C44)</f>
        <v>4.7938</v>
      </c>
      <c r="D45" s="27"/>
      <c r="E45" s="30"/>
      <c r="F45" s="28"/>
      <c r="G45" s="28"/>
      <c r="H45" s="28"/>
      <c r="I45" s="30"/>
      <c r="J45" s="16"/>
      <c r="K45" s="2"/>
      <c r="L45" s="17"/>
      <c r="M45" s="2"/>
      <c r="N45" s="2"/>
    </row>
    <row r="46" customFormat="false" ht="13.5" hidden="false" customHeight="false" outlineLevel="0" collapsed="false">
      <c r="A46" s="10" t="s">
        <v>29</v>
      </c>
      <c r="B46" s="10"/>
      <c r="C46" s="10"/>
      <c r="D46" s="27"/>
      <c r="E46" s="30"/>
      <c r="F46" s="27"/>
      <c r="G46" s="27"/>
      <c r="H46" s="28"/>
      <c r="I46" s="28"/>
      <c r="J46" s="16"/>
      <c r="K46" s="2"/>
      <c r="L46" s="17"/>
      <c r="M46" s="2"/>
      <c r="N46" s="2"/>
    </row>
    <row r="47" customFormat="false" ht="12.75" hidden="false" customHeight="false" outlineLevel="0" collapsed="false">
      <c r="A47" s="10"/>
      <c r="B47" s="10"/>
      <c r="C47" s="22"/>
      <c r="D47" s="10"/>
      <c r="E47" s="22"/>
      <c r="F47" s="10"/>
      <c r="G47" s="10"/>
      <c r="H47" s="16"/>
      <c r="I47" s="16"/>
      <c r="J47" s="16"/>
      <c r="K47" s="2"/>
      <c r="L47" s="17"/>
      <c r="M47" s="2"/>
      <c r="N47" s="2"/>
    </row>
    <row r="48" customFormat="false" ht="12.75" hidden="false" customHeight="false" outlineLevel="0" collapsed="false">
      <c r="A48" s="10" t="s">
        <v>30</v>
      </c>
      <c r="B48" s="10"/>
      <c r="C48" s="34"/>
      <c r="D48" s="10"/>
      <c r="E48" s="34"/>
      <c r="F48" s="10"/>
      <c r="G48" s="10"/>
      <c r="H48" s="16"/>
      <c r="I48" s="16"/>
      <c r="J48" s="16"/>
      <c r="K48" s="2"/>
      <c r="L48" s="17"/>
      <c r="M48" s="2"/>
      <c r="N48" s="2"/>
    </row>
    <row r="49" customFormat="false" ht="12.75" hidden="false" customHeight="false" outlineLevel="0" collapsed="false">
      <c r="A49" s="10"/>
      <c r="B49" s="10" t="s">
        <v>31</v>
      </c>
      <c r="C49" s="4"/>
      <c r="D49" s="10"/>
      <c r="E49" s="10"/>
      <c r="F49" s="10"/>
      <c r="G49" s="10"/>
      <c r="H49" s="16"/>
      <c r="I49" s="16"/>
      <c r="J49" s="16"/>
      <c r="K49" s="2"/>
      <c r="L49" s="17"/>
      <c r="M49" s="2"/>
      <c r="N49" s="2"/>
    </row>
    <row r="50" customFormat="false" ht="12.75" hidden="false" customHeight="false" outlineLevel="0" collapsed="false">
      <c r="A50" s="16"/>
      <c r="B50" s="16" t="s">
        <v>32</v>
      </c>
      <c r="C50" s="16"/>
      <c r="D50" s="16"/>
      <c r="E50" s="16"/>
      <c r="F50" s="16"/>
      <c r="G50" s="16"/>
      <c r="H50" s="16"/>
      <c r="I50" s="16"/>
      <c r="J50" s="16"/>
      <c r="K50" s="2"/>
      <c r="L50" s="2"/>
      <c r="M50" s="2"/>
      <c r="N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customFormat="false" ht="12.75" hidden="false" customHeight="false" outlineLevel="0" collapsed="false">
      <c r="A56" s="3" t="s">
        <v>33</v>
      </c>
      <c r="C56" s="35" t="s">
        <v>11</v>
      </c>
      <c r="E56" s="35" t="s">
        <v>34</v>
      </c>
      <c r="G56" s="2"/>
      <c r="H56" s="2"/>
      <c r="I56" s="2"/>
      <c r="J56" s="2"/>
      <c r="K56" s="2"/>
      <c r="L56" s="2"/>
      <c r="M56" s="2"/>
      <c r="N56" s="2"/>
    </row>
    <row r="57" customFormat="false" ht="12.75" hidden="false" customHeight="false" outlineLevel="0" collapsed="false">
      <c r="A57" s="1" t="s">
        <v>2</v>
      </c>
      <c r="B57" s="1" t="s">
        <v>0</v>
      </c>
      <c r="C57" s="5" t="n">
        <v>4.56</v>
      </c>
      <c r="E57" s="5" t="n">
        <v>4.56</v>
      </c>
      <c r="G57" s="2"/>
      <c r="H57" s="2"/>
      <c r="I57" s="2"/>
      <c r="J57" s="2"/>
      <c r="K57" s="2"/>
      <c r="L57" s="2"/>
      <c r="M57" s="2"/>
      <c r="N57" s="2"/>
    </row>
    <row r="58" customFormat="false" ht="12.75" hidden="false" customHeight="false" outlineLevel="0" collapsed="false">
      <c r="A58" s="1" t="s">
        <v>4</v>
      </c>
      <c r="C58" s="5" t="n">
        <v>0.0275</v>
      </c>
      <c r="E58" s="5" t="n">
        <v>0.0275</v>
      </c>
      <c r="G58" s="2"/>
      <c r="H58" s="2"/>
      <c r="I58" s="2"/>
      <c r="J58" s="2"/>
      <c r="K58" s="2"/>
      <c r="L58" s="2"/>
      <c r="M58" s="2"/>
      <c r="N58" s="2"/>
    </row>
    <row r="59" customFormat="false" ht="12.75" hidden="false" customHeight="false" outlineLevel="0" collapsed="false">
      <c r="A59" s="1" t="s">
        <v>5</v>
      </c>
      <c r="C59" s="5" t="n">
        <v>0.0092</v>
      </c>
      <c r="E59" s="5" t="n">
        <v>0.2127</v>
      </c>
      <c r="G59" s="2"/>
      <c r="H59" s="2"/>
      <c r="I59" s="2"/>
      <c r="J59" s="2"/>
      <c r="K59" s="2"/>
      <c r="L59" s="2"/>
      <c r="M59" s="2"/>
      <c r="N59" s="2"/>
    </row>
    <row r="60" customFormat="false" ht="12.75" hidden="false" customHeight="false" outlineLevel="0" collapsed="false">
      <c r="A60" s="1" t="s">
        <v>6</v>
      </c>
      <c r="C60" s="5" t="n">
        <v>0.0094</v>
      </c>
      <c r="E60" s="5" t="n">
        <v>0.0094</v>
      </c>
      <c r="F60" s="2"/>
      <c r="G60" s="2"/>
      <c r="H60" s="2"/>
      <c r="I60" s="2"/>
      <c r="J60" s="2"/>
      <c r="K60" s="2"/>
      <c r="L60" s="2"/>
      <c r="M60" s="2"/>
      <c r="N60" s="2"/>
    </row>
    <row r="61" customFormat="false" ht="12.75" hidden="false" customHeight="false" outlineLevel="0" collapsed="false">
      <c r="A61" s="1" t="s">
        <v>7</v>
      </c>
      <c r="C61" s="36" t="n">
        <v>0.03</v>
      </c>
      <c r="E61" s="36" t="n">
        <v>0.03</v>
      </c>
      <c r="F61" s="2"/>
      <c r="G61" s="2"/>
      <c r="H61" s="2"/>
      <c r="I61" s="2"/>
      <c r="J61" s="2"/>
      <c r="K61" s="2"/>
      <c r="L61" s="2"/>
      <c r="M61" s="2"/>
      <c r="N61" s="2"/>
    </row>
    <row r="62" customFormat="false" ht="12.75" hidden="false" customHeight="false" outlineLevel="0" collapsed="false">
      <c r="A62" s="1" t="s">
        <v>8</v>
      </c>
      <c r="C62" s="7" t="n">
        <f aca="false">ROUND((+C57+C58)/(1-C61)-(C57+C58)+C59+C60,4)</f>
        <v>0.1605</v>
      </c>
      <c r="E62" s="7" t="n">
        <f aca="false">ROUND((+E57+E58)/(1-E61)-(E57+E58)+E59+E60,4)</f>
        <v>0.364</v>
      </c>
      <c r="F62" s="2"/>
      <c r="G62" s="2"/>
      <c r="H62" s="2"/>
      <c r="I62" s="2"/>
      <c r="J62" s="2"/>
      <c r="K62" s="2"/>
      <c r="L62" s="2"/>
      <c r="M62" s="2"/>
      <c r="N62" s="2"/>
    </row>
    <row r="63" customFormat="false" ht="13.5" hidden="false" customHeight="false" outlineLevel="0" collapsed="false">
      <c r="A63" s="1" t="s">
        <v>35</v>
      </c>
      <c r="C63" s="9" t="n">
        <f aca="false">SUM(C62,C57:C58)</f>
        <v>4.748</v>
      </c>
      <c r="E63" s="9" t="n">
        <f aca="false">SUM(E62,E57:E58)</f>
        <v>4.9515</v>
      </c>
      <c r="F63" s="2"/>
      <c r="G63" s="2"/>
      <c r="H63" s="2"/>
      <c r="I63" s="2"/>
      <c r="J63" s="2"/>
      <c r="K63" s="2"/>
      <c r="L63" s="2"/>
      <c r="M63" s="2"/>
      <c r="N63" s="2"/>
    </row>
    <row r="64" customFormat="false" ht="13.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</row>
    <row r="65" customFormat="false" ht="12.75" hidden="false" customHeight="false" outlineLevel="0" collapsed="false">
      <c r="A65" s="1" t="s">
        <v>36</v>
      </c>
      <c r="F65" s="2"/>
      <c r="G65" s="2"/>
      <c r="H65" s="2"/>
      <c r="I65" s="2"/>
      <c r="J65" s="2"/>
      <c r="K65" s="2"/>
      <c r="L65" s="2"/>
      <c r="M65" s="2"/>
      <c r="N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customFormat="false" ht="12.75" hidden="false" customHeight="false" outlineLevel="0" collapsed="false">
      <c r="A68" s="3" t="s">
        <v>37</v>
      </c>
      <c r="F68" s="2"/>
      <c r="G68" s="2"/>
      <c r="H68" s="2"/>
      <c r="I68" s="2"/>
      <c r="J68" s="2"/>
      <c r="K68" s="2"/>
      <c r="L68" s="2"/>
      <c r="M68" s="2"/>
      <c r="N68" s="2"/>
    </row>
    <row r="69" customFormat="false" ht="12.75" hidden="false" customHeight="false" outlineLevel="0" collapsed="false">
      <c r="A69" s="1" t="s">
        <v>2</v>
      </c>
      <c r="B69" s="1" t="s">
        <v>38</v>
      </c>
      <c r="C69" s="5" t="n">
        <v>4.29</v>
      </c>
      <c r="F69" s="2"/>
      <c r="G69" s="2"/>
      <c r="H69" s="2"/>
      <c r="I69" s="2"/>
      <c r="J69" s="2"/>
      <c r="K69" s="2"/>
      <c r="L69" s="2"/>
      <c r="M69" s="2"/>
      <c r="N69" s="2"/>
    </row>
    <row r="70" customFormat="false" ht="12.75" hidden="false" customHeight="false" outlineLevel="0" collapsed="false">
      <c r="A70" s="1" t="s">
        <v>4</v>
      </c>
      <c r="C70" s="5" t="n">
        <v>0.01</v>
      </c>
      <c r="F70" s="2"/>
      <c r="G70" s="2"/>
      <c r="H70" s="2"/>
      <c r="I70" s="2"/>
      <c r="J70" s="2"/>
      <c r="K70" s="2"/>
      <c r="L70" s="2"/>
      <c r="M70" s="2"/>
      <c r="N70" s="2"/>
    </row>
    <row r="71" customFormat="false" ht="12.75" hidden="false" customHeight="false" outlineLevel="0" collapsed="false">
      <c r="A71" s="1" t="s">
        <v>5</v>
      </c>
      <c r="C71" s="5" t="n">
        <v>0.1126</v>
      </c>
      <c r="F71" s="2"/>
      <c r="G71" s="2"/>
      <c r="H71" s="2"/>
      <c r="I71" s="2"/>
      <c r="J71" s="2"/>
      <c r="K71" s="2"/>
      <c r="L71" s="2"/>
      <c r="M71" s="2"/>
      <c r="N71" s="2"/>
    </row>
    <row r="72" customFormat="false" ht="12.75" hidden="false" customHeight="false" outlineLevel="0" collapsed="false">
      <c r="A72" s="1" t="s">
        <v>6</v>
      </c>
      <c r="C72" s="5" t="n">
        <v>0.0094</v>
      </c>
      <c r="F72" s="2"/>
      <c r="G72" s="2"/>
      <c r="H72" s="2"/>
      <c r="I72" s="2"/>
      <c r="J72" s="2"/>
      <c r="K72" s="2"/>
      <c r="L72" s="2"/>
      <c r="M72" s="2"/>
      <c r="N72" s="2"/>
    </row>
    <row r="73" customFormat="false" ht="12.75" hidden="false" customHeight="false" outlineLevel="0" collapsed="false">
      <c r="A73" s="1" t="s">
        <v>7</v>
      </c>
      <c r="C73" s="36" t="n">
        <v>0.0597</v>
      </c>
      <c r="F73" s="2"/>
      <c r="G73" s="2"/>
      <c r="H73" s="2"/>
      <c r="I73" s="2"/>
      <c r="J73" s="2"/>
      <c r="K73" s="2"/>
      <c r="L73" s="2"/>
      <c r="M73" s="2"/>
      <c r="N73" s="2"/>
    </row>
    <row r="74" customFormat="false" ht="12.75" hidden="false" customHeight="false" outlineLevel="0" collapsed="false">
      <c r="A74" s="1" t="s">
        <v>8</v>
      </c>
      <c r="C74" s="7" t="n">
        <f aca="false">ROUND((+C69+C70)/(1-C73)-(C69+C70)+C71+C72,4)</f>
        <v>0.395</v>
      </c>
      <c r="F74" s="2"/>
      <c r="G74" s="2"/>
      <c r="H74" s="2"/>
      <c r="I74" s="2"/>
      <c r="J74" s="2"/>
      <c r="K74" s="2"/>
      <c r="L74" s="2"/>
      <c r="M74" s="2"/>
      <c r="N74" s="2"/>
    </row>
    <row r="75" customFormat="false" ht="13.5" hidden="false" customHeight="false" outlineLevel="0" collapsed="false">
      <c r="C75" s="9" t="n">
        <f aca="false">SUM(C74,C69:C70)</f>
        <v>4.695</v>
      </c>
      <c r="D75" s="1" t="s">
        <v>39</v>
      </c>
      <c r="F75" s="2"/>
      <c r="G75" s="2"/>
      <c r="H75" s="2"/>
      <c r="I75" s="2"/>
      <c r="J75" s="2"/>
      <c r="K75" s="2"/>
      <c r="L75" s="2"/>
      <c r="M75" s="2"/>
      <c r="N75" s="2"/>
    </row>
    <row r="76" customFormat="false" ht="13.5" hidden="false" customHeight="false" outlineLevel="0" collapsed="false">
      <c r="E76" s="2"/>
      <c r="F76" s="2"/>
      <c r="G76" s="2"/>
      <c r="H76" s="2"/>
      <c r="I76" s="2"/>
      <c r="J76" s="2"/>
      <c r="K76" s="2"/>
      <c r="L76" s="2"/>
      <c r="M76" s="2"/>
      <c r="N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customFormat="false" ht="12.75" hidden="false" customHeight="false" outlineLevel="0" collapsed="false">
      <c r="A78" s="3" t="s">
        <v>40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customFormat="false" ht="12.75" hidden="false" customHeight="false" outlineLevel="0" collapsed="false">
      <c r="A79" s="1" t="s">
        <v>2</v>
      </c>
      <c r="B79" s="1" t="s">
        <v>41</v>
      </c>
      <c r="C79" s="5" t="n">
        <v>4.3</v>
      </c>
      <c r="E79" s="2"/>
      <c r="F79" s="2"/>
      <c r="G79" s="2"/>
      <c r="H79" s="2"/>
      <c r="I79" s="2"/>
      <c r="J79" s="2"/>
      <c r="K79" s="2"/>
      <c r="L79" s="2"/>
      <c r="M79" s="2"/>
      <c r="N79" s="2"/>
    </row>
    <row r="80" customFormat="false" ht="12.75" hidden="false" customHeight="false" outlineLevel="0" collapsed="false">
      <c r="A80" s="1" t="s">
        <v>4</v>
      </c>
      <c r="C80" s="5" t="n">
        <v>0.01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customFormat="false" ht="12.75" hidden="false" customHeight="false" outlineLevel="0" collapsed="false">
      <c r="A81" s="1" t="s">
        <v>5</v>
      </c>
      <c r="C81" s="5" t="n">
        <v>0.1012</v>
      </c>
      <c r="E81" s="2"/>
      <c r="F81" s="2"/>
      <c r="G81" s="2"/>
      <c r="H81" s="2"/>
      <c r="I81" s="2"/>
      <c r="J81" s="2"/>
      <c r="K81" s="2"/>
      <c r="L81" s="2"/>
      <c r="M81" s="2"/>
      <c r="N81" s="2"/>
    </row>
    <row r="82" customFormat="false" ht="12.75" hidden="false" customHeight="false" outlineLevel="0" collapsed="false">
      <c r="A82" s="1" t="s">
        <v>6</v>
      </c>
      <c r="C82" s="5" t="n">
        <v>0.0094</v>
      </c>
      <c r="E82" s="2"/>
      <c r="F82" s="2"/>
      <c r="G82" s="2"/>
      <c r="H82" s="2"/>
      <c r="I82" s="2"/>
      <c r="J82" s="2"/>
      <c r="K82" s="2"/>
      <c r="L82" s="2"/>
      <c r="M82" s="2"/>
      <c r="N82" s="2"/>
    </row>
    <row r="83" customFormat="false" ht="12.75" hidden="false" customHeight="false" outlineLevel="0" collapsed="false">
      <c r="A83" s="1" t="s">
        <v>7</v>
      </c>
      <c r="C83" s="36" t="n">
        <v>0.0705</v>
      </c>
      <c r="E83" s="2"/>
      <c r="F83" s="2"/>
      <c r="G83" s="2"/>
      <c r="H83" s="2"/>
      <c r="I83" s="2"/>
      <c r="J83" s="2"/>
      <c r="K83" s="2"/>
      <c r="L83" s="2"/>
      <c r="M83" s="2"/>
      <c r="N83" s="2"/>
    </row>
    <row r="84" customFormat="false" ht="12.75" hidden="false" customHeight="false" outlineLevel="0" collapsed="false">
      <c r="A84" s="1" t="s">
        <v>8</v>
      </c>
      <c r="C84" s="7" t="n">
        <f aca="false">ROUND((+C79+C80)/(1-C83)-(C79+C80)+C81+C82,4)</f>
        <v>0.4375</v>
      </c>
      <c r="D84" s="1" t="s">
        <v>42</v>
      </c>
      <c r="E84" s="2"/>
      <c r="F84" s="2"/>
      <c r="G84" s="2"/>
      <c r="H84" s="2"/>
      <c r="I84" s="2"/>
      <c r="J84" s="2"/>
      <c r="K84" s="2"/>
      <c r="L84" s="2"/>
      <c r="M84" s="2"/>
      <c r="N84" s="2"/>
    </row>
    <row r="85" customFormat="false" ht="13.5" hidden="false" customHeight="false" outlineLevel="0" collapsed="false">
      <c r="C85" s="9" t="n">
        <f aca="false">SUM(C84,C79:C80)</f>
        <v>4.7475</v>
      </c>
      <c r="D85" s="1" t="s">
        <v>43</v>
      </c>
      <c r="E85" s="2"/>
      <c r="F85" s="2"/>
      <c r="G85" s="2"/>
      <c r="H85" s="2"/>
      <c r="I85" s="2"/>
      <c r="J85" s="2"/>
      <c r="K85" s="2"/>
      <c r="L85" s="2"/>
      <c r="M85" s="2"/>
      <c r="N85" s="2"/>
    </row>
    <row r="86" customFormat="false" ht="13.5" hidden="false" customHeight="false" outlineLevel="0" collapsed="false">
      <c r="E86" s="2"/>
      <c r="F86" s="2"/>
      <c r="G86" s="2"/>
      <c r="H86" s="2"/>
      <c r="I86" s="2"/>
      <c r="J86" s="2"/>
      <c r="K86" s="2"/>
      <c r="L86" s="2"/>
      <c r="M86" s="2"/>
      <c r="N86" s="2"/>
    </row>
    <row r="87" customFormat="false" ht="12.75" hidden="false" customHeight="false" outlineLevel="0" collapsed="false">
      <c r="A87" s="1" t="s">
        <v>44</v>
      </c>
      <c r="E87" s="2"/>
      <c r="F87" s="2"/>
      <c r="G87" s="2"/>
      <c r="H87" s="2"/>
      <c r="I87" s="2"/>
      <c r="J87" s="2"/>
      <c r="K87" s="2"/>
      <c r="L87" s="2"/>
      <c r="M87" s="2"/>
      <c r="N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customFormat="false" ht="12.75" hidden="false" customHeight="false" outlineLevel="0" collapsed="false">
      <c r="A95" s="37" t="s">
        <v>45</v>
      </c>
      <c r="G95" s="38"/>
      <c r="H95" s="38"/>
    </row>
    <row r="96" customFormat="false" ht="12.75" hidden="false" customHeight="false" outlineLevel="0" collapsed="false">
      <c r="D96" s="39"/>
      <c r="F96" s="40"/>
      <c r="G96" s="38"/>
    </row>
    <row r="97" customFormat="false" ht="12" hidden="false" customHeight="false" outlineLevel="0" collapsed="false">
      <c r="A97" s="1" t="s">
        <v>46</v>
      </c>
      <c r="E97" s="41"/>
      <c r="F97" s="41"/>
      <c r="G97" s="41"/>
      <c r="H97" s="41"/>
      <c r="I97" s="41"/>
      <c r="J97" s="41"/>
      <c r="K97" s="41"/>
      <c r="L97" s="41"/>
    </row>
    <row r="98" customFormat="false" ht="12.75" hidden="false" customHeight="false" outlineLevel="0" collapsed="false">
      <c r="A98" s="1" t="s">
        <v>2</v>
      </c>
      <c r="B98" s="1" t="s">
        <v>47</v>
      </c>
      <c r="C98" s="5" t="n">
        <v>4.36</v>
      </c>
      <c r="E98" s="41"/>
      <c r="F98" s="41"/>
      <c r="G98" s="18"/>
      <c r="H98" s="41"/>
      <c r="I98" s="41"/>
      <c r="J98" s="41"/>
      <c r="K98" s="18"/>
      <c r="L98" s="42"/>
    </row>
    <row r="99" customFormat="false" ht="12.75" hidden="false" customHeight="false" outlineLevel="0" collapsed="false">
      <c r="C99" s="5" t="n">
        <v>0.0075</v>
      </c>
      <c r="E99" s="41"/>
      <c r="F99" s="41"/>
      <c r="G99" s="18"/>
      <c r="H99" s="41"/>
      <c r="I99" s="41"/>
      <c r="J99" s="41"/>
      <c r="K99" s="18"/>
      <c r="L99" s="42"/>
    </row>
    <row r="100" customFormat="false" ht="12.75" hidden="false" customHeight="false" outlineLevel="0" collapsed="false">
      <c r="A100" s="1" t="s">
        <v>5</v>
      </c>
      <c r="B100" s="38"/>
      <c r="C100" s="5" t="n">
        <v>0.0274</v>
      </c>
      <c r="E100" s="41"/>
      <c r="F100" s="42"/>
      <c r="G100" s="18"/>
      <c r="H100" s="41"/>
      <c r="I100" s="41"/>
      <c r="J100" s="42"/>
      <c r="K100" s="18"/>
      <c r="L100" s="42"/>
    </row>
    <row r="101" customFormat="false" ht="12.75" hidden="false" customHeight="false" outlineLevel="0" collapsed="false">
      <c r="A101" s="1" t="s">
        <v>6</v>
      </c>
      <c r="B101" s="38"/>
      <c r="C101" s="5" t="n">
        <v>0.0225</v>
      </c>
      <c r="E101" s="41"/>
      <c r="F101" s="42"/>
      <c r="G101" s="18"/>
      <c r="H101" s="41"/>
      <c r="I101" s="41"/>
      <c r="J101" s="42"/>
      <c r="K101" s="18"/>
      <c r="L101" s="42"/>
    </row>
    <row r="102" customFormat="false" ht="12.75" hidden="false" customHeight="false" outlineLevel="0" collapsed="false">
      <c r="A102" s="1" t="s">
        <v>7</v>
      </c>
      <c r="B102" s="43"/>
      <c r="C102" s="36" t="n">
        <v>0.0472</v>
      </c>
      <c r="E102" s="41"/>
      <c r="F102" s="43"/>
      <c r="G102" s="36"/>
      <c r="H102" s="41"/>
      <c r="I102" s="41"/>
      <c r="J102" s="43"/>
      <c r="K102" s="36"/>
      <c r="L102" s="42"/>
    </row>
    <row r="103" customFormat="false" ht="12.75" hidden="false" customHeight="false" outlineLevel="0" collapsed="false">
      <c r="A103" s="1" t="s">
        <v>8</v>
      </c>
      <c r="C103" s="7" t="n">
        <f aca="false">ROUND((+C98+C99)/(1-C102)+(C100+C101),4)-C98-C99</f>
        <v>0.2663</v>
      </c>
      <c r="E103" s="41"/>
      <c r="F103" s="41"/>
      <c r="G103" s="18"/>
      <c r="H103" s="41"/>
      <c r="I103" s="41"/>
      <c r="J103" s="41"/>
      <c r="K103" s="18"/>
      <c r="L103" s="42"/>
    </row>
    <row r="104" customFormat="false" ht="13.5" hidden="false" customHeight="false" outlineLevel="0" collapsed="false">
      <c r="C104" s="9" t="n">
        <f aca="false">SUM(C103,C98:C99)</f>
        <v>4.6338</v>
      </c>
      <c r="D104" s="1" t="s">
        <v>48</v>
      </c>
      <c r="E104" s="41"/>
      <c r="F104" s="41"/>
      <c r="G104" s="41"/>
      <c r="H104" s="41"/>
      <c r="I104" s="41"/>
      <c r="J104" s="41"/>
      <c r="K104" s="41"/>
      <c r="L104" s="42"/>
      <c r="M104" s="40"/>
      <c r="N104" s="5"/>
    </row>
    <row r="105" customFormat="false" ht="13.5" hidden="false" customHeight="false" outlineLevel="0" collapsed="false">
      <c r="B105" s="38"/>
      <c r="C105" s="5"/>
      <c r="G105" s="40"/>
      <c r="H105" s="44"/>
    </row>
    <row r="106" customFormat="false" ht="12.75" hidden="false" customHeight="false" outlineLevel="0" collapsed="false">
      <c r="K106" s="38"/>
      <c r="L106" s="5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customFormat="false" ht="12" hidden="false" customHeight="false" outlineLevel="0" collapsed="false">
      <c r="A108" s="1" t="s">
        <v>49</v>
      </c>
      <c r="E108" s="41"/>
      <c r="F108" s="41"/>
      <c r="G108" s="41"/>
      <c r="H108" s="41"/>
      <c r="I108" s="41"/>
      <c r="J108" s="41"/>
      <c r="K108" s="41"/>
      <c r="L108" s="41"/>
    </row>
    <row r="109" customFormat="false" ht="12.75" hidden="false" customHeight="false" outlineLevel="0" collapsed="false">
      <c r="A109" s="1" t="s">
        <v>2</v>
      </c>
      <c r="B109" s="1" t="s">
        <v>47</v>
      </c>
      <c r="C109" s="5" t="n">
        <v>4.36</v>
      </c>
      <c r="E109" s="41"/>
      <c r="F109" s="41"/>
      <c r="G109" s="18"/>
      <c r="H109" s="41"/>
      <c r="I109" s="41"/>
      <c r="J109" s="41"/>
      <c r="K109" s="18"/>
      <c r="L109" s="42"/>
    </row>
    <row r="110" customFormat="false" ht="12.75" hidden="false" customHeight="false" outlineLevel="0" collapsed="false">
      <c r="C110" s="5" t="n">
        <v>0.0075</v>
      </c>
      <c r="E110" s="41"/>
      <c r="F110" s="41"/>
      <c r="G110" s="18"/>
      <c r="H110" s="41"/>
      <c r="I110" s="41"/>
      <c r="J110" s="41"/>
      <c r="K110" s="18"/>
      <c r="L110" s="42"/>
    </row>
    <row r="111" customFormat="false" ht="12.75" hidden="false" customHeight="false" outlineLevel="0" collapsed="false">
      <c r="A111" s="1" t="s">
        <v>5</v>
      </c>
      <c r="B111" s="38"/>
      <c r="C111" s="5" t="n">
        <v>0.014</v>
      </c>
      <c r="E111" s="41"/>
      <c r="F111" s="42"/>
      <c r="G111" s="18"/>
      <c r="H111" s="41"/>
      <c r="I111" s="41"/>
      <c r="J111" s="42"/>
      <c r="K111" s="18"/>
      <c r="L111" s="42"/>
    </row>
    <row r="112" customFormat="false" ht="12.75" hidden="false" customHeight="false" outlineLevel="0" collapsed="false">
      <c r="A112" s="1" t="s">
        <v>6</v>
      </c>
      <c r="B112" s="38"/>
      <c r="C112" s="5" t="n">
        <v>0.0225</v>
      </c>
      <c r="E112" s="41"/>
      <c r="F112" s="42"/>
      <c r="G112" s="18"/>
      <c r="H112" s="41"/>
      <c r="I112" s="41"/>
      <c r="J112" s="42"/>
      <c r="K112" s="18"/>
      <c r="L112" s="42"/>
    </row>
    <row r="113" customFormat="false" ht="12.75" hidden="false" customHeight="false" outlineLevel="0" collapsed="false">
      <c r="A113" s="1" t="s">
        <v>7</v>
      </c>
      <c r="B113" s="43"/>
      <c r="C113" s="36" t="n">
        <v>0.0235</v>
      </c>
      <c r="E113" s="41"/>
      <c r="F113" s="43"/>
      <c r="G113" s="36"/>
      <c r="H113" s="41"/>
      <c r="I113" s="41"/>
      <c r="J113" s="43"/>
      <c r="K113" s="36"/>
      <c r="L113" s="42"/>
    </row>
    <row r="114" customFormat="false" ht="12.75" hidden="false" customHeight="false" outlineLevel="0" collapsed="false">
      <c r="A114" s="1" t="s">
        <v>8</v>
      </c>
      <c r="C114" s="7" t="n">
        <f aca="false">ROUND((+C109+C110)/(1-C113)+(C111+C112),4)-C109-C110</f>
        <v>0.1416</v>
      </c>
      <c r="E114" s="41"/>
      <c r="F114" s="41"/>
      <c r="G114" s="18"/>
      <c r="H114" s="41"/>
      <c r="I114" s="41"/>
      <c r="J114" s="41"/>
      <c r="K114" s="18"/>
      <c r="L114" s="42"/>
    </row>
    <row r="115" customFormat="false" ht="13.5" hidden="false" customHeight="false" outlineLevel="0" collapsed="false">
      <c r="C115" s="9" t="n">
        <f aca="false">SUM(C114,C109:C110)</f>
        <v>4.5091</v>
      </c>
      <c r="D115" s="1" t="s">
        <v>50</v>
      </c>
      <c r="E115" s="41"/>
      <c r="F115" s="41"/>
      <c r="G115" s="41"/>
      <c r="H115" s="41"/>
      <c r="I115" s="41"/>
      <c r="J115" s="41"/>
      <c r="K115" s="41"/>
      <c r="L115" s="42"/>
      <c r="M115" s="40"/>
      <c r="N115" s="5"/>
    </row>
    <row r="116" customFormat="false" ht="13.5" hidden="false" customHeight="false" outlineLevel="0" collapsed="false">
      <c r="B116" s="38"/>
      <c r="C116" s="5"/>
      <c r="G116" s="40"/>
      <c r="H116" s="44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customFormat="false" ht="12" hidden="false" customHeight="false" outlineLevel="0" collapsed="false">
      <c r="A119" s="1" t="s">
        <v>51</v>
      </c>
      <c r="I119" s="1" t="s">
        <v>52</v>
      </c>
    </row>
    <row r="120" customFormat="false" ht="12.75" hidden="false" customHeight="false" outlineLevel="0" collapsed="false">
      <c r="A120" s="1" t="s">
        <v>2</v>
      </c>
      <c r="B120" s="1" t="s">
        <v>53</v>
      </c>
      <c r="C120" s="5" t="n">
        <v>4.37</v>
      </c>
      <c r="I120" s="1" t="s">
        <v>2</v>
      </c>
      <c r="J120" s="1" t="s">
        <v>53</v>
      </c>
      <c r="K120" s="5" t="n">
        <v>4.37</v>
      </c>
      <c r="L120" s="38"/>
    </row>
    <row r="121" customFormat="false" ht="12.75" hidden="false" customHeight="false" outlineLevel="0" collapsed="false">
      <c r="A121" s="1" t="s">
        <v>4</v>
      </c>
      <c r="C121" s="5" t="n">
        <v>0.0175</v>
      </c>
      <c r="K121" s="5" t="n">
        <v>0.0175</v>
      </c>
      <c r="L121" s="38"/>
    </row>
    <row r="122" customFormat="false" ht="12.75" hidden="false" customHeight="false" outlineLevel="0" collapsed="false">
      <c r="A122" s="1" t="s">
        <v>5</v>
      </c>
      <c r="B122" s="38"/>
      <c r="C122" s="5" t="n">
        <v>0.0115</v>
      </c>
      <c r="I122" s="1" t="s">
        <v>5</v>
      </c>
      <c r="J122" s="38"/>
      <c r="K122" s="5" t="n">
        <v>0.0023</v>
      </c>
      <c r="L122" s="38"/>
    </row>
    <row r="123" customFormat="false" ht="12.75" hidden="false" customHeight="false" outlineLevel="0" collapsed="false">
      <c r="A123" s="1" t="s">
        <v>6</v>
      </c>
      <c r="B123" s="38"/>
      <c r="C123" s="5" t="n">
        <v>0.0094</v>
      </c>
      <c r="D123" s="1" t="s">
        <v>54</v>
      </c>
      <c r="I123" s="1" t="s">
        <v>6</v>
      </c>
      <c r="J123" s="38"/>
      <c r="K123" s="5" t="n">
        <v>0.0094</v>
      </c>
      <c r="L123" s="1" t="s">
        <v>54</v>
      </c>
    </row>
    <row r="124" customFormat="false" ht="12.75" hidden="false" customHeight="false" outlineLevel="0" collapsed="false">
      <c r="A124" s="1" t="s">
        <v>7</v>
      </c>
      <c r="B124" s="43"/>
      <c r="C124" s="36" t="n">
        <v>0.019</v>
      </c>
      <c r="I124" s="1" t="s">
        <v>7</v>
      </c>
      <c r="J124" s="43"/>
      <c r="K124" s="36" t="n">
        <v>0.019</v>
      </c>
      <c r="L124" s="38"/>
    </row>
    <row r="125" customFormat="false" ht="12.75" hidden="false" customHeight="false" outlineLevel="0" collapsed="false">
      <c r="A125" s="1" t="s">
        <v>8</v>
      </c>
      <c r="C125" s="7" t="n">
        <f aca="false">ROUND((+C120+C121)/(1-C124)+(C122+C123),4)-C120-C121</f>
        <v>0.1059</v>
      </c>
      <c r="I125" s="1" t="s">
        <v>8</v>
      </c>
      <c r="K125" s="7" t="n">
        <f aca="false">ROUND((+K120+K121)/(1-K124)+(K122+K123),4)-K120-K121</f>
        <v>0.0967000000000003</v>
      </c>
      <c r="L125" s="38"/>
    </row>
    <row r="126" customFormat="false" ht="13.5" hidden="false" customHeight="false" outlineLevel="0" collapsed="false">
      <c r="A126" s="1" t="s">
        <v>35</v>
      </c>
      <c r="C126" s="9" t="n">
        <f aca="false">SUM(C125,C120:C121)</f>
        <v>4.4934</v>
      </c>
      <c r="D126" s="1" t="s">
        <v>55</v>
      </c>
      <c r="I126" s="41" t="s">
        <v>35</v>
      </c>
      <c r="J126" s="41"/>
      <c r="K126" s="9" t="n">
        <f aca="false">SUM(K125,K120:K121)</f>
        <v>4.4842</v>
      </c>
      <c r="L126" s="38" t="s">
        <v>56</v>
      </c>
      <c r="M126" s="40"/>
      <c r="N126" s="5"/>
    </row>
    <row r="127" customFormat="false" ht="13.5" hidden="false" customHeight="false" outlineLevel="0" collapsed="false">
      <c r="B127" s="38"/>
      <c r="C127" s="5"/>
      <c r="G127" s="40"/>
      <c r="H127" s="44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customFormat="false" ht="12" hidden="false" customHeight="false" outlineLevel="0" collapsed="false">
      <c r="A129" s="1" t="s">
        <v>57</v>
      </c>
    </row>
    <row r="130" customFormat="false" ht="12" hidden="false" customHeight="false" outlineLevel="0" collapsed="false">
      <c r="A130" s="1" t="s">
        <v>2</v>
      </c>
      <c r="B130" s="1" t="s">
        <v>53</v>
      </c>
      <c r="C130" s="5" t="n">
        <v>4.37</v>
      </c>
      <c r="D130" s="1" t="s">
        <v>58</v>
      </c>
    </row>
    <row r="131" customFormat="false" ht="12.75" hidden="false" customHeight="false" outlineLevel="0" collapsed="false">
      <c r="A131" s="1" t="s">
        <v>5</v>
      </c>
      <c r="B131" s="38"/>
      <c r="C131" s="5" t="n">
        <v>0.0203</v>
      </c>
    </row>
    <row r="132" customFormat="false" ht="12.75" hidden="false" customHeight="false" outlineLevel="0" collapsed="false">
      <c r="A132" s="1" t="s">
        <v>6</v>
      </c>
      <c r="B132" s="38"/>
      <c r="C132" s="5" t="n">
        <v>0.0225</v>
      </c>
    </row>
    <row r="133" customFormat="false" ht="12" hidden="false" customHeight="false" outlineLevel="0" collapsed="false">
      <c r="A133" s="1" t="s">
        <v>7</v>
      </c>
      <c r="B133" s="43"/>
      <c r="C133" s="36" t="n">
        <v>0.0343</v>
      </c>
    </row>
    <row r="134" customFormat="false" ht="12" hidden="false" customHeight="false" outlineLevel="0" collapsed="false">
      <c r="A134" s="1" t="s">
        <v>8</v>
      </c>
      <c r="C134" s="7" t="n">
        <v>0.1428</v>
      </c>
    </row>
    <row r="135" customFormat="false" ht="12" hidden="false" customHeight="false" outlineLevel="0" collapsed="false">
      <c r="A135" s="1" t="s">
        <v>59</v>
      </c>
      <c r="C135" s="8" t="n">
        <v>0.27</v>
      </c>
    </row>
    <row r="136" customFormat="false" ht="12.75" hidden="false" customHeight="false" outlineLevel="0" collapsed="false">
      <c r="A136" s="1" t="s">
        <v>35</v>
      </c>
      <c r="C136" s="9" t="n">
        <v>3.0428</v>
      </c>
      <c r="D136" s="1" t="s">
        <v>60</v>
      </c>
    </row>
    <row r="137" customFormat="false" ht="12.75" hidden="false" customHeight="false" outlineLevel="0" collapsed="false">
      <c r="D137" s="1" t="s">
        <v>61</v>
      </c>
    </row>
    <row r="138" customFormat="false" ht="12" hidden="false" customHeight="false" outlineLevel="0" collapsed="false">
      <c r="D138" s="1" t="s">
        <v>62</v>
      </c>
    </row>
    <row r="142" customFormat="false" ht="12" hidden="false" customHeight="false" outlineLevel="0" collapsed="false">
      <c r="A142" s="1" t="s">
        <v>63</v>
      </c>
    </row>
    <row r="143" customFormat="false" ht="12" hidden="false" customHeight="false" outlineLevel="0" collapsed="false">
      <c r="A143" s="1" t="s">
        <v>2</v>
      </c>
      <c r="B143" s="1" t="s">
        <v>47</v>
      </c>
      <c r="C143" s="5" t="n">
        <v>4.36</v>
      </c>
    </row>
    <row r="144" customFormat="false" ht="12" hidden="false" customHeight="false" outlineLevel="0" collapsed="false">
      <c r="C144" s="5" t="n">
        <v>0.0075</v>
      </c>
    </row>
    <row r="145" customFormat="false" ht="12.75" hidden="false" customHeight="false" outlineLevel="0" collapsed="false">
      <c r="A145" s="1" t="s">
        <v>5</v>
      </c>
      <c r="B145" s="38"/>
      <c r="C145" s="5" t="n">
        <v>0.0228</v>
      </c>
    </row>
    <row r="146" customFormat="false" ht="12.75" hidden="false" customHeight="false" outlineLevel="0" collapsed="false">
      <c r="A146" s="1" t="s">
        <v>6</v>
      </c>
      <c r="B146" s="38"/>
      <c r="C146" s="5" t="n">
        <v>0.0225</v>
      </c>
    </row>
    <row r="147" customFormat="false" ht="12" hidden="false" customHeight="false" outlineLevel="0" collapsed="false">
      <c r="A147" s="1" t="s">
        <v>7</v>
      </c>
      <c r="B147" s="43"/>
      <c r="C147" s="36" t="n">
        <v>0.0388</v>
      </c>
    </row>
    <row r="148" customFormat="false" ht="12" hidden="false" customHeight="false" outlineLevel="0" collapsed="false">
      <c r="A148" s="1" t="s">
        <v>8</v>
      </c>
      <c r="C148" s="7" t="n">
        <f aca="false">ROUND((+C143+C144)/(1-C147)+(C145+C146),4)-C143-C144</f>
        <v>0.2216</v>
      </c>
    </row>
    <row r="149" customFormat="false" ht="12.75" hidden="false" customHeight="false" outlineLevel="0" collapsed="false">
      <c r="A149" s="1" t="s">
        <v>35</v>
      </c>
      <c r="C149" s="9" t="n">
        <f aca="false">SUM(C148,C143:C144)</f>
        <v>4.5891</v>
      </c>
      <c r="D149" s="1" t="s">
        <v>64</v>
      </c>
    </row>
    <row r="150" customFormat="false" ht="12.75" hidden="false" customHeight="false" outlineLevel="0" collapsed="false"/>
    <row r="156" customFormat="false" ht="12" hidden="false" customHeight="false" outlineLevel="0" collapsed="false">
      <c r="A156" s="3" t="s">
        <v>65</v>
      </c>
    </row>
    <row r="157" customFormat="false" ht="12" hidden="false" customHeight="false" outlineLevel="0" collapsed="false">
      <c r="A157" s="1" t="s">
        <v>2</v>
      </c>
      <c r="B157" s="1" t="s">
        <v>66</v>
      </c>
      <c r="C157" s="5" t="n">
        <v>4.33</v>
      </c>
    </row>
    <row r="158" customFormat="false" ht="12" hidden="false" customHeight="false" outlineLevel="0" collapsed="false">
      <c r="A158" s="1" t="s">
        <v>4</v>
      </c>
      <c r="C158" s="5" t="n">
        <v>-0.01</v>
      </c>
    </row>
    <row r="159" customFormat="false" ht="12" hidden="false" customHeight="false" outlineLevel="0" collapsed="false">
      <c r="A159" s="1" t="s">
        <v>5</v>
      </c>
      <c r="C159" s="5" t="n">
        <v>0.0323</v>
      </c>
    </row>
    <row r="160" customFormat="false" ht="12" hidden="false" customHeight="false" outlineLevel="0" collapsed="false">
      <c r="A160" s="1" t="s">
        <v>6</v>
      </c>
      <c r="C160" s="5" t="n">
        <v>0.0094</v>
      </c>
    </row>
    <row r="161" customFormat="false" ht="12" hidden="false" customHeight="false" outlineLevel="0" collapsed="false">
      <c r="A161" s="1" t="s">
        <v>7</v>
      </c>
      <c r="C161" s="36" t="n">
        <v>0.0268</v>
      </c>
    </row>
    <row r="162" customFormat="false" ht="12" hidden="false" customHeight="false" outlineLevel="0" collapsed="false">
      <c r="A162" s="1" t="s">
        <v>8</v>
      </c>
      <c r="C162" s="7" t="n">
        <f aca="false">ROUND((+C157+C158)/(1-C161)+(C159+C160),4)-C157-C158</f>
        <v>0.1607</v>
      </c>
    </row>
    <row r="163" customFormat="false" ht="12.75" hidden="false" customHeight="false" outlineLevel="0" collapsed="false">
      <c r="A163" s="1" t="s">
        <v>35</v>
      </c>
      <c r="C163" s="9" t="n">
        <f aca="false">SUM(C162,C157:C158)</f>
        <v>4.4807</v>
      </c>
      <c r="D163" s="1" t="s">
        <v>67</v>
      </c>
    </row>
    <row r="164" customFormat="false" ht="12.75" hidden="false" customHeight="false" outlineLevel="0" collapsed="false"/>
    <row r="166" customFormat="false" ht="12" hidden="false" customHeight="false" outlineLevel="0" collapsed="false">
      <c r="A166" s="3" t="s">
        <v>68</v>
      </c>
    </row>
    <row r="167" customFormat="false" ht="12" hidden="false" customHeight="false" outlineLevel="0" collapsed="false">
      <c r="A167" s="1" t="s">
        <v>2</v>
      </c>
      <c r="B167" s="1" t="s">
        <v>69</v>
      </c>
      <c r="C167" s="5" t="n">
        <v>4.35</v>
      </c>
    </row>
    <row r="168" customFormat="false" ht="12" hidden="false" customHeight="false" outlineLevel="0" collapsed="false">
      <c r="A168" s="1" t="s">
        <v>4</v>
      </c>
      <c r="C168" s="5" t="n">
        <v>0.0075</v>
      </c>
    </row>
    <row r="169" customFormat="false" ht="12" hidden="false" customHeight="false" outlineLevel="0" collapsed="false">
      <c r="A169" s="1" t="s">
        <v>5</v>
      </c>
      <c r="C169" s="5" t="n">
        <v>0.021</v>
      </c>
    </row>
    <row r="170" customFormat="false" ht="12" hidden="false" customHeight="false" outlineLevel="0" collapsed="false">
      <c r="A170" s="1" t="s">
        <v>6</v>
      </c>
      <c r="C170" s="5" t="n">
        <f aca="false">0.0022+0.0072</f>
        <v>0.0094</v>
      </c>
    </row>
    <row r="171" customFormat="false" ht="12" hidden="false" customHeight="false" outlineLevel="0" collapsed="false">
      <c r="A171" s="1" t="s">
        <v>7</v>
      </c>
      <c r="C171" s="36" t="n">
        <v>0.026</v>
      </c>
    </row>
    <row r="172" customFormat="false" ht="12" hidden="false" customHeight="false" outlineLevel="0" collapsed="false">
      <c r="A172" s="1" t="s">
        <v>8</v>
      </c>
      <c r="C172" s="7" t="n">
        <f aca="false">ROUND((+C167+C168)/(1-C171)-(C167+C168)+C169+C170,4)</f>
        <v>0.1467</v>
      </c>
    </row>
    <row r="173" customFormat="false" ht="12.75" hidden="false" customHeight="false" outlineLevel="0" collapsed="false">
      <c r="A173" s="1" t="s">
        <v>35</v>
      </c>
      <c r="C173" s="9" t="n">
        <f aca="false">SUM(C172,C167:C168)</f>
        <v>4.5042</v>
      </c>
      <c r="D173" s="1" t="s">
        <v>70</v>
      </c>
    </row>
    <row r="174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5"/>
  <sheetViews>
    <sheetView showFormulas="false" showGridLines="true" showRowColHeaders="true" showZeros="true" rightToLeft="false" tabSelected="true" showOutlineSymbols="true" defaultGridColor="true" view="normal" topLeftCell="G73" colorId="64" zoomScale="100" zoomScaleNormal="100" zoomScalePageLayoutView="100" workbookViewId="0">
      <selection pane="topLeft" activeCell="U95" activeCellId="0" sqref="U9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8" width="9.14"/>
    <col collapsed="false" customWidth="true" hidden="false" outlineLevel="0" max="2" min="2" style="38" width="9.99"/>
    <col collapsed="false" customWidth="false" hidden="false" outlineLevel="0" max="3" min="3" style="38" width="9.14"/>
    <col collapsed="false" customWidth="true" hidden="false" outlineLevel="0" max="4" min="4" style="38" width="10.56"/>
    <col collapsed="false" customWidth="true" hidden="false" outlineLevel="0" max="5" min="5" style="38" width="9.28"/>
    <col collapsed="false" customWidth="true" hidden="false" outlineLevel="0" max="6" min="6" style="38" width="9.56"/>
    <col collapsed="false" customWidth="true" hidden="false" outlineLevel="0" max="7" min="7" style="45" width="12.42"/>
    <col collapsed="false" customWidth="true" hidden="false" outlineLevel="0" max="8" min="8" style="45" width="13.99"/>
    <col collapsed="false" customWidth="true" hidden="false" outlineLevel="0" max="9" min="9" style="38" width="10.71"/>
    <col collapsed="false" customWidth="true" hidden="false" outlineLevel="0" max="10" min="10" style="38" width="7.7"/>
    <col collapsed="false" customWidth="true" hidden="true" outlineLevel="0" max="14" min="11" style="38" width="9.06"/>
    <col collapsed="false" customWidth="true" hidden="true" outlineLevel="0" max="15" min="15" style="46" width="9.06"/>
    <col collapsed="false" customWidth="true" hidden="true" outlineLevel="0" max="16" min="16" style="38" width="9.06"/>
    <col collapsed="false" customWidth="true" hidden="false" outlineLevel="0" max="17" min="17" style="38" width="11.7"/>
    <col collapsed="false" customWidth="true" hidden="false" outlineLevel="0" max="18" min="18" style="38" width="9.41"/>
    <col collapsed="false" customWidth="true" hidden="false" outlineLevel="0" max="19" min="19" style="38" width="12.28"/>
    <col collapsed="false" customWidth="true" hidden="false" outlineLevel="0" max="20" min="20" style="38" width="10.71"/>
    <col collapsed="false" customWidth="true" hidden="false" outlineLevel="0" max="21" min="21" style="38" width="11.85"/>
    <col collapsed="false" customWidth="true" hidden="false" outlineLevel="0" max="22" min="22" style="47" width="14.85"/>
    <col collapsed="false" customWidth="true" hidden="false" outlineLevel="0" max="23" min="23" style="45" width="42.28"/>
    <col collapsed="false" customWidth="false" hidden="false" outlineLevel="0" max="25" min="24" style="47" width="9.14"/>
    <col collapsed="false" customWidth="true" hidden="false" outlineLevel="0" max="26" min="26" style="38" width="12.42"/>
    <col collapsed="false" customWidth="false" hidden="false" outlineLevel="0" max="257" min="27" style="38" width="9.14"/>
  </cols>
  <sheetData>
    <row r="1" customFormat="false" ht="12.75" hidden="false" customHeight="false" outlineLevel="0" collapsed="false">
      <c r="B1" s="48" t="s">
        <v>71</v>
      </c>
      <c r="C1" s="49"/>
      <c r="D1" s="49"/>
      <c r="E1" s="50"/>
      <c r="F1" s="50"/>
      <c r="G1" s="51"/>
      <c r="H1" s="51"/>
      <c r="I1" s="49" t="s">
        <v>72</v>
      </c>
      <c r="J1" s="52" t="n">
        <v>30</v>
      </c>
      <c r="K1" s="53" t="s">
        <v>73</v>
      </c>
      <c r="L1" s="54"/>
      <c r="M1" s="54"/>
      <c r="N1" s="54"/>
      <c r="O1" s="55"/>
      <c r="P1" s="54"/>
      <c r="Q1" s="56"/>
      <c r="R1" s="57"/>
      <c r="S1" s="58"/>
      <c r="T1" s="58"/>
      <c r="U1" s="58"/>
      <c r="V1" s="59"/>
      <c r="W1" s="60"/>
      <c r="X1" s="61"/>
      <c r="Y1" s="61"/>
    </row>
    <row r="2" customFormat="false" ht="12.75" hidden="false" customHeight="false" outlineLevel="0" collapsed="false">
      <c r="B2" s="51" t="s">
        <v>74</v>
      </c>
      <c r="C2" s="51"/>
      <c r="D2" s="51"/>
      <c r="E2" s="50"/>
      <c r="F2" s="50"/>
      <c r="G2" s="51"/>
      <c r="H2" s="51"/>
      <c r="I2" s="49"/>
      <c r="J2" s="52"/>
      <c r="K2" s="53" t="s">
        <v>75</v>
      </c>
      <c r="L2" s="54"/>
      <c r="M2" s="54"/>
      <c r="N2" s="54"/>
      <c r="O2" s="55"/>
      <c r="P2" s="54"/>
      <c r="Q2" s="56"/>
      <c r="R2" s="57"/>
      <c r="S2" s="58"/>
      <c r="T2" s="58"/>
      <c r="U2" s="58"/>
      <c r="V2" s="59"/>
      <c r="W2" s="60"/>
      <c r="X2" s="61"/>
      <c r="Y2" s="61"/>
    </row>
    <row r="3" customFormat="false" ht="12.75" hidden="false" customHeight="false" outlineLevel="0" collapsed="false">
      <c r="B3" s="51" t="s">
        <v>76</v>
      </c>
      <c r="C3" s="51"/>
      <c r="D3" s="51"/>
      <c r="E3" s="50"/>
      <c r="F3" s="50"/>
      <c r="G3" s="62" t="s">
        <v>67</v>
      </c>
      <c r="H3" s="51" t="s">
        <v>67</v>
      </c>
      <c r="I3" s="57" t="s">
        <v>67</v>
      </c>
      <c r="J3" s="63"/>
      <c r="K3" s="64" t="s">
        <v>67</v>
      </c>
      <c r="L3" s="54"/>
      <c r="M3" s="64" t="s">
        <v>67</v>
      </c>
      <c r="N3" s="54"/>
      <c r="O3" s="55"/>
      <c r="P3" s="64" t="s">
        <v>67</v>
      </c>
      <c r="Q3" s="56"/>
      <c r="R3" s="57"/>
      <c r="S3" s="58"/>
      <c r="T3" s="58"/>
      <c r="U3" s="58"/>
      <c r="V3" s="59"/>
      <c r="W3" s="60"/>
      <c r="X3" s="61"/>
      <c r="Y3" s="61"/>
    </row>
    <row r="4" customFormat="false" ht="12.75" hidden="false" customHeight="false" outlineLevel="0" collapsed="false">
      <c r="B4" s="51"/>
      <c r="C4" s="49"/>
      <c r="D4" s="49"/>
      <c r="E4" s="50"/>
      <c r="F4" s="50"/>
      <c r="G4" s="65"/>
      <c r="H4" s="51"/>
      <c r="I4" s="65"/>
      <c r="J4" s="63"/>
      <c r="K4" s="65"/>
      <c r="L4" s="54"/>
      <c r="M4" s="65"/>
      <c r="N4" s="57"/>
      <c r="O4" s="55"/>
      <c r="P4" s="57"/>
      <c r="Q4" s="56"/>
      <c r="R4" s="57"/>
      <c r="S4" s="58"/>
      <c r="T4" s="66"/>
      <c r="U4" s="66"/>
      <c r="V4" s="67"/>
      <c r="W4" s="60"/>
      <c r="X4" s="61"/>
      <c r="Y4" s="61"/>
    </row>
    <row r="5" customFormat="false" ht="12.75" hidden="false" customHeight="false" outlineLevel="0" collapsed="false">
      <c r="B5" s="51" t="s">
        <v>77</v>
      </c>
      <c r="C5" s="49"/>
      <c r="D5" s="51"/>
      <c r="E5" s="50"/>
      <c r="F5" s="50"/>
      <c r="G5" s="65"/>
      <c r="H5" s="51"/>
      <c r="I5" s="65"/>
      <c r="J5" s="63"/>
      <c r="K5" s="65"/>
      <c r="L5" s="54"/>
      <c r="M5" s="65"/>
      <c r="N5" s="57"/>
      <c r="O5" s="55"/>
      <c r="P5" s="57"/>
      <c r="Q5" s="56"/>
      <c r="R5" s="57"/>
      <c r="S5" s="58"/>
      <c r="T5" s="66"/>
      <c r="U5" s="66"/>
      <c r="V5" s="67"/>
      <c r="W5" s="60"/>
      <c r="X5" s="61"/>
      <c r="Y5" s="61"/>
    </row>
    <row r="6" customFormat="false" ht="12.75" hidden="false" customHeight="false" outlineLevel="0" collapsed="false">
      <c r="B6" s="51"/>
      <c r="C6" s="49" t="s">
        <v>78</v>
      </c>
      <c r="D6" s="49"/>
      <c r="E6" s="50"/>
      <c r="F6" s="50"/>
      <c r="G6" s="65"/>
      <c r="H6" s="51"/>
      <c r="I6" s="65"/>
      <c r="J6" s="63"/>
      <c r="K6" s="65"/>
      <c r="L6" s="54"/>
      <c r="M6" s="65"/>
      <c r="N6" s="57"/>
      <c r="O6" s="55"/>
      <c r="P6" s="57"/>
      <c r="Q6" s="56"/>
      <c r="R6" s="57"/>
      <c r="S6" s="58"/>
      <c r="T6" s="66"/>
      <c r="U6" s="66"/>
      <c r="V6" s="67"/>
      <c r="W6" s="60"/>
      <c r="X6" s="61"/>
      <c r="Y6" s="61"/>
    </row>
    <row r="7" customFormat="false" ht="12.75" hidden="false" customHeight="false" outlineLevel="0" collapsed="false">
      <c r="B7" s="51"/>
      <c r="C7" s="49"/>
      <c r="D7" s="49"/>
      <c r="E7" s="50"/>
      <c r="F7" s="50"/>
      <c r="G7" s="65"/>
      <c r="H7" s="51"/>
      <c r="I7" s="65"/>
      <c r="J7" s="63"/>
      <c r="K7" s="65"/>
      <c r="L7" s="54"/>
      <c r="M7" s="65"/>
      <c r="N7" s="57"/>
      <c r="O7" s="55"/>
      <c r="P7" s="57"/>
      <c r="Q7" s="56"/>
      <c r="R7" s="57"/>
      <c r="S7" s="58"/>
      <c r="T7" s="66"/>
      <c r="U7" s="66"/>
      <c r="V7" s="67"/>
      <c r="W7" s="60"/>
      <c r="X7" s="61"/>
      <c r="Y7" s="61"/>
    </row>
    <row r="8" customFormat="false" ht="12.75" hidden="false" customHeight="false" outlineLevel="0" collapsed="false">
      <c r="B8" s="51"/>
      <c r="C8" s="49"/>
      <c r="D8" s="49"/>
      <c r="E8" s="50"/>
      <c r="F8" s="50"/>
      <c r="G8" s="65"/>
      <c r="H8" s="51"/>
      <c r="I8" s="65"/>
      <c r="J8" s="63"/>
      <c r="K8" s="65"/>
      <c r="L8" s="54"/>
      <c r="M8" s="65"/>
      <c r="N8" s="57"/>
      <c r="O8" s="55"/>
      <c r="P8" s="57"/>
      <c r="Q8" s="56"/>
      <c r="R8" s="57"/>
      <c r="S8" s="58"/>
      <c r="T8" s="66"/>
      <c r="U8" s="66"/>
      <c r="V8" s="67"/>
      <c r="W8" s="60"/>
      <c r="X8" s="61"/>
      <c r="Y8" s="61"/>
    </row>
    <row r="9" customFormat="false" ht="12.75" hidden="false" customHeight="false" outlineLevel="0" collapsed="false">
      <c r="B9" s="51"/>
      <c r="C9" s="49"/>
      <c r="D9" s="49"/>
      <c r="E9" s="50"/>
      <c r="F9" s="50"/>
      <c r="G9" s="65"/>
      <c r="H9" s="51"/>
      <c r="I9" s="65"/>
      <c r="J9" s="63"/>
      <c r="K9" s="65"/>
      <c r="L9" s="54"/>
      <c r="M9" s="65"/>
      <c r="N9" s="57"/>
      <c r="O9" s="55"/>
      <c r="P9" s="57"/>
      <c r="Q9" s="56"/>
      <c r="R9" s="57"/>
      <c r="S9" s="58"/>
      <c r="T9" s="66"/>
      <c r="U9" s="66"/>
      <c r="V9" s="67"/>
      <c r="W9" s="60"/>
      <c r="X9" s="61"/>
      <c r="Y9" s="61"/>
    </row>
    <row r="10" customFormat="false" ht="12.75" hidden="false" customHeight="false" outlineLevel="0" collapsed="false">
      <c r="B10" s="51"/>
      <c r="C10" s="49"/>
      <c r="D10" s="49"/>
      <c r="E10" s="50"/>
      <c r="F10" s="50"/>
      <c r="G10" s="65"/>
      <c r="H10" s="51"/>
      <c r="I10" s="65"/>
      <c r="J10" s="63"/>
      <c r="K10" s="65"/>
      <c r="L10" s="54"/>
      <c r="M10" s="65"/>
      <c r="N10" s="57"/>
      <c r="O10" s="55"/>
      <c r="P10" s="57"/>
      <c r="Q10" s="56"/>
      <c r="R10" s="57"/>
      <c r="S10" s="58"/>
      <c r="T10" s="66"/>
      <c r="U10" s="66"/>
      <c r="V10" s="67"/>
      <c r="W10" s="60"/>
      <c r="X10" s="61"/>
      <c r="Y10" s="61"/>
    </row>
    <row r="11" customFormat="false" ht="12.75" hidden="false" customHeight="false" outlineLevel="0" collapsed="false">
      <c r="B11" s="68" t="s">
        <v>79</v>
      </c>
      <c r="C11" s="69" t="s">
        <v>80</v>
      </c>
      <c r="D11" s="69" t="s">
        <v>81</v>
      </c>
      <c r="E11" s="70" t="s">
        <v>82</v>
      </c>
      <c r="F11" s="70"/>
      <c r="G11" s="68" t="s">
        <v>83</v>
      </c>
      <c r="H11" s="68" t="s">
        <v>84</v>
      </c>
      <c r="I11" s="69" t="s">
        <v>85</v>
      </c>
      <c r="J11" s="71" t="s">
        <v>86</v>
      </c>
      <c r="K11" s="69" t="s">
        <v>87</v>
      </c>
      <c r="L11" s="69" t="s">
        <v>88</v>
      </c>
      <c r="M11" s="69" t="s">
        <v>89</v>
      </c>
      <c r="N11" s="69" t="s">
        <v>90</v>
      </c>
      <c r="O11" s="72" t="s">
        <v>91</v>
      </c>
      <c r="P11" s="69" t="s">
        <v>92</v>
      </c>
      <c r="Q11" s="73" t="s">
        <v>93</v>
      </c>
      <c r="R11" s="69" t="s">
        <v>94</v>
      </c>
      <c r="S11" s="68" t="s">
        <v>95</v>
      </c>
      <c r="T11" s="74" t="s">
        <v>96</v>
      </c>
      <c r="U11" s="74" t="s">
        <v>97</v>
      </c>
      <c r="V11" s="75" t="s">
        <v>98</v>
      </c>
      <c r="W11" s="76" t="e">
        <f aca="false">+#REF!</f>
        <v>#REF!</v>
      </c>
      <c r="X11" s="77"/>
      <c r="Y11" s="77"/>
    </row>
    <row r="12" customFormat="false" ht="12.75" hidden="false" customHeight="false" outlineLevel="0" collapsed="false">
      <c r="A12" s="78"/>
      <c r="B12" s="51" t="s">
        <v>99</v>
      </c>
      <c r="C12" s="49" t="s">
        <v>100</v>
      </c>
      <c r="D12" s="49" t="s">
        <v>101</v>
      </c>
      <c r="E12" s="50" t="n">
        <v>36678</v>
      </c>
      <c r="F12" s="50" t="n">
        <v>37042</v>
      </c>
      <c r="G12" s="51" t="s">
        <v>102</v>
      </c>
      <c r="H12" s="51" t="s">
        <v>103</v>
      </c>
      <c r="I12" s="49" t="s">
        <v>104</v>
      </c>
      <c r="J12" s="63" t="n">
        <f aca="false">3.145/J$1</f>
        <v>0.104833333333333</v>
      </c>
      <c r="K12" s="54" t="n">
        <v>0.0132</v>
      </c>
      <c r="L12" s="54" t="n">
        <v>0.0022</v>
      </c>
      <c r="M12" s="54" t="n">
        <v>0</v>
      </c>
      <c r="N12" s="54" t="n">
        <v>0</v>
      </c>
      <c r="O12" s="55" t="n">
        <v>0.02116</v>
      </c>
      <c r="P12" s="54" t="n">
        <f aca="false">SUM(J12:N12)</f>
        <v>0.120233333333333</v>
      </c>
      <c r="Q12" s="56" t="n">
        <v>68360</v>
      </c>
      <c r="R12" s="49" t="n">
        <v>291</v>
      </c>
      <c r="S12" s="51"/>
      <c r="T12" s="79" t="n">
        <f aca="false">J12*J$1*R12</f>
        <v>915.195</v>
      </c>
      <c r="U12" s="79"/>
      <c r="V12" s="80" t="n">
        <v>271311</v>
      </c>
      <c r="W12" s="51"/>
      <c r="X12" s="77"/>
      <c r="Y12" s="77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customFormat="false" ht="12.75" hidden="false" customHeight="false" outlineLevel="0" collapsed="false">
      <c r="A13" s="78"/>
      <c r="B13" s="51" t="s">
        <v>99</v>
      </c>
      <c r="C13" s="49" t="s">
        <v>100</v>
      </c>
      <c r="D13" s="49" t="s">
        <v>105</v>
      </c>
      <c r="E13" s="50" t="n">
        <v>36678</v>
      </c>
      <c r="F13" s="50" t="n">
        <v>37042</v>
      </c>
      <c r="G13" s="51" t="s">
        <v>102</v>
      </c>
      <c r="H13" s="51" t="s">
        <v>103</v>
      </c>
      <c r="I13" s="49" t="s">
        <v>104</v>
      </c>
      <c r="J13" s="63" t="n">
        <f aca="false">3.145/J$1</f>
        <v>0.104833333333333</v>
      </c>
      <c r="K13" s="54" t="n">
        <v>0.0132</v>
      </c>
      <c r="L13" s="54" t="n">
        <v>0.0022</v>
      </c>
      <c r="M13" s="54" t="n">
        <v>0</v>
      </c>
      <c r="N13" s="54" t="n">
        <v>0</v>
      </c>
      <c r="O13" s="55" t="n">
        <v>0.02116</v>
      </c>
      <c r="P13" s="54" t="n">
        <f aca="false">SUM(J13:N13)</f>
        <v>0.120233333333333</v>
      </c>
      <c r="Q13" s="56" t="n">
        <v>68385</v>
      </c>
      <c r="R13" s="49" t="n">
        <v>223</v>
      </c>
      <c r="S13" s="51"/>
      <c r="T13" s="79" t="n">
        <f aca="false">J13*J$1*R13</f>
        <v>701.335</v>
      </c>
      <c r="U13" s="79"/>
      <c r="V13" s="80" t="n">
        <v>280550</v>
      </c>
      <c r="W13" s="51"/>
      <c r="X13" s="77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customFormat="false" ht="12.75" hidden="false" customHeight="false" outlineLevel="0" collapsed="false">
      <c r="A14" s="78"/>
      <c r="B14" s="51" t="s">
        <v>99</v>
      </c>
      <c r="C14" s="49" t="s">
        <v>100</v>
      </c>
      <c r="D14" s="49" t="s">
        <v>101</v>
      </c>
      <c r="E14" s="50" t="n">
        <v>36708</v>
      </c>
      <c r="F14" s="50" t="n">
        <v>37072</v>
      </c>
      <c r="G14" s="51" t="s">
        <v>102</v>
      </c>
      <c r="H14" s="51" t="s">
        <v>103</v>
      </c>
      <c r="I14" s="49" t="s">
        <v>104</v>
      </c>
      <c r="J14" s="63" t="n">
        <f aca="false">3.145/J$1</f>
        <v>0.104833333333333</v>
      </c>
      <c r="K14" s="54" t="n">
        <v>0.0132</v>
      </c>
      <c r="L14" s="54" t="n">
        <v>0.0022</v>
      </c>
      <c r="M14" s="54" t="n">
        <v>0</v>
      </c>
      <c r="N14" s="54" t="n">
        <v>0</v>
      </c>
      <c r="O14" s="55" t="n">
        <v>0.02116</v>
      </c>
      <c r="P14" s="54" t="n">
        <f aca="false">SUM(J14:N14)</f>
        <v>0.120233333333333</v>
      </c>
      <c r="Q14" s="56" t="n">
        <v>68615</v>
      </c>
      <c r="R14" s="49" t="n">
        <v>920</v>
      </c>
      <c r="S14" s="51"/>
      <c r="T14" s="79" t="n">
        <f aca="false">J14*J$1*R14</f>
        <v>2893.4</v>
      </c>
      <c r="U14" s="79"/>
      <c r="V14" s="80" t="n">
        <v>309873</v>
      </c>
      <c r="W14" s="51"/>
      <c r="X14" s="77"/>
      <c r="Y14" s="77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customFormat="false" ht="12.75" hidden="false" customHeight="false" outlineLevel="0" collapsed="false">
      <c r="A15" s="78"/>
      <c r="B15" s="51" t="s">
        <v>99</v>
      </c>
      <c r="C15" s="49" t="s">
        <v>100</v>
      </c>
      <c r="D15" s="49" t="s">
        <v>105</v>
      </c>
      <c r="E15" s="50" t="n">
        <v>36404</v>
      </c>
      <c r="F15" s="50" t="n">
        <v>36769</v>
      </c>
      <c r="G15" s="51" t="s">
        <v>102</v>
      </c>
      <c r="H15" s="51" t="s">
        <v>103</v>
      </c>
      <c r="I15" s="49" t="s">
        <v>104</v>
      </c>
      <c r="J15" s="63" t="n">
        <f aca="false">3.145/J$1</f>
        <v>0.104833333333333</v>
      </c>
      <c r="K15" s="54" t="n">
        <v>0.0132</v>
      </c>
      <c r="L15" s="54" t="n">
        <v>0.0022</v>
      </c>
      <c r="M15" s="54" t="n">
        <v>0</v>
      </c>
      <c r="N15" s="54" t="n">
        <v>0</v>
      </c>
      <c r="O15" s="55" t="n">
        <v>0.02116</v>
      </c>
      <c r="P15" s="54" t="n">
        <f aca="false">SUM(J15:N15)</f>
        <v>0.120233333333333</v>
      </c>
      <c r="Q15" s="56" t="n">
        <v>64652</v>
      </c>
      <c r="R15" s="49" t="n">
        <v>65</v>
      </c>
      <c r="S15" s="51"/>
      <c r="T15" s="79" t="n">
        <f aca="false">J15*J$1*R15</f>
        <v>204.425</v>
      </c>
      <c r="U15" s="79"/>
      <c r="V15" s="80" t="n">
        <v>156623</v>
      </c>
      <c r="W15" s="51"/>
      <c r="X15" s="77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customFormat="false" ht="12.75" hidden="false" customHeight="false" outlineLevel="0" collapsed="false">
      <c r="A16" s="78"/>
      <c r="B16" s="51" t="s">
        <v>99</v>
      </c>
      <c r="C16" s="49" t="s">
        <v>100</v>
      </c>
      <c r="D16" s="49" t="s">
        <v>105</v>
      </c>
      <c r="E16" s="50" t="n">
        <v>36434</v>
      </c>
      <c r="F16" s="50" t="n">
        <v>36799</v>
      </c>
      <c r="G16" s="51" t="s">
        <v>102</v>
      </c>
      <c r="H16" s="51" t="s">
        <v>103</v>
      </c>
      <c r="I16" s="49" t="s">
        <v>104</v>
      </c>
      <c r="J16" s="63" t="n">
        <f aca="false">3.145/J$1</f>
        <v>0.104833333333333</v>
      </c>
      <c r="K16" s="54" t="n">
        <v>0.0132</v>
      </c>
      <c r="L16" s="54" t="n">
        <v>0.0022</v>
      </c>
      <c r="M16" s="54" t="n">
        <v>0</v>
      </c>
      <c r="N16" s="54" t="n">
        <v>0</v>
      </c>
      <c r="O16" s="55" t="n">
        <v>0.02116</v>
      </c>
      <c r="P16" s="54" t="n">
        <f aca="false">SUM(J16:N16)</f>
        <v>0.120233333333333</v>
      </c>
      <c r="Q16" s="56" t="n">
        <v>64863</v>
      </c>
      <c r="R16" s="49" t="n">
        <v>13</v>
      </c>
      <c r="S16" s="51"/>
      <c r="T16" s="79" t="n">
        <f aca="false">J16*J$1*R16</f>
        <v>40.885</v>
      </c>
      <c r="U16" s="79"/>
      <c r="V16" s="80" t="n">
        <v>156625</v>
      </c>
      <c r="W16" s="51"/>
      <c r="X16" s="77"/>
      <c r="Y16" s="77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customFormat="false" ht="12.75" hidden="false" customHeight="false" outlineLevel="0" collapsed="false">
      <c r="A17" s="78"/>
      <c r="B17" s="51" t="s">
        <v>99</v>
      </c>
      <c r="C17" s="49" t="s">
        <v>100</v>
      </c>
      <c r="D17" s="49" t="s">
        <v>105</v>
      </c>
      <c r="E17" s="50" t="n">
        <v>36465</v>
      </c>
      <c r="F17" s="50" t="n">
        <v>36830</v>
      </c>
      <c r="G17" s="51" t="s">
        <v>102</v>
      </c>
      <c r="H17" s="51" t="s">
        <v>103</v>
      </c>
      <c r="I17" s="49" t="s">
        <v>104</v>
      </c>
      <c r="J17" s="63" t="n">
        <f aca="false">3.145/J$1</f>
        <v>0.104833333333333</v>
      </c>
      <c r="K17" s="54" t="n">
        <v>0.0132</v>
      </c>
      <c r="L17" s="54" t="n">
        <v>0.0022</v>
      </c>
      <c r="M17" s="54" t="n">
        <v>0</v>
      </c>
      <c r="N17" s="54" t="n">
        <v>0</v>
      </c>
      <c r="O17" s="55" t="n">
        <v>0.02116</v>
      </c>
      <c r="P17" s="54" t="n">
        <f aca="false">SUM(J17:N17)</f>
        <v>0.120233333333333</v>
      </c>
      <c r="Q17" s="56" t="n">
        <v>65027</v>
      </c>
      <c r="R17" s="49" t="n">
        <v>131</v>
      </c>
      <c r="S17" s="51" t="s">
        <v>106</v>
      </c>
      <c r="T17" s="79" t="n">
        <f aca="false">J17*J$1*R17</f>
        <v>411.995</v>
      </c>
      <c r="U17" s="79"/>
      <c r="V17" s="80" t="n">
        <v>156666</v>
      </c>
      <c r="W17" s="51" t="s">
        <v>107</v>
      </c>
      <c r="X17" s="77"/>
      <c r="Y17" s="77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customFormat="false" ht="12.75" hidden="false" customHeight="false" outlineLevel="0" collapsed="false">
      <c r="A18" s="78"/>
      <c r="B18" s="51" t="s">
        <v>99</v>
      </c>
      <c r="C18" s="49" t="s">
        <v>100</v>
      </c>
      <c r="D18" s="49" t="s">
        <v>105</v>
      </c>
      <c r="E18" s="50" t="n">
        <v>36495</v>
      </c>
      <c r="F18" s="50" t="n">
        <v>36860</v>
      </c>
      <c r="G18" s="51" t="s">
        <v>102</v>
      </c>
      <c r="H18" s="51" t="s">
        <v>103</v>
      </c>
      <c r="I18" s="49" t="s">
        <v>104</v>
      </c>
      <c r="J18" s="63" t="n">
        <f aca="false">3.145/J$1</f>
        <v>0.104833333333333</v>
      </c>
      <c r="K18" s="54" t="n">
        <v>0.0132</v>
      </c>
      <c r="L18" s="54" t="n">
        <v>0.0022</v>
      </c>
      <c r="M18" s="54" t="n">
        <v>0</v>
      </c>
      <c r="N18" s="54" t="n">
        <v>0</v>
      </c>
      <c r="O18" s="55" t="n">
        <v>0.02116</v>
      </c>
      <c r="P18" s="54" t="n">
        <f aca="false">SUM(J18:N18)</f>
        <v>0.120233333333333</v>
      </c>
      <c r="Q18" s="56" t="n">
        <v>65557</v>
      </c>
      <c r="R18" s="49" t="n">
        <v>3</v>
      </c>
      <c r="S18" s="51"/>
      <c r="T18" s="79" t="n">
        <f aca="false">J18*J$1*R18</f>
        <v>9.435</v>
      </c>
      <c r="U18" s="79"/>
      <c r="V18" s="80" t="n">
        <v>156669</v>
      </c>
      <c r="W18" s="51"/>
      <c r="X18" s="77"/>
      <c r="Y18" s="77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customFormat="false" ht="12.75" hidden="false" customHeight="false" outlineLevel="0" collapsed="false">
      <c r="A19" s="78"/>
      <c r="B19" s="51" t="s">
        <v>99</v>
      </c>
      <c r="C19" s="49" t="s">
        <v>100</v>
      </c>
      <c r="D19" s="49" t="s">
        <v>101</v>
      </c>
      <c r="E19" s="50" t="n">
        <v>36708</v>
      </c>
      <c r="F19" s="50" t="s">
        <v>108</v>
      </c>
      <c r="G19" s="51" t="s">
        <v>102</v>
      </c>
      <c r="H19" s="51" t="s">
        <v>103</v>
      </c>
      <c r="I19" s="49" t="s">
        <v>104</v>
      </c>
      <c r="J19" s="63" t="n">
        <f aca="false">3.145/J1</f>
        <v>0.104833333333333</v>
      </c>
      <c r="K19" s="54"/>
      <c r="L19" s="54"/>
      <c r="M19" s="54"/>
      <c r="N19" s="54"/>
      <c r="O19" s="55"/>
      <c r="P19" s="54"/>
      <c r="Q19" s="56" t="n">
        <v>68634</v>
      </c>
      <c r="R19" s="49" t="n">
        <v>1</v>
      </c>
      <c r="S19" s="51"/>
      <c r="T19" s="79" t="n">
        <f aca="false">J19*J$1*R19</f>
        <v>3.145</v>
      </c>
      <c r="U19" s="79"/>
      <c r="V19" s="80" t="n">
        <v>312338</v>
      </c>
      <c r="W19" s="51"/>
      <c r="X19" s="77"/>
      <c r="Y19" s="77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12.75" hidden="false" customHeight="false" outlineLevel="0" collapsed="false">
      <c r="A20" s="78"/>
      <c r="B20" s="51" t="s">
        <v>99</v>
      </c>
      <c r="C20" s="49" t="s">
        <v>100</v>
      </c>
      <c r="D20" s="49" t="s">
        <v>105</v>
      </c>
      <c r="E20" s="50" t="n">
        <v>36617</v>
      </c>
      <c r="F20" s="50" t="n">
        <v>36981</v>
      </c>
      <c r="G20" s="51" t="s">
        <v>102</v>
      </c>
      <c r="H20" s="51" t="s">
        <v>103</v>
      </c>
      <c r="I20" s="49" t="s">
        <v>104</v>
      </c>
      <c r="J20" s="63" t="n">
        <f aca="false">3.145/J1</f>
        <v>0.104833333333333</v>
      </c>
      <c r="K20" s="54"/>
      <c r="L20" s="54"/>
      <c r="M20" s="54"/>
      <c r="N20" s="54"/>
      <c r="O20" s="55"/>
      <c r="P20" s="54"/>
      <c r="Q20" s="56" t="n">
        <v>66941</v>
      </c>
      <c r="R20" s="49" t="n">
        <v>53</v>
      </c>
      <c r="S20" s="51"/>
      <c r="T20" s="79" t="n">
        <f aca="false">J20*J$1*R20</f>
        <v>166.685</v>
      </c>
      <c r="U20" s="79"/>
      <c r="V20" s="80" t="n">
        <v>228122</v>
      </c>
      <c r="W20" s="51"/>
      <c r="X20" s="77"/>
      <c r="Y20" s="77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12.75" hidden="false" customHeight="false" outlineLevel="0" collapsed="false">
      <c r="A21" s="78"/>
      <c r="B21" s="51" t="s">
        <v>99</v>
      </c>
      <c r="C21" s="49" t="s">
        <v>100</v>
      </c>
      <c r="D21" s="49" t="s">
        <v>105</v>
      </c>
      <c r="E21" s="50" t="n">
        <v>36557</v>
      </c>
      <c r="F21" s="50" t="n">
        <v>36922</v>
      </c>
      <c r="G21" s="51" t="s">
        <v>102</v>
      </c>
      <c r="H21" s="51" t="s">
        <v>103</v>
      </c>
      <c r="I21" s="49" t="s">
        <v>104</v>
      </c>
      <c r="J21" s="63" t="n">
        <f aca="false">3.145/31</f>
        <v>0.101451612903226</v>
      </c>
      <c r="K21" s="54"/>
      <c r="L21" s="54"/>
      <c r="M21" s="54"/>
      <c r="N21" s="54"/>
      <c r="O21" s="55"/>
      <c r="P21" s="54"/>
      <c r="Q21" s="56" t="n">
        <v>66283</v>
      </c>
      <c r="R21" s="49" t="n">
        <v>5</v>
      </c>
      <c r="S21" s="51"/>
      <c r="T21" s="81" t="n">
        <f aca="false">+J21*R21*31</f>
        <v>15.725</v>
      </c>
      <c r="U21" s="79"/>
      <c r="V21" s="80" t="n">
        <v>156674</v>
      </c>
      <c r="W21" s="51"/>
      <c r="X21" s="77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75" hidden="false" customHeight="false" outlineLevel="0" collapsed="false">
      <c r="A22" s="78"/>
      <c r="B22" s="51" t="s">
        <v>99</v>
      </c>
      <c r="C22" s="49" t="s">
        <v>100</v>
      </c>
      <c r="D22" s="49" t="s">
        <v>105</v>
      </c>
      <c r="E22" s="50" t="n">
        <v>36617</v>
      </c>
      <c r="F22" s="50" t="n">
        <v>36981</v>
      </c>
      <c r="G22" s="51" t="s">
        <v>102</v>
      </c>
      <c r="H22" s="51" t="s">
        <v>103</v>
      </c>
      <c r="I22" s="49" t="s">
        <v>104</v>
      </c>
      <c r="J22" s="63" t="n">
        <f aca="false">3.15/J1</f>
        <v>0.105</v>
      </c>
      <c r="K22" s="54"/>
      <c r="L22" s="54"/>
      <c r="M22" s="54"/>
      <c r="N22" s="54"/>
      <c r="O22" s="55"/>
      <c r="P22" s="54"/>
      <c r="Q22" s="56" t="n">
        <v>66941</v>
      </c>
      <c r="R22" s="49" t="n">
        <v>53</v>
      </c>
      <c r="S22" s="51"/>
      <c r="T22" s="81" t="n">
        <f aca="false">+J22*R22*31</f>
        <v>172.515</v>
      </c>
      <c r="U22" s="79"/>
      <c r="V22" s="80" t="n">
        <v>228122</v>
      </c>
      <c r="W22" s="51"/>
      <c r="X22" s="77"/>
      <c r="Y22" s="77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12.75" hidden="false" customHeight="false" outlineLevel="0" collapsed="false">
      <c r="A23" s="78"/>
      <c r="B23" s="51" t="s">
        <v>99</v>
      </c>
      <c r="C23" s="49" t="s">
        <v>100</v>
      </c>
      <c r="D23" s="49" t="s">
        <v>105</v>
      </c>
      <c r="E23" s="50" t="n">
        <v>36656</v>
      </c>
      <c r="F23" s="50" t="n">
        <v>36950</v>
      </c>
      <c r="G23" s="51" t="s">
        <v>102</v>
      </c>
      <c r="H23" s="51" t="s">
        <v>103</v>
      </c>
      <c r="I23" s="49" t="s">
        <v>104</v>
      </c>
      <c r="J23" s="63" t="n">
        <f aca="false">3.145/J1</f>
        <v>0.104833333333333</v>
      </c>
      <c r="K23" s="54"/>
      <c r="L23" s="54"/>
      <c r="M23" s="54"/>
      <c r="N23" s="54"/>
      <c r="O23" s="55"/>
      <c r="P23" s="54"/>
      <c r="Q23" s="56" t="n">
        <v>68309</v>
      </c>
      <c r="R23" s="49" t="n">
        <v>9</v>
      </c>
      <c r="S23" s="51"/>
      <c r="T23" s="79" t="n">
        <f aca="false">+R23*J23*$J$1</f>
        <v>28.305</v>
      </c>
      <c r="U23" s="79"/>
      <c r="V23" s="80" t="n">
        <v>262090</v>
      </c>
      <c r="W23" s="51" t="s">
        <v>109</v>
      </c>
      <c r="X23" s="77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12.75" hidden="false" customHeight="false" outlineLevel="0" collapsed="false">
      <c r="A24" s="78"/>
      <c r="B24" s="51" t="s">
        <v>99</v>
      </c>
      <c r="C24" s="49" t="s">
        <v>100</v>
      </c>
      <c r="D24" s="49" t="s">
        <v>105</v>
      </c>
      <c r="E24" s="50" t="n">
        <v>36739</v>
      </c>
      <c r="F24" s="50" t="n">
        <v>36738</v>
      </c>
      <c r="G24" s="51" t="s">
        <v>102</v>
      </c>
      <c r="H24" s="51" t="s">
        <v>103</v>
      </c>
      <c r="I24" s="49" t="s">
        <v>104</v>
      </c>
      <c r="J24" s="63" t="n">
        <f aca="false">3.145/J1</f>
        <v>0.104833333333333</v>
      </c>
      <c r="K24" s="54"/>
      <c r="L24" s="54"/>
      <c r="M24" s="54"/>
      <c r="N24" s="54"/>
      <c r="O24" s="55"/>
      <c r="P24" s="54"/>
      <c r="Q24" s="56" t="n">
        <v>68929</v>
      </c>
      <c r="R24" s="49" t="n">
        <v>48</v>
      </c>
      <c r="S24" s="51" t="s">
        <v>110</v>
      </c>
      <c r="T24" s="79" t="n">
        <f aca="false">+R24*J24*$J$1</f>
        <v>150.96</v>
      </c>
      <c r="U24" s="79"/>
      <c r="V24" s="80" t="n">
        <v>345091</v>
      </c>
      <c r="W24" s="51"/>
      <c r="X24" s="77"/>
      <c r="Y24" s="77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12.75" hidden="false" customHeight="false" outlineLevel="0" collapsed="false">
      <c r="A25" s="78"/>
      <c r="B25" s="51" t="s">
        <v>99</v>
      </c>
      <c r="C25" s="49" t="s">
        <v>100</v>
      </c>
      <c r="D25" s="49" t="s">
        <v>105</v>
      </c>
      <c r="E25" s="50" t="n">
        <v>36739</v>
      </c>
      <c r="F25" s="50" t="n">
        <v>37103</v>
      </c>
      <c r="G25" s="51" t="s">
        <v>102</v>
      </c>
      <c r="H25" s="51" t="s">
        <v>103</v>
      </c>
      <c r="I25" s="49" t="s">
        <v>104</v>
      </c>
      <c r="J25" s="63" t="n">
        <f aca="false">3.145/J1</f>
        <v>0.104833333333333</v>
      </c>
      <c r="K25" s="54"/>
      <c r="L25" s="54"/>
      <c r="M25" s="54"/>
      <c r="N25" s="54"/>
      <c r="O25" s="55"/>
      <c r="P25" s="54"/>
      <c r="Q25" s="56" t="n">
        <v>68927</v>
      </c>
      <c r="R25" s="49" t="n">
        <v>4</v>
      </c>
      <c r="S25" s="51" t="s">
        <v>111</v>
      </c>
      <c r="T25" s="79" t="n">
        <f aca="false">+R25*J25*$J$1</f>
        <v>12.58</v>
      </c>
      <c r="U25" s="79"/>
      <c r="V25" s="80" t="n">
        <v>345112</v>
      </c>
      <c r="W25" s="51"/>
      <c r="X25" s="77"/>
      <c r="Y25" s="77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12.75" hidden="false" customHeight="false" outlineLevel="0" collapsed="false">
      <c r="A26" s="78"/>
      <c r="B26" s="51" t="s">
        <v>99</v>
      </c>
      <c r="C26" s="49" t="s">
        <v>100</v>
      </c>
      <c r="D26" s="49" t="s">
        <v>105</v>
      </c>
      <c r="E26" s="50" t="n">
        <v>36770</v>
      </c>
      <c r="F26" s="50" t="n">
        <v>37104</v>
      </c>
      <c r="G26" s="51" t="s">
        <v>102</v>
      </c>
      <c r="H26" s="51" t="s">
        <v>103</v>
      </c>
      <c r="I26" s="49" t="s">
        <v>104</v>
      </c>
      <c r="J26" s="63" t="n">
        <f aca="false">3.145/J1</f>
        <v>0.104833333333333</v>
      </c>
      <c r="K26" s="54"/>
      <c r="L26" s="54"/>
      <c r="M26" s="54"/>
      <c r="N26" s="54"/>
      <c r="O26" s="55"/>
      <c r="P26" s="54"/>
      <c r="Q26" s="56" t="n">
        <v>69145</v>
      </c>
      <c r="R26" s="49" t="n">
        <v>63</v>
      </c>
      <c r="S26" s="51" t="s">
        <v>112</v>
      </c>
      <c r="T26" s="79" t="n">
        <f aca="false">+R26*J26*J1</f>
        <v>198.135</v>
      </c>
      <c r="U26" s="79"/>
      <c r="V26" s="80" t="n">
        <v>372169</v>
      </c>
      <c r="W26" s="51"/>
      <c r="X26" s="77"/>
      <c r="Y26" s="77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2.75" hidden="false" customHeight="false" outlineLevel="0" collapsed="false">
      <c r="A27" s="78"/>
      <c r="B27" s="51" t="s">
        <v>99</v>
      </c>
      <c r="C27" s="49" t="s">
        <v>100</v>
      </c>
      <c r="D27" s="49" t="s">
        <v>101</v>
      </c>
      <c r="E27" s="50" t="n">
        <v>36647</v>
      </c>
      <c r="F27" s="50" t="n">
        <v>37011</v>
      </c>
      <c r="G27" s="51" t="s">
        <v>102</v>
      </c>
      <c r="H27" s="51" t="s">
        <v>103</v>
      </c>
      <c r="I27" s="49" t="s">
        <v>104</v>
      </c>
      <c r="J27" s="63" t="n">
        <f aca="false">3.154/J1</f>
        <v>0.105133333333333</v>
      </c>
      <c r="K27" s="54"/>
      <c r="L27" s="54"/>
      <c r="M27" s="54"/>
      <c r="N27" s="54"/>
      <c r="O27" s="55"/>
      <c r="P27" s="54"/>
      <c r="Q27" s="56" t="n">
        <v>68281</v>
      </c>
      <c r="R27" s="49" t="n">
        <v>21</v>
      </c>
      <c r="S27" s="51" t="s">
        <v>113</v>
      </c>
      <c r="T27" s="79" t="n">
        <f aca="false">+R27*J27*$J$1</f>
        <v>66.234</v>
      </c>
      <c r="U27" s="79"/>
      <c r="V27" s="80" t="n">
        <v>256413</v>
      </c>
      <c r="W27" s="51"/>
      <c r="X27" s="77"/>
      <c r="Y27" s="77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9" customFormat="false" ht="12.75" hidden="false" customHeight="false" outlineLevel="0" collapsed="false">
      <c r="A29" s="78"/>
      <c r="B29" s="51"/>
      <c r="C29" s="49"/>
      <c r="D29" s="49"/>
      <c r="E29" s="50"/>
      <c r="F29" s="50"/>
      <c r="G29" s="51"/>
      <c r="H29" s="51"/>
      <c r="I29" s="49"/>
      <c r="J29" s="63"/>
      <c r="K29" s="54"/>
      <c r="L29" s="54"/>
      <c r="M29" s="54"/>
      <c r="N29" s="54"/>
      <c r="O29" s="55"/>
      <c r="P29" s="54"/>
      <c r="Q29" s="56"/>
      <c r="R29" s="49"/>
      <c r="S29" s="51"/>
      <c r="T29" s="79"/>
      <c r="U29" s="79"/>
      <c r="V29" s="80"/>
      <c r="W29" s="51"/>
      <c r="X29" s="77"/>
      <c r="Y29" s="77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12.75" hidden="false" customHeight="false" outlineLevel="0" collapsed="false">
      <c r="B30" s="51"/>
      <c r="C30" s="49"/>
      <c r="D30" s="49"/>
      <c r="E30" s="50"/>
      <c r="F30" s="50"/>
      <c r="G30" s="51"/>
      <c r="H30" s="51"/>
      <c r="I30" s="49"/>
      <c r="J30" s="63"/>
      <c r="K30" s="54"/>
      <c r="L30" s="82"/>
      <c r="M30" s="54"/>
      <c r="N30" s="54"/>
      <c r="O30" s="55"/>
      <c r="P30" s="54"/>
      <c r="Q30" s="56"/>
      <c r="R30" s="57" t="n">
        <f aca="false">SUM(R12:R28)</f>
        <v>1903</v>
      </c>
      <c r="S30" s="49"/>
      <c r="T30" s="79" t="n">
        <f aca="false">SUM(T12:T29)</f>
        <v>5990.954</v>
      </c>
      <c r="U30" s="79"/>
      <c r="V30" s="80"/>
      <c r="W30" s="51"/>
      <c r="X30" s="77"/>
      <c r="Y30" s="77"/>
    </row>
    <row r="31" customFormat="false" ht="12.75" hidden="false" customHeight="false" outlineLevel="0" collapsed="false">
      <c r="B31" s="68" t="s">
        <v>79</v>
      </c>
      <c r="C31" s="69" t="s">
        <v>80</v>
      </c>
      <c r="D31" s="69" t="s">
        <v>81</v>
      </c>
      <c r="E31" s="70" t="s">
        <v>82</v>
      </c>
      <c r="F31" s="70"/>
      <c r="G31" s="68" t="s">
        <v>83</v>
      </c>
      <c r="H31" s="68" t="s">
        <v>84</v>
      </c>
      <c r="I31" s="69" t="s">
        <v>85</v>
      </c>
      <c r="J31" s="71" t="s">
        <v>86</v>
      </c>
      <c r="K31" s="69" t="s">
        <v>87</v>
      </c>
      <c r="L31" s="69" t="s">
        <v>88</v>
      </c>
      <c r="M31" s="69" t="s">
        <v>89</v>
      </c>
      <c r="N31" s="69" t="s">
        <v>90</v>
      </c>
      <c r="O31" s="72" t="s">
        <v>91</v>
      </c>
      <c r="P31" s="69" t="s">
        <v>92</v>
      </c>
      <c r="Q31" s="73" t="s">
        <v>93</v>
      </c>
      <c r="R31" s="69" t="s">
        <v>94</v>
      </c>
      <c r="S31" s="68" t="s">
        <v>95</v>
      </c>
      <c r="T31" s="74" t="s">
        <v>96</v>
      </c>
      <c r="U31" s="74" t="s">
        <v>97</v>
      </c>
      <c r="V31" s="75" t="s">
        <v>98</v>
      </c>
      <c r="W31" s="76" t="e">
        <f aca="false">+#REF!</f>
        <v>#REF!</v>
      </c>
      <c r="X31" s="77"/>
      <c r="Y31" s="77"/>
    </row>
    <row r="32" customFormat="false" ht="12" hidden="false" customHeight="true" outlineLevel="0" collapsed="false">
      <c r="A32" s="83"/>
      <c r="B32" s="84" t="s">
        <v>99</v>
      </c>
      <c r="C32" s="85" t="s">
        <v>114</v>
      </c>
      <c r="D32" s="85" t="s">
        <v>115</v>
      </c>
      <c r="E32" s="86" t="n">
        <v>36770</v>
      </c>
      <c r="F32" s="86" t="n">
        <v>36799</v>
      </c>
      <c r="G32" s="84"/>
      <c r="H32" s="84"/>
      <c r="I32" s="85" t="s">
        <v>116</v>
      </c>
      <c r="J32" s="87" t="n">
        <v>0.02834</v>
      </c>
      <c r="K32" s="88" t="n">
        <v>0</v>
      </c>
      <c r="L32" s="88" t="n">
        <v>0.0022</v>
      </c>
      <c r="M32" s="88" t="n">
        <v>0.0072</v>
      </c>
      <c r="N32" s="88" t="n">
        <v>0</v>
      </c>
      <c r="O32" s="89" t="n">
        <v>0</v>
      </c>
      <c r="P32" s="88" t="n">
        <f aca="false">SUM(J32:N32)</f>
        <v>0.03774</v>
      </c>
      <c r="Q32" s="90" t="s">
        <v>117</v>
      </c>
      <c r="R32" s="85" t="n">
        <v>243849</v>
      </c>
      <c r="S32" s="84" t="s">
        <v>118</v>
      </c>
      <c r="T32" s="91" t="n">
        <f aca="false">+J32*R32</f>
        <v>6910.68066</v>
      </c>
      <c r="U32" s="91"/>
      <c r="V32" s="92" t="n">
        <v>382790</v>
      </c>
      <c r="W32" s="93" t="s">
        <v>119</v>
      </c>
      <c r="X32" s="94"/>
      <c r="Y32" s="94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</row>
    <row r="33" customFormat="false" ht="12" hidden="false" customHeight="true" outlineLevel="0" collapsed="false">
      <c r="A33" s="83"/>
      <c r="B33" s="84" t="s">
        <v>99</v>
      </c>
      <c r="C33" s="85" t="s">
        <v>114</v>
      </c>
      <c r="D33" s="85" t="s">
        <v>115</v>
      </c>
      <c r="E33" s="86" t="n">
        <v>36770</v>
      </c>
      <c r="F33" s="86" t="n">
        <v>36799</v>
      </c>
      <c r="G33" s="84"/>
      <c r="H33" s="84"/>
      <c r="I33" s="85" t="s">
        <v>116</v>
      </c>
      <c r="J33" s="87" t="n">
        <f aca="false">1.544/J1</f>
        <v>0.0514666666666667</v>
      </c>
      <c r="K33" s="88" t="n">
        <v>0</v>
      </c>
      <c r="L33" s="88" t="n">
        <v>0.0022</v>
      </c>
      <c r="M33" s="88" t="n">
        <v>0.0072</v>
      </c>
      <c r="N33" s="88" t="n">
        <v>0</v>
      </c>
      <c r="O33" s="89" t="n">
        <v>0</v>
      </c>
      <c r="P33" s="88" t="n">
        <f aca="false">SUM(J33:N33)</f>
        <v>0.0608666666666667</v>
      </c>
      <c r="Q33" s="90" t="s">
        <v>117</v>
      </c>
      <c r="R33" s="85" t="n">
        <v>4924</v>
      </c>
      <c r="S33" s="84" t="s">
        <v>120</v>
      </c>
      <c r="T33" s="91" t="n">
        <f aca="false">+J33*R33*30</f>
        <v>7602.656</v>
      </c>
      <c r="U33" s="91"/>
      <c r="V33" s="92" t="n">
        <v>382790</v>
      </c>
      <c r="W33" s="84"/>
      <c r="X33" s="94"/>
      <c r="Y33" s="94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</row>
    <row r="34" customFormat="false" ht="12" hidden="false" customHeight="true" outlineLevel="0" collapsed="false">
      <c r="A34" s="83"/>
      <c r="B34" s="84" t="s">
        <v>99</v>
      </c>
      <c r="C34" s="85" t="s">
        <v>114</v>
      </c>
      <c r="D34" s="85" t="s">
        <v>115</v>
      </c>
      <c r="E34" s="86" t="n">
        <v>36770</v>
      </c>
      <c r="F34" s="86" t="n">
        <v>37864</v>
      </c>
      <c r="G34" s="84"/>
      <c r="H34" s="84"/>
      <c r="I34" s="85" t="s">
        <v>116</v>
      </c>
      <c r="J34" s="87" t="n">
        <v>0.02834</v>
      </c>
      <c r="K34" s="88" t="n">
        <v>0</v>
      </c>
      <c r="L34" s="88" t="n">
        <v>0.0022</v>
      </c>
      <c r="M34" s="88" t="n">
        <v>0.0072</v>
      </c>
      <c r="N34" s="88" t="n">
        <v>0</v>
      </c>
      <c r="O34" s="89" t="n">
        <v>0</v>
      </c>
      <c r="P34" s="88" t="n">
        <f aca="false">SUM(J34:N34)</f>
        <v>0.03774</v>
      </c>
      <c r="Q34" s="90" t="s">
        <v>117</v>
      </c>
      <c r="R34" s="85" t="n">
        <f aca="false">+(33135+524690)*1.02</f>
        <v>568981.5</v>
      </c>
      <c r="S34" s="84" t="s">
        <v>118</v>
      </c>
      <c r="T34" s="91" t="n">
        <f aca="false">+J34*R34</f>
        <v>16124.93571</v>
      </c>
      <c r="U34" s="91"/>
      <c r="V34" s="92" t="n">
        <v>380799</v>
      </c>
      <c r="W34" s="84"/>
      <c r="X34" s="94"/>
      <c r="Y34" s="94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" hidden="false" customHeight="true" outlineLevel="0" collapsed="false">
      <c r="A35" s="83"/>
      <c r="B35" s="84" t="s">
        <v>99</v>
      </c>
      <c r="C35" s="85" t="s">
        <v>114</v>
      </c>
      <c r="D35" s="85" t="s">
        <v>115</v>
      </c>
      <c r="E35" s="86" t="n">
        <v>36770</v>
      </c>
      <c r="F35" s="86" t="n">
        <v>37864</v>
      </c>
      <c r="G35" s="84"/>
      <c r="H35" s="84"/>
      <c r="I35" s="85" t="s">
        <v>116</v>
      </c>
      <c r="J35" s="87" t="n">
        <f aca="false">1.544/31</f>
        <v>0.0498064516129032</v>
      </c>
      <c r="K35" s="88" t="n">
        <v>0</v>
      </c>
      <c r="L35" s="88" t="n">
        <v>0.0022</v>
      </c>
      <c r="M35" s="88" t="n">
        <v>0.0072</v>
      </c>
      <c r="N35" s="88" t="n">
        <v>0</v>
      </c>
      <c r="O35" s="89" t="n">
        <v>0</v>
      </c>
      <c r="P35" s="88" t="n">
        <f aca="false">SUM(J35:N35)</f>
        <v>0.0592064516129032</v>
      </c>
      <c r="Q35" s="90" t="s">
        <v>117</v>
      </c>
      <c r="R35" s="85" t="n">
        <f aca="false">(669+10594)*1.02</f>
        <v>11488.26</v>
      </c>
      <c r="S35" s="84" t="s">
        <v>120</v>
      </c>
      <c r="T35" s="91" t="n">
        <f aca="false">+J35*R35*30</f>
        <v>17165.6839741936</v>
      </c>
      <c r="U35" s="91"/>
      <c r="V35" s="92" t="n">
        <v>380799</v>
      </c>
      <c r="W35" s="84"/>
      <c r="X35" s="94"/>
      <c r="Y35" s="94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</row>
    <row r="36" customFormat="false" ht="12" hidden="false" customHeight="true" outlineLevel="0" collapsed="false">
      <c r="A36" s="83"/>
      <c r="B36" s="84" t="s">
        <v>99</v>
      </c>
      <c r="C36" s="85" t="s">
        <v>114</v>
      </c>
      <c r="D36" s="85" t="s">
        <v>115</v>
      </c>
      <c r="E36" s="86" t="n">
        <v>36770</v>
      </c>
      <c r="F36" s="86" t="n">
        <v>37864</v>
      </c>
      <c r="G36" s="84" t="s">
        <v>38</v>
      </c>
      <c r="H36" s="84" t="s">
        <v>121</v>
      </c>
      <c r="I36" s="85" t="s">
        <v>1</v>
      </c>
      <c r="J36" s="87" t="n">
        <f aca="false">10.913/J1</f>
        <v>0.363766666666667</v>
      </c>
      <c r="K36" s="88"/>
      <c r="L36" s="88"/>
      <c r="M36" s="88"/>
      <c r="N36" s="88"/>
      <c r="O36" s="89"/>
      <c r="P36" s="88"/>
      <c r="Q36" s="90" t="s">
        <v>122</v>
      </c>
      <c r="R36" s="85" t="n">
        <f aca="false">4477*1.02</f>
        <v>4566.54</v>
      </c>
      <c r="S36" s="95" t="n">
        <v>2000001592</v>
      </c>
      <c r="T36" s="91" t="n">
        <f aca="false">+J36*R36*30</f>
        <v>49834.65102</v>
      </c>
      <c r="U36" s="91"/>
      <c r="V36" s="92" t="n">
        <v>380785</v>
      </c>
      <c r="W36" s="84"/>
      <c r="X36" s="94"/>
      <c r="Y36" s="94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  <c r="IW36" s="83"/>
    </row>
    <row r="37" customFormat="false" ht="12" hidden="false" customHeight="true" outlineLevel="0" collapsed="false">
      <c r="A37" s="83"/>
      <c r="B37" s="84" t="s">
        <v>99</v>
      </c>
      <c r="C37" s="85" t="s">
        <v>114</v>
      </c>
      <c r="D37" s="85" t="s">
        <v>115</v>
      </c>
      <c r="E37" s="86" t="n">
        <v>36770</v>
      </c>
      <c r="F37" s="86" t="n">
        <v>36799</v>
      </c>
      <c r="G37" s="84" t="s">
        <v>38</v>
      </c>
      <c r="H37" s="84" t="s">
        <v>121</v>
      </c>
      <c r="I37" s="85" t="s">
        <v>1</v>
      </c>
      <c r="J37" s="87" t="n">
        <f aca="false">10.913/J1</f>
        <v>0.363766666666667</v>
      </c>
      <c r="K37" s="88"/>
      <c r="L37" s="88"/>
      <c r="M37" s="88"/>
      <c r="N37" s="88"/>
      <c r="O37" s="89"/>
      <c r="P37" s="88"/>
      <c r="Q37" s="90" t="s">
        <v>122</v>
      </c>
      <c r="R37" s="85" t="n">
        <v>8860</v>
      </c>
      <c r="S37" s="93" t="s">
        <v>123</v>
      </c>
      <c r="T37" s="91" t="n">
        <f aca="false">+R37*J37*30</f>
        <v>96689.18</v>
      </c>
      <c r="U37" s="91"/>
      <c r="V37" s="92" t="n">
        <v>382793</v>
      </c>
      <c r="W37" s="84"/>
      <c r="X37" s="94"/>
      <c r="Y37" s="94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" hidden="false" customHeight="true" outlineLevel="0" collapsed="false">
      <c r="A38" s="83"/>
      <c r="B38" s="84" t="s">
        <v>99</v>
      </c>
      <c r="C38" s="85" t="s">
        <v>114</v>
      </c>
      <c r="D38" s="85" t="s">
        <v>115</v>
      </c>
      <c r="E38" s="86" t="n">
        <v>36770</v>
      </c>
      <c r="F38" s="86" t="n">
        <v>37864</v>
      </c>
      <c r="G38" s="84" t="s">
        <v>38</v>
      </c>
      <c r="H38" s="84" t="s">
        <v>121</v>
      </c>
      <c r="I38" s="85" t="s">
        <v>1</v>
      </c>
      <c r="J38" s="87" t="n">
        <f aca="false">10.913/J1</f>
        <v>0.363766666666667</v>
      </c>
      <c r="K38" s="88"/>
      <c r="L38" s="88"/>
      <c r="M38" s="88"/>
      <c r="N38" s="88"/>
      <c r="O38" s="89"/>
      <c r="P38" s="88"/>
      <c r="Q38" s="90" t="s">
        <v>122</v>
      </c>
      <c r="R38" s="85" t="n">
        <f aca="false">16156*1.02</f>
        <v>16479.12</v>
      </c>
      <c r="S38" s="93" t="s">
        <v>124</v>
      </c>
      <c r="T38" s="91" t="n">
        <f aca="false">+R38*J38*30</f>
        <v>179836.63656</v>
      </c>
      <c r="U38" s="91"/>
      <c r="V38" s="92" t="n">
        <v>380770</v>
      </c>
      <c r="W38" s="84"/>
      <c r="X38" s="94"/>
      <c r="Y38" s="94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  <c r="IW38" s="83"/>
    </row>
    <row r="39" customFormat="false" ht="12" hidden="false" customHeight="true" outlineLevel="0" collapsed="false">
      <c r="A39" s="83"/>
      <c r="B39" s="84" t="s">
        <v>99</v>
      </c>
      <c r="C39" s="85" t="s">
        <v>114</v>
      </c>
      <c r="D39" s="85" t="s">
        <v>115</v>
      </c>
      <c r="E39" s="86" t="n">
        <v>36770</v>
      </c>
      <c r="F39" s="86" t="n">
        <v>37864</v>
      </c>
      <c r="G39" s="84" t="s">
        <v>38</v>
      </c>
      <c r="H39" s="84" t="s">
        <v>125</v>
      </c>
      <c r="I39" s="85" t="s">
        <v>1</v>
      </c>
      <c r="J39" s="87" t="n">
        <f aca="false">8.223/J1</f>
        <v>0.2741</v>
      </c>
      <c r="K39" s="88"/>
      <c r="L39" s="88"/>
      <c r="M39" s="88"/>
      <c r="N39" s="88"/>
      <c r="O39" s="89"/>
      <c r="P39" s="88"/>
      <c r="Q39" s="90" t="s">
        <v>122</v>
      </c>
      <c r="R39" s="85" t="n">
        <f aca="false">340*1.02</f>
        <v>346.8</v>
      </c>
      <c r="S39" s="96" t="n">
        <v>2000001604</v>
      </c>
      <c r="T39" s="91" t="n">
        <f aca="false">+R39*J39*30</f>
        <v>2851.7364</v>
      </c>
      <c r="U39" s="91"/>
      <c r="V39" s="92" t="n">
        <v>380777</v>
      </c>
      <c r="W39" s="84"/>
      <c r="X39" s="94"/>
      <c r="Y39" s="94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  <c r="IV39" s="83"/>
      <c r="IW39" s="83"/>
    </row>
    <row r="40" customFormat="false" ht="12" hidden="false" customHeight="true" outlineLevel="0" collapsed="false">
      <c r="A40" s="83"/>
      <c r="B40" s="84" t="s">
        <v>99</v>
      </c>
      <c r="C40" s="85" t="s">
        <v>114</v>
      </c>
      <c r="D40" s="85" t="s">
        <v>115</v>
      </c>
      <c r="E40" s="86" t="n">
        <v>36770</v>
      </c>
      <c r="F40" s="86" t="n">
        <v>36830</v>
      </c>
      <c r="G40" s="84" t="s">
        <v>38</v>
      </c>
      <c r="H40" s="84" t="s">
        <v>126</v>
      </c>
      <c r="I40" s="85" t="s">
        <v>1</v>
      </c>
      <c r="J40" s="87" t="n">
        <f aca="false">10.913/J1</f>
        <v>0.363766666666667</v>
      </c>
      <c r="K40" s="88"/>
      <c r="L40" s="88"/>
      <c r="M40" s="88"/>
      <c r="N40" s="88"/>
      <c r="O40" s="89"/>
      <c r="P40" s="88"/>
      <c r="Q40" s="90" t="s">
        <v>122</v>
      </c>
      <c r="R40" s="85" t="n">
        <f aca="false">457*1.02</f>
        <v>466.14</v>
      </c>
      <c r="S40" s="96" t="n">
        <v>2000001640</v>
      </c>
      <c r="T40" s="91" t="n">
        <f aca="false">+R40*J40*30</f>
        <v>5086.98582</v>
      </c>
      <c r="U40" s="91"/>
      <c r="V40" s="92" t="n">
        <v>380789</v>
      </c>
      <c r="W40" s="84"/>
      <c r="X40" s="94"/>
      <c r="Y40" s="94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  <c r="IW40" s="83"/>
    </row>
    <row r="41" customFormat="false" ht="12" hidden="false" customHeight="true" outlineLevel="0" collapsed="false">
      <c r="A41" s="83"/>
      <c r="B41" s="84" t="s">
        <v>99</v>
      </c>
      <c r="C41" s="85" t="s">
        <v>114</v>
      </c>
      <c r="D41" s="85" t="s">
        <v>115</v>
      </c>
      <c r="E41" s="86" t="n">
        <v>36770</v>
      </c>
      <c r="F41" s="86" t="n">
        <v>36799</v>
      </c>
      <c r="G41" s="84"/>
      <c r="H41" s="84"/>
      <c r="I41" s="85" t="s">
        <v>1</v>
      </c>
      <c r="J41" s="87" t="n">
        <f aca="false">10.913/J1</f>
        <v>0.363766666666667</v>
      </c>
      <c r="K41" s="88"/>
      <c r="L41" s="88"/>
      <c r="M41" s="88"/>
      <c r="N41" s="88"/>
      <c r="O41" s="89"/>
      <c r="P41" s="88"/>
      <c r="Q41" s="90" t="s">
        <v>122</v>
      </c>
      <c r="R41" s="85" t="n">
        <v>201</v>
      </c>
      <c r="S41" s="84" t="s">
        <v>127</v>
      </c>
      <c r="T41" s="91" t="n">
        <f aca="false">J41*J$1*R41</f>
        <v>2193.513</v>
      </c>
      <c r="U41" s="91"/>
      <c r="V41" s="92" t="n">
        <v>382805</v>
      </c>
      <c r="W41" s="84"/>
      <c r="X41" s="94"/>
      <c r="Y41" s="94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  <c r="IW41" s="83"/>
    </row>
    <row r="42" customFormat="false" ht="12" hidden="false" customHeight="true" outlineLevel="0" collapsed="false">
      <c r="A42" s="83"/>
      <c r="B42" s="84" t="s">
        <v>99</v>
      </c>
      <c r="C42" s="85" t="s">
        <v>114</v>
      </c>
      <c r="D42" s="85" t="s">
        <v>115</v>
      </c>
      <c r="E42" s="86" t="n">
        <v>36770</v>
      </c>
      <c r="F42" s="86" t="n">
        <v>36799</v>
      </c>
      <c r="G42" s="84"/>
      <c r="H42" s="84"/>
      <c r="I42" s="85" t="s">
        <v>1</v>
      </c>
      <c r="J42" s="87" t="n">
        <f aca="false">10.913/31</f>
        <v>0.352032258064516</v>
      </c>
      <c r="K42" s="88"/>
      <c r="L42" s="88"/>
      <c r="M42" s="88"/>
      <c r="N42" s="88"/>
      <c r="O42" s="89"/>
      <c r="P42" s="88"/>
      <c r="Q42" s="90" t="s">
        <v>122</v>
      </c>
      <c r="R42" s="85" t="n">
        <v>1957</v>
      </c>
      <c r="S42" s="84" t="s">
        <v>128</v>
      </c>
      <c r="T42" s="91" t="n">
        <f aca="false">J42*J$1*R42</f>
        <v>20667.8138709677</v>
      </c>
      <c r="U42" s="91"/>
      <c r="V42" s="92" t="n">
        <v>382806</v>
      </c>
      <c r="W42" s="84"/>
      <c r="X42" s="94"/>
      <c r="Y42" s="94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  <c r="IW42" s="83"/>
    </row>
    <row r="43" customFormat="false" ht="12" hidden="false" customHeight="true" outlineLevel="0" collapsed="false">
      <c r="A43" s="83"/>
      <c r="B43" s="84" t="s">
        <v>99</v>
      </c>
      <c r="C43" s="85" t="s">
        <v>114</v>
      </c>
      <c r="D43" s="85" t="s">
        <v>115</v>
      </c>
      <c r="E43" s="86" t="n">
        <v>36770</v>
      </c>
      <c r="F43" s="86" t="n">
        <v>36799</v>
      </c>
      <c r="G43" s="84"/>
      <c r="H43" s="84"/>
      <c r="I43" s="85" t="s">
        <v>1</v>
      </c>
      <c r="J43" s="87" t="n">
        <f aca="false">8.223/J1</f>
        <v>0.2741</v>
      </c>
      <c r="K43" s="88"/>
      <c r="L43" s="88"/>
      <c r="M43" s="88"/>
      <c r="N43" s="88"/>
      <c r="O43" s="89"/>
      <c r="P43" s="88"/>
      <c r="Q43" s="90" t="s">
        <v>122</v>
      </c>
      <c r="R43" s="85" t="n">
        <v>149</v>
      </c>
      <c r="S43" s="93" t="s">
        <v>129</v>
      </c>
      <c r="T43" s="91" t="n">
        <f aca="false">J43*J$1*R43</f>
        <v>1225.227</v>
      </c>
      <c r="U43" s="91"/>
      <c r="V43" s="92" t="n">
        <v>382807</v>
      </c>
      <c r="W43" s="84"/>
      <c r="X43" s="94"/>
      <c r="Y43" s="94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  <c r="IW43" s="83"/>
    </row>
    <row r="44" customFormat="false" ht="12" hidden="false" customHeight="true" outlineLevel="0" collapsed="false">
      <c r="A44" s="83"/>
      <c r="B44" s="84" t="s">
        <v>99</v>
      </c>
      <c r="C44" s="85" t="s">
        <v>130</v>
      </c>
      <c r="D44" s="85" t="s">
        <v>115</v>
      </c>
      <c r="E44" s="86" t="n">
        <v>36770</v>
      </c>
      <c r="F44" s="86" t="n">
        <v>36799</v>
      </c>
      <c r="G44" s="84" t="s">
        <v>38</v>
      </c>
      <c r="H44" s="84" t="s">
        <v>38</v>
      </c>
      <c r="I44" s="85" t="s">
        <v>1</v>
      </c>
      <c r="J44" s="87" t="n">
        <f aca="false">4.75/J1</f>
        <v>0.158333333333333</v>
      </c>
      <c r="K44" s="88"/>
      <c r="L44" s="88"/>
      <c r="M44" s="88"/>
      <c r="N44" s="88"/>
      <c r="O44" s="89"/>
      <c r="P44" s="88"/>
      <c r="Q44" s="90" t="s">
        <v>131</v>
      </c>
      <c r="R44" s="85" t="n">
        <v>151</v>
      </c>
      <c r="S44" s="93" t="s">
        <v>132</v>
      </c>
      <c r="T44" s="91" t="n">
        <f aca="false">J44*J$1*R44</f>
        <v>717.25</v>
      </c>
      <c r="U44" s="91"/>
      <c r="V44" s="92" t="n">
        <v>382813</v>
      </c>
      <c r="W44" s="84"/>
      <c r="X44" s="94"/>
      <c r="Y44" s="94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  <c r="IW44" s="83"/>
    </row>
    <row r="45" customFormat="false" ht="12" hidden="false" customHeight="true" outlineLevel="0" collapsed="false">
      <c r="A45" s="78"/>
      <c r="B45" s="51" t="s">
        <v>99</v>
      </c>
      <c r="C45" s="49" t="s">
        <v>130</v>
      </c>
      <c r="D45" s="49" t="s">
        <v>115</v>
      </c>
      <c r="E45" s="50" t="n">
        <v>36739</v>
      </c>
      <c r="F45" s="50" t="n">
        <v>36769</v>
      </c>
      <c r="G45" s="51" t="s">
        <v>38</v>
      </c>
      <c r="H45" s="51" t="s">
        <v>38</v>
      </c>
      <c r="I45" s="49" t="s">
        <v>1</v>
      </c>
      <c r="J45" s="63" t="n">
        <f aca="false">10.913/31</f>
        <v>0.352032258064516</v>
      </c>
      <c r="K45" s="54"/>
      <c r="L45" s="54"/>
      <c r="M45" s="54"/>
      <c r="N45" s="54"/>
      <c r="O45" s="55"/>
      <c r="P45" s="54"/>
      <c r="Q45" s="56" t="s">
        <v>131</v>
      </c>
      <c r="R45" s="49" t="n">
        <f aca="false">431+67</f>
        <v>498</v>
      </c>
      <c r="S45" s="51"/>
      <c r="T45" s="79" t="n">
        <f aca="false">J45*J$1*R45</f>
        <v>5259.36193548387</v>
      </c>
      <c r="U45" s="79"/>
      <c r="V45" s="80" t="n">
        <v>345006</v>
      </c>
      <c r="W45" s="51"/>
      <c r="X45" s="77"/>
      <c r="Y45" s="77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12" hidden="false" customHeight="true" outlineLevel="0" collapsed="false">
      <c r="A46" s="78"/>
      <c r="B46" s="51"/>
      <c r="C46" s="49"/>
      <c r="D46" s="49"/>
      <c r="E46" s="50"/>
      <c r="F46" s="50"/>
      <c r="G46" s="51"/>
      <c r="H46" s="51"/>
      <c r="I46" s="49"/>
      <c r="J46" s="63"/>
      <c r="K46" s="54"/>
      <c r="L46" s="54"/>
      <c r="M46" s="54"/>
      <c r="N46" s="54"/>
      <c r="O46" s="55"/>
      <c r="P46" s="54"/>
      <c r="Q46" s="56"/>
      <c r="R46" s="49"/>
      <c r="S46" s="51"/>
      <c r="T46" s="79"/>
      <c r="U46" s="79"/>
      <c r="V46" s="80"/>
      <c r="W46" s="51"/>
      <c r="X46" s="77"/>
      <c r="Y46" s="77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12.75" hidden="false" customHeight="false" outlineLevel="0" collapsed="false">
      <c r="A47" s="78"/>
      <c r="B47" s="51"/>
      <c r="C47" s="49"/>
      <c r="D47" s="49"/>
      <c r="E47" s="50"/>
      <c r="F47" s="50"/>
      <c r="G47" s="51"/>
      <c r="H47" s="51"/>
      <c r="I47" s="49"/>
      <c r="J47" s="63"/>
      <c r="K47" s="54"/>
      <c r="L47" s="54"/>
      <c r="M47" s="54"/>
      <c r="N47" s="54"/>
      <c r="O47" s="55"/>
      <c r="P47" s="54"/>
      <c r="Q47" s="56"/>
      <c r="R47" s="49"/>
      <c r="S47" s="51"/>
      <c r="T47" s="79" t="n">
        <f aca="false">SUM(T32:T46)</f>
        <v>412166.311950645</v>
      </c>
      <c r="U47" s="79"/>
      <c r="V47" s="80"/>
      <c r="W47" s="51"/>
      <c r="X47" s="77"/>
      <c r="Y47" s="77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</row>
    <row r="48" customFormat="false" ht="12.75" hidden="false" customHeight="false" outlineLevel="0" collapsed="false">
      <c r="B48" s="68" t="s">
        <v>79</v>
      </c>
      <c r="C48" s="69" t="s">
        <v>80</v>
      </c>
      <c r="D48" s="69" t="s">
        <v>81</v>
      </c>
      <c r="E48" s="70" t="s">
        <v>82</v>
      </c>
      <c r="F48" s="70"/>
      <c r="G48" s="68" t="s">
        <v>83</v>
      </c>
      <c r="H48" s="68" t="s">
        <v>84</v>
      </c>
      <c r="I48" s="69" t="s">
        <v>85</v>
      </c>
      <c r="J48" s="71" t="s">
        <v>86</v>
      </c>
      <c r="K48" s="69" t="s">
        <v>87</v>
      </c>
      <c r="L48" s="69" t="s">
        <v>88</v>
      </c>
      <c r="M48" s="69" t="s">
        <v>89</v>
      </c>
      <c r="N48" s="69" t="s">
        <v>90</v>
      </c>
      <c r="O48" s="72" t="s">
        <v>91</v>
      </c>
      <c r="P48" s="69" t="s">
        <v>92</v>
      </c>
      <c r="Q48" s="73" t="s">
        <v>93</v>
      </c>
      <c r="R48" s="69" t="s">
        <v>94</v>
      </c>
      <c r="S48" s="68" t="s">
        <v>95</v>
      </c>
      <c r="T48" s="74" t="s">
        <v>96</v>
      </c>
      <c r="U48" s="74" t="s">
        <v>97</v>
      </c>
      <c r="V48" s="75" t="s">
        <v>98</v>
      </c>
      <c r="W48" s="76" t="e">
        <f aca="false">+#REF!</f>
        <v>#REF!</v>
      </c>
      <c r="X48" s="77"/>
      <c r="Y48" s="77"/>
    </row>
    <row r="49" customFormat="false" ht="12.75" hidden="false" customHeight="false" outlineLevel="0" collapsed="false">
      <c r="A49" s="83"/>
      <c r="B49" s="84" t="s">
        <v>99</v>
      </c>
      <c r="C49" s="85" t="s">
        <v>133</v>
      </c>
      <c r="D49" s="85" t="s">
        <v>134</v>
      </c>
      <c r="E49" s="86" t="n">
        <v>36770</v>
      </c>
      <c r="F49" s="86" t="n">
        <v>36799</v>
      </c>
      <c r="G49" s="84" t="s">
        <v>135</v>
      </c>
      <c r="H49" s="84" t="s">
        <v>136</v>
      </c>
      <c r="I49" s="85" t="s">
        <v>137</v>
      </c>
      <c r="J49" s="87" t="n">
        <f aca="false">5.17/+J1</f>
        <v>0.172333333333333</v>
      </c>
      <c r="K49" s="88" t="n">
        <v>0.0763</v>
      </c>
      <c r="L49" s="88" t="n">
        <v>0.0022</v>
      </c>
      <c r="M49" s="88" t="n">
        <v>0.0072</v>
      </c>
      <c r="N49" s="88" t="n">
        <v>0</v>
      </c>
      <c r="O49" s="89" t="n">
        <v>0.0279</v>
      </c>
      <c r="P49" s="88" t="n">
        <f aca="false">SUM(J49:N49)</f>
        <v>0.258033333333333</v>
      </c>
      <c r="Q49" s="90" t="n">
        <v>34703</v>
      </c>
      <c r="R49" s="85" t="n">
        <v>1052</v>
      </c>
      <c r="S49" s="84" t="s">
        <v>138</v>
      </c>
      <c r="T49" s="91" t="n">
        <f aca="false">J49*J$1*R49</f>
        <v>5438.84</v>
      </c>
      <c r="U49" s="91"/>
      <c r="V49" s="92" t="n">
        <v>384203</v>
      </c>
      <c r="W49" s="84" t="s">
        <v>139</v>
      </c>
      <c r="X49" s="94"/>
      <c r="Y49" s="94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  <c r="IU49" s="83"/>
      <c r="IV49" s="83"/>
      <c r="IW49" s="83"/>
    </row>
    <row r="50" customFormat="false" ht="12.75" hidden="false" customHeight="false" outlineLevel="0" collapsed="false">
      <c r="A50" s="83"/>
      <c r="B50" s="84" t="s">
        <v>99</v>
      </c>
      <c r="C50" s="85" t="s">
        <v>133</v>
      </c>
      <c r="D50" s="85" t="s">
        <v>134</v>
      </c>
      <c r="E50" s="86" t="n">
        <v>36770</v>
      </c>
      <c r="F50" s="86" t="n">
        <v>36829</v>
      </c>
      <c r="G50" s="84" t="s">
        <v>135</v>
      </c>
      <c r="H50" s="84" t="s">
        <v>136</v>
      </c>
      <c r="I50" s="85" t="s">
        <v>137</v>
      </c>
      <c r="J50" s="87" t="n">
        <f aca="false">4.92/J1</f>
        <v>0.164</v>
      </c>
      <c r="K50" s="88" t="n">
        <v>0.0763</v>
      </c>
      <c r="L50" s="88" t="n">
        <v>0.0022</v>
      </c>
      <c r="M50" s="88" t="n">
        <v>0.0072</v>
      </c>
      <c r="N50" s="88" t="n">
        <v>0</v>
      </c>
      <c r="O50" s="89" t="n">
        <v>0.0279</v>
      </c>
      <c r="P50" s="88" t="n">
        <f aca="false">SUM(J50:N50)</f>
        <v>0.2497</v>
      </c>
      <c r="Q50" s="90" t="n">
        <v>34608</v>
      </c>
      <c r="R50" s="85" t="n">
        <v>2455</v>
      </c>
      <c r="S50" s="84" t="s">
        <v>138</v>
      </c>
      <c r="T50" s="91" t="n">
        <f aca="false">J50*J$1*R50</f>
        <v>12078.6</v>
      </c>
      <c r="U50" s="91"/>
      <c r="V50" s="92" t="n">
        <v>379572</v>
      </c>
      <c r="W50" s="84"/>
      <c r="X50" s="94"/>
      <c r="Y50" s="94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  <c r="IU50" s="83"/>
      <c r="IV50" s="83"/>
      <c r="IW50" s="83"/>
    </row>
    <row r="51" customFormat="false" ht="12.75" hidden="false" customHeight="false" outlineLevel="0" collapsed="false">
      <c r="A51" s="83"/>
      <c r="B51" s="84" t="s">
        <v>99</v>
      </c>
      <c r="C51" s="85" t="s">
        <v>140</v>
      </c>
      <c r="D51" s="85" t="s">
        <v>134</v>
      </c>
      <c r="E51" s="86" t="n">
        <v>36770</v>
      </c>
      <c r="F51" s="86" t="n">
        <v>36799</v>
      </c>
      <c r="G51" s="84" t="s">
        <v>141</v>
      </c>
      <c r="H51" s="84" t="s">
        <v>134</v>
      </c>
      <c r="I51" s="85" t="s">
        <v>137</v>
      </c>
      <c r="J51" s="87" t="n">
        <f aca="false">11.95/J1</f>
        <v>0.398333333333333</v>
      </c>
      <c r="K51" s="88" t="n">
        <v>0</v>
      </c>
      <c r="L51" s="88" t="n">
        <v>0.0022</v>
      </c>
      <c r="M51" s="88" t="n">
        <v>0.0072</v>
      </c>
      <c r="N51" s="88" t="n">
        <v>0</v>
      </c>
      <c r="O51" s="89" t="n">
        <v>0.0222</v>
      </c>
      <c r="P51" s="88" t="n">
        <f aca="false">SUM(J51:N51)</f>
        <v>0.407733333333333</v>
      </c>
      <c r="Q51" s="90" t="n">
        <v>34686</v>
      </c>
      <c r="R51" s="85" t="n">
        <v>1174</v>
      </c>
      <c r="S51" s="84" t="s">
        <v>138</v>
      </c>
      <c r="T51" s="91" t="n">
        <f aca="false">J51*J$1*R51</f>
        <v>14029.3</v>
      </c>
      <c r="U51" s="91"/>
      <c r="V51" s="92" t="n">
        <v>382821</v>
      </c>
      <c r="W51" s="84" t="s">
        <v>139</v>
      </c>
      <c r="X51" s="94"/>
      <c r="Y51" s="94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  <c r="IF51" s="83"/>
      <c r="IG51" s="83"/>
      <c r="IH51" s="83"/>
      <c r="II51" s="83"/>
      <c r="IJ51" s="83"/>
      <c r="IK51" s="83"/>
      <c r="IL51" s="83"/>
      <c r="IM51" s="83"/>
      <c r="IN51" s="83"/>
      <c r="IO51" s="83"/>
      <c r="IP51" s="83"/>
      <c r="IQ51" s="83"/>
      <c r="IR51" s="83"/>
      <c r="IS51" s="83"/>
      <c r="IT51" s="83"/>
      <c r="IU51" s="83"/>
      <c r="IV51" s="83"/>
      <c r="IW51" s="83"/>
    </row>
    <row r="52" customFormat="false" ht="12.75" hidden="false" customHeight="false" outlineLevel="0" collapsed="false">
      <c r="A52" s="83"/>
      <c r="B52" s="84" t="s">
        <v>99</v>
      </c>
      <c r="C52" s="85" t="s">
        <v>140</v>
      </c>
      <c r="D52" s="85" t="s">
        <v>134</v>
      </c>
      <c r="E52" s="86" t="n">
        <v>36770</v>
      </c>
      <c r="F52" s="86" t="n">
        <v>36829</v>
      </c>
      <c r="G52" s="84" t="s">
        <v>141</v>
      </c>
      <c r="H52" s="84" t="s">
        <v>134</v>
      </c>
      <c r="I52" s="85" t="s">
        <v>137</v>
      </c>
      <c r="J52" s="87" t="n">
        <f aca="false">11.92/J1</f>
        <v>0.397333333333333</v>
      </c>
      <c r="K52" s="88" t="n">
        <v>0</v>
      </c>
      <c r="L52" s="88" t="n">
        <v>0.0022</v>
      </c>
      <c r="M52" s="88" t="n">
        <v>0.0072</v>
      </c>
      <c r="N52" s="88" t="n">
        <v>0</v>
      </c>
      <c r="O52" s="89" t="n">
        <v>0.0222</v>
      </c>
      <c r="P52" s="88" t="n">
        <f aca="false">SUM(J52:N52)</f>
        <v>0.406733333333333</v>
      </c>
      <c r="Q52" s="90" t="n">
        <v>34594</v>
      </c>
      <c r="R52" s="85" t="n">
        <v>2738</v>
      </c>
      <c r="S52" s="84" t="s">
        <v>138</v>
      </c>
      <c r="T52" s="91" t="n">
        <f aca="false">J52*J$1*R52</f>
        <v>32636.96</v>
      </c>
      <c r="U52" s="91"/>
      <c r="V52" s="92" t="n">
        <v>379663</v>
      </c>
      <c r="W52" s="84"/>
      <c r="X52" s="94"/>
      <c r="Y52" s="94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  <c r="IU52" s="83"/>
      <c r="IV52" s="83"/>
      <c r="IW52" s="83"/>
    </row>
    <row r="53" customFormat="false" ht="12.75" hidden="false" customHeight="false" outlineLevel="0" collapsed="false">
      <c r="A53" s="83"/>
      <c r="B53" s="84" t="s">
        <v>99</v>
      </c>
      <c r="C53" s="85" t="s">
        <v>133</v>
      </c>
      <c r="D53" s="85" t="s">
        <v>134</v>
      </c>
      <c r="E53" s="86" t="n">
        <v>36770</v>
      </c>
      <c r="F53" s="86" t="n">
        <v>36830</v>
      </c>
      <c r="G53" s="84" t="s">
        <v>142</v>
      </c>
      <c r="H53" s="84"/>
      <c r="I53" s="85" t="s">
        <v>143</v>
      </c>
      <c r="J53" s="87" t="n">
        <v>0.0248</v>
      </c>
      <c r="K53" s="88"/>
      <c r="L53" s="88"/>
      <c r="M53" s="88"/>
      <c r="N53" s="88"/>
      <c r="O53" s="89"/>
      <c r="P53" s="88"/>
      <c r="Q53" s="90" t="n">
        <v>34614</v>
      </c>
      <c r="R53" s="85" t="n">
        <v>146488</v>
      </c>
      <c r="S53" s="84"/>
      <c r="T53" s="91" t="n">
        <f aca="false">J53*R53</f>
        <v>3632.9024</v>
      </c>
      <c r="U53" s="91"/>
      <c r="V53" s="92" t="n">
        <v>379889</v>
      </c>
      <c r="W53" s="84"/>
      <c r="X53" s="94"/>
      <c r="Y53" s="94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</row>
    <row r="54" customFormat="false" ht="12.75" hidden="false" customHeight="false" outlineLevel="0" collapsed="false">
      <c r="A54" s="83"/>
      <c r="B54" s="84" t="s">
        <v>99</v>
      </c>
      <c r="C54" s="85" t="s">
        <v>133</v>
      </c>
      <c r="D54" s="85" t="s">
        <v>134</v>
      </c>
      <c r="E54" s="86" t="n">
        <v>36770</v>
      </c>
      <c r="F54" s="86" t="n">
        <v>36830</v>
      </c>
      <c r="G54" s="84" t="s">
        <v>142</v>
      </c>
      <c r="H54" s="84"/>
      <c r="I54" s="85" t="s">
        <v>143</v>
      </c>
      <c r="J54" s="87" t="n">
        <f aca="false">2.02/J1</f>
        <v>0.0673333333333333</v>
      </c>
      <c r="K54" s="88"/>
      <c r="L54" s="88"/>
      <c r="M54" s="88"/>
      <c r="N54" s="88"/>
      <c r="O54" s="89"/>
      <c r="P54" s="88"/>
      <c r="Q54" s="90" t="n">
        <v>34614</v>
      </c>
      <c r="R54" s="85" t="n">
        <v>979</v>
      </c>
      <c r="S54" s="84"/>
      <c r="T54" s="91" t="n">
        <f aca="false">J54*J$1*R54</f>
        <v>1977.58</v>
      </c>
      <c r="U54" s="91"/>
      <c r="V54" s="92" t="n">
        <v>379889</v>
      </c>
      <c r="W54" s="84"/>
      <c r="X54" s="94"/>
      <c r="Y54" s="94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</row>
    <row r="55" customFormat="false" ht="12.75" hidden="false" customHeight="false" outlineLevel="0" collapsed="false">
      <c r="A55" s="83"/>
      <c r="B55" s="84" t="s">
        <v>99</v>
      </c>
      <c r="C55" s="85" t="s">
        <v>133</v>
      </c>
      <c r="D55" s="85" t="s">
        <v>134</v>
      </c>
      <c r="E55" s="86" t="n">
        <v>36770</v>
      </c>
      <c r="F55" s="86" t="n">
        <v>36799</v>
      </c>
      <c r="G55" s="84" t="s">
        <v>142</v>
      </c>
      <c r="H55" s="84"/>
      <c r="I55" s="85" t="s">
        <v>143</v>
      </c>
      <c r="J55" s="87" t="n">
        <v>0.0248</v>
      </c>
      <c r="K55" s="88"/>
      <c r="L55" s="88"/>
      <c r="M55" s="88"/>
      <c r="N55" s="88"/>
      <c r="O55" s="89"/>
      <c r="P55" s="88"/>
      <c r="Q55" s="90" t="n">
        <v>34736</v>
      </c>
      <c r="R55" s="85" t="n">
        <v>62780</v>
      </c>
      <c r="S55" s="84"/>
      <c r="T55" s="91" t="n">
        <f aca="false">J55*R55</f>
        <v>1556.944</v>
      </c>
      <c r="U55" s="91"/>
      <c r="V55" s="92" t="n">
        <v>387961</v>
      </c>
      <c r="W55" s="84" t="s">
        <v>139</v>
      </c>
      <c r="X55" s="94"/>
      <c r="Y55" s="94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</row>
    <row r="56" customFormat="false" ht="12.75" hidden="false" customHeight="false" outlineLevel="0" collapsed="false">
      <c r="A56" s="83"/>
      <c r="B56" s="84" t="s">
        <v>99</v>
      </c>
      <c r="C56" s="85" t="s">
        <v>133</v>
      </c>
      <c r="D56" s="85" t="s">
        <v>134</v>
      </c>
      <c r="E56" s="86" t="n">
        <v>36770</v>
      </c>
      <c r="F56" s="86" t="n">
        <v>36799</v>
      </c>
      <c r="G56" s="84" t="s">
        <v>142</v>
      </c>
      <c r="H56" s="84"/>
      <c r="I56" s="85" t="s">
        <v>143</v>
      </c>
      <c r="J56" s="87" t="n">
        <f aca="false">2.02/J1</f>
        <v>0.0673333333333333</v>
      </c>
      <c r="K56" s="88"/>
      <c r="L56" s="88"/>
      <c r="M56" s="88"/>
      <c r="N56" s="88"/>
      <c r="O56" s="89"/>
      <c r="P56" s="88"/>
      <c r="Q56" s="90" t="n">
        <v>34736</v>
      </c>
      <c r="R56" s="85" t="n">
        <v>420</v>
      </c>
      <c r="S56" s="84"/>
      <c r="T56" s="91" t="n">
        <f aca="false">J56*J$1*R56</f>
        <v>848.4</v>
      </c>
      <c r="U56" s="91"/>
      <c r="V56" s="92" t="n">
        <v>389761</v>
      </c>
      <c r="W56" s="84" t="s">
        <v>139</v>
      </c>
      <c r="X56" s="94"/>
      <c r="Y56" s="94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  <c r="IW56" s="83"/>
    </row>
    <row r="57" customFormat="false" ht="12.75" hidden="false" customHeight="false" outlineLevel="0" collapsed="false">
      <c r="A57" s="83"/>
      <c r="B57" s="84" t="s">
        <v>99</v>
      </c>
      <c r="C57" s="85" t="s">
        <v>133</v>
      </c>
      <c r="D57" s="85" t="s">
        <v>134</v>
      </c>
      <c r="E57" s="86" t="n">
        <v>36770</v>
      </c>
      <c r="F57" s="86" t="n">
        <v>36799</v>
      </c>
      <c r="G57" s="84" t="s">
        <v>144</v>
      </c>
      <c r="H57" s="84"/>
      <c r="I57" s="85" t="s">
        <v>145</v>
      </c>
      <c r="J57" s="87" t="n">
        <v>0.0187</v>
      </c>
      <c r="K57" s="88"/>
      <c r="L57" s="88"/>
      <c r="M57" s="88"/>
      <c r="N57" s="88"/>
      <c r="O57" s="89"/>
      <c r="P57" s="88"/>
      <c r="Q57" s="90" t="n">
        <v>34732</v>
      </c>
      <c r="R57" s="85" t="n">
        <v>22531</v>
      </c>
      <c r="S57" s="84"/>
      <c r="T57" s="91" t="n">
        <f aca="false">+R57*J57</f>
        <v>421.3297</v>
      </c>
      <c r="U57" s="91"/>
      <c r="V57" s="92" t="n">
        <v>387950</v>
      </c>
      <c r="W57" s="84" t="s">
        <v>139</v>
      </c>
      <c r="X57" s="94"/>
      <c r="Y57" s="94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</row>
    <row r="58" customFormat="false" ht="12.75" hidden="false" customHeight="false" outlineLevel="0" collapsed="false">
      <c r="A58" s="83"/>
      <c r="B58" s="84" t="s">
        <v>99</v>
      </c>
      <c r="C58" s="85" t="s">
        <v>133</v>
      </c>
      <c r="D58" s="85" t="s">
        <v>134</v>
      </c>
      <c r="E58" s="86" t="n">
        <v>36770</v>
      </c>
      <c r="F58" s="86" t="n">
        <v>36799</v>
      </c>
      <c r="G58" s="84" t="s">
        <v>144</v>
      </c>
      <c r="H58" s="84"/>
      <c r="I58" s="85" t="s">
        <v>145</v>
      </c>
      <c r="J58" s="87" t="n">
        <v>1.17</v>
      </c>
      <c r="K58" s="88"/>
      <c r="L58" s="88"/>
      <c r="M58" s="88"/>
      <c r="N58" s="88"/>
      <c r="O58" s="89"/>
      <c r="P58" s="88"/>
      <c r="Q58" s="90" t="n">
        <v>34732</v>
      </c>
      <c r="R58" s="85" t="n">
        <v>167</v>
      </c>
      <c r="S58" s="84"/>
      <c r="T58" s="91" t="n">
        <f aca="false">+R58*J58</f>
        <v>195.39</v>
      </c>
      <c r="U58" s="91"/>
      <c r="V58" s="92" t="n">
        <v>387950</v>
      </c>
      <c r="W58" s="84" t="s">
        <v>139</v>
      </c>
      <c r="X58" s="94"/>
      <c r="Y58" s="94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  <c r="IW58" s="83"/>
    </row>
    <row r="59" customFormat="false" ht="12.75" hidden="false" customHeight="false" outlineLevel="0" collapsed="false">
      <c r="A59" s="83"/>
      <c r="B59" s="84" t="s">
        <v>99</v>
      </c>
      <c r="C59" s="85" t="s">
        <v>133</v>
      </c>
      <c r="D59" s="85" t="s">
        <v>134</v>
      </c>
      <c r="E59" s="86" t="n">
        <v>36770</v>
      </c>
      <c r="F59" s="86" t="n">
        <v>36830</v>
      </c>
      <c r="G59" s="84" t="s">
        <v>144</v>
      </c>
      <c r="H59" s="84"/>
      <c r="I59" s="85" t="s">
        <v>145</v>
      </c>
      <c r="J59" s="87" t="n">
        <v>0.0187</v>
      </c>
      <c r="K59" s="88"/>
      <c r="L59" s="88"/>
      <c r="M59" s="88"/>
      <c r="N59" s="88"/>
      <c r="O59" s="89"/>
      <c r="P59" s="88"/>
      <c r="Q59" s="90" t="n">
        <v>34576</v>
      </c>
      <c r="R59" s="85" t="n">
        <v>52573</v>
      </c>
      <c r="S59" s="84"/>
      <c r="T59" s="91" t="n">
        <f aca="false">+R59*J59</f>
        <v>983.1151</v>
      </c>
      <c r="U59" s="91"/>
      <c r="V59" s="92" t="n">
        <v>379856</v>
      </c>
      <c r="W59" s="84"/>
      <c r="X59" s="94"/>
      <c r="Y59" s="94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  <c r="IW59" s="83"/>
    </row>
    <row r="60" customFormat="false" ht="12.75" hidden="false" customHeight="false" outlineLevel="0" collapsed="false">
      <c r="A60" s="83"/>
      <c r="B60" s="84" t="s">
        <v>99</v>
      </c>
      <c r="C60" s="85" t="s">
        <v>133</v>
      </c>
      <c r="D60" s="85" t="s">
        <v>134</v>
      </c>
      <c r="E60" s="86" t="n">
        <v>36770</v>
      </c>
      <c r="F60" s="86" t="n">
        <v>36830</v>
      </c>
      <c r="G60" s="84" t="s">
        <v>144</v>
      </c>
      <c r="H60" s="84"/>
      <c r="I60" s="85" t="s">
        <v>145</v>
      </c>
      <c r="J60" s="87" t="n">
        <v>1.17</v>
      </c>
      <c r="K60" s="88"/>
      <c r="L60" s="88"/>
      <c r="M60" s="88"/>
      <c r="N60" s="88"/>
      <c r="O60" s="89"/>
      <c r="P60" s="88"/>
      <c r="Q60" s="90" t="n">
        <v>34576</v>
      </c>
      <c r="R60" s="85" t="n">
        <v>389</v>
      </c>
      <c r="S60" s="84"/>
      <c r="T60" s="91" t="n">
        <f aca="false">+R60*J60</f>
        <v>455.13</v>
      </c>
      <c r="U60" s="91"/>
      <c r="V60" s="92" t="n">
        <v>379856</v>
      </c>
      <c r="W60" s="84"/>
      <c r="X60" s="94"/>
      <c r="Y60" s="94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</row>
    <row r="61" customFormat="false" ht="12.75" hidden="false" customHeight="false" outlineLevel="0" collapsed="false">
      <c r="B61" s="51"/>
      <c r="C61" s="49"/>
      <c r="D61" s="49"/>
      <c r="E61" s="50"/>
      <c r="F61" s="50"/>
      <c r="G61" s="51"/>
      <c r="H61" s="51"/>
      <c r="I61" s="49"/>
      <c r="J61" s="63"/>
      <c r="K61" s="54"/>
      <c r="L61" s="82"/>
      <c r="M61" s="54"/>
      <c r="N61" s="54"/>
      <c r="O61" s="55"/>
      <c r="P61" s="54"/>
      <c r="Q61" s="56"/>
      <c r="R61" s="57"/>
      <c r="S61" s="49"/>
      <c r="T61" s="79"/>
      <c r="U61" s="79"/>
      <c r="V61" s="80"/>
      <c r="W61" s="51"/>
      <c r="X61" s="77"/>
      <c r="Y61" s="77"/>
    </row>
    <row r="62" customFormat="false" ht="12.75" hidden="false" customHeight="false" outlineLevel="0" collapsed="false">
      <c r="B62" s="51"/>
      <c r="C62" s="49"/>
      <c r="D62" s="49"/>
      <c r="E62" s="50"/>
      <c r="F62" s="50"/>
      <c r="G62" s="51"/>
      <c r="H62" s="51"/>
      <c r="I62" s="49"/>
      <c r="J62" s="63"/>
      <c r="K62" s="54"/>
      <c r="L62" s="82"/>
      <c r="M62" s="54"/>
      <c r="N62" s="54"/>
      <c r="O62" s="97"/>
      <c r="P62" s="54"/>
      <c r="Q62" s="56"/>
      <c r="R62" s="49"/>
      <c r="S62" s="49"/>
      <c r="T62" s="98" t="n">
        <f aca="false">SUM(T49:T61)</f>
        <v>74254.4912</v>
      </c>
      <c r="W62" s="51"/>
      <c r="X62" s="99"/>
      <c r="Y62" s="99"/>
    </row>
    <row r="63" customFormat="false" ht="12.75" hidden="false" customHeight="false" outlineLevel="0" collapsed="false">
      <c r="B63" s="68" t="s">
        <v>79</v>
      </c>
      <c r="C63" s="69" t="s">
        <v>80</v>
      </c>
      <c r="D63" s="69" t="s">
        <v>81</v>
      </c>
      <c r="E63" s="70" t="s">
        <v>82</v>
      </c>
      <c r="F63" s="70"/>
      <c r="G63" s="68" t="s">
        <v>83</v>
      </c>
      <c r="H63" s="68" t="s">
        <v>84</v>
      </c>
      <c r="I63" s="69" t="s">
        <v>85</v>
      </c>
      <c r="J63" s="71" t="s">
        <v>86</v>
      </c>
      <c r="K63" s="69" t="s">
        <v>87</v>
      </c>
      <c r="L63" s="69" t="s">
        <v>88</v>
      </c>
      <c r="M63" s="69" t="s">
        <v>89</v>
      </c>
      <c r="N63" s="69" t="s">
        <v>90</v>
      </c>
      <c r="O63" s="72" t="s">
        <v>91</v>
      </c>
      <c r="P63" s="69" t="s">
        <v>92</v>
      </c>
      <c r="Q63" s="73" t="s">
        <v>93</v>
      </c>
      <c r="R63" s="69" t="s">
        <v>94</v>
      </c>
      <c r="S63" s="68" t="s">
        <v>95</v>
      </c>
      <c r="T63" s="74" t="s">
        <v>96</v>
      </c>
      <c r="U63" s="74" t="s">
        <v>97</v>
      </c>
      <c r="V63" s="75" t="s">
        <v>98</v>
      </c>
      <c r="W63" s="76"/>
      <c r="X63" s="77"/>
      <c r="Y63" s="77"/>
    </row>
    <row r="64" customFormat="false" ht="11.25" hidden="false" customHeight="true" outlineLevel="0" collapsed="false">
      <c r="B64" s="51"/>
      <c r="C64" s="49" t="s">
        <v>146</v>
      </c>
      <c r="D64" s="49"/>
      <c r="E64" s="50"/>
      <c r="F64" s="50" t="s">
        <v>147</v>
      </c>
      <c r="G64" s="51"/>
      <c r="H64" s="51"/>
      <c r="I64" s="49"/>
      <c r="J64" s="63"/>
      <c r="K64" s="54"/>
      <c r="L64" s="82"/>
      <c r="M64" s="54"/>
      <c r="N64" s="54"/>
      <c r="O64" s="55"/>
      <c r="P64" s="54"/>
      <c r="Q64" s="56"/>
      <c r="R64" s="57"/>
      <c r="S64" s="49"/>
      <c r="T64" s="79"/>
      <c r="U64" s="79"/>
      <c r="V64" s="80"/>
      <c r="W64" s="51"/>
      <c r="X64" s="77"/>
      <c r="Y64" s="77"/>
    </row>
    <row r="65" customFormat="false" ht="12.75" hidden="false" customHeight="false" outlineLevel="0" collapsed="false">
      <c r="B65" s="68" t="s">
        <v>79</v>
      </c>
      <c r="C65" s="69" t="s">
        <v>80</v>
      </c>
      <c r="D65" s="69" t="s">
        <v>81</v>
      </c>
      <c r="E65" s="70" t="s">
        <v>82</v>
      </c>
      <c r="F65" s="70"/>
      <c r="G65" s="68" t="s">
        <v>83</v>
      </c>
      <c r="H65" s="68" t="s">
        <v>84</v>
      </c>
      <c r="I65" s="69" t="s">
        <v>85</v>
      </c>
      <c r="J65" s="71" t="s">
        <v>86</v>
      </c>
      <c r="K65" s="69" t="s">
        <v>87</v>
      </c>
      <c r="L65" s="69" t="s">
        <v>88</v>
      </c>
      <c r="M65" s="69" t="s">
        <v>89</v>
      </c>
      <c r="N65" s="69" t="s">
        <v>90</v>
      </c>
      <c r="O65" s="72" t="s">
        <v>91</v>
      </c>
      <c r="P65" s="69" t="s">
        <v>92</v>
      </c>
      <c r="Q65" s="73" t="s">
        <v>93</v>
      </c>
      <c r="R65" s="69" t="s">
        <v>94</v>
      </c>
      <c r="S65" s="68" t="s">
        <v>95</v>
      </c>
      <c r="T65" s="74" t="s">
        <v>96</v>
      </c>
      <c r="U65" s="74" t="s">
        <v>97</v>
      </c>
      <c r="V65" s="75" t="s">
        <v>98</v>
      </c>
      <c r="W65" s="76" t="n">
        <f aca="false">+W12</f>
        <v>0</v>
      </c>
      <c r="X65" s="77"/>
      <c r="Y65" s="77"/>
    </row>
    <row r="66" customFormat="false" ht="12.75" hidden="false" customHeight="false" outlineLevel="0" collapsed="false">
      <c r="A66" s="78"/>
      <c r="B66" s="51" t="s">
        <v>99</v>
      </c>
      <c r="C66" s="49" t="s">
        <v>65</v>
      </c>
      <c r="D66" s="49" t="s">
        <v>148</v>
      </c>
      <c r="E66" s="50" t="n">
        <v>36220</v>
      </c>
      <c r="F66" s="50" t="n">
        <v>36707</v>
      </c>
      <c r="G66" s="51" t="s">
        <v>149</v>
      </c>
      <c r="H66" s="51" t="s">
        <v>150</v>
      </c>
      <c r="I66" s="49" t="s">
        <v>1</v>
      </c>
      <c r="J66" s="63" t="n">
        <v>0.3033</v>
      </c>
      <c r="K66" s="54" t="n">
        <v>0</v>
      </c>
      <c r="L66" s="54" t="n">
        <v>0.0022</v>
      </c>
      <c r="M66" s="54" t="n">
        <v>0</v>
      </c>
      <c r="N66" s="54" t="n">
        <v>0</v>
      </c>
      <c r="O66" s="55" t="n">
        <v>0</v>
      </c>
      <c r="P66" s="54" t="n">
        <f aca="false">SUM(J66:N66)</f>
        <v>0.3055</v>
      </c>
      <c r="Q66" s="56" t="s">
        <v>151</v>
      </c>
      <c r="R66" s="49" t="n">
        <v>0</v>
      </c>
      <c r="S66" s="51" t="s">
        <v>152</v>
      </c>
      <c r="T66" s="79" t="n">
        <f aca="false">J66*J$1*R66</f>
        <v>0</v>
      </c>
      <c r="U66" s="79"/>
      <c r="V66" s="80" t="n">
        <v>157260</v>
      </c>
      <c r="W66" s="51" t="s">
        <v>153</v>
      </c>
      <c r="X66" s="77"/>
      <c r="Y66" s="77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/>
      <c r="HN66" s="78"/>
      <c r="HO66" s="78"/>
      <c r="HP66" s="78"/>
      <c r="HQ66" s="78"/>
      <c r="HR66" s="78"/>
      <c r="HS66" s="78"/>
      <c r="HT66" s="78"/>
      <c r="HU66" s="78"/>
      <c r="HV66" s="78"/>
      <c r="HW66" s="78"/>
      <c r="HX66" s="78"/>
      <c r="HY66" s="78"/>
      <c r="HZ66" s="78"/>
      <c r="IA66" s="78"/>
      <c r="IB66" s="78"/>
      <c r="IC66" s="78"/>
      <c r="ID66" s="78"/>
      <c r="IE66" s="78"/>
      <c r="IF66" s="78"/>
      <c r="IG66" s="78"/>
      <c r="IH66" s="78"/>
      <c r="II66" s="78"/>
      <c r="IJ66" s="78"/>
      <c r="IK66" s="78"/>
      <c r="IL66" s="78"/>
      <c r="IM66" s="78"/>
      <c r="IN66" s="78"/>
      <c r="IO66" s="78"/>
      <c r="IP66" s="78"/>
      <c r="IQ66" s="78"/>
      <c r="IR66" s="78"/>
      <c r="IS66" s="78"/>
      <c r="IT66" s="78"/>
      <c r="IU66" s="78"/>
      <c r="IV66" s="78"/>
      <c r="IW66" s="78"/>
    </row>
    <row r="67" customFormat="false" ht="12.75" hidden="false" customHeight="false" outlineLevel="0" collapsed="false">
      <c r="A67" s="78"/>
      <c r="B67" s="51" t="s">
        <v>99</v>
      </c>
      <c r="C67" s="49" t="s">
        <v>65</v>
      </c>
      <c r="D67" s="49" t="s">
        <v>148</v>
      </c>
      <c r="E67" s="50" t="n">
        <v>36220</v>
      </c>
      <c r="F67" s="50" t="n">
        <v>36707</v>
      </c>
      <c r="G67" s="51" t="s">
        <v>154</v>
      </c>
      <c r="H67" s="51" t="s">
        <v>150</v>
      </c>
      <c r="I67" s="49" t="s">
        <v>1</v>
      </c>
      <c r="J67" s="63" t="n">
        <v>0.3033</v>
      </c>
      <c r="K67" s="54" t="n">
        <v>0</v>
      </c>
      <c r="L67" s="54" t="n">
        <v>0.0022</v>
      </c>
      <c r="M67" s="54" t="n">
        <v>0</v>
      </c>
      <c r="N67" s="54" t="n">
        <v>0</v>
      </c>
      <c r="O67" s="55" t="n">
        <v>0</v>
      </c>
      <c r="P67" s="54" t="n">
        <f aca="false">SUM(J67:N67)</f>
        <v>0.3055</v>
      </c>
      <c r="Q67" s="56" t="s">
        <v>151</v>
      </c>
      <c r="R67" s="49" t="n">
        <v>0</v>
      </c>
      <c r="S67" s="51" t="s">
        <v>152</v>
      </c>
      <c r="T67" s="79" t="n">
        <f aca="false">J67*J$1*R67</f>
        <v>0</v>
      </c>
      <c r="U67" s="79"/>
      <c r="V67" s="80" t="n">
        <v>157260</v>
      </c>
      <c r="W67" s="51" t="s">
        <v>153</v>
      </c>
      <c r="X67" s="77"/>
      <c r="Y67" s="77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  <c r="EO67" s="78"/>
      <c r="EP67" s="78"/>
      <c r="EQ67" s="78"/>
      <c r="ER67" s="78"/>
      <c r="ES67" s="78"/>
      <c r="ET67" s="78"/>
      <c r="EU67" s="78"/>
      <c r="EV67" s="78"/>
      <c r="EW67" s="78"/>
      <c r="EX67" s="78"/>
      <c r="EY67" s="78"/>
      <c r="EZ67" s="78"/>
      <c r="FA67" s="78"/>
      <c r="FB67" s="78"/>
      <c r="FC67" s="78"/>
      <c r="FD67" s="78"/>
      <c r="FE67" s="78"/>
      <c r="FF67" s="78"/>
      <c r="FG67" s="78"/>
      <c r="FH67" s="78"/>
      <c r="FI67" s="78"/>
      <c r="FJ67" s="78"/>
      <c r="FK67" s="78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  <c r="HJ67" s="78"/>
      <c r="HK67" s="78"/>
      <c r="HL67" s="78"/>
      <c r="HM67" s="78"/>
      <c r="HN67" s="78"/>
      <c r="HO67" s="78"/>
      <c r="HP67" s="78"/>
      <c r="HQ67" s="78"/>
      <c r="HR67" s="78"/>
      <c r="HS67" s="78"/>
      <c r="HT67" s="78"/>
      <c r="HU67" s="78"/>
      <c r="HV67" s="78"/>
      <c r="HW67" s="78"/>
      <c r="HX67" s="78"/>
      <c r="HY67" s="78"/>
      <c r="HZ67" s="78"/>
      <c r="IA67" s="78"/>
      <c r="IB67" s="78"/>
      <c r="IC67" s="78"/>
      <c r="ID67" s="78"/>
      <c r="IE67" s="78"/>
      <c r="IF67" s="78"/>
      <c r="IG67" s="78"/>
      <c r="IH67" s="78"/>
      <c r="II67" s="78"/>
      <c r="IJ67" s="78"/>
      <c r="IK67" s="78"/>
      <c r="IL67" s="78"/>
      <c r="IM67" s="78"/>
      <c r="IN67" s="78"/>
      <c r="IO67" s="78"/>
      <c r="IP67" s="78"/>
      <c r="IQ67" s="78"/>
      <c r="IR67" s="78"/>
      <c r="IS67" s="78"/>
      <c r="IT67" s="78"/>
      <c r="IU67" s="78"/>
      <c r="IV67" s="78"/>
      <c r="IW67" s="78"/>
    </row>
    <row r="68" customFormat="false" ht="12.75" hidden="false" customHeight="false" outlineLevel="0" collapsed="false">
      <c r="B68" s="51"/>
      <c r="C68" s="49"/>
      <c r="D68" s="49"/>
      <c r="E68" s="50" t="s">
        <v>67</v>
      </c>
      <c r="F68" s="50"/>
      <c r="G68" s="51"/>
      <c r="H68" s="51"/>
      <c r="I68" s="49"/>
      <c r="J68" s="63"/>
      <c r="K68" s="54"/>
      <c r="L68" s="82"/>
      <c r="M68" s="54"/>
      <c r="N68" s="54"/>
      <c r="O68" s="55"/>
      <c r="P68" s="54"/>
      <c r="Q68" s="100"/>
      <c r="R68" s="101" t="n">
        <f aca="false">SUM(R66:R67)</f>
        <v>0</v>
      </c>
      <c r="S68" s="102"/>
      <c r="T68" s="58" t="n">
        <f aca="false">SUM(T66:T67)</f>
        <v>0</v>
      </c>
      <c r="U68" s="58"/>
      <c r="V68" s="59"/>
      <c r="W68" s="60"/>
      <c r="X68" s="61"/>
      <c r="Y68" s="61"/>
    </row>
    <row r="69" customFormat="false" ht="11.25" hidden="false" customHeight="true" outlineLevel="0" collapsed="false">
      <c r="B69" s="68" t="s">
        <v>79</v>
      </c>
      <c r="C69" s="69" t="s">
        <v>80</v>
      </c>
      <c r="D69" s="69" t="s">
        <v>81</v>
      </c>
      <c r="E69" s="70" t="s">
        <v>82</v>
      </c>
      <c r="F69" s="70"/>
      <c r="G69" s="68" t="s">
        <v>83</v>
      </c>
      <c r="H69" s="68" t="s">
        <v>84</v>
      </c>
      <c r="I69" s="69" t="s">
        <v>85</v>
      </c>
      <c r="J69" s="71" t="s">
        <v>86</v>
      </c>
      <c r="K69" s="69" t="s">
        <v>87</v>
      </c>
      <c r="L69" s="69" t="s">
        <v>88</v>
      </c>
      <c r="M69" s="69" t="s">
        <v>89</v>
      </c>
      <c r="N69" s="69" t="s">
        <v>90</v>
      </c>
      <c r="O69" s="72" t="s">
        <v>91</v>
      </c>
      <c r="P69" s="69" t="s">
        <v>92</v>
      </c>
      <c r="Q69" s="73" t="s">
        <v>93</v>
      </c>
      <c r="R69" s="69" t="s">
        <v>94</v>
      </c>
      <c r="S69" s="68" t="s">
        <v>95</v>
      </c>
      <c r="T69" s="74" t="s">
        <v>96</v>
      </c>
      <c r="U69" s="74" t="s">
        <v>97</v>
      </c>
      <c r="V69" s="75" t="s">
        <v>98</v>
      </c>
      <c r="W69" s="76" t="e">
        <f aca="false">+#REF!</f>
        <v>#REF!</v>
      </c>
      <c r="X69" s="77"/>
      <c r="Y69" s="77"/>
    </row>
    <row r="70" customFormat="false" ht="12.75" hidden="false" customHeight="false" outlineLevel="0" collapsed="false">
      <c r="A70" s="83"/>
      <c r="B70" s="84" t="s">
        <v>99</v>
      </c>
      <c r="C70" s="85" t="s">
        <v>45</v>
      </c>
      <c r="D70" s="85" t="s">
        <v>134</v>
      </c>
      <c r="E70" s="86" t="n">
        <v>36770</v>
      </c>
      <c r="F70" s="86" t="n">
        <v>37894</v>
      </c>
      <c r="G70" s="84" t="s">
        <v>155</v>
      </c>
      <c r="H70" s="84" t="s">
        <v>156</v>
      </c>
      <c r="I70" s="85" t="s">
        <v>157</v>
      </c>
      <c r="J70" s="87" t="n">
        <f aca="false">7.5654/J$1</f>
        <v>0.25218</v>
      </c>
      <c r="K70" s="88" t="n">
        <v>0</v>
      </c>
      <c r="L70" s="88" t="n">
        <v>0.0022</v>
      </c>
      <c r="M70" s="88" t="n">
        <v>0</v>
      </c>
      <c r="N70" s="88" t="n">
        <v>0</v>
      </c>
      <c r="O70" s="89" t="n">
        <v>0</v>
      </c>
      <c r="P70" s="88" t="n">
        <f aca="false">SUM(J70:N70)</f>
        <v>0.25438</v>
      </c>
      <c r="Q70" s="103" t="n">
        <v>3.6673</v>
      </c>
      <c r="R70" s="85" t="n">
        <v>764</v>
      </c>
      <c r="S70" s="84" t="s">
        <v>158</v>
      </c>
      <c r="T70" s="91" t="n">
        <f aca="false">J70*J$1*R70</f>
        <v>5779.9656</v>
      </c>
      <c r="U70" s="91"/>
      <c r="V70" s="92" t="n">
        <v>375520</v>
      </c>
      <c r="W70" s="84"/>
      <c r="X70" s="94"/>
      <c r="Y70" s="94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  <c r="IW70" s="83"/>
    </row>
    <row r="71" customFormat="false" ht="12.75" hidden="false" customHeight="false" outlineLevel="0" collapsed="false">
      <c r="A71" s="83"/>
      <c r="B71" s="84" t="s">
        <v>99</v>
      </c>
      <c r="C71" s="85" t="s">
        <v>45</v>
      </c>
      <c r="D71" s="85" t="s">
        <v>134</v>
      </c>
      <c r="E71" s="86" t="n">
        <v>36770</v>
      </c>
      <c r="F71" s="86" t="n">
        <v>37894</v>
      </c>
      <c r="G71" s="84" t="s">
        <v>159</v>
      </c>
      <c r="H71" s="84" t="s">
        <v>156</v>
      </c>
      <c r="I71" s="85" t="s">
        <v>157</v>
      </c>
      <c r="J71" s="87" t="n">
        <f aca="false">+J70</f>
        <v>0.25218</v>
      </c>
      <c r="K71" s="88" t="n">
        <v>0</v>
      </c>
      <c r="L71" s="88" t="n">
        <v>0.0022</v>
      </c>
      <c r="M71" s="88" t="n">
        <v>0</v>
      </c>
      <c r="N71" s="88" t="n">
        <v>0</v>
      </c>
      <c r="O71" s="89" t="n">
        <v>0</v>
      </c>
      <c r="P71" s="88" t="n">
        <f aca="false">SUM(J71:N71)</f>
        <v>0.25438</v>
      </c>
      <c r="Q71" s="103" t="n">
        <f aca="false">+Q70</f>
        <v>3.6673</v>
      </c>
      <c r="R71" s="85" t="n">
        <v>1123</v>
      </c>
      <c r="S71" s="84" t="str">
        <f aca="false">+S70</f>
        <v>#021351</v>
      </c>
      <c r="T71" s="91" t="n">
        <f aca="false">J71*J$1*R71</f>
        <v>8495.9442</v>
      </c>
      <c r="U71" s="91"/>
      <c r="V71" s="92" t="n">
        <f aca="false">+V70</f>
        <v>375520</v>
      </c>
      <c r="W71" s="84"/>
      <c r="X71" s="94"/>
      <c r="Y71" s="94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  <c r="IW71" s="83"/>
    </row>
    <row r="72" customFormat="false" ht="12.75" hidden="false" customHeight="false" outlineLevel="0" collapsed="false">
      <c r="A72" s="83"/>
      <c r="B72" s="84" t="s">
        <v>99</v>
      </c>
      <c r="C72" s="85" t="s">
        <v>45</v>
      </c>
      <c r="D72" s="85" t="s">
        <v>134</v>
      </c>
      <c r="E72" s="86" t="n">
        <v>36770</v>
      </c>
      <c r="F72" s="86" t="n">
        <v>37894</v>
      </c>
      <c r="G72" s="84" t="s">
        <v>121</v>
      </c>
      <c r="H72" s="84" t="s">
        <v>156</v>
      </c>
      <c r="I72" s="85" t="s">
        <v>157</v>
      </c>
      <c r="J72" s="87" t="n">
        <f aca="false">+J71</f>
        <v>0.25218</v>
      </c>
      <c r="K72" s="88" t="n">
        <v>0</v>
      </c>
      <c r="L72" s="88" t="n">
        <v>0.0022</v>
      </c>
      <c r="M72" s="88" t="n">
        <v>0</v>
      </c>
      <c r="N72" s="88" t="n">
        <v>0</v>
      </c>
      <c r="O72" s="89" t="n">
        <v>0</v>
      </c>
      <c r="P72" s="88" t="n">
        <f aca="false">SUM(J72:N72)</f>
        <v>0.25438</v>
      </c>
      <c r="Q72" s="103" t="n">
        <f aca="false">+Q71</f>
        <v>3.6673</v>
      </c>
      <c r="R72" s="85" t="n">
        <f aca="false">853+1752</f>
        <v>2605</v>
      </c>
      <c r="S72" s="84" t="str">
        <f aca="false">+S71</f>
        <v>#021351</v>
      </c>
      <c r="T72" s="91" t="n">
        <f aca="false">J72*J$1*R72</f>
        <v>19707.867</v>
      </c>
      <c r="U72" s="91"/>
      <c r="V72" s="92" t="n">
        <f aca="false">+V71</f>
        <v>375520</v>
      </c>
      <c r="W72" s="84"/>
      <c r="X72" s="94"/>
      <c r="Y72" s="94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  <c r="GB72" s="83"/>
      <c r="GC72" s="83"/>
      <c r="GD72" s="83"/>
      <c r="GE72" s="83"/>
      <c r="GF72" s="83"/>
      <c r="GG72" s="83"/>
      <c r="GH72" s="83"/>
      <c r="GI72" s="83"/>
      <c r="GJ72" s="83"/>
      <c r="GK72" s="83"/>
      <c r="GL72" s="83"/>
      <c r="GM72" s="83"/>
      <c r="GN72" s="83"/>
      <c r="GO72" s="83"/>
      <c r="GP72" s="83"/>
      <c r="GQ72" s="83"/>
      <c r="GR72" s="83"/>
      <c r="GS72" s="83"/>
      <c r="GT72" s="83"/>
      <c r="GU72" s="83"/>
      <c r="GV72" s="83"/>
      <c r="GW72" s="83"/>
      <c r="GX72" s="83"/>
      <c r="GY72" s="83"/>
      <c r="GZ72" s="83"/>
      <c r="HA72" s="83"/>
      <c r="HB72" s="83"/>
      <c r="HC72" s="83"/>
      <c r="HD72" s="83"/>
      <c r="HE72" s="83"/>
      <c r="HF72" s="83"/>
      <c r="HG72" s="83"/>
      <c r="HH72" s="83"/>
      <c r="HI72" s="83"/>
      <c r="HJ72" s="83"/>
      <c r="HK72" s="83"/>
      <c r="HL72" s="83"/>
      <c r="HM72" s="83"/>
      <c r="HN72" s="83"/>
      <c r="HO72" s="83"/>
      <c r="HP72" s="83"/>
      <c r="HQ72" s="83"/>
      <c r="HR72" s="83"/>
      <c r="HS72" s="83"/>
      <c r="HT72" s="83"/>
      <c r="HU72" s="83"/>
      <c r="HV72" s="83"/>
      <c r="HW72" s="83"/>
      <c r="HX72" s="83"/>
      <c r="HY72" s="83"/>
      <c r="HZ72" s="83"/>
      <c r="IA72" s="83"/>
      <c r="IB72" s="83"/>
      <c r="IC72" s="83"/>
      <c r="ID72" s="83"/>
      <c r="IE72" s="83"/>
      <c r="IF72" s="83"/>
      <c r="IG72" s="83"/>
      <c r="IH72" s="83"/>
      <c r="II72" s="83"/>
      <c r="IJ72" s="83"/>
      <c r="IK72" s="83"/>
      <c r="IL72" s="83"/>
      <c r="IM72" s="83"/>
      <c r="IN72" s="83"/>
      <c r="IO72" s="83"/>
      <c r="IP72" s="83"/>
      <c r="IQ72" s="83"/>
      <c r="IR72" s="83"/>
      <c r="IS72" s="83"/>
      <c r="IT72" s="83"/>
      <c r="IU72" s="83"/>
      <c r="IV72" s="83"/>
      <c r="IW72" s="83"/>
    </row>
    <row r="73" customFormat="false" ht="12.75" hidden="false" customHeight="false" outlineLevel="0" collapsed="false">
      <c r="A73" s="83"/>
      <c r="B73" s="84" t="s">
        <v>99</v>
      </c>
      <c r="C73" s="85" t="s">
        <v>45</v>
      </c>
      <c r="D73" s="85" t="s">
        <v>134</v>
      </c>
      <c r="E73" s="86" t="n">
        <v>36770</v>
      </c>
      <c r="F73" s="86" t="n">
        <v>36799</v>
      </c>
      <c r="G73" s="84" t="s">
        <v>155</v>
      </c>
      <c r="H73" s="84" t="s">
        <v>156</v>
      </c>
      <c r="I73" s="85" t="s">
        <v>157</v>
      </c>
      <c r="J73" s="87" t="n">
        <f aca="false">7.5654/J$1</f>
        <v>0.25218</v>
      </c>
      <c r="K73" s="88" t="n">
        <v>0</v>
      </c>
      <c r="L73" s="88" t="n">
        <v>0.0022</v>
      </c>
      <c r="M73" s="88" t="n">
        <v>0</v>
      </c>
      <c r="N73" s="88" t="n">
        <v>0</v>
      </c>
      <c r="O73" s="89" t="n">
        <v>0</v>
      </c>
      <c r="P73" s="88" t="n">
        <f aca="false">SUM(J73:N73)</f>
        <v>0.25438</v>
      </c>
      <c r="Q73" s="103" t="n">
        <v>3.6752</v>
      </c>
      <c r="R73" s="104" t="n">
        <v>20</v>
      </c>
      <c r="S73" s="84" t="s">
        <v>160</v>
      </c>
      <c r="T73" s="91" t="n">
        <f aca="false">J73*J$1*R73</f>
        <v>151.308</v>
      </c>
      <c r="U73" s="91"/>
      <c r="V73" s="92" t="n">
        <v>379552</v>
      </c>
      <c r="W73" s="84"/>
      <c r="X73" s="94"/>
      <c r="Y73" s="94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3"/>
      <c r="EO73" s="83"/>
      <c r="EP73" s="83"/>
      <c r="EQ73" s="83"/>
      <c r="ER73" s="83"/>
      <c r="ES73" s="83"/>
      <c r="ET73" s="83"/>
      <c r="EU73" s="83"/>
      <c r="EV73" s="83"/>
      <c r="EW73" s="83"/>
      <c r="EX73" s="83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  <c r="FO73" s="83"/>
      <c r="FP73" s="83"/>
      <c r="FQ73" s="83"/>
      <c r="FR73" s="83"/>
      <c r="FS73" s="83"/>
      <c r="FT73" s="83"/>
      <c r="FU73" s="83"/>
      <c r="FV73" s="83"/>
      <c r="FW73" s="83"/>
      <c r="FX73" s="83"/>
      <c r="FY73" s="83"/>
      <c r="FZ73" s="83"/>
      <c r="GA73" s="83"/>
      <c r="GB73" s="83"/>
      <c r="GC73" s="83"/>
      <c r="GD73" s="83"/>
      <c r="GE73" s="83"/>
      <c r="GF73" s="83"/>
      <c r="GG73" s="83"/>
      <c r="GH73" s="83"/>
      <c r="GI73" s="83"/>
      <c r="GJ73" s="83"/>
      <c r="GK73" s="83"/>
      <c r="GL73" s="83"/>
      <c r="GM73" s="83"/>
      <c r="GN73" s="83"/>
      <c r="GO73" s="83"/>
      <c r="GP73" s="83"/>
      <c r="GQ73" s="83"/>
      <c r="GR73" s="83"/>
      <c r="GS73" s="83"/>
      <c r="GT73" s="83"/>
      <c r="GU73" s="83"/>
      <c r="GV73" s="83"/>
      <c r="GW73" s="83"/>
      <c r="GX73" s="83"/>
      <c r="GY73" s="83"/>
      <c r="GZ73" s="83"/>
      <c r="HA73" s="83"/>
      <c r="HB73" s="83"/>
      <c r="HC73" s="83"/>
      <c r="HD73" s="83"/>
      <c r="HE73" s="83"/>
      <c r="HF73" s="83"/>
      <c r="HG73" s="83"/>
      <c r="HH73" s="83"/>
      <c r="HI73" s="83"/>
      <c r="HJ73" s="83"/>
      <c r="HK73" s="83"/>
      <c r="HL73" s="83"/>
      <c r="HM73" s="83"/>
      <c r="HN73" s="83"/>
      <c r="HO73" s="83"/>
      <c r="HP73" s="83"/>
      <c r="HQ73" s="83"/>
      <c r="HR73" s="83"/>
      <c r="HS73" s="83"/>
      <c r="HT73" s="83"/>
      <c r="HU73" s="83"/>
      <c r="HV73" s="83"/>
      <c r="HW73" s="83"/>
      <c r="HX73" s="83"/>
      <c r="HY73" s="83"/>
      <c r="HZ73" s="83"/>
      <c r="IA73" s="83"/>
      <c r="IB73" s="83"/>
      <c r="IC73" s="83"/>
      <c r="ID73" s="83"/>
      <c r="IE73" s="83"/>
      <c r="IF73" s="83"/>
      <c r="IG73" s="83"/>
      <c r="IH73" s="83"/>
      <c r="II73" s="83"/>
      <c r="IJ73" s="83"/>
      <c r="IK73" s="83"/>
      <c r="IL73" s="83"/>
      <c r="IM73" s="83"/>
      <c r="IN73" s="83"/>
      <c r="IO73" s="83"/>
      <c r="IP73" s="83"/>
      <c r="IQ73" s="83"/>
      <c r="IR73" s="83"/>
      <c r="IS73" s="83"/>
      <c r="IT73" s="83"/>
      <c r="IU73" s="83"/>
      <c r="IV73" s="83"/>
      <c r="IW73" s="83"/>
    </row>
    <row r="74" customFormat="false" ht="12.75" hidden="false" customHeight="false" outlineLevel="0" collapsed="false">
      <c r="A74" s="83"/>
      <c r="B74" s="84" t="s">
        <v>99</v>
      </c>
      <c r="C74" s="85" t="s">
        <v>45</v>
      </c>
      <c r="D74" s="85" t="s">
        <v>134</v>
      </c>
      <c r="E74" s="86" t="n">
        <v>36770</v>
      </c>
      <c r="F74" s="86" t="n">
        <v>36799</v>
      </c>
      <c r="G74" s="84" t="s">
        <v>159</v>
      </c>
      <c r="H74" s="84" t="s">
        <v>156</v>
      </c>
      <c r="I74" s="85" t="s">
        <v>157</v>
      </c>
      <c r="J74" s="87" t="n">
        <f aca="false">7.5654/J$1</f>
        <v>0.25218</v>
      </c>
      <c r="K74" s="88" t="n">
        <v>0</v>
      </c>
      <c r="L74" s="88" t="n">
        <v>0.0022</v>
      </c>
      <c r="M74" s="88" t="n">
        <v>0</v>
      </c>
      <c r="N74" s="88" t="n">
        <v>0</v>
      </c>
      <c r="O74" s="89" t="n">
        <v>0</v>
      </c>
      <c r="P74" s="88" t="n">
        <f aca="false">SUM(J74:N74)</f>
        <v>0.25438</v>
      </c>
      <c r="Q74" s="103" t="n">
        <f aca="false">+Q73</f>
        <v>3.6752</v>
      </c>
      <c r="R74" s="85" t="n">
        <v>29</v>
      </c>
      <c r="S74" s="84" t="str">
        <f aca="false">+S73</f>
        <v>#021461</v>
      </c>
      <c r="T74" s="91" t="n">
        <f aca="false">J74*J$1*R74</f>
        <v>219.3966</v>
      </c>
      <c r="U74" s="91"/>
      <c r="V74" s="92" t="n">
        <v>375532</v>
      </c>
      <c r="W74" s="84"/>
      <c r="X74" s="94"/>
      <c r="Y74" s="94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83"/>
      <c r="GK74" s="83"/>
      <c r="GL74" s="83"/>
      <c r="GM74" s="83"/>
      <c r="GN74" s="83"/>
      <c r="GO74" s="83"/>
      <c r="GP74" s="83"/>
      <c r="GQ74" s="83"/>
      <c r="GR74" s="83"/>
      <c r="GS74" s="83"/>
      <c r="GT74" s="83"/>
      <c r="GU74" s="83"/>
      <c r="GV74" s="83"/>
      <c r="GW74" s="83"/>
      <c r="GX74" s="83"/>
      <c r="GY74" s="83"/>
      <c r="GZ74" s="83"/>
      <c r="HA74" s="83"/>
      <c r="HB74" s="83"/>
      <c r="HC74" s="83"/>
      <c r="HD74" s="83"/>
      <c r="HE74" s="83"/>
      <c r="HF74" s="83"/>
      <c r="HG74" s="83"/>
      <c r="HH74" s="83"/>
      <c r="HI74" s="83"/>
      <c r="HJ74" s="83"/>
      <c r="HK74" s="83"/>
      <c r="HL74" s="83"/>
      <c r="HM74" s="83"/>
      <c r="HN74" s="83"/>
      <c r="HO74" s="83"/>
      <c r="HP74" s="83"/>
      <c r="HQ74" s="83"/>
      <c r="HR74" s="83"/>
      <c r="HS74" s="83"/>
      <c r="HT74" s="83"/>
      <c r="HU74" s="83"/>
      <c r="HV74" s="83"/>
      <c r="HW74" s="83"/>
      <c r="HX74" s="83"/>
      <c r="HY74" s="83"/>
      <c r="HZ74" s="83"/>
      <c r="IA74" s="83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  <c r="IV74" s="83"/>
      <c r="IW74" s="83"/>
    </row>
    <row r="75" customFormat="false" ht="12.75" hidden="false" customHeight="false" outlineLevel="0" collapsed="false">
      <c r="A75" s="83"/>
      <c r="B75" s="84" t="s">
        <v>99</v>
      </c>
      <c r="C75" s="85" t="s">
        <v>45</v>
      </c>
      <c r="D75" s="85" t="s">
        <v>134</v>
      </c>
      <c r="E75" s="86" t="n">
        <v>36770</v>
      </c>
      <c r="F75" s="86" t="n">
        <v>36799</v>
      </c>
      <c r="G75" s="84" t="s">
        <v>121</v>
      </c>
      <c r="H75" s="84" t="s">
        <v>156</v>
      </c>
      <c r="I75" s="85" t="s">
        <v>157</v>
      </c>
      <c r="J75" s="87" t="n">
        <f aca="false">7.5654/J$1</f>
        <v>0.25218</v>
      </c>
      <c r="K75" s="88" t="n">
        <v>0</v>
      </c>
      <c r="L75" s="88" t="n">
        <v>0.0022</v>
      </c>
      <c r="M75" s="88" t="n">
        <v>0</v>
      </c>
      <c r="N75" s="88" t="n">
        <v>0</v>
      </c>
      <c r="O75" s="89" t="n">
        <v>0</v>
      </c>
      <c r="P75" s="88" t="n">
        <f aca="false">SUM(J75:N75)</f>
        <v>0.25438</v>
      </c>
      <c r="Q75" s="103" t="n">
        <f aca="false">+Q74</f>
        <v>3.6752</v>
      </c>
      <c r="R75" s="85" t="n">
        <f aca="false">22+45</f>
        <v>67</v>
      </c>
      <c r="S75" s="84" t="str">
        <f aca="false">+S74</f>
        <v>#021461</v>
      </c>
      <c r="T75" s="91" t="n">
        <f aca="false">J75*J$1*R75</f>
        <v>506.8818</v>
      </c>
      <c r="U75" s="91"/>
      <c r="V75" s="92" t="n">
        <v>375532</v>
      </c>
      <c r="W75" s="84"/>
      <c r="X75" s="94"/>
      <c r="Y75" s="94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83"/>
      <c r="GK75" s="83"/>
      <c r="GL75" s="83"/>
      <c r="GM75" s="83"/>
      <c r="GN75" s="83"/>
      <c r="GO75" s="83"/>
      <c r="GP75" s="83"/>
      <c r="GQ75" s="83"/>
      <c r="GR75" s="83"/>
      <c r="GS75" s="83"/>
      <c r="GT75" s="83"/>
      <c r="GU75" s="83"/>
      <c r="GV75" s="83"/>
      <c r="GW75" s="83"/>
      <c r="GX75" s="83"/>
      <c r="GY75" s="83"/>
      <c r="GZ75" s="83"/>
      <c r="HA75" s="83"/>
      <c r="HB75" s="83"/>
      <c r="HC75" s="83"/>
      <c r="HD75" s="83"/>
      <c r="HE75" s="83"/>
      <c r="HF75" s="83"/>
      <c r="HG75" s="83"/>
      <c r="HH75" s="83"/>
      <c r="HI75" s="83"/>
      <c r="HJ75" s="83"/>
      <c r="HK75" s="83"/>
      <c r="HL75" s="83"/>
      <c r="HM75" s="83"/>
      <c r="HN75" s="83"/>
      <c r="HO75" s="83"/>
      <c r="HP75" s="83"/>
      <c r="HQ75" s="83"/>
      <c r="HR75" s="83"/>
      <c r="HS75" s="83"/>
      <c r="HT75" s="83"/>
      <c r="HU75" s="83"/>
      <c r="HV75" s="83"/>
      <c r="HW75" s="83"/>
      <c r="HX75" s="83"/>
      <c r="HY75" s="83"/>
      <c r="HZ75" s="83"/>
      <c r="IA75" s="83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  <c r="IV75" s="83"/>
      <c r="IW75" s="83"/>
    </row>
    <row r="76" customFormat="false" ht="12.75" hidden="false" customHeight="false" outlineLevel="0" collapsed="false">
      <c r="A76" s="83"/>
      <c r="B76" s="84" t="s">
        <v>99</v>
      </c>
      <c r="C76" s="85" t="s">
        <v>45</v>
      </c>
      <c r="D76" s="85" t="s">
        <v>134</v>
      </c>
      <c r="E76" s="86" t="n">
        <v>36770</v>
      </c>
      <c r="F76" s="86" t="n">
        <v>37864</v>
      </c>
      <c r="G76" s="84" t="s">
        <v>155</v>
      </c>
      <c r="H76" s="84" t="s">
        <v>156</v>
      </c>
      <c r="I76" s="85" t="s">
        <v>157</v>
      </c>
      <c r="J76" s="87" t="n">
        <f aca="false">7.5654/J$1</f>
        <v>0.25218</v>
      </c>
      <c r="K76" s="88" t="n">
        <v>0</v>
      </c>
      <c r="L76" s="88" t="n">
        <v>0.0022</v>
      </c>
      <c r="M76" s="88" t="n">
        <v>0</v>
      </c>
      <c r="N76" s="88" t="n">
        <v>0</v>
      </c>
      <c r="O76" s="89" t="n">
        <v>0</v>
      </c>
      <c r="P76" s="88" t="n">
        <f aca="false">SUM(J76:N76)</f>
        <v>0.25438</v>
      </c>
      <c r="Q76" s="103" t="n">
        <v>3.6675</v>
      </c>
      <c r="R76" s="104" t="n">
        <v>46</v>
      </c>
      <c r="S76" s="84" t="s">
        <v>161</v>
      </c>
      <c r="T76" s="91" t="n">
        <f aca="false">J76*J$1*R76</f>
        <v>348.0084</v>
      </c>
      <c r="U76" s="91"/>
      <c r="V76" s="92" t="n">
        <v>375532</v>
      </c>
      <c r="W76" s="84"/>
      <c r="X76" s="94"/>
      <c r="Y76" s="94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3"/>
      <c r="HI76" s="83"/>
      <c r="HJ76" s="83"/>
      <c r="HK76" s="83"/>
      <c r="HL76" s="83"/>
      <c r="HM76" s="83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  <c r="IW76" s="83"/>
    </row>
    <row r="77" customFormat="false" ht="12.75" hidden="false" customHeight="false" outlineLevel="0" collapsed="false">
      <c r="A77" s="83"/>
      <c r="B77" s="84" t="s">
        <v>99</v>
      </c>
      <c r="C77" s="85" t="s">
        <v>45</v>
      </c>
      <c r="D77" s="85" t="s">
        <v>134</v>
      </c>
      <c r="E77" s="86" t="n">
        <v>36770</v>
      </c>
      <c r="F77" s="86" t="n">
        <v>37864</v>
      </c>
      <c r="G77" s="84" t="s">
        <v>159</v>
      </c>
      <c r="H77" s="84" t="s">
        <v>156</v>
      </c>
      <c r="I77" s="85" t="s">
        <v>157</v>
      </c>
      <c r="J77" s="87" t="n">
        <f aca="false">7.5654/J$1</f>
        <v>0.25218</v>
      </c>
      <c r="K77" s="88" t="n">
        <v>0</v>
      </c>
      <c r="L77" s="88" t="n">
        <v>0.0022</v>
      </c>
      <c r="M77" s="88" t="n">
        <v>0</v>
      </c>
      <c r="N77" s="88" t="n">
        <v>0</v>
      </c>
      <c r="O77" s="89" t="n">
        <v>0</v>
      </c>
      <c r="P77" s="88" t="n">
        <f aca="false">SUM(J77:N77)</f>
        <v>0.25438</v>
      </c>
      <c r="Q77" s="103" t="n">
        <f aca="false">+Q76</f>
        <v>3.6675</v>
      </c>
      <c r="R77" s="85" t="n">
        <v>68</v>
      </c>
      <c r="S77" s="84" t="str">
        <f aca="false">+S76</f>
        <v>#021349</v>
      </c>
      <c r="T77" s="91" t="n">
        <f aca="false">J77*J$1*R77</f>
        <v>514.4472</v>
      </c>
      <c r="U77" s="91"/>
      <c r="V77" s="92" t="n">
        <v>375532</v>
      </c>
      <c r="W77" s="84"/>
      <c r="X77" s="94"/>
      <c r="Y77" s="94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  <c r="FW77" s="83"/>
      <c r="FX77" s="83"/>
      <c r="FY77" s="83"/>
      <c r="FZ77" s="83"/>
      <c r="GA77" s="83"/>
      <c r="GB77" s="83"/>
      <c r="GC77" s="83"/>
      <c r="GD77" s="83"/>
      <c r="GE77" s="83"/>
      <c r="GF77" s="83"/>
      <c r="GG77" s="83"/>
      <c r="GH77" s="83"/>
      <c r="GI77" s="83"/>
      <c r="GJ77" s="83"/>
      <c r="GK77" s="83"/>
      <c r="GL77" s="83"/>
      <c r="GM77" s="83"/>
      <c r="GN77" s="83"/>
      <c r="GO77" s="83"/>
      <c r="GP77" s="83"/>
      <c r="GQ77" s="83"/>
      <c r="GR77" s="83"/>
      <c r="GS77" s="83"/>
      <c r="GT77" s="83"/>
      <c r="GU77" s="83"/>
      <c r="GV77" s="83"/>
      <c r="GW77" s="83"/>
      <c r="GX77" s="83"/>
      <c r="GY77" s="83"/>
      <c r="GZ77" s="83"/>
      <c r="HA77" s="83"/>
      <c r="HB77" s="83"/>
      <c r="HC77" s="83"/>
      <c r="HD77" s="83"/>
      <c r="HE77" s="83"/>
      <c r="HF77" s="83"/>
      <c r="HG77" s="83"/>
      <c r="HH77" s="83"/>
      <c r="HI77" s="83"/>
      <c r="HJ77" s="83"/>
      <c r="HK77" s="83"/>
      <c r="HL77" s="83"/>
      <c r="HM77" s="83"/>
      <c r="HN77" s="83"/>
      <c r="HO77" s="83"/>
      <c r="HP77" s="83"/>
      <c r="HQ77" s="83"/>
      <c r="HR77" s="83"/>
      <c r="HS77" s="83"/>
      <c r="HT77" s="83"/>
      <c r="HU77" s="83"/>
      <c r="HV77" s="83"/>
      <c r="HW77" s="83"/>
      <c r="HX77" s="83"/>
      <c r="HY77" s="83"/>
      <c r="HZ77" s="83"/>
      <c r="IA77" s="83"/>
      <c r="IB77" s="83"/>
      <c r="IC77" s="83"/>
      <c r="ID77" s="83"/>
      <c r="IE77" s="83"/>
      <c r="IF77" s="83"/>
      <c r="IG77" s="83"/>
      <c r="IH77" s="83"/>
      <c r="II77" s="83"/>
      <c r="IJ77" s="83"/>
      <c r="IK77" s="83"/>
      <c r="IL77" s="83"/>
      <c r="IM77" s="83"/>
      <c r="IN77" s="83"/>
      <c r="IO77" s="83"/>
      <c r="IP77" s="83"/>
      <c r="IQ77" s="83"/>
      <c r="IR77" s="83"/>
      <c r="IS77" s="83"/>
      <c r="IT77" s="83"/>
      <c r="IU77" s="83"/>
      <c r="IV77" s="83"/>
      <c r="IW77" s="83"/>
    </row>
    <row r="78" customFormat="false" ht="12.75" hidden="false" customHeight="false" outlineLevel="0" collapsed="false">
      <c r="A78" s="83"/>
      <c r="B78" s="84" t="s">
        <v>99</v>
      </c>
      <c r="C78" s="85" t="s">
        <v>45</v>
      </c>
      <c r="D78" s="85" t="s">
        <v>134</v>
      </c>
      <c r="E78" s="86" t="n">
        <v>36770</v>
      </c>
      <c r="F78" s="86" t="n">
        <v>37864</v>
      </c>
      <c r="G78" s="84" t="s">
        <v>121</v>
      </c>
      <c r="H78" s="84" t="s">
        <v>156</v>
      </c>
      <c r="I78" s="85" t="s">
        <v>157</v>
      </c>
      <c r="J78" s="87" t="n">
        <f aca="false">7.5654/J$1</f>
        <v>0.25218</v>
      </c>
      <c r="K78" s="88" t="n">
        <v>0</v>
      </c>
      <c r="L78" s="88" t="n">
        <v>0.0022</v>
      </c>
      <c r="M78" s="88" t="n">
        <v>0</v>
      </c>
      <c r="N78" s="88" t="n">
        <v>0</v>
      </c>
      <c r="O78" s="89" t="n">
        <v>0</v>
      </c>
      <c r="P78" s="88" t="n">
        <f aca="false">SUM(J78:N78)</f>
        <v>0.25438</v>
      </c>
      <c r="Q78" s="103" t="n">
        <f aca="false">+Q77</f>
        <v>3.6675</v>
      </c>
      <c r="R78" s="85" t="n">
        <f aca="false">51+105</f>
        <v>156</v>
      </c>
      <c r="S78" s="84" t="str">
        <f aca="false">+S77</f>
        <v>#021349</v>
      </c>
      <c r="T78" s="91" t="n">
        <f aca="false">J78*J$1*R78</f>
        <v>1180.2024</v>
      </c>
      <c r="U78" s="91"/>
      <c r="V78" s="92" t="n">
        <v>375532</v>
      </c>
      <c r="W78" s="84"/>
      <c r="X78" s="94"/>
      <c r="Y78" s="94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/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/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83"/>
      <c r="IG78" s="83"/>
      <c r="IH78" s="83"/>
      <c r="II78" s="83"/>
      <c r="IJ78" s="83"/>
      <c r="IK78" s="83"/>
      <c r="IL78" s="83"/>
      <c r="IM78" s="83"/>
      <c r="IN78" s="83"/>
      <c r="IO78" s="83"/>
      <c r="IP78" s="83"/>
      <c r="IQ78" s="83"/>
      <c r="IR78" s="83"/>
      <c r="IS78" s="83"/>
      <c r="IT78" s="83"/>
      <c r="IU78" s="83"/>
      <c r="IV78" s="83"/>
      <c r="IW78" s="83"/>
    </row>
    <row r="79" customFormat="false" ht="12.75" hidden="false" customHeight="false" outlineLevel="0" collapsed="false">
      <c r="A79" s="83"/>
      <c r="B79" s="84" t="s">
        <v>99</v>
      </c>
      <c r="C79" s="85" t="s">
        <v>45</v>
      </c>
      <c r="D79" s="85" t="s">
        <v>134</v>
      </c>
      <c r="E79" s="86" t="n">
        <v>36770</v>
      </c>
      <c r="F79" s="86" t="n">
        <v>37864</v>
      </c>
      <c r="G79" s="84" t="s">
        <v>162</v>
      </c>
      <c r="H79" s="84" t="s">
        <v>156</v>
      </c>
      <c r="I79" s="85" t="s">
        <v>163</v>
      </c>
      <c r="J79" s="87" t="n">
        <f aca="false">14.1875/30</f>
        <v>0.472916666666667</v>
      </c>
      <c r="K79" s="88" t="n">
        <v>0</v>
      </c>
      <c r="L79" s="88" t="n">
        <v>0.0022</v>
      </c>
      <c r="M79" s="88" t="n">
        <v>0</v>
      </c>
      <c r="N79" s="88" t="n">
        <v>0</v>
      </c>
      <c r="O79" s="89" t="n">
        <v>0</v>
      </c>
      <c r="P79" s="88" t="n">
        <f aca="false">SUM(J79:N79)</f>
        <v>0.475116666666667</v>
      </c>
      <c r="Q79" s="105" t="n">
        <v>3.6674</v>
      </c>
      <c r="R79" s="85" t="n">
        <v>3575</v>
      </c>
      <c r="S79" s="84" t="s">
        <v>164</v>
      </c>
      <c r="T79" s="91" t="n">
        <f aca="false">J79*J$1*R79</f>
        <v>50720.3125</v>
      </c>
      <c r="U79" s="91"/>
      <c r="V79" s="92" t="n">
        <v>375527</v>
      </c>
      <c r="W79" s="84"/>
      <c r="X79" s="94"/>
      <c r="Y79" s="94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/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/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83"/>
      <c r="IG79" s="83"/>
      <c r="IH79" s="83"/>
      <c r="II79" s="83"/>
      <c r="IJ79" s="83"/>
      <c r="IK79" s="83"/>
      <c r="IL79" s="83"/>
      <c r="IM79" s="83"/>
      <c r="IN79" s="83"/>
      <c r="IO79" s="83"/>
      <c r="IP79" s="83"/>
      <c r="IQ79" s="83"/>
      <c r="IR79" s="83"/>
      <c r="IS79" s="83"/>
      <c r="IT79" s="83"/>
      <c r="IU79" s="83"/>
      <c r="IV79" s="83"/>
      <c r="IW79" s="83"/>
    </row>
    <row r="80" customFormat="false" ht="12.75" hidden="false" customHeight="false" outlineLevel="0" collapsed="false">
      <c r="A80" s="83"/>
      <c r="B80" s="84" t="s">
        <v>99</v>
      </c>
      <c r="C80" s="85" t="s">
        <v>45</v>
      </c>
      <c r="D80" s="85" t="s">
        <v>134</v>
      </c>
      <c r="E80" s="86" t="n">
        <v>36770</v>
      </c>
      <c r="F80" s="86" t="n">
        <v>36799</v>
      </c>
      <c r="G80" s="84" t="s">
        <v>162</v>
      </c>
      <c r="H80" s="84" t="s">
        <v>156</v>
      </c>
      <c r="I80" s="85" t="s">
        <v>163</v>
      </c>
      <c r="J80" s="87" t="n">
        <f aca="false">14.1875/30</f>
        <v>0.472916666666667</v>
      </c>
      <c r="K80" s="88" t="n">
        <v>0</v>
      </c>
      <c r="L80" s="88" t="n">
        <v>0.0022</v>
      </c>
      <c r="M80" s="88" t="n">
        <v>0</v>
      </c>
      <c r="N80" s="88" t="n">
        <v>0</v>
      </c>
      <c r="O80" s="89" t="n">
        <v>0</v>
      </c>
      <c r="P80" s="88" t="n">
        <f aca="false">SUM(J80:N80)</f>
        <v>0.475116666666667</v>
      </c>
      <c r="Q80" s="105" t="n">
        <v>3.6751</v>
      </c>
      <c r="R80" s="85" t="n">
        <v>1532</v>
      </c>
      <c r="S80" s="84" t="s">
        <v>165</v>
      </c>
      <c r="T80" s="91" t="n">
        <f aca="false">J80*J$1*R80</f>
        <v>21735.25</v>
      </c>
      <c r="U80" s="91"/>
      <c r="V80" s="92" t="n">
        <v>379349</v>
      </c>
      <c r="W80" s="84"/>
      <c r="X80" s="94"/>
      <c r="Y80" s="94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</row>
    <row r="81" customFormat="false" ht="12.75" hidden="false" customHeight="false" outlineLevel="0" collapsed="false">
      <c r="A81" s="83"/>
      <c r="B81" s="84" t="s">
        <v>99</v>
      </c>
      <c r="C81" s="85" t="s">
        <v>45</v>
      </c>
      <c r="D81" s="85" t="s">
        <v>134</v>
      </c>
      <c r="E81" s="86" t="n">
        <v>36770</v>
      </c>
      <c r="F81" s="86" t="n">
        <v>36799</v>
      </c>
      <c r="G81" s="84" t="s">
        <v>155</v>
      </c>
      <c r="H81" s="84" t="s">
        <v>156</v>
      </c>
      <c r="I81" s="85" t="s">
        <v>157</v>
      </c>
      <c r="J81" s="87" t="n">
        <f aca="false">7.5654/J$1</f>
        <v>0.25218</v>
      </c>
      <c r="K81" s="88" t="n">
        <v>0</v>
      </c>
      <c r="L81" s="88" t="n">
        <v>0.0022</v>
      </c>
      <c r="M81" s="88" t="n">
        <v>0</v>
      </c>
      <c r="N81" s="88" t="n">
        <v>0</v>
      </c>
      <c r="O81" s="89" t="n">
        <v>0</v>
      </c>
      <c r="P81" s="88" t="n">
        <f aca="false">SUM(J81:N81)</f>
        <v>0.25438</v>
      </c>
      <c r="Q81" s="103" t="n">
        <v>3.675</v>
      </c>
      <c r="R81" s="104" t="n">
        <v>327</v>
      </c>
      <c r="S81" s="84" t="s">
        <v>166</v>
      </c>
      <c r="T81" s="91" t="n">
        <f aca="false">J81*J$1*R81</f>
        <v>2473.8858</v>
      </c>
      <c r="U81" s="91"/>
      <c r="V81" s="92" t="n">
        <v>379308</v>
      </c>
      <c r="W81" s="84"/>
      <c r="X81" s="94"/>
      <c r="Y81" s="94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3"/>
      <c r="EO81" s="83"/>
      <c r="EP81" s="83"/>
      <c r="EQ81" s="83"/>
      <c r="ER81" s="83"/>
      <c r="ES81" s="83"/>
      <c r="ET81" s="83"/>
      <c r="EU81" s="83"/>
      <c r="EV81" s="83"/>
      <c r="EW81" s="83"/>
      <c r="EX81" s="83"/>
      <c r="EY81" s="83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  <c r="FO81" s="83"/>
      <c r="FP81" s="83"/>
      <c r="FQ81" s="83"/>
      <c r="FR81" s="83"/>
      <c r="FS81" s="83"/>
      <c r="FT81" s="83"/>
      <c r="FU81" s="83"/>
      <c r="FV81" s="83"/>
      <c r="FW81" s="83"/>
      <c r="FX81" s="83"/>
      <c r="FY81" s="83"/>
      <c r="FZ81" s="83"/>
      <c r="GA81" s="83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</row>
    <row r="82" customFormat="false" ht="12.75" hidden="false" customHeight="false" outlineLevel="0" collapsed="false">
      <c r="A82" s="83"/>
      <c r="B82" s="84" t="s">
        <v>99</v>
      </c>
      <c r="C82" s="85" t="s">
        <v>45</v>
      </c>
      <c r="D82" s="85" t="s">
        <v>134</v>
      </c>
      <c r="E82" s="86" t="n">
        <v>36770</v>
      </c>
      <c r="F82" s="86" t="n">
        <v>36799</v>
      </c>
      <c r="G82" s="84" t="s">
        <v>159</v>
      </c>
      <c r="H82" s="84" t="s">
        <v>156</v>
      </c>
      <c r="I82" s="85" t="s">
        <v>157</v>
      </c>
      <c r="J82" s="87" t="n">
        <f aca="false">7.5654/J$1</f>
        <v>0.25218</v>
      </c>
      <c r="K82" s="88" t="n">
        <v>0</v>
      </c>
      <c r="L82" s="88" t="n">
        <v>0.0022</v>
      </c>
      <c r="M82" s="88" t="n">
        <v>0</v>
      </c>
      <c r="N82" s="88" t="n">
        <v>0</v>
      </c>
      <c r="O82" s="89" t="n">
        <v>0</v>
      </c>
      <c r="P82" s="88" t="n">
        <f aca="false">SUM(J82:N82)</f>
        <v>0.25438</v>
      </c>
      <c r="Q82" s="103" t="n">
        <f aca="false">+Q81</f>
        <v>3.675</v>
      </c>
      <c r="R82" s="85" t="n">
        <v>481</v>
      </c>
      <c r="S82" s="84" t="str">
        <f aca="false">+S81</f>
        <v>#021463</v>
      </c>
      <c r="T82" s="91" t="n">
        <f aca="false">J82*J$1*R82</f>
        <v>3638.9574</v>
      </c>
      <c r="U82" s="91"/>
      <c r="V82" s="92" t="n">
        <f aca="false">+V81</f>
        <v>379308</v>
      </c>
      <c r="W82" s="84"/>
      <c r="X82" s="94"/>
      <c r="Y82" s="94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83"/>
      <c r="DD82" s="83"/>
      <c r="DE82" s="83"/>
      <c r="DF82" s="83"/>
      <c r="DG82" s="83"/>
      <c r="DH82" s="83"/>
      <c r="DI82" s="83"/>
      <c r="DJ82" s="83"/>
      <c r="DK82" s="83"/>
      <c r="DL82" s="83"/>
      <c r="DM82" s="83"/>
      <c r="DN82" s="83"/>
      <c r="DO82" s="83"/>
      <c r="DP82" s="83"/>
      <c r="DQ82" s="83"/>
      <c r="DR82" s="83"/>
      <c r="DS82" s="83"/>
      <c r="DT82" s="83"/>
      <c r="DU82" s="83"/>
      <c r="DV82" s="83"/>
      <c r="DW82" s="83"/>
      <c r="DX82" s="83"/>
      <c r="DY82" s="83"/>
      <c r="DZ82" s="83"/>
      <c r="EA82" s="83"/>
      <c r="EB82" s="83"/>
      <c r="EC82" s="83"/>
      <c r="ED82" s="83"/>
      <c r="EE82" s="83"/>
      <c r="EF82" s="83"/>
      <c r="EG82" s="83"/>
      <c r="EH82" s="83"/>
      <c r="EI82" s="83"/>
      <c r="EJ82" s="83"/>
      <c r="EK82" s="83"/>
      <c r="EL82" s="83"/>
      <c r="EM82" s="83"/>
      <c r="EN82" s="83"/>
      <c r="EO82" s="83"/>
      <c r="EP82" s="83"/>
      <c r="EQ82" s="83"/>
      <c r="ER82" s="83"/>
      <c r="ES82" s="83"/>
      <c r="ET82" s="83"/>
      <c r="EU82" s="83"/>
      <c r="EV82" s="83"/>
      <c r="EW82" s="83"/>
      <c r="EX82" s="83"/>
      <c r="EY82" s="83"/>
      <c r="EZ82" s="83"/>
      <c r="FA82" s="83"/>
      <c r="FB82" s="83"/>
      <c r="FC82" s="83"/>
      <c r="FD82" s="83"/>
      <c r="FE82" s="83"/>
      <c r="FF82" s="83"/>
      <c r="FG82" s="83"/>
      <c r="FH82" s="83"/>
      <c r="FI82" s="83"/>
      <c r="FJ82" s="83"/>
      <c r="FK82" s="83"/>
      <c r="FL82" s="83"/>
      <c r="FM82" s="83"/>
      <c r="FN82" s="83"/>
      <c r="FO82" s="83"/>
      <c r="FP82" s="83"/>
      <c r="FQ82" s="83"/>
      <c r="FR82" s="83"/>
      <c r="FS82" s="83"/>
      <c r="FT82" s="83"/>
      <c r="FU82" s="83"/>
      <c r="FV82" s="83"/>
      <c r="FW82" s="83"/>
      <c r="FX82" s="83"/>
      <c r="FY82" s="83"/>
      <c r="FZ82" s="83"/>
      <c r="GA82" s="83"/>
      <c r="GB82" s="83"/>
      <c r="GC82" s="83"/>
      <c r="GD82" s="83"/>
      <c r="GE82" s="83"/>
      <c r="GF82" s="83"/>
      <c r="GG82" s="83"/>
      <c r="GH82" s="83"/>
      <c r="GI82" s="83"/>
      <c r="GJ82" s="83"/>
      <c r="GK82" s="83"/>
      <c r="GL82" s="83"/>
      <c r="GM82" s="83"/>
      <c r="GN82" s="83"/>
      <c r="GO82" s="83"/>
      <c r="GP82" s="83"/>
      <c r="GQ82" s="83"/>
      <c r="GR82" s="83"/>
      <c r="GS82" s="83"/>
      <c r="GT82" s="83"/>
      <c r="GU82" s="83"/>
      <c r="GV82" s="83"/>
      <c r="GW82" s="83"/>
      <c r="GX82" s="83"/>
      <c r="GY82" s="83"/>
      <c r="GZ82" s="83"/>
      <c r="HA82" s="83"/>
      <c r="HB82" s="83"/>
      <c r="HC82" s="83"/>
      <c r="HD82" s="83"/>
      <c r="HE82" s="83"/>
      <c r="HF82" s="83"/>
      <c r="HG82" s="83"/>
      <c r="HH82" s="83"/>
      <c r="HI82" s="83"/>
      <c r="HJ82" s="83"/>
      <c r="HK82" s="83"/>
      <c r="HL82" s="83"/>
      <c r="HM82" s="83"/>
      <c r="HN82" s="83"/>
      <c r="HO82" s="83"/>
      <c r="HP82" s="83"/>
      <c r="HQ82" s="83"/>
      <c r="HR82" s="83"/>
      <c r="HS82" s="83"/>
      <c r="HT82" s="83"/>
      <c r="HU82" s="83"/>
      <c r="HV82" s="83"/>
      <c r="HW82" s="83"/>
      <c r="HX82" s="83"/>
      <c r="HY82" s="83"/>
      <c r="HZ82" s="83"/>
      <c r="IA82" s="83"/>
      <c r="IB82" s="83"/>
      <c r="IC82" s="83"/>
      <c r="ID82" s="83"/>
      <c r="IE82" s="83"/>
      <c r="IF82" s="83"/>
      <c r="IG82" s="83"/>
      <c r="IH82" s="83"/>
      <c r="II82" s="83"/>
      <c r="IJ82" s="83"/>
      <c r="IK82" s="83"/>
      <c r="IL82" s="83"/>
      <c r="IM82" s="83"/>
      <c r="IN82" s="83"/>
      <c r="IO82" s="83"/>
      <c r="IP82" s="83"/>
      <c r="IQ82" s="83"/>
      <c r="IR82" s="83"/>
      <c r="IS82" s="83"/>
      <c r="IT82" s="83"/>
      <c r="IU82" s="83"/>
      <c r="IV82" s="83"/>
      <c r="IW82" s="83"/>
    </row>
    <row r="83" customFormat="false" ht="12.75" hidden="false" customHeight="false" outlineLevel="0" collapsed="false">
      <c r="A83" s="83"/>
      <c r="B83" s="84" t="s">
        <v>99</v>
      </c>
      <c r="C83" s="85" t="s">
        <v>45</v>
      </c>
      <c r="D83" s="85" t="s">
        <v>134</v>
      </c>
      <c r="E83" s="86" t="n">
        <v>36770</v>
      </c>
      <c r="F83" s="86" t="n">
        <v>36799</v>
      </c>
      <c r="G83" s="84" t="s">
        <v>121</v>
      </c>
      <c r="H83" s="84" t="s">
        <v>156</v>
      </c>
      <c r="I83" s="85" t="s">
        <v>157</v>
      </c>
      <c r="J83" s="87" t="n">
        <f aca="false">7.5654/J$1</f>
        <v>0.25218</v>
      </c>
      <c r="K83" s="88" t="n">
        <v>0</v>
      </c>
      <c r="L83" s="88" t="n">
        <v>0.0022</v>
      </c>
      <c r="M83" s="88" t="n">
        <v>0</v>
      </c>
      <c r="N83" s="88" t="n">
        <v>0</v>
      </c>
      <c r="O83" s="89" t="n">
        <v>0</v>
      </c>
      <c r="P83" s="88" t="n">
        <f aca="false">SUM(J83:N83)</f>
        <v>0.25438</v>
      </c>
      <c r="Q83" s="103" t="n">
        <f aca="false">+Q82</f>
        <v>3.675</v>
      </c>
      <c r="R83" s="85" t="n">
        <f aca="false">366+751</f>
        <v>1117</v>
      </c>
      <c r="S83" s="84" t="str">
        <f aca="false">+S82</f>
        <v>#021463</v>
      </c>
      <c r="T83" s="91" t="n">
        <f aca="false">J83*J$1*R83</f>
        <v>8450.5518</v>
      </c>
      <c r="U83" s="91"/>
      <c r="V83" s="92" t="n">
        <f aca="false">+V82</f>
        <v>379308</v>
      </c>
      <c r="W83" s="84"/>
      <c r="X83" s="94"/>
      <c r="Y83" s="94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3"/>
      <c r="DE83" s="83"/>
      <c r="DF83" s="83"/>
      <c r="DG83" s="83"/>
      <c r="DH83" s="83"/>
      <c r="DI83" s="83"/>
      <c r="DJ83" s="83"/>
      <c r="DK83" s="83"/>
      <c r="DL83" s="83"/>
      <c r="DM83" s="83"/>
      <c r="DN83" s="83"/>
      <c r="DO83" s="83"/>
      <c r="DP83" s="83"/>
      <c r="DQ83" s="83"/>
      <c r="DR83" s="83"/>
      <c r="DS83" s="83"/>
      <c r="DT83" s="83"/>
      <c r="DU83" s="83"/>
      <c r="DV83" s="83"/>
      <c r="DW83" s="83"/>
      <c r="DX83" s="83"/>
      <c r="DY83" s="83"/>
      <c r="DZ83" s="83"/>
      <c r="EA83" s="83"/>
      <c r="EB83" s="83"/>
      <c r="EC83" s="83"/>
      <c r="ED83" s="83"/>
      <c r="EE83" s="83"/>
      <c r="EF83" s="83"/>
      <c r="EG83" s="83"/>
      <c r="EH83" s="83"/>
      <c r="EI83" s="83"/>
      <c r="EJ83" s="83"/>
      <c r="EK83" s="83"/>
      <c r="EL83" s="83"/>
      <c r="EM83" s="83"/>
      <c r="EN83" s="83"/>
      <c r="EO83" s="83"/>
      <c r="EP83" s="83"/>
      <c r="EQ83" s="83"/>
      <c r="ER83" s="83"/>
      <c r="ES83" s="83"/>
      <c r="ET83" s="83"/>
      <c r="EU83" s="83"/>
      <c r="EV83" s="83"/>
      <c r="EW83" s="83"/>
      <c r="EX83" s="83"/>
      <c r="EY83" s="83"/>
      <c r="EZ83" s="83"/>
      <c r="FA83" s="83"/>
      <c r="FB83" s="83"/>
      <c r="FC83" s="83"/>
      <c r="FD83" s="83"/>
      <c r="FE83" s="83"/>
      <c r="FF83" s="83"/>
      <c r="FG83" s="83"/>
      <c r="FH83" s="83"/>
      <c r="FI83" s="83"/>
      <c r="FJ83" s="83"/>
      <c r="FK83" s="83"/>
      <c r="FL83" s="83"/>
      <c r="FM83" s="83"/>
      <c r="FN83" s="83"/>
      <c r="FO83" s="83"/>
      <c r="FP83" s="83"/>
      <c r="FQ83" s="83"/>
      <c r="FR83" s="83"/>
      <c r="FS83" s="83"/>
      <c r="FT83" s="83"/>
      <c r="FU83" s="83"/>
      <c r="FV83" s="83"/>
      <c r="FW83" s="83"/>
      <c r="FX83" s="83"/>
      <c r="FY83" s="83"/>
      <c r="FZ83" s="83"/>
      <c r="GA83" s="83"/>
      <c r="GB83" s="83"/>
      <c r="GC83" s="83"/>
      <c r="GD83" s="83"/>
      <c r="GE83" s="83"/>
      <c r="GF83" s="83"/>
      <c r="GG83" s="83"/>
      <c r="GH83" s="83"/>
      <c r="GI83" s="83"/>
      <c r="GJ83" s="83"/>
      <c r="GK83" s="83"/>
      <c r="GL83" s="83"/>
      <c r="GM83" s="83"/>
      <c r="GN83" s="83"/>
      <c r="GO83" s="83"/>
      <c r="GP83" s="83"/>
      <c r="GQ83" s="83"/>
      <c r="GR83" s="83"/>
      <c r="GS83" s="83"/>
      <c r="GT83" s="83"/>
      <c r="GU83" s="83"/>
      <c r="GV83" s="83"/>
      <c r="GW83" s="83"/>
      <c r="GX83" s="83"/>
      <c r="GY83" s="83"/>
      <c r="GZ83" s="83"/>
      <c r="HA83" s="83"/>
      <c r="HB83" s="83"/>
      <c r="HC83" s="83"/>
      <c r="HD83" s="83"/>
      <c r="HE83" s="83"/>
      <c r="HF83" s="83"/>
      <c r="HG83" s="83"/>
      <c r="HH83" s="83"/>
      <c r="HI83" s="83"/>
      <c r="HJ83" s="83"/>
      <c r="HK83" s="83"/>
      <c r="HL83" s="83"/>
      <c r="HM83" s="83"/>
      <c r="HN83" s="83"/>
      <c r="HO83" s="83"/>
      <c r="HP83" s="83"/>
      <c r="HQ83" s="83"/>
      <c r="HR83" s="83"/>
      <c r="HS83" s="83"/>
      <c r="HT83" s="83"/>
      <c r="HU83" s="83"/>
      <c r="HV83" s="83"/>
      <c r="HW83" s="83"/>
      <c r="HX83" s="83"/>
      <c r="HY83" s="83"/>
      <c r="HZ83" s="83"/>
      <c r="IA83" s="83"/>
      <c r="IB83" s="83"/>
      <c r="IC83" s="83"/>
      <c r="ID83" s="83"/>
      <c r="IE83" s="83"/>
      <c r="IF83" s="83"/>
      <c r="IG83" s="83"/>
      <c r="IH83" s="83"/>
      <c r="II83" s="83"/>
      <c r="IJ83" s="83"/>
      <c r="IK83" s="83"/>
      <c r="IL83" s="83"/>
      <c r="IM83" s="83"/>
      <c r="IN83" s="83"/>
      <c r="IO83" s="83"/>
      <c r="IP83" s="83"/>
      <c r="IQ83" s="83"/>
      <c r="IR83" s="83"/>
      <c r="IS83" s="83"/>
      <c r="IT83" s="83"/>
      <c r="IU83" s="83"/>
      <c r="IV83" s="83"/>
      <c r="IW83" s="83"/>
    </row>
    <row r="84" customFormat="false" ht="12.75" hidden="false" customHeight="false" outlineLevel="0" collapsed="false">
      <c r="A84" s="106"/>
      <c r="B84" s="107" t="s">
        <v>99</v>
      </c>
      <c r="C84" s="108" t="s">
        <v>45</v>
      </c>
      <c r="D84" s="108" t="s">
        <v>134</v>
      </c>
      <c r="E84" s="109" t="n">
        <v>36770</v>
      </c>
      <c r="F84" s="109" t="n">
        <v>36799</v>
      </c>
      <c r="G84" s="107" t="s">
        <v>167</v>
      </c>
      <c r="H84" s="107"/>
      <c r="I84" s="108" t="s">
        <v>168</v>
      </c>
      <c r="J84" s="110" t="n">
        <v>0.0079</v>
      </c>
      <c r="K84" s="111" t="n">
        <v>0</v>
      </c>
      <c r="L84" s="111" t="n">
        <v>0.0022</v>
      </c>
      <c r="M84" s="111" t="n">
        <v>0</v>
      </c>
      <c r="N84" s="111" t="n">
        <v>0</v>
      </c>
      <c r="O84" s="112" t="n">
        <v>0</v>
      </c>
      <c r="P84" s="111" t="n">
        <f aca="false">SUM(J84:N84)</f>
        <v>0.0101</v>
      </c>
      <c r="Q84" s="113" t="n">
        <v>3.6794</v>
      </c>
      <c r="R84" s="108" t="n">
        <v>168000</v>
      </c>
      <c r="S84" s="107" t="s">
        <v>169</v>
      </c>
      <c r="T84" s="114" t="n">
        <f aca="false">+R84*J84</f>
        <v>1327.2</v>
      </c>
      <c r="U84" s="115"/>
      <c r="V84" s="116" t="n">
        <v>384464</v>
      </c>
      <c r="W84" s="107"/>
      <c r="X84" s="117"/>
      <c r="Y84" s="117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6"/>
      <c r="EY84" s="106"/>
      <c r="EZ84" s="106"/>
      <c r="FA84" s="106"/>
      <c r="FB84" s="106"/>
      <c r="FC84" s="106"/>
      <c r="FD84" s="106"/>
      <c r="FE84" s="106"/>
      <c r="FF84" s="106"/>
      <c r="FG84" s="106"/>
      <c r="FH84" s="106"/>
      <c r="FI84" s="106"/>
      <c r="FJ84" s="106"/>
      <c r="FK84" s="106"/>
      <c r="FL84" s="106"/>
      <c r="FM84" s="106"/>
      <c r="FN84" s="106"/>
      <c r="FO84" s="106"/>
      <c r="FP84" s="106"/>
      <c r="FQ84" s="106"/>
      <c r="FR84" s="106"/>
      <c r="FS84" s="106"/>
      <c r="FT84" s="106"/>
      <c r="FU84" s="106"/>
      <c r="FV84" s="106"/>
      <c r="FW84" s="106"/>
      <c r="FX84" s="106"/>
      <c r="FY84" s="106"/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  <c r="HC84" s="106"/>
      <c r="HD84" s="106"/>
      <c r="HE84" s="106"/>
      <c r="HF84" s="106"/>
      <c r="HG84" s="106"/>
      <c r="HH84" s="106"/>
      <c r="HI84" s="106"/>
      <c r="HJ84" s="106"/>
      <c r="HK84" s="106"/>
      <c r="HL84" s="106"/>
      <c r="HM84" s="106"/>
      <c r="HN84" s="106"/>
      <c r="HO84" s="106"/>
      <c r="HP84" s="106"/>
      <c r="HQ84" s="106"/>
      <c r="HR84" s="106"/>
      <c r="HS84" s="106"/>
      <c r="HT84" s="106"/>
      <c r="HU84" s="106"/>
      <c r="HV84" s="106"/>
      <c r="HW84" s="106"/>
      <c r="HX84" s="106"/>
      <c r="HY84" s="106"/>
      <c r="HZ84" s="106"/>
      <c r="IA84" s="106"/>
      <c r="IB84" s="106"/>
      <c r="IC84" s="106"/>
      <c r="ID84" s="106"/>
      <c r="IE84" s="106"/>
      <c r="IF84" s="106"/>
      <c r="IG84" s="106"/>
      <c r="IH84" s="106"/>
      <c r="II84" s="106"/>
      <c r="IJ84" s="106"/>
      <c r="IK84" s="106"/>
      <c r="IL84" s="106"/>
      <c r="IM84" s="106"/>
      <c r="IN84" s="106"/>
      <c r="IO84" s="106"/>
      <c r="IP84" s="106"/>
      <c r="IQ84" s="106"/>
      <c r="IR84" s="106"/>
      <c r="IS84" s="106"/>
      <c r="IT84" s="106"/>
      <c r="IU84" s="106"/>
      <c r="IV84" s="106"/>
      <c r="IW84" s="106"/>
    </row>
    <row r="85" customFormat="false" ht="12.75" hidden="false" customHeight="false" outlineLevel="0" collapsed="false">
      <c r="A85" s="106"/>
      <c r="B85" s="107" t="s">
        <v>99</v>
      </c>
      <c r="C85" s="108" t="s">
        <v>45</v>
      </c>
      <c r="D85" s="108" t="s">
        <v>134</v>
      </c>
      <c r="E85" s="109" t="n">
        <v>36770</v>
      </c>
      <c r="F85" s="109" t="n">
        <v>36799</v>
      </c>
      <c r="G85" s="107" t="s">
        <v>170</v>
      </c>
      <c r="H85" s="107"/>
      <c r="I85" s="108" t="s">
        <v>168</v>
      </c>
      <c r="J85" s="110" t="n">
        <v>0.6673</v>
      </c>
      <c r="K85" s="111" t="n">
        <v>0</v>
      </c>
      <c r="L85" s="111" t="n">
        <v>0.0022</v>
      </c>
      <c r="M85" s="111" t="n">
        <v>0</v>
      </c>
      <c r="N85" s="111" t="n">
        <v>0</v>
      </c>
      <c r="O85" s="112" t="n">
        <v>0</v>
      </c>
      <c r="P85" s="111" t="n">
        <f aca="false">SUM(J85:N85)</f>
        <v>0.6695</v>
      </c>
      <c r="Q85" s="113" t="n">
        <v>3.6794</v>
      </c>
      <c r="R85" s="108" t="n">
        <v>642</v>
      </c>
      <c r="S85" s="107" t="s">
        <v>169</v>
      </c>
      <c r="T85" s="114" t="n">
        <f aca="false">+R85*J85</f>
        <v>428.4066</v>
      </c>
      <c r="U85" s="115"/>
      <c r="V85" s="116" t="n">
        <v>384464</v>
      </c>
      <c r="W85" s="107"/>
      <c r="X85" s="117"/>
      <c r="Y85" s="117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  <c r="IA85" s="106"/>
      <c r="IB85" s="106"/>
      <c r="IC85" s="106"/>
      <c r="ID85" s="106"/>
      <c r="IE85" s="106"/>
      <c r="IF85" s="106"/>
      <c r="IG85" s="106"/>
      <c r="IH85" s="106"/>
      <c r="II85" s="106"/>
      <c r="IJ85" s="106"/>
      <c r="IK85" s="106"/>
      <c r="IL85" s="106"/>
      <c r="IM85" s="106"/>
      <c r="IN85" s="106"/>
      <c r="IO85" s="106"/>
      <c r="IP85" s="106"/>
      <c r="IQ85" s="106"/>
      <c r="IR85" s="106"/>
      <c r="IS85" s="106"/>
      <c r="IT85" s="106"/>
      <c r="IU85" s="106"/>
      <c r="IV85" s="106"/>
      <c r="IW85" s="106"/>
    </row>
    <row r="86" customFormat="false" ht="12.75" hidden="false" customHeight="false" outlineLevel="0" collapsed="false">
      <c r="A86" s="106"/>
      <c r="B86" s="107" t="s">
        <v>99</v>
      </c>
      <c r="C86" s="108" t="s">
        <v>45</v>
      </c>
      <c r="D86" s="108" t="s">
        <v>134</v>
      </c>
      <c r="E86" s="109" t="n">
        <v>36770</v>
      </c>
      <c r="F86" s="109" t="n">
        <v>37864</v>
      </c>
      <c r="G86" s="107" t="s">
        <v>167</v>
      </c>
      <c r="H86" s="107"/>
      <c r="I86" s="108" t="s">
        <v>168</v>
      </c>
      <c r="J86" s="110" t="n">
        <v>0.0079</v>
      </c>
      <c r="K86" s="111" t="n">
        <v>0</v>
      </c>
      <c r="L86" s="111" t="n">
        <v>0.0022</v>
      </c>
      <c r="M86" s="111" t="n">
        <v>0</v>
      </c>
      <c r="N86" s="111" t="n">
        <v>0</v>
      </c>
      <c r="O86" s="112" t="n">
        <v>0</v>
      </c>
      <c r="P86" s="111" t="n">
        <f aca="false">SUM(J86:N86)</f>
        <v>0.0101</v>
      </c>
      <c r="Q86" s="118" t="n">
        <v>3.6686</v>
      </c>
      <c r="R86" s="108" t="n">
        <v>261182</v>
      </c>
      <c r="S86" s="107" t="s">
        <v>171</v>
      </c>
      <c r="T86" s="114" t="n">
        <f aca="false">+R86*J86</f>
        <v>2063.3378</v>
      </c>
      <c r="U86" s="115"/>
      <c r="V86" s="116" t="n">
        <v>377146</v>
      </c>
      <c r="W86" s="107"/>
      <c r="X86" s="117"/>
      <c r="Y86" s="117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6"/>
      <c r="EY86" s="106"/>
      <c r="EZ86" s="106"/>
      <c r="FA86" s="106"/>
      <c r="FB86" s="106"/>
      <c r="FC86" s="106"/>
      <c r="FD86" s="106"/>
      <c r="FE86" s="106"/>
      <c r="FF86" s="106"/>
      <c r="FG86" s="106"/>
      <c r="FH86" s="106"/>
      <c r="FI86" s="106"/>
      <c r="FJ86" s="106"/>
      <c r="FK86" s="106"/>
      <c r="FL86" s="106"/>
      <c r="FM86" s="106"/>
      <c r="FN86" s="106"/>
      <c r="FO86" s="106"/>
      <c r="FP86" s="106"/>
      <c r="FQ86" s="106"/>
      <c r="FR86" s="106"/>
      <c r="FS86" s="106"/>
      <c r="FT86" s="106"/>
      <c r="FU86" s="106"/>
      <c r="FV86" s="106"/>
      <c r="FW86" s="106"/>
      <c r="FX86" s="106"/>
      <c r="FY86" s="106"/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  <c r="HC86" s="106"/>
      <c r="HD86" s="106"/>
      <c r="HE86" s="106"/>
      <c r="HF86" s="106"/>
      <c r="HG86" s="106"/>
      <c r="HH86" s="106"/>
      <c r="HI86" s="106"/>
      <c r="HJ86" s="106"/>
      <c r="HK86" s="106"/>
      <c r="HL86" s="106"/>
      <c r="HM86" s="106"/>
      <c r="HN86" s="106"/>
      <c r="HO86" s="106"/>
      <c r="HP86" s="106"/>
      <c r="HQ86" s="106"/>
      <c r="HR86" s="106"/>
      <c r="HS86" s="106"/>
      <c r="HT86" s="106"/>
      <c r="HU86" s="106"/>
      <c r="HV86" s="106"/>
      <c r="HW86" s="106"/>
      <c r="HX86" s="106"/>
      <c r="HY86" s="106"/>
      <c r="HZ86" s="106"/>
      <c r="IA86" s="106"/>
      <c r="IB86" s="106"/>
      <c r="IC86" s="106"/>
      <c r="ID86" s="106"/>
      <c r="IE86" s="106"/>
      <c r="IF86" s="106"/>
      <c r="IG86" s="106"/>
      <c r="IH86" s="106"/>
      <c r="II86" s="106"/>
      <c r="IJ86" s="106"/>
      <c r="IK86" s="106"/>
      <c r="IL86" s="106"/>
      <c r="IM86" s="106"/>
      <c r="IN86" s="106"/>
      <c r="IO86" s="106"/>
      <c r="IP86" s="106"/>
      <c r="IQ86" s="106"/>
      <c r="IR86" s="106"/>
      <c r="IS86" s="106"/>
      <c r="IT86" s="106"/>
      <c r="IU86" s="106"/>
      <c r="IV86" s="106"/>
      <c r="IW86" s="106"/>
    </row>
    <row r="87" customFormat="false" ht="12.75" hidden="false" customHeight="false" outlineLevel="0" collapsed="false">
      <c r="A87" s="106"/>
      <c r="B87" s="107" t="s">
        <v>99</v>
      </c>
      <c r="C87" s="108" t="s">
        <v>45</v>
      </c>
      <c r="D87" s="108" t="s">
        <v>134</v>
      </c>
      <c r="E87" s="109" t="n">
        <v>36770</v>
      </c>
      <c r="F87" s="109" t="n">
        <v>37864</v>
      </c>
      <c r="G87" s="107" t="s">
        <v>170</v>
      </c>
      <c r="H87" s="107"/>
      <c r="I87" s="108" t="s">
        <v>168</v>
      </c>
      <c r="J87" s="110" t="n">
        <v>0.6673</v>
      </c>
      <c r="K87" s="111" t="n">
        <v>0</v>
      </c>
      <c r="L87" s="111" t="n">
        <v>0.0022</v>
      </c>
      <c r="M87" s="111" t="n">
        <v>0</v>
      </c>
      <c r="N87" s="111" t="n">
        <v>0</v>
      </c>
      <c r="O87" s="112" t="n">
        <v>0</v>
      </c>
      <c r="P87" s="111" t="n">
        <f aca="false">SUM(J87:N87)</f>
        <v>0.6695</v>
      </c>
      <c r="Q87" s="118" t="n">
        <v>3.6686</v>
      </c>
      <c r="R87" s="108" t="n">
        <v>3073</v>
      </c>
      <c r="S87" s="107" t="s">
        <v>171</v>
      </c>
      <c r="T87" s="114" t="n">
        <f aca="false">+R87*J87</f>
        <v>2050.6129</v>
      </c>
      <c r="U87" s="115"/>
      <c r="V87" s="116" t="n">
        <v>377146</v>
      </c>
      <c r="W87" s="107"/>
      <c r="X87" s="117"/>
      <c r="Y87" s="117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6"/>
      <c r="DR87" s="106"/>
      <c r="DS87" s="106"/>
      <c r="DT87" s="106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6"/>
      <c r="EK87" s="106"/>
      <c r="EL87" s="106"/>
      <c r="EM87" s="106"/>
      <c r="EN87" s="106"/>
      <c r="EO87" s="106"/>
      <c r="EP87" s="106"/>
      <c r="EQ87" s="106"/>
      <c r="ER87" s="106"/>
      <c r="ES87" s="106"/>
      <c r="ET87" s="106"/>
      <c r="EU87" s="106"/>
      <c r="EV87" s="106"/>
      <c r="EW87" s="106"/>
      <c r="EX87" s="106"/>
      <c r="EY87" s="106"/>
      <c r="EZ87" s="106"/>
      <c r="FA87" s="106"/>
      <c r="FB87" s="106"/>
      <c r="FC87" s="106"/>
      <c r="FD87" s="106"/>
      <c r="FE87" s="106"/>
      <c r="FF87" s="106"/>
      <c r="FG87" s="106"/>
      <c r="FH87" s="106"/>
      <c r="FI87" s="106"/>
      <c r="FJ87" s="106"/>
      <c r="FK87" s="106"/>
      <c r="FL87" s="106"/>
      <c r="FM87" s="106"/>
      <c r="FN87" s="106"/>
      <c r="FO87" s="106"/>
      <c r="FP87" s="106"/>
      <c r="FQ87" s="106"/>
      <c r="FR87" s="106"/>
      <c r="FS87" s="106"/>
      <c r="FT87" s="106"/>
      <c r="FU87" s="106"/>
      <c r="FV87" s="106"/>
      <c r="FW87" s="106"/>
      <c r="FX87" s="106"/>
      <c r="FY87" s="106"/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  <c r="HC87" s="106"/>
      <c r="HD87" s="106"/>
      <c r="HE87" s="106"/>
      <c r="HF87" s="106"/>
      <c r="HG87" s="106"/>
      <c r="HH87" s="106"/>
      <c r="HI87" s="106"/>
      <c r="HJ87" s="106"/>
      <c r="HK87" s="106"/>
      <c r="HL87" s="106"/>
      <c r="HM87" s="106"/>
      <c r="HN87" s="106"/>
      <c r="HO87" s="106"/>
      <c r="HP87" s="106"/>
      <c r="HQ87" s="106"/>
      <c r="HR87" s="106"/>
      <c r="HS87" s="106"/>
      <c r="HT87" s="106"/>
      <c r="HU87" s="106"/>
      <c r="HV87" s="106"/>
      <c r="HW87" s="106"/>
      <c r="HX87" s="106"/>
      <c r="HY87" s="106"/>
      <c r="HZ87" s="106"/>
      <c r="IA87" s="106"/>
      <c r="IB87" s="106"/>
      <c r="IC87" s="106"/>
      <c r="ID87" s="106"/>
      <c r="IE87" s="106"/>
      <c r="IF87" s="106"/>
      <c r="IG87" s="106"/>
      <c r="IH87" s="106"/>
      <c r="II87" s="106"/>
      <c r="IJ87" s="106"/>
      <c r="IK87" s="106"/>
      <c r="IL87" s="106"/>
      <c r="IM87" s="106"/>
      <c r="IN87" s="106"/>
      <c r="IO87" s="106"/>
      <c r="IP87" s="106"/>
      <c r="IQ87" s="106"/>
      <c r="IR87" s="106"/>
      <c r="IS87" s="106"/>
      <c r="IT87" s="106"/>
      <c r="IU87" s="106"/>
      <c r="IV87" s="106"/>
      <c r="IW87" s="106"/>
    </row>
    <row r="88" customFormat="false" ht="12.75" hidden="false" customHeight="false" outlineLevel="0" collapsed="false">
      <c r="A88" s="106"/>
      <c r="B88" s="107" t="s">
        <v>99</v>
      </c>
      <c r="C88" s="108" t="s">
        <v>45</v>
      </c>
      <c r="D88" s="108" t="s">
        <v>134</v>
      </c>
      <c r="E88" s="109" t="n">
        <v>36770</v>
      </c>
      <c r="F88" s="109" t="s">
        <v>172</v>
      </c>
      <c r="G88" s="107" t="s">
        <v>173</v>
      </c>
      <c r="H88" s="107"/>
      <c r="I88" s="108" t="s">
        <v>174</v>
      </c>
      <c r="J88" s="110" t="n">
        <v>0.0481</v>
      </c>
      <c r="K88" s="111" t="n">
        <v>0</v>
      </c>
      <c r="L88" s="111" t="n">
        <v>0.0022</v>
      </c>
      <c r="M88" s="111" t="n">
        <v>0</v>
      </c>
      <c r="N88" s="111" t="n">
        <v>0</v>
      </c>
      <c r="O88" s="112" t="n">
        <v>0</v>
      </c>
      <c r="P88" s="111" t="n">
        <f aca="false">SUM(J88:N88)</f>
        <v>0.0503</v>
      </c>
      <c r="Q88" s="119" t="n">
        <v>3.6685</v>
      </c>
      <c r="R88" s="108" t="n">
        <v>13269</v>
      </c>
      <c r="S88" s="107" t="s">
        <v>175</v>
      </c>
      <c r="T88" s="114" t="n">
        <f aca="false">+J88*R88</f>
        <v>638.2389</v>
      </c>
      <c r="U88" s="115"/>
      <c r="V88" s="116" t="n">
        <v>377157</v>
      </c>
      <c r="W88" s="107"/>
      <c r="X88" s="117"/>
      <c r="Y88" s="117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6"/>
      <c r="EY88" s="106"/>
      <c r="EZ88" s="106"/>
      <c r="FA88" s="106"/>
      <c r="FB88" s="106"/>
      <c r="FC88" s="106"/>
      <c r="FD88" s="106"/>
      <c r="FE88" s="106"/>
      <c r="FF88" s="106"/>
      <c r="FG88" s="106"/>
      <c r="FH88" s="106"/>
      <c r="FI88" s="106"/>
      <c r="FJ88" s="106"/>
      <c r="FK88" s="106"/>
      <c r="FL88" s="106"/>
      <c r="FM88" s="106"/>
      <c r="FN88" s="106"/>
      <c r="FO88" s="106"/>
      <c r="FP88" s="106"/>
      <c r="FQ88" s="106"/>
      <c r="FR88" s="106"/>
      <c r="FS88" s="106"/>
      <c r="FT88" s="106"/>
      <c r="FU88" s="106"/>
      <c r="FV88" s="106"/>
      <c r="FW88" s="106"/>
      <c r="FX88" s="106"/>
      <c r="FY88" s="106"/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  <c r="HC88" s="106"/>
      <c r="HD88" s="106"/>
      <c r="HE88" s="106"/>
      <c r="HF88" s="106"/>
      <c r="HG88" s="106"/>
      <c r="HH88" s="106"/>
      <c r="HI88" s="106"/>
      <c r="HJ88" s="106"/>
      <c r="HK88" s="106"/>
      <c r="HL88" s="106"/>
      <c r="HM88" s="106"/>
      <c r="HN88" s="106"/>
      <c r="HO88" s="106"/>
      <c r="HP88" s="106"/>
      <c r="HQ88" s="106"/>
      <c r="HR88" s="106"/>
      <c r="HS88" s="106"/>
      <c r="HT88" s="106"/>
      <c r="HU88" s="106"/>
      <c r="HV88" s="106"/>
      <c r="HW88" s="106"/>
      <c r="HX88" s="106"/>
      <c r="HY88" s="106"/>
      <c r="HZ88" s="106"/>
      <c r="IA88" s="106"/>
      <c r="IB88" s="106"/>
      <c r="IC88" s="106"/>
      <c r="ID88" s="106"/>
      <c r="IE88" s="106"/>
      <c r="IF88" s="106"/>
      <c r="IG88" s="106"/>
      <c r="IH88" s="106"/>
      <c r="II88" s="106"/>
      <c r="IJ88" s="106"/>
      <c r="IK88" s="106"/>
      <c r="IL88" s="106"/>
      <c r="IM88" s="106"/>
      <c r="IN88" s="106"/>
      <c r="IO88" s="106"/>
      <c r="IP88" s="106"/>
      <c r="IQ88" s="106"/>
      <c r="IR88" s="106"/>
      <c r="IS88" s="106"/>
      <c r="IT88" s="106"/>
      <c r="IU88" s="106"/>
      <c r="IV88" s="106"/>
      <c r="IW88" s="106"/>
    </row>
    <row r="89" customFormat="false" ht="12.75" hidden="false" customHeight="false" outlineLevel="0" collapsed="false">
      <c r="A89" s="106"/>
      <c r="B89" s="107" t="s">
        <v>99</v>
      </c>
      <c r="C89" s="108" t="s">
        <v>45</v>
      </c>
      <c r="D89" s="108" t="s">
        <v>134</v>
      </c>
      <c r="E89" s="109" t="n">
        <v>36770</v>
      </c>
      <c r="F89" s="109" t="s">
        <v>172</v>
      </c>
      <c r="G89" s="107" t="s">
        <v>176</v>
      </c>
      <c r="H89" s="107"/>
      <c r="I89" s="108" t="s">
        <v>174</v>
      </c>
      <c r="J89" s="110" t="n">
        <v>0.484</v>
      </c>
      <c r="K89" s="111" t="n">
        <v>0</v>
      </c>
      <c r="L89" s="111" t="n">
        <v>0.0022</v>
      </c>
      <c r="M89" s="111" t="n">
        <v>0</v>
      </c>
      <c r="N89" s="111" t="n">
        <v>0</v>
      </c>
      <c r="O89" s="112" t="n">
        <v>0</v>
      </c>
      <c r="P89" s="111" t="n">
        <f aca="false">SUM(J89:N89)</f>
        <v>0.4862</v>
      </c>
      <c r="Q89" s="119" t="n">
        <v>3.6685</v>
      </c>
      <c r="R89" s="108" t="n">
        <v>1319</v>
      </c>
      <c r="S89" s="107" t="s">
        <v>175</v>
      </c>
      <c r="T89" s="114" t="n">
        <f aca="false">+J89*R89</f>
        <v>638.396</v>
      </c>
      <c r="U89" s="115"/>
      <c r="V89" s="116" t="n">
        <v>377157</v>
      </c>
      <c r="W89" s="107"/>
      <c r="X89" s="117"/>
      <c r="Y89" s="117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6"/>
      <c r="EY89" s="106"/>
      <c r="EZ89" s="106"/>
      <c r="FA89" s="106"/>
      <c r="FB89" s="106"/>
      <c r="FC89" s="106"/>
      <c r="FD89" s="106"/>
      <c r="FE89" s="106"/>
      <c r="FF89" s="106"/>
      <c r="FG89" s="106"/>
      <c r="FH89" s="106"/>
      <c r="FI89" s="106"/>
      <c r="FJ89" s="106"/>
      <c r="FK89" s="106"/>
      <c r="FL89" s="106"/>
      <c r="FM89" s="106"/>
      <c r="FN89" s="106"/>
      <c r="FO89" s="106"/>
      <c r="FP89" s="106"/>
      <c r="FQ89" s="106"/>
      <c r="FR89" s="106"/>
      <c r="FS89" s="106"/>
      <c r="FT89" s="106"/>
      <c r="FU89" s="106"/>
      <c r="FV89" s="106"/>
      <c r="FW89" s="106"/>
      <c r="FX89" s="106"/>
      <c r="FY89" s="106"/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  <c r="HC89" s="106"/>
      <c r="HD89" s="106"/>
      <c r="HE89" s="106"/>
      <c r="HF89" s="106"/>
      <c r="HG89" s="106"/>
      <c r="HH89" s="106"/>
      <c r="HI89" s="106"/>
      <c r="HJ89" s="106"/>
      <c r="HK89" s="106"/>
      <c r="HL89" s="106"/>
      <c r="HM89" s="106"/>
      <c r="HN89" s="106"/>
      <c r="HO89" s="106"/>
      <c r="HP89" s="106"/>
      <c r="HQ89" s="106"/>
      <c r="HR89" s="106"/>
      <c r="HS89" s="106"/>
      <c r="HT89" s="106"/>
      <c r="HU89" s="106"/>
      <c r="HV89" s="106"/>
      <c r="HW89" s="106"/>
      <c r="HX89" s="106"/>
      <c r="HY89" s="106"/>
      <c r="HZ89" s="106"/>
      <c r="IA89" s="106"/>
      <c r="IB89" s="106"/>
      <c r="IC89" s="106"/>
      <c r="ID89" s="106"/>
      <c r="IE89" s="106"/>
      <c r="IF89" s="106"/>
      <c r="IG89" s="106"/>
      <c r="IH89" s="106"/>
      <c r="II89" s="106"/>
      <c r="IJ89" s="106"/>
      <c r="IK89" s="106"/>
      <c r="IL89" s="106"/>
      <c r="IM89" s="106"/>
      <c r="IN89" s="106"/>
      <c r="IO89" s="106"/>
      <c r="IP89" s="106"/>
      <c r="IQ89" s="106"/>
      <c r="IR89" s="106"/>
      <c r="IS89" s="106"/>
      <c r="IT89" s="106"/>
      <c r="IU89" s="106"/>
      <c r="IV89" s="106"/>
      <c r="IW89" s="106"/>
    </row>
    <row r="90" customFormat="false" ht="12.75" hidden="false" customHeight="false" outlineLevel="0" collapsed="false">
      <c r="A90" s="106"/>
      <c r="B90" s="107" t="s">
        <v>99</v>
      </c>
      <c r="C90" s="108" t="s">
        <v>45</v>
      </c>
      <c r="D90" s="108" t="s">
        <v>134</v>
      </c>
      <c r="E90" s="109" t="n">
        <v>36770</v>
      </c>
      <c r="F90" s="109" t="n">
        <v>36799</v>
      </c>
      <c r="G90" s="107" t="s">
        <v>173</v>
      </c>
      <c r="H90" s="107"/>
      <c r="I90" s="108" t="s">
        <v>174</v>
      </c>
      <c r="J90" s="110" t="n">
        <v>0.0481</v>
      </c>
      <c r="K90" s="111" t="n">
        <v>0</v>
      </c>
      <c r="L90" s="111" t="n">
        <v>0.0022</v>
      </c>
      <c r="M90" s="111" t="n">
        <v>0</v>
      </c>
      <c r="N90" s="111" t="n">
        <v>0</v>
      </c>
      <c r="O90" s="112" t="n">
        <v>0</v>
      </c>
      <c r="P90" s="111" t="n">
        <f aca="false">SUM(J90:N90)</f>
        <v>0.0503</v>
      </c>
      <c r="Q90" s="119" t="n">
        <v>3.6791</v>
      </c>
      <c r="R90" s="108" t="n">
        <v>5687</v>
      </c>
      <c r="S90" s="107" t="s">
        <v>177</v>
      </c>
      <c r="T90" s="114" t="n">
        <f aca="false">+J90*R90</f>
        <v>273.5447</v>
      </c>
      <c r="U90" s="115"/>
      <c r="V90" s="116" t="n">
        <v>384211</v>
      </c>
      <c r="W90" s="107"/>
      <c r="X90" s="117"/>
      <c r="Y90" s="117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6"/>
      <c r="EY90" s="106"/>
      <c r="EZ90" s="106"/>
      <c r="FA90" s="106"/>
      <c r="FB90" s="106"/>
      <c r="FC90" s="106"/>
      <c r="FD90" s="106"/>
      <c r="FE90" s="106"/>
      <c r="FF90" s="106"/>
      <c r="FG90" s="106"/>
      <c r="FH90" s="106"/>
      <c r="FI90" s="106"/>
      <c r="FJ90" s="106"/>
      <c r="FK90" s="106"/>
      <c r="FL90" s="106"/>
      <c r="FM90" s="106"/>
      <c r="FN90" s="106"/>
      <c r="FO90" s="106"/>
      <c r="FP90" s="106"/>
      <c r="FQ90" s="106"/>
      <c r="FR90" s="106"/>
      <c r="FS90" s="106"/>
      <c r="FT90" s="106"/>
      <c r="FU90" s="106"/>
      <c r="FV90" s="106"/>
      <c r="FW90" s="106"/>
      <c r="FX90" s="106"/>
      <c r="FY90" s="106"/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  <c r="HC90" s="106"/>
      <c r="HD90" s="106"/>
      <c r="HE90" s="106"/>
      <c r="HF90" s="106"/>
      <c r="HG90" s="106"/>
      <c r="HH90" s="106"/>
      <c r="HI90" s="106"/>
      <c r="HJ90" s="106"/>
      <c r="HK90" s="106"/>
      <c r="HL90" s="106"/>
      <c r="HM90" s="106"/>
      <c r="HN90" s="106"/>
      <c r="HO90" s="106"/>
      <c r="HP90" s="106"/>
      <c r="HQ90" s="106"/>
      <c r="HR90" s="106"/>
      <c r="HS90" s="106"/>
      <c r="HT90" s="106"/>
      <c r="HU90" s="106"/>
      <c r="HV90" s="106"/>
      <c r="HW90" s="106"/>
      <c r="HX90" s="106"/>
      <c r="HY90" s="106"/>
      <c r="HZ90" s="106"/>
      <c r="IA90" s="106"/>
      <c r="IB90" s="106"/>
      <c r="IC90" s="106"/>
      <c r="ID90" s="106"/>
      <c r="IE90" s="106"/>
      <c r="IF90" s="106"/>
      <c r="IG90" s="106"/>
      <c r="IH90" s="106"/>
      <c r="II90" s="106"/>
      <c r="IJ90" s="106"/>
      <c r="IK90" s="106"/>
      <c r="IL90" s="106"/>
      <c r="IM90" s="106"/>
      <c r="IN90" s="106"/>
      <c r="IO90" s="106"/>
      <c r="IP90" s="106"/>
      <c r="IQ90" s="106"/>
      <c r="IR90" s="106"/>
      <c r="IS90" s="106"/>
      <c r="IT90" s="106"/>
      <c r="IU90" s="106"/>
      <c r="IV90" s="106"/>
      <c r="IW90" s="106"/>
    </row>
    <row r="91" customFormat="false" ht="12.75" hidden="false" customHeight="false" outlineLevel="0" collapsed="false">
      <c r="A91" s="106"/>
      <c r="B91" s="107" t="s">
        <v>99</v>
      </c>
      <c r="C91" s="108" t="s">
        <v>45</v>
      </c>
      <c r="D91" s="108" t="s">
        <v>134</v>
      </c>
      <c r="E91" s="109" t="n">
        <v>36770</v>
      </c>
      <c r="F91" s="109" t="n">
        <v>36799</v>
      </c>
      <c r="G91" s="107" t="s">
        <v>176</v>
      </c>
      <c r="H91" s="107"/>
      <c r="I91" s="108" t="s">
        <v>174</v>
      </c>
      <c r="J91" s="110" t="n">
        <v>0.484</v>
      </c>
      <c r="K91" s="111" t="n">
        <v>0</v>
      </c>
      <c r="L91" s="111" t="n">
        <v>0.0022</v>
      </c>
      <c r="M91" s="111" t="n">
        <v>0</v>
      </c>
      <c r="N91" s="111" t="n">
        <v>0</v>
      </c>
      <c r="O91" s="112" t="n">
        <v>0</v>
      </c>
      <c r="P91" s="111" t="n">
        <f aca="false">SUM(J91:N91)</f>
        <v>0.4862</v>
      </c>
      <c r="Q91" s="119" t="n">
        <v>3.6791</v>
      </c>
      <c r="R91" s="108" t="n">
        <v>565</v>
      </c>
      <c r="S91" s="107" t="s">
        <v>177</v>
      </c>
      <c r="T91" s="114" t="n">
        <f aca="false">+J91*R91</f>
        <v>273.46</v>
      </c>
      <c r="U91" s="115"/>
      <c r="V91" s="116" t="n">
        <v>384211</v>
      </c>
      <c r="W91" s="107"/>
      <c r="X91" s="117"/>
      <c r="Y91" s="117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6"/>
      <c r="EY91" s="106"/>
      <c r="EZ91" s="106"/>
      <c r="FA91" s="106"/>
      <c r="FB91" s="106"/>
      <c r="FC91" s="106"/>
      <c r="FD91" s="106"/>
      <c r="FE91" s="106"/>
      <c r="FF91" s="106"/>
      <c r="FG91" s="106"/>
      <c r="FH91" s="106"/>
      <c r="FI91" s="106"/>
      <c r="FJ91" s="106"/>
      <c r="FK91" s="106"/>
      <c r="FL91" s="106"/>
      <c r="FM91" s="106"/>
      <c r="FN91" s="106"/>
      <c r="FO91" s="106"/>
      <c r="FP91" s="106"/>
      <c r="FQ91" s="106"/>
      <c r="FR91" s="106"/>
      <c r="FS91" s="106"/>
      <c r="FT91" s="106"/>
      <c r="FU91" s="106"/>
      <c r="FV91" s="106"/>
      <c r="FW91" s="106"/>
      <c r="FX91" s="106"/>
      <c r="FY91" s="106"/>
      <c r="FZ91" s="106"/>
      <c r="GA91" s="106"/>
      <c r="GB91" s="106"/>
      <c r="GC91" s="106"/>
      <c r="GD91" s="106"/>
      <c r="GE91" s="106"/>
      <c r="GF91" s="106"/>
      <c r="GG91" s="106"/>
      <c r="GH91" s="106"/>
      <c r="GI91" s="106"/>
      <c r="GJ91" s="106"/>
      <c r="GK91" s="106"/>
      <c r="GL91" s="106"/>
      <c r="GM91" s="106"/>
      <c r="GN91" s="106"/>
      <c r="GO91" s="106"/>
      <c r="GP91" s="106"/>
      <c r="GQ91" s="106"/>
      <c r="GR91" s="106"/>
      <c r="GS91" s="106"/>
      <c r="GT91" s="106"/>
      <c r="GU91" s="106"/>
      <c r="GV91" s="106"/>
      <c r="GW91" s="106"/>
      <c r="GX91" s="106"/>
      <c r="GY91" s="106"/>
      <c r="GZ91" s="106"/>
      <c r="HA91" s="106"/>
      <c r="HB91" s="106"/>
      <c r="HC91" s="106"/>
      <c r="HD91" s="106"/>
      <c r="HE91" s="106"/>
      <c r="HF91" s="106"/>
      <c r="HG91" s="106"/>
      <c r="HH91" s="106"/>
      <c r="HI91" s="106"/>
      <c r="HJ91" s="106"/>
      <c r="HK91" s="106"/>
      <c r="HL91" s="106"/>
      <c r="HM91" s="106"/>
      <c r="HN91" s="106"/>
      <c r="HO91" s="106"/>
      <c r="HP91" s="106"/>
      <c r="HQ91" s="106"/>
      <c r="HR91" s="106"/>
      <c r="HS91" s="106"/>
      <c r="HT91" s="106"/>
      <c r="HU91" s="106"/>
      <c r="HV91" s="106"/>
      <c r="HW91" s="106"/>
      <c r="HX91" s="106"/>
      <c r="HY91" s="106"/>
      <c r="HZ91" s="106"/>
      <c r="IA91" s="106"/>
      <c r="IB91" s="106"/>
      <c r="IC91" s="106"/>
      <c r="ID91" s="106"/>
      <c r="IE91" s="106"/>
      <c r="IF91" s="106"/>
      <c r="IG91" s="106"/>
      <c r="IH91" s="106"/>
      <c r="II91" s="106"/>
      <c r="IJ91" s="106"/>
      <c r="IK91" s="106"/>
      <c r="IL91" s="106"/>
      <c r="IM91" s="106"/>
      <c r="IN91" s="106"/>
      <c r="IO91" s="106"/>
      <c r="IP91" s="106"/>
      <c r="IQ91" s="106"/>
      <c r="IR91" s="106"/>
      <c r="IS91" s="106"/>
      <c r="IT91" s="106"/>
      <c r="IU91" s="106"/>
      <c r="IV91" s="106"/>
      <c r="IW91" s="106"/>
    </row>
    <row r="92" customFormat="false" ht="12.75" hidden="false" customHeight="false" outlineLevel="0" collapsed="false">
      <c r="B92" s="45"/>
      <c r="C92" s="49"/>
      <c r="D92" s="49"/>
      <c r="E92" s="50"/>
      <c r="F92" s="50"/>
      <c r="G92" s="51"/>
      <c r="H92" s="51"/>
      <c r="I92" s="49"/>
      <c r="J92" s="63"/>
      <c r="K92" s="54"/>
      <c r="L92" s="54"/>
      <c r="M92" s="54"/>
      <c r="N92" s="54"/>
      <c r="O92" s="55"/>
      <c r="P92" s="54"/>
      <c r="Q92" s="100"/>
      <c r="R92" s="101"/>
      <c r="S92" s="58"/>
      <c r="T92" s="58" t="n">
        <f aca="false">SUM(T70:T91)</f>
        <v>131616.1756</v>
      </c>
      <c r="U92" s="58"/>
      <c r="V92" s="59"/>
      <c r="W92" s="60"/>
      <c r="X92" s="61"/>
      <c r="Y92" s="61"/>
    </row>
    <row r="93" customFormat="false" ht="12.75" hidden="false" customHeight="false" outlineLevel="0" collapsed="false">
      <c r="B93" s="45"/>
      <c r="C93" s="49"/>
      <c r="D93" s="49"/>
      <c r="E93" s="50"/>
      <c r="F93" s="50"/>
      <c r="G93" s="51"/>
      <c r="H93" s="51"/>
      <c r="I93" s="49"/>
      <c r="J93" s="54"/>
      <c r="K93" s="54"/>
      <c r="L93" s="54"/>
      <c r="M93" s="54"/>
      <c r="N93" s="54"/>
      <c r="O93" s="55"/>
      <c r="P93" s="54"/>
      <c r="Q93" s="100"/>
      <c r="R93" s="101"/>
      <c r="S93" s="58"/>
      <c r="T93" s="58"/>
      <c r="U93" s="58"/>
      <c r="V93" s="59"/>
      <c r="W93" s="60"/>
      <c r="X93" s="61"/>
      <c r="Y93" s="61"/>
    </row>
    <row r="94" customFormat="false" ht="12.75" hidden="false" customHeight="false" outlineLevel="0" collapsed="false">
      <c r="B94" s="45"/>
      <c r="C94" s="49"/>
      <c r="D94" s="49"/>
      <c r="E94" s="50"/>
      <c r="F94" s="50"/>
      <c r="G94" s="51"/>
      <c r="H94" s="51"/>
      <c r="I94" s="49"/>
      <c r="J94" s="63"/>
      <c r="K94" s="54"/>
      <c r="L94" s="54"/>
      <c r="M94" s="54"/>
      <c r="N94" s="54"/>
      <c r="O94" s="55"/>
      <c r="P94" s="54"/>
      <c r="Q94" s="100"/>
      <c r="R94" s="101"/>
      <c r="S94" s="58"/>
      <c r="T94" s="58"/>
      <c r="U94" s="58"/>
      <c r="V94" s="59"/>
      <c r="W94" s="60"/>
      <c r="X94" s="61"/>
      <c r="Y94" s="61"/>
    </row>
    <row r="95" customFormat="false" ht="13.5" hidden="false" customHeight="false" outlineLevel="0" collapsed="false">
      <c r="B95" s="45"/>
      <c r="C95" s="49"/>
      <c r="D95" s="49"/>
      <c r="E95" s="50"/>
      <c r="F95" s="50"/>
      <c r="G95" s="51"/>
      <c r="H95" s="51"/>
      <c r="I95" s="49"/>
      <c r="J95" s="54"/>
      <c r="K95" s="54"/>
      <c r="L95" s="54"/>
      <c r="M95" s="54"/>
      <c r="N95" s="54"/>
      <c r="O95" s="55"/>
      <c r="P95" s="54"/>
      <c r="Q95" s="100"/>
      <c r="R95" s="101"/>
      <c r="S95" s="58"/>
      <c r="T95" s="120" t="n">
        <f aca="false">SUM(T92,T68,T64,T62,T47,T30)</f>
        <v>624027.932750645</v>
      </c>
      <c r="U95" s="58" t="s">
        <v>178</v>
      </c>
      <c r="V95" s="59"/>
      <c r="W95" s="60"/>
      <c r="X95" s="61"/>
      <c r="Y95" s="61"/>
    </row>
    <row r="96" customFormat="false" ht="13.5" hidden="false" customHeight="false" outlineLevel="0" collapsed="false">
      <c r="B96" s="45"/>
      <c r="C96" s="49"/>
      <c r="D96" s="49"/>
      <c r="E96" s="50"/>
      <c r="F96" s="50"/>
      <c r="G96" s="51"/>
      <c r="H96" s="51"/>
      <c r="I96" s="49"/>
      <c r="J96" s="54"/>
      <c r="K96" s="54"/>
      <c r="L96" s="54"/>
      <c r="M96" s="54"/>
      <c r="N96" s="54"/>
      <c r="O96" s="55"/>
      <c r="P96" s="54"/>
      <c r="Q96" s="100"/>
      <c r="R96" s="101"/>
      <c r="S96" s="58"/>
      <c r="T96" s="58"/>
      <c r="U96" s="60" t="s">
        <v>179</v>
      </c>
      <c r="V96" s="59"/>
      <c r="W96" s="60"/>
      <c r="X96" s="102"/>
      <c r="Y96" s="61"/>
    </row>
    <row r="97" customFormat="false" ht="12.75" hidden="false" customHeight="false" outlineLevel="0" collapsed="false">
      <c r="B97" s="45"/>
      <c r="C97" s="49"/>
      <c r="D97" s="49"/>
      <c r="E97" s="50"/>
      <c r="F97" s="50"/>
      <c r="G97" s="51"/>
      <c r="H97" s="51"/>
      <c r="I97" s="49"/>
      <c r="J97" s="54"/>
      <c r="K97" s="54"/>
      <c r="L97" s="54"/>
      <c r="M97" s="54"/>
      <c r="N97" s="54"/>
      <c r="O97" s="55"/>
      <c r="P97" s="54"/>
      <c r="Q97" s="100"/>
      <c r="R97" s="101"/>
      <c r="S97" s="58"/>
      <c r="T97" s="58"/>
      <c r="U97" s="58"/>
      <c r="V97" s="59"/>
      <c r="W97" s="60"/>
      <c r="X97" s="61"/>
      <c r="Y97" s="61"/>
    </row>
    <row r="98" customFormat="false" ht="12.75" hidden="false" customHeight="false" outlineLevel="0" collapsed="false">
      <c r="B98" s="45"/>
      <c r="C98" s="49"/>
      <c r="D98" s="49"/>
      <c r="E98" s="50"/>
      <c r="F98" s="50"/>
      <c r="G98" s="51"/>
      <c r="H98" s="51"/>
      <c r="I98" s="49"/>
      <c r="J98" s="54"/>
      <c r="K98" s="54"/>
      <c r="L98" s="54"/>
      <c r="M98" s="54"/>
      <c r="N98" s="54"/>
      <c r="O98" s="55"/>
      <c r="P98" s="54"/>
      <c r="Q98" s="100"/>
      <c r="R98" s="101"/>
      <c r="S98" s="58"/>
      <c r="T98" s="58"/>
      <c r="U98" s="58"/>
      <c r="V98" s="59"/>
      <c r="W98" s="60"/>
      <c r="X98" s="61"/>
      <c r="Y98" s="61"/>
    </row>
    <row r="99" customFormat="false" ht="12.75" hidden="false" customHeight="false" outlineLevel="0" collapsed="false">
      <c r="B99" s="45"/>
      <c r="C99" s="49"/>
      <c r="D99" s="49"/>
      <c r="E99" s="77"/>
      <c r="F99" s="50"/>
      <c r="G99" s="51"/>
      <c r="H99" s="51"/>
      <c r="I99" s="49"/>
      <c r="J99" s="63"/>
      <c r="K99" s="54"/>
      <c r="L99" s="54"/>
      <c r="M99" s="54"/>
      <c r="N99" s="54"/>
      <c r="O99" s="55"/>
      <c r="P99" s="54"/>
      <c r="Q99" s="100"/>
      <c r="R99" s="101"/>
      <c r="S99" s="102"/>
      <c r="T99" s="58"/>
      <c r="U99" s="58"/>
      <c r="V99" s="59"/>
      <c r="W99" s="60"/>
      <c r="X99" s="61"/>
      <c r="Y99" s="61"/>
    </row>
    <row r="100" customFormat="false" ht="12.75" hidden="false" customHeight="false" outlineLevel="0" collapsed="false">
      <c r="B100" s="45"/>
      <c r="C100" s="49"/>
      <c r="D100" s="49"/>
      <c r="E100" s="77"/>
      <c r="F100" s="50"/>
      <c r="G100" s="51"/>
      <c r="H100" s="51"/>
      <c r="I100" s="49"/>
      <c r="J100" s="63"/>
      <c r="K100" s="54"/>
      <c r="L100" s="54"/>
      <c r="M100" s="54"/>
      <c r="N100" s="54"/>
      <c r="O100" s="55"/>
      <c r="P100" s="54"/>
      <c r="Q100" s="100"/>
      <c r="R100" s="101"/>
      <c r="S100" s="102"/>
      <c r="T100" s="58"/>
      <c r="U100" s="58"/>
      <c r="V100" s="59"/>
      <c r="W100" s="60"/>
      <c r="X100" s="61"/>
      <c r="Y100" s="61"/>
    </row>
    <row r="101" customFormat="false" ht="12.75" hidden="false" customHeight="false" outlineLevel="0" collapsed="false">
      <c r="E101" s="47"/>
      <c r="Q101" s="42"/>
      <c r="R101" s="42"/>
      <c r="S101" s="42"/>
      <c r="T101" s="42"/>
      <c r="U101" s="42"/>
      <c r="V101" s="121"/>
      <c r="W101" s="122"/>
      <c r="X101" s="121"/>
    </row>
    <row r="102" customFormat="false" ht="12.75" hidden="false" customHeight="false" outlineLevel="0" collapsed="false">
      <c r="E102" s="47"/>
      <c r="Q102" s="42"/>
      <c r="R102" s="42"/>
      <c r="S102" s="42"/>
      <c r="T102" s="42"/>
      <c r="U102" s="42"/>
      <c r="V102" s="121"/>
      <c r="W102" s="122"/>
      <c r="X102" s="121"/>
    </row>
    <row r="103" customFormat="false" ht="12.75" hidden="false" customHeight="false" outlineLevel="0" collapsed="false">
      <c r="E103" s="47"/>
    </row>
    <row r="104" customFormat="false" ht="12.75" hidden="false" customHeight="false" outlineLevel="0" collapsed="false">
      <c r="E104" s="47"/>
    </row>
    <row r="105" customFormat="false" ht="12.75" hidden="false" customHeight="false" outlineLevel="0" collapsed="false">
      <c r="E105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E54" colorId="64" zoomScale="100" zoomScaleNormal="100" zoomScalePageLayoutView="100" workbookViewId="0">
      <selection pane="topLeft" activeCell="U75" activeCellId="0" sqref="U7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8" width="9.14"/>
    <col collapsed="false" customWidth="true" hidden="false" outlineLevel="0" max="2" min="2" style="38" width="9.99"/>
    <col collapsed="false" customWidth="false" hidden="false" outlineLevel="0" max="3" min="3" style="38" width="9.14"/>
    <col collapsed="false" customWidth="true" hidden="false" outlineLevel="0" max="4" min="4" style="38" width="10.56"/>
    <col collapsed="false" customWidth="true" hidden="false" outlineLevel="0" max="5" min="5" style="38" width="9.28"/>
    <col collapsed="false" customWidth="true" hidden="false" outlineLevel="0" max="6" min="6" style="38" width="9.56"/>
    <col collapsed="false" customWidth="true" hidden="false" outlineLevel="0" max="7" min="7" style="45" width="12.42"/>
    <col collapsed="false" customWidth="true" hidden="false" outlineLevel="0" max="8" min="8" style="45" width="16.42"/>
    <col collapsed="false" customWidth="true" hidden="false" outlineLevel="0" max="9" min="9" style="38" width="16.56"/>
    <col collapsed="false" customWidth="true" hidden="false" outlineLevel="0" max="10" min="10" style="38" width="7.7"/>
    <col collapsed="false" customWidth="true" hidden="true" outlineLevel="0" max="14" min="11" style="38" width="9.06"/>
    <col collapsed="false" customWidth="true" hidden="true" outlineLevel="0" max="15" min="15" style="46" width="9.06"/>
    <col collapsed="false" customWidth="true" hidden="true" outlineLevel="0" max="16" min="16" style="38" width="9.06"/>
    <col collapsed="false" customWidth="true" hidden="false" outlineLevel="0" max="17" min="17" style="38" width="14.28"/>
    <col collapsed="false" customWidth="true" hidden="false" outlineLevel="0" max="18" min="18" style="38" width="10.85"/>
    <col collapsed="false" customWidth="true" hidden="false" outlineLevel="0" max="19" min="19" style="38" width="12.28"/>
    <col collapsed="false" customWidth="true" hidden="false" outlineLevel="0" max="20" min="20" style="38" width="10.71"/>
    <col collapsed="false" customWidth="true" hidden="false" outlineLevel="0" max="21" min="21" style="38" width="11.85"/>
    <col collapsed="false" customWidth="true" hidden="false" outlineLevel="0" max="22" min="22" style="47" width="14.85"/>
    <col collapsed="false" customWidth="true" hidden="false" outlineLevel="0" max="23" min="23" style="45" width="42.28"/>
    <col collapsed="false" customWidth="false" hidden="false" outlineLevel="0" max="25" min="24" style="47" width="9.14"/>
    <col collapsed="false" customWidth="true" hidden="false" outlineLevel="0" max="26" min="26" style="38" width="12.42"/>
    <col collapsed="false" customWidth="false" hidden="false" outlineLevel="0" max="257" min="27" style="38" width="9.14"/>
  </cols>
  <sheetData>
    <row r="1" customFormat="false" ht="12.75" hidden="false" customHeight="false" outlineLevel="0" collapsed="false">
      <c r="B1" s="48" t="s">
        <v>71</v>
      </c>
      <c r="C1" s="49"/>
      <c r="D1" s="49"/>
      <c r="E1" s="50"/>
      <c r="F1" s="50"/>
      <c r="G1" s="51"/>
      <c r="H1" s="51"/>
      <c r="I1" s="49" t="s">
        <v>72</v>
      </c>
      <c r="J1" s="52" t="n">
        <v>30</v>
      </c>
      <c r="K1" s="53" t="s">
        <v>73</v>
      </c>
      <c r="L1" s="54"/>
      <c r="M1" s="54"/>
      <c r="N1" s="54"/>
      <c r="O1" s="55"/>
      <c r="P1" s="54"/>
      <c r="Q1" s="56"/>
      <c r="R1" s="57"/>
      <c r="S1" s="58"/>
      <c r="T1" s="58"/>
      <c r="U1" s="58"/>
      <c r="V1" s="59"/>
      <c r="W1" s="60"/>
      <c r="X1" s="61"/>
      <c r="Y1" s="61"/>
    </row>
    <row r="2" customFormat="false" ht="12.75" hidden="false" customHeight="false" outlineLevel="0" collapsed="false">
      <c r="B2" s="51" t="s">
        <v>74</v>
      </c>
      <c r="C2" s="51"/>
      <c r="D2" s="51"/>
      <c r="E2" s="50"/>
      <c r="F2" s="50"/>
      <c r="G2" s="51"/>
      <c r="H2" s="51"/>
      <c r="I2" s="49"/>
      <c r="J2" s="52"/>
      <c r="K2" s="53" t="s">
        <v>75</v>
      </c>
      <c r="L2" s="54"/>
      <c r="M2" s="54"/>
      <c r="N2" s="54"/>
      <c r="O2" s="55"/>
      <c r="P2" s="54"/>
      <c r="Q2" s="56"/>
      <c r="R2" s="57"/>
      <c r="S2" s="58"/>
      <c r="T2" s="58"/>
      <c r="U2" s="58"/>
      <c r="V2" s="59"/>
      <c r="W2" s="60"/>
      <c r="X2" s="61"/>
      <c r="Y2" s="61"/>
    </row>
    <row r="3" customFormat="false" ht="12.75" hidden="false" customHeight="false" outlineLevel="0" collapsed="false">
      <c r="B3" s="51" t="s">
        <v>76</v>
      </c>
      <c r="C3" s="51"/>
      <c r="D3" s="51"/>
      <c r="E3" s="50"/>
      <c r="F3" s="50"/>
      <c r="G3" s="62" t="s">
        <v>67</v>
      </c>
      <c r="H3" s="51" t="s">
        <v>67</v>
      </c>
      <c r="I3" s="57" t="s">
        <v>67</v>
      </c>
      <c r="J3" s="63"/>
      <c r="K3" s="64" t="s">
        <v>67</v>
      </c>
      <c r="L3" s="54"/>
      <c r="M3" s="64" t="s">
        <v>67</v>
      </c>
      <c r="N3" s="54"/>
      <c r="O3" s="55"/>
      <c r="P3" s="64" t="s">
        <v>67</v>
      </c>
      <c r="Q3" s="56"/>
      <c r="R3" s="57"/>
      <c r="S3" s="58"/>
      <c r="T3" s="58"/>
      <c r="U3" s="58"/>
      <c r="V3" s="59"/>
      <c r="W3" s="60"/>
      <c r="X3" s="61"/>
      <c r="Y3" s="61"/>
    </row>
    <row r="4" customFormat="false" ht="12.75" hidden="false" customHeight="false" outlineLevel="0" collapsed="false">
      <c r="B4" s="51"/>
      <c r="C4" s="49"/>
      <c r="D4" s="49"/>
      <c r="E4" s="50"/>
      <c r="F4" s="50"/>
      <c r="G4" s="65"/>
      <c r="H4" s="51"/>
      <c r="I4" s="65"/>
      <c r="J4" s="63"/>
      <c r="K4" s="65"/>
      <c r="L4" s="54"/>
      <c r="M4" s="65"/>
      <c r="N4" s="57"/>
      <c r="O4" s="55"/>
      <c r="P4" s="57"/>
      <c r="Q4" s="56"/>
      <c r="R4" s="57"/>
      <c r="S4" s="58"/>
      <c r="T4" s="66"/>
      <c r="U4" s="66"/>
      <c r="V4" s="67"/>
      <c r="W4" s="60"/>
      <c r="X4" s="61"/>
      <c r="Y4" s="61"/>
    </row>
    <row r="5" customFormat="false" ht="12.75" hidden="false" customHeight="false" outlineLevel="0" collapsed="false">
      <c r="B5" s="51" t="s">
        <v>77</v>
      </c>
      <c r="C5" s="49"/>
      <c r="D5" s="51"/>
      <c r="E5" s="50"/>
      <c r="F5" s="50"/>
      <c r="G5" s="65"/>
      <c r="H5" s="51"/>
      <c r="I5" s="65"/>
      <c r="J5" s="63"/>
      <c r="K5" s="65"/>
      <c r="L5" s="54"/>
      <c r="M5" s="65"/>
      <c r="N5" s="57"/>
      <c r="O5" s="55"/>
      <c r="P5" s="57"/>
      <c r="Q5" s="56"/>
      <c r="R5" s="57"/>
      <c r="S5" s="58"/>
      <c r="T5" s="66"/>
      <c r="U5" s="66"/>
      <c r="V5" s="67"/>
      <c r="W5" s="60"/>
      <c r="X5" s="61"/>
      <c r="Y5" s="61"/>
    </row>
    <row r="6" customFormat="false" ht="12.75" hidden="false" customHeight="false" outlineLevel="0" collapsed="false">
      <c r="B6" s="51"/>
      <c r="C6" s="49" t="s">
        <v>78</v>
      </c>
      <c r="D6" s="49"/>
      <c r="E6" s="50"/>
      <c r="F6" s="50"/>
      <c r="G6" s="65"/>
      <c r="H6" s="51"/>
      <c r="I6" s="65"/>
      <c r="J6" s="63"/>
      <c r="K6" s="65"/>
      <c r="L6" s="54"/>
      <c r="M6" s="65"/>
      <c r="N6" s="57"/>
      <c r="O6" s="55"/>
      <c r="P6" s="57"/>
      <c r="Q6" s="56"/>
      <c r="R6" s="57"/>
      <c r="S6" s="58"/>
      <c r="T6" s="66"/>
      <c r="U6" s="66"/>
      <c r="V6" s="67"/>
      <c r="W6" s="60"/>
      <c r="X6" s="61"/>
      <c r="Y6" s="61"/>
    </row>
    <row r="7" customFormat="false" ht="12.75" hidden="false" customHeight="false" outlineLevel="0" collapsed="false">
      <c r="B7" s="51"/>
      <c r="C7" s="49"/>
      <c r="D7" s="49"/>
      <c r="E7" s="50"/>
      <c r="F7" s="50"/>
      <c r="G7" s="65"/>
      <c r="H7" s="51"/>
      <c r="I7" s="65"/>
      <c r="J7" s="63"/>
      <c r="K7" s="65"/>
      <c r="L7" s="54"/>
      <c r="M7" s="65"/>
      <c r="N7" s="57"/>
      <c r="O7" s="55"/>
      <c r="P7" s="57"/>
      <c r="Q7" s="56"/>
      <c r="R7" s="57"/>
      <c r="S7" s="58"/>
      <c r="T7" s="66"/>
      <c r="U7" s="66"/>
      <c r="V7" s="67"/>
      <c r="W7" s="60"/>
      <c r="X7" s="61"/>
      <c r="Y7" s="61"/>
    </row>
    <row r="8" customFormat="false" ht="12.75" hidden="false" customHeight="false" outlineLevel="0" collapsed="false">
      <c r="B8" s="51"/>
      <c r="C8" s="49"/>
      <c r="D8" s="49"/>
      <c r="E8" s="50"/>
      <c r="F8" s="50"/>
      <c r="G8" s="65"/>
      <c r="H8" s="51"/>
      <c r="I8" s="65"/>
      <c r="J8" s="63"/>
      <c r="K8" s="65"/>
      <c r="L8" s="54"/>
      <c r="M8" s="65"/>
      <c r="N8" s="57"/>
      <c r="O8" s="55"/>
      <c r="P8" s="57"/>
      <c r="Q8" s="56"/>
      <c r="R8" s="57"/>
      <c r="S8" s="58"/>
      <c r="T8" s="66"/>
      <c r="U8" s="66"/>
      <c r="V8" s="67"/>
      <c r="W8" s="60"/>
      <c r="X8" s="61"/>
      <c r="Y8" s="61"/>
    </row>
    <row r="9" customFormat="false" ht="12.75" hidden="false" customHeight="false" outlineLevel="0" collapsed="false">
      <c r="B9" s="51"/>
      <c r="C9" s="49"/>
      <c r="D9" s="49"/>
      <c r="E9" s="50"/>
      <c r="F9" s="50"/>
      <c r="G9" s="65"/>
      <c r="H9" s="51"/>
      <c r="I9" s="65"/>
      <c r="J9" s="63"/>
      <c r="K9" s="65"/>
      <c r="L9" s="54"/>
      <c r="M9" s="65"/>
      <c r="N9" s="57"/>
      <c r="O9" s="55"/>
      <c r="P9" s="57"/>
      <c r="Q9" s="56"/>
      <c r="R9" s="57"/>
      <c r="S9" s="58"/>
      <c r="T9" s="66"/>
      <c r="U9" s="66"/>
      <c r="V9" s="67"/>
      <c r="W9" s="60"/>
      <c r="X9" s="61"/>
      <c r="Y9" s="61"/>
    </row>
    <row r="10" customFormat="false" ht="12.75" hidden="false" customHeight="false" outlineLevel="0" collapsed="false">
      <c r="B10" s="51"/>
      <c r="C10" s="49"/>
      <c r="D10" s="49"/>
      <c r="E10" s="50"/>
      <c r="F10" s="50"/>
      <c r="G10" s="65"/>
      <c r="H10" s="51"/>
      <c r="I10" s="65"/>
      <c r="J10" s="63"/>
      <c r="K10" s="65"/>
      <c r="L10" s="54"/>
      <c r="M10" s="65"/>
      <c r="N10" s="57"/>
      <c r="O10" s="55"/>
      <c r="P10" s="57"/>
      <c r="Q10" s="56"/>
      <c r="R10" s="57"/>
      <c r="S10" s="58"/>
      <c r="T10" s="66"/>
      <c r="U10" s="66"/>
      <c r="V10" s="67"/>
      <c r="W10" s="60"/>
      <c r="X10" s="61"/>
      <c r="Y10" s="61"/>
    </row>
    <row r="11" customFormat="false" ht="12.75" hidden="false" customHeight="false" outlineLevel="0" collapsed="false">
      <c r="B11" s="68" t="s">
        <v>79</v>
      </c>
      <c r="C11" s="69" t="s">
        <v>80</v>
      </c>
      <c r="D11" s="69" t="s">
        <v>180</v>
      </c>
      <c r="E11" s="70" t="s">
        <v>82</v>
      </c>
      <c r="F11" s="70"/>
      <c r="G11" s="68" t="s">
        <v>83</v>
      </c>
      <c r="H11" s="68" t="s">
        <v>84</v>
      </c>
      <c r="I11" s="69" t="s">
        <v>85</v>
      </c>
      <c r="J11" s="71" t="s">
        <v>86</v>
      </c>
      <c r="K11" s="69" t="s">
        <v>87</v>
      </c>
      <c r="L11" s="69" t="s">
        <v>88</v>
      </c>
      <c r="M11" s="69" t="s">
        <v>89</v>
      </c>
      <c r="N11" s="69" t="s">
        <v>90</v>
      </c>
      <c r="O11" s="72" t="s">
        <v>91</v>
      </c>
      <c r="P11" s="69" t="s">
        <v>92</v>
      </c>
      <c r="Q11" s="73" t="s">
        <v>93</v>
      </c>
      <c r="R11" s="69" t="s">
        <v>94</v>
      </c>
      <c r="S11" s="68" t="s">
        <v>95</v>
      </c>
      <c r="T11" s="74" t="s">
        <v>96</v>
      </c>
      <c r="U11" s="74" t="s">
        <v>97</v>
      </c>
      <c r="V11" s="75" t="s">
        <v>98</v>
      </c>
      <c r="W11" s="76" t="s">
        <v>181</v>
      </c>
      <c r="X11" s="77"/>
      <c r="Y11" s="77"/>
    </row>
    <row r="12" customFormat="false" ht="12.75" hidden="false" customHeight="false" outlineLevel="0" collapsed="false">
      <c r="B12" s="68" t="s">
        <v>79</v>
      </c>
      <c r="C12" s="69" t="s">
        <v>80</v>
      </c>
      <c r="D12" s="69" t="s">
        <v>180</v>
      </c>
      <c r="E12" s="70" t="s">
        <v>82</v>
      </c>
      <c r="F12" s="70"/>
      <c r="G12" s="68" t="s">
        <v>83</v>
      </c>
      <c r="H12" s="68" t="s">
        <v>84</v>
      </c>
      <c r="I12" s="69" t="s">
        <v>85</v>
      </c>
      <c r="J12" s="71" t="s">
        <v>86</v>
      </c>
      <c r="K12" s="69" t="s">
        <v>87</v>
      </c>
      <c r="L12" s="69" t="s">
        <v>88</v>
      </c>
      <c r="M12" s="69" t="s">
        <v>89</v>
      </c>
      <c r="N12" s="69" t="s">
        <v>90</v>
      </c>
      <c r="O12" s="72" t="s">
        <v>91</v>
      </c>
      <c r="P12" s="69" t="s">
        <v>92</v>
      </c>
      <c r="Q12" s="73" t="s">
        <v>93</v>
      </c>
      <c r="R12" s="69" t="s">
        <v>94</v>
      </c>
      <c r="S12" s="68" t="s">
        <v>95</v>
      </c>
      <c r="T12" s="74" t="s">
        <v>96</v>
      </c>
      <c r="U12" s="74" t="s">
        <v>97</v>
      </c>
      <c r="V12" s="75" t="s">
        <v>98</v>
      </c>
      <c r="W12" s="76" t="s">
        <v>181</v>
      </c>
      <c r="X12" s="77"/>
      <c r="Y12" s="77"/>
    </row>
    <row r="13" customFormat="false" ht="12.75" hidden="false" customHeight="false" outlineLevel="0" collapsed="false">
      <c r="A13" s="83"/>
      <c r="B13" s="84" t="s">
        <v>99</v>
      </c>
      <c r="C13" s="85" t="s">
        <v>0</v>
      </c>
      <c r="D13" s="85" t="s">
        <v>134</v>
      </c>
      <c r="E13" s="86" t="n">
        <v>36770</v>
      </c>
      <c r="F13" s="86" t="n">
        <v>36981</v>
      </c>
      <c r="G13" s="123" t="n">
        <v>10001</v>
      </c>
      <c r="H13" s="123" t="n">
        <v>10001</v>
      </c>
      <c r="I13" s="85" t="s">
        <v>182</v>
      </c>
      <c r="J13" s="87" t="n">
        <v>0.0137</v>
      </c>
      <c r="K13" s="88"/>
      <c r="L13" s="88"/>
      <c r="M13" s="88"/>
      <c r="N13" s="88"/>
      <c r="O13" s="89"/>
      <c r="P13" s="88"/>
      <c r="Q13" s="90" t="n">
        <v>530750</v>
      </c>
      <c r="R13" s="85" t="n">
        <v>9374</v>
      </c>
      <c r="S13" s="84" t="s">
        <v>183</v>
      </c>
      <c r="T13" s="91" t="n">
        <f aca="false">J13*1*R13</f>
        <v>128.4238</v>
      </c>
      <c r="U13" s="91"/>
      <c r="V13" s="92" t="n">
        <v>384260</v>
      </c>
      <c r="W13" s="84"/>
      <c r="X13" s="94"/>
      <c r="Y13" s="94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</row>
    <row r="14" customFormat="false" ht="12.75" hidden="false" customHeight="false" outlineLevel="0" collapsed="false">
      <c r="A14" s="83"/>
      <c r="B14" s="84" t="s">
        <v>99</v>
      </c>
      <c r="C14" s="85" t="s">
        <v>0</v>
      </c>
      <c r="D14" s="85" t="s">
        <v>134</v>
      </c>
      <c r="E14" s="86" t="n">
        <v>36770</v>
      </c>
      <c r="F14" s="86" t="n">
        <v>36981</v>
      </c>
      <c r="G14" s="123" t="n">
        <v>10002</v>
      </c>
      <c r="H14" s="123" t="n">
        <v>10002</v>
      </c>
      <c r="I14" s="85" t="s">
        <v>182</v>
      </c>
      <c r="J14" s="87" t="n">
        <v>1.0137</v>
      </c>
      <c r="K14" s="88"/>
      <c r="L14" s="88"/>
      <c r="M14" s="88"/>
      <c r="N14" s="88"/>
      <c r="O14" s="89"/>
      <c r="P14" s="88"/>
      <c r="Q14" s="90" t="n">
        <v>530750</v>
      </c>
      <c r="R14" s="85" t="n">
        <v>153</v>
      </c>
      <c r="S14" s="84" t="s">
        <v>183</v>
      </c>
      <c r="T14" s="91" t="n">
        <f aca="false">J14*1*R14</f>
        <v>155.0961</v>
      </c>
      <c r="U14" s="91"/>
      <c r="V14" s="92" t="n">
        <v>384260</v>
      </c>
      <c r="W14" s="84"/>
      <c r="X14" s="94"/>
      <c r="Y14" s="94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</row>
    <row r="15" customFormat="false" ht="12.75" hidden="false" customHeight="false" outlineLevel="0" collapsed="false">
      <c r="A15" s="83"/>
      <c r="B15" s="84" t="s">
        <v>99</v>
      </c>
      <c r="C15" s="85" t="s">
        <v>0</v>
      </c>
      <c r="D15" s="85" t="s">
        <v>134</v>
      </c>
      <c r="E15" s="86" t="n">
        <v>36770</v>
      </c>
      <c r="F15" s="86" t="n">
        <v>36799</v>
      </c>
      <c r="G15" s="123" t="n">
        <v>10001</v>
      </c>
      <c r="H15" s="123" t="n">
        <v>10001</v>
      </c>
      <c r="I15" s="85" t="s">
        <v>182</v>
      </c>
      <c r="J15" s="87" t="n">
        <v>1.8373</v>
      </c>
      <c r="K15" s="88"/>
      <c r="L15" s="88"/>
      <c r="M15" s="88"/>
      <c r="N15" s="88"/>
      <c r="O15" s="89"/>
      <c r="P15" s="88"/>
      <c r="Q15" s="90" t="n">
        <v>530769</v>
      </c>
      <c r="R15" s="85" t="n">
        <v>66</v>
      </c>
      <c r="S15" s="84" t="s">
        <v>184</v>
      </c>
      <c r="T15" s="91" t="n">
        <f aca="false">J15*1*R15</f>
        <v>121.2618</v>
      </c>
      <c r="U15" s="91"/>
      <c r="V15" s="92" t="n">
        <v>384234</v>
      </c>
      <c r="W15" s="84"/>
      <c r="X15" s="94"/>
      <c r="Y15" s="94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3"/>
      <c r="B16" s="84" t="s">
        <v>99</v>
      </c>
      <c r="C16" s="85" t="s">
        <v>0</v>
      </c>
      <c r="D16" s="85" t="s">
        <v>134</v>
      </c>
      <c r="E16" s="86" t="n">
        <v>36770</v>
      </c>
      <c r="F16" s="86" t="n">
        <v>36799</v>
      </c>
      <c r="G16" s="123" t="n">
        <v>10001</v>
      </c>
      <c r="H16" s="123" t="n">
        <v>10001</v>
      </c>
      <c r="I16" s="85" t="s">
        <v>182</v>
      </c>
      <c r="J16" s="87" t="n">
        <v>0.0137</v>
      </c>
      <c r="K16" s="88"/>
      <c r="L16" s="88"/>
      <c r="M16" s="88"/>
      <c r="N16" s="88"/>
      <c r="O16" s="89"/>
      <c r="P16" s="88"/>
      <c r="Q16" s="90" t="n">
        <v>530769</v>
      </c>
      <c r="R16" s="85" t="n">
        <v>4018</v>
      </c>
      <c r="S16" s="84" t="s">
        <v>184</v>
      </c>
      <c r="T16" s="91" t="n">
        <f aca="false">J16*1*R16</f>
        <v>55.0466</v>
      </c>
      <c r="U16" s="91"/>
      <c r="V16" s="92" t="n">
        <v>384234</v>
      </c>
      <c r="W16" s="84"/>
      <c r="X16" s="94"/>
      <c r="Y16" s="94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</row>
    <row r="17" customFormat="false" ht="12.75" hidden="false" customHeight="false" outlineLevel="0" collapsed="false">
      <c r="B17" s="124" t="s">
        <v>67</v>
      </c>
      <c r="C17" s="125" t="s">
        <v>67</v>
      </c>
      <c r="D17" s="126" t="s">
        <v>67</v>
      </c>
      <c r="E17" s="127" t="s">
        <v>67</v>
      </c>
      <c r="F17" s="127"/>
      <c r="G17" s="124" t="s">
        <v>67</v>
      </c>
      <c r="H17" s="128" t="s">
        <v>67</v>
      </c>
      <c r="I17" s="125" t="s">
        <v>67</v>
      </c>
      <c r="J17" s="129"/>
      <c r="K17" s="130"/>
      <c r="L17" s="130"/>
      <c r="M17" s="130"/>
      <c r="N17" s="130"/>
      <c r="O17" s="131"/>
      <c r="P17" s="130"/>
      <c r="Q17" s="132" t="s">
        <v>67</v>
      </c>
      <c r="R17" s="125" t="n">
        <f aca="false">SUM(R13:R16)</f>
        <v>13611</v>
      </c>
      <c r="S17" s="124" t="s">
        <v>67</v>
      </c>
      <c r="T17" s="133" t="n">
        <f aca="false">SUM(T13:T16)</f>
        <v>459.8283</v>
      </c>
      <c r="U17" s="133"/>
      <c r="V17" s="134"/>
      <c r="W17" s="124"/>
      <c r="X17" s="77"/>
      <c r="Y17" s="77"/>
    </row>
    <row r="18" customFormat="false" ht="12.75" hidden="false" customHeight="false" outlineLevel="0" collapsed="false">
      <c r="B18" s="68" t="s">
        <v>79</v>
      </c>
      <c r="C18" s="69" t="s">
        <v>80</v>
      </c>
      <c r="D18" s="69" t="s">
        <v>81</v>
      </c>
      <c r="E18" s="70" t="s">
        <v>82</v>
      </c>
      <c r="F18" s="70"/>
      <c r="G18" s="68" t="s">
        <v>83</v>
      </c>
      <c r="H18" s="68" t="s">
        <v>84</v>
      </c>
      <c r="I18" s="69" t="s">
        <v>85</v>
      </c>
      <c r="J18" s="71" t="s">
        <v>86</v>
      </c>
      <c r="K18" s="69" t="s">
        <v>87</v>
      </c>
      <c r="L18" s="69" t="s">
        <v>88</v>
      </c>
      <c r="M18" s="69" t="s">
        <v>89</v>
      </c>
      <c r="N18" s="69" t="s">
        <v>90</v>
      </c>
      <c r="O18" s="72" t="s">
        <v>91</v>
      </c>
      <c r="P18" s="69" t="s">
        <v>92</v>
      </c>
      <c r="Q18" s="73" t="s">
        <v>93</v>
      </c>
      <c r="R18" s="69" t="s">
        <v>94</v>
      </c>
      <c r="S18" s="68" t="s">
        <v>95</v>
      </c>
      <c r="T18" s="74" t="s">
        <v>96</v>
      </c>
      <c r="U18" s="74" t="s">
        <v>97</v>
      </c>
      <c r="V18" s="75" t="s">
        <v>98</v>
      </c>
      <c r="W18" s="76" t="str">
        <f aca="false">+W12</f>
        <v>Questions</v>
      </c>
      <c r="X18" s="77"/>
      <c r="Y18" s="77"/>
    </row>
    <row r="19" customFormat="false" ht="12.75" hidden="false" customHeight="false" outlineLevel="0" collapsed="false">
      <c r="A19" s="78"/>
      <c r="B19" s="51" t="s">
        <v>99</v>
      </c>
      <c r="C19" s="49" t="s">
        <v>185</v>
      </c>
      <c r="D19" s="49" t="s">
        <v>186</v>
      </c>
      <c r="E19" s="50" t="n">
        <v>36617</v>
      </c>
      <c r="F19" s="50" t="n">
        <v>36830</v>
      </c>
      <c r="G19" s="51" t="s">
        <v>187</v>
      </c>
      <c r="H19" s="51" t="s">
        <v>118</v>
      </c>
      <c r="I19" s="49" t="s">
        <v>188</v>
      </c>
      <c r="J19" s="63" t="n">
        <f aca="false">6.238/J1</f>
        <v>0.207933333333333</v>
      </c>
      <c r="K19" s="54" t="n">
        <v>0</v>
      </c>
      <c r="L19" s="54" t="n">
        <v>0</v>
      </c>
      <c r="M19" s="54" t="n">
        <v>0</v>
      </c>
      <c r="N19" s="54" t="n">
        <v>0</v>
      </c>
      <c r="O19" s="55" t="n">
        <v>0</v>
      </c>
      <c r="P19" s="54" t="n">
        <f aca="false">SUM(J19:N19)</f>
        <v>0.207933333333333</v>
      </c>
      <c r="Q19" s="56" t="n">
        <v>51407</v>
      </c>
      <c r="R19" s="49" t="n">
        <v>73754</v>
      </c>
      <c r="S19" s="51" t="s">
        <v>189</v>
      </c>
      <c r="T19" s="79"/>
      <c r="U19" s="79"/>
      <c r="V19" s="80" t="n">
        <v>156569</v>
      </c>
      <c r="W19" s="51"/>
      <c r="X19" s="77"/>
      <c r="Y19" s="77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12.75" hidden="false" customHeight="false" outlineLevel="0" collapsed="false">
      <c r="A20" s="78"/>
      <c r="B20" s="51" t="s">
        <v>99</v>
      </c>
      <c r="C20" s="49" t="s">
        <v>185</v>
      </c>
      <c r="D20" s="49" t="s">
        <v>186</v>
      </c>
      <c r="E20" s="50" t="n">
        <v>36617</v>
      </c>
      <c r="F20" s="50" t="n">
        <v>36830</v>
      </c>
      <c r="G20" s="51" t="s">
        <v>187</v>
      </c>
      <c r="H20" s="51" t="s">
        <v>120</v>
      </c>
      <c r="I20" s="49" t="s">
        <v>188</v>
      </c>
      <c r="J20" s="63" t="n">
        <f aca="false">1.512/J1</f>
        <v>0.0504</v>
      </c>
      <c r="K20" s="54" t="n">
        <v>0</v>
      </c>
      <c r="L20" s="54" t="n">
        <v>0</v>
      </c>
      <c r="M20" s="54" t="n">
        <v>0</v>
      </c>
      <c r="N20" s="54" t="n">
        <v>0</v>
      </c>
      <c r="O20" s="55" t="n">
        <v>0</v>
      </c>
      <c r="P20" s="54" t="n">
        <f aca="false">SUM(J20:N20)</f>
        <v>0.0504</v>
      </c>
      <c r="Q20" s="56" t="n">
        <v>51407</v>
      </c>
      <c r="R20" s="49" t="n">
        <v>73754</v>
      </c>
      <c r="S20" s="51" t="s">
        <v>189</v>
      </c>
      <c r="T20" s="79"/>
      <c r="U20" s="79"/>
      <c r="V20" s="80" t="n">
        <v>156569</v>
      </c>
      <c r="W20" s="51"/>
      <c r="X20" s="77"/>
      <c r="Y20" s="77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12.75" hidden="false" customHeight="false" outlineLevel="0" collapsed="false">
      <c r="A21" s="78"/>
      <c r="B21" s="51" t="s">
        <v>99</v>
      </c>
      <c r="C21" s="49" t="s">
        <v>185</v>
      </c>
      <c r="D21" s="49"/>
      <c r="E21" s="50" t="n">
        <v>36100</v>
      </c>
      <c r="F21" s="50" t="n">
        <v>36830</v>
      </c>
      <c r="G21" s="51" t="s">
        <v>190</v>
      </c>
      <c r="H21" s="51" t="s">
        <v>191</v>
      </c>
      <c r="I21" s="49" t="s">
        <v>11</v>
      </c>
      <c r="J21" s="63" t="n">
        <f aca="false">4.56/J$1</f>
        <v>0.152</v>
      </c>
      <c r="K21" s="54" t="n">
        <v>0.0132</v>
      </c>
      <c r="L21" s="54" t="n">
        <v>0.0022</v>
      </c>
      <c r="M21" s="54" t="n">
        <v>0.0072</v>
      </c>
      <c r="N21" s="54" t="n">
        <v>0</v>
      </c>
      <c r="O21" s="55" t="n">
        <v>0.02116</v>
      </c>
      <c r="P21" s="54" t="n">
        <f aca="false">SUM(J21:N21)</f>
        <v>0.1746</v>
      </c>
      <c r="Q21" s="56" t="n">
        <v>61822</v>
      </c>
      <c r="R21" s="49" t="n">
        <v>4000</v>
      </c>
      <c r="S21" s="51" t="s">
        <v>192</v>
      </c>
      <c r="T21" s="79" t="n">
        <f aca="false">J21*J$1*R21</f>
        <v>18240</v>
      </c>
      <c r="U21" s="79"/>
      <c r="V21" s="80" t="n">
        <v>162284</v>
      </c>
      <c r="W21" s="51"/>
      <c r="X21" s="77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75" hidden="false" customHeight="false" outlineLevel="0" collapsed="false">
      <c r="A22" s="78"/>
      <c r="B22" s="51" t="s">
        <v>99</v>
      </c>
      <c r="C22" s="49" t="s">
        <v>185</v>
      </c>
      <c r="D22" s="49" t="s">
        <v>193</v>
      </c>
      <c r="E22" s="50" t="n">
        <v>36526</v>
      </c>
      <c r="F22" s="50" t="n">
        <v>36830</v>
      </c>
      <c r="G22" s="51" t="s">
        <v>194</v>
      </c>
      <c r="H22" s="51" t="s">
        <v>195</v>
      </c>
      <c r="I22" s="49" t="s">
        <v>11</v>
      </c>
      <c r="J22" s="63" t="n">
        <f aca="false">4.56/J$1</f>
        <v>0.152</v>
      </c>
      <c r="K22" s="54" t="n">
        <v>0.0132</v>
      </c>
      <c r="L22" s="54" t="n">
        <v>0.0022</v>
      </c>
      <c r="M22" s="54" t="n">
        <v>0.0075</v>
      </c>
      <c r="N22" s="54" t="n">
        <v>0</v>
      </c>
      <c r="O22" s="55" t="n">
        <v>0.02116</v>
      </c>
      <c r="P22" s="54" t="n">
        <f aca="false">SUM(J22:N22)</f>
        <v>0.1749</v>
      </c>
      <c r="Q22" s="56" t="n">
        <v>61825</v>
      </c>
      <c r="R22" s="49" t="n">
        <v>2000</v>
      </c>
      <c r="S22" s="51" t="s">
        <v>196</v>
      </c>
      <c r="T22" s="79" t="n">
        <f aca="false">J22*J$1*R22</f>
        <v>9120</v>
      </c>
      <c r="U22" s="79"/>
      <c r="V22" s="80" t="n">
        <v>156570</v>
      </c>
      <c r="W22" s="79"/>
      <c r="X22" s="77"/>
      <c r="Y22" s="77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12.75" hidden="false" customHeight="false" outlineLevel="0" collapsed="false">
      <c r="A23" s="78"/>
      <c r="B23" s="51" t="s">
        <v>99</v>
      </c>
      <c r="C23" s="49" t="s">
        <v>185</v>
      </c>
      <c r="D23" s="49" t="s">
        <v>193</v>
      </c>
      <c r="E23" s="50" t="n">
        <v>36526</v>
      </c>
      <c r="F23" s="50" t="n">
        <v>36830</v>
      </c>
      <c r="G23" s="51" t="s">
        <v>197</v>
      </c>
      <c r="H23" s="51" t="s">
        <v>195</v>
      </c>
      <c r="I23" s="49" t="s">
        <v>11</v>
      </c>
      <c r="J23" s="63" t="n">
        <f aca="false">4.56/J$1</f>
        <v>0.152</v>
      </c>
      <c r="K23" s="54" t="n">
        <v>0.0132</v>
      </c>
      <c r="L23" s="54" t="n">
        <v>0.0022</v>
      </c>
      <c r="M23" s="54" t="n">
        <v>0.0075</v>
      </c>
      <c r="N23" s="54" t="n">
        <v>0</v>
      </c>
      <c r="O23" s="55" t="n">
        <v>0.02116</v>
      </c>
      <c r="P23" s="54" t="n">
        <f aca="false">SUM(J23:N23)</f>
        <v>0.1749</v>
      </c>
      <c r="Q23" s="56" t="n">
        <v>61825</v>
      </c>
      <c r="R23" s="49" t="n">
        <v>5000</v>
      </c>
      <c r="S23" s="51" t="s">
        <v>196</v>
      </c>
      <c r="T23" s="79" t="n">
        <f aca="false">J23*J$1*R23</f>
        <v>22800</v>
      </c>
      <c r="U23" s="79"/>
      <c r="V23" s="80" t="n">
        <v>156570</v>
      </c>
      <c r="W23" s="79"/>
      <c r="X23" s="77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12.75" hidden="false" customHeight="false" outlineLevel="0" collapsed="false">
      <c r="A24" s="78"/>
      <c r="B24" s="51" t="s">
        <v>99</v>
      </c>
      <c r="C24" s="49" t="s">
        <v>185</v>
      </c>
      <c r="D24" s="49" t="s">
        <v>193</v>
      </c>
      <c r="E24" s="50" t="n">
        <v>36526</v>
      </c>
      <c r="F24" s="50" t="n">
        <v>36830</v>
      </c>
      <c r="G24" s="51" t="s">
        <v>198</v>
      </c>
      <c r="H24" s="51" t="s">
        <v>195</v>
      </c>
      <c r="I24" s="49" t="s">
        <v>11</v>
      </c>
      <c r="J24" s="63" t="n">
        <f aca="false">4.56/J$1</f>
        <v>0.152</v>
      </c>
      <c r="K24" s="54" t="n">
        <v>0.0132</v>
      </c>
      <c r="L24" s="54" t="n">
        <v>0.0022</v>
      </c>
      <c r="M24" s="54" t="n">
        <v>0.0075</v>
      </c>
      <c r="N24" s="54" t="n">
        <v>0</v>
      </c>
      <c r="O24" s="55" t="n">
        <v>0.02116</v>
      </c>
      <c r="P24" s="54" t="n">
        <f aca="false">SUM(J24:N24)</f>
        <v>0.1749</v>
      </c>
      <c r="Q24" s="56" t="n">
        <v>61825</v>
      </c>
      <c r="R24" s="49" t="n">
        <v>1000</v>
      </c>
      <c r="S24" s="51" t="s">
        <v>196</v>
      </c>
      <c r="T24" s="79" t="n">
        <f aca="false">J24*J$1*R24</f>
        <v>4560</v>
      </c>
      <c r="U24" s="79"/>
      <c r="V24" s="80" t="n">
        <v>156570</v>
      </c>
      <c r="W24" s="79"/>
      <c r="X24" s="77"/>
      <c r="Y24" s="77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12.75" hidden="false" customHeight="false" outlineLevel="0" collapsed="false">
      <c r="A25" s="78"/>
      <c r="B25" s="51" t="s">
        <v>99</v>
      </c>
      <c r="C25" s="49" t="s">
        <v>185</v>
      </c>
      <c r="D25" s="49"/>
      <c r="E25" s="50" t="n">
        <v>36100</v>
      </c>
      <c r="F25" s="50" t="n">
        <v>36830</v>
      </c>
      <c r="G25" s="51" t="s">
        <v>194</v>
      </c>
      <c r="H25" s="51" t="s">
        <v>199</v>
      </c>
      <c r="I25" s="49" t="s">
        <v>11</v>
      </c>
      <c r="J25" s="63" t="n">
        <f aca="false">4.56/J$1</f>
        <v>0.152</v>
      </c>
      <c r="K25" s="54" t="n">
        <v>0.0132</v>
      </c>
      <c r="L25" s="54" t="n">
        <v>0.0022</v>
      </c>
      <c r="M25" s="54" t="n">
        <v>0.0072</v>
      </c>
      <c r="N25" s="54" t="n">
        <v>0</v>
      </c>
      <c r="O25" s="55" t="n">
        <v>0.02116</v>
      </c>
      <c r="P25" s="54" t="n">
        <f aca="false">SUM(J25:N25)</f>
        <v>0.1746</v>
      </c>
      <c r="Q25" s="56" t="n">
        <v>61838</v>
      </c>
      <c r="R25" s="49" t="n">
        <v>1000</v>
      </c>
      <c r="S25" s="51" t="s">
        <v>200</v>
      </c>
      <c r="T25" s="79" t="n">
        <f aca="false">J25*J$1*R25</f>
        <v>4560</v>
      </c>
      <c r="U25" s="79"/>
      <c r="V25" s="80" t="n">
        <v>156571</v>
      </c>
      <c r="W25" s="51"/>
      <c r="X25" s="77"/>
      <c r="Y25" s="77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12.75" hidden="false" customHeight="false" outlineLevel="0" collapsed="false">
      <c r="A26" s="78"/>
      <c r="B26" s="51" t="s">
        <v>99</v>
      </c>
      <c r="C26" s="49" t="s">
        <v>185</v>
      </c>
      <c r="D26" s="49" t="s">
        <v>193</v>
      </c>
      <c r="E26" s="50" t="n">
        <v>36526</v>
      </c>
      <c r="F26" s="50" t="n">
        <v>36830</v>
      </c>
      <c r="G26" s="51" t="s">
        <v>194</v>
      </c>
      <c r="H26" s="51" t="s">
        <v>201</v>
      </c>
      <c r="I26" s="49" t="s">
        <v>11</v>
      </c>
      <c r="J26" s="63" t="n">
        <f aca="false">4.56/J$1</f>
        <v>0.152</v>
      </c>
      <c r="K26" s="54" t="n">
        <v>0.0132</v>
      </c>
      <c r="L26" s="54" t="n">
        <v>0.0022</v>
      </c>
      <c r="M26" s="54" t="n">
        <v>0.0075</v>
      </c>
      <c r="N26" s="54" t="n">
        <v>0</v>
      </c>
      <c r="O26" s="55" t="n">
        <v>0.02116</v>
      </c>
      <c r="P26" s="54" t="n">
        <f aca="false">SUM(J26:N26)</f>
        <v>0.1749</v>
      </c>
      <c r="Q26" s="56" t="n">
        <v>61990</v>
      </c>
      <c r="R26" s="49" t="n">
        <v>2000</v>
      </c>
      <c r="S26" s="51" t="s">
        <v>202</v>
      </c>
      <c r="T26" s="79" t="n">
        <f aca="false">J26*J$1*R26</f>
        <v>9120</v>
      </c>
      <c r="U26" s="79"/>
      <c r="V26" s="80" t="n">
        <v>156573</v>
      </c>
      <c r="W26" s="79"/>
      <c r="X26" s="77"/>
      <c r="Y26" s="77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2.75" hidden="false" customHeight="false" outlineLevel="0" collapsed="false">
      <c r="A27" s="78"/>
      <c r="B27" s="51" t="s">
        <v>99</v>
      </c>
      <c r="C27" s="49" t="s">
        <v>185</v>
      </c>
      <c r="D27" s="49" t="s">
        <v>193</v>
      </c>
      <c r="E27" s="50" t="n">
        <v>36465</v>
      </c>
      <c r="F27" s="50" t="n">
        <v>36891</v>
      </c>
      <c r="G27" s="51"/>
      <c r="H27" s="51" t="s">
        <v>203</v>
      </c>
      <c r="I27" s="49" t="s">
        <v>11</v>
      </c>
      <c r="J27" s="63" t="n">
        <f aca="false">3.0417/30.417</f>
        <v>0.1</v>
      </c>
      <c r="K27" s="54" t="n">
        <v>0.0132</v>
      </c>
      <c r="L27" s="54" t="n">
        <v>0.0022</v>
      </c>
      <c r="M27" s="54" t="n">
        <v>0.0075</v>
      </c>
      <c r="N27" s="54" t="n">
        <v>0</v>
      </c>
      <c r="O27" s="55" t="n">
        <v>0.02116</v>
      </c>
      <c r="P27" s="54" t="n">
        <f aca="false">SUM(J27:N27)</f>
        <v>0.1229</v>
      </c>
      <c r="Q27" s="56" t="n">
        <v>62164</v>
      </c>
      <c r="R27" s="49" t="n">
        <v>2000</v>
      </c>
      <c r="S27" s="51" t="s">
        <v>204</v>
      </c>
      <c r="T27" s="79" t="n">
        <f aca="false">J27*J$1*R27</f>
        <v>6000</v>
      </c>
      <c r="U27" s="80"/>
      <c r="V27" s="77" t="s">
        <v>205</v>
      </c>
      <c r="W27" s="77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12.75" hidden="false" customHeight="false" outlineLevel="0" collapsed="false">
      <c r="A28" s="78"/>
      <c r="B28" s="51" t="s">
        <v>99</v>
      </c>
      <c r="C28" s="49" t="s">
        <v>185</v>
      </c>
      <c r="D28" s="49" t="s">
        <v>186</v>
      </c>
      <c r="E28" s="50" t="n">
        <v>36617</v>
      </c>
      <c r="F28" s="50" t="n">
        <v>36799</v>
      </c>
      <c r="G28" s="51" t="s">
        <v>187</v>
      </c>
      <c r="H28" s="51" t="s">
        <v>206</v>
      </c>
      <c r="I28" s="49" t="s">
        <v>207</v>
      </c>
      <c r="J28" s="63" t="n">
        <f aca="false">6.029/J$1</f>
        <v>0.200966666666667</v>
      </c>
      <c r="K28" s="54" t="n">
        <v>0.013</v>
      </c>
      <c r="L28" s="54" t="n">
        <v>0.0022</v>
      </c>
      <c r="M28" s="54" t="n">
        <v>0.0072</v>
      </c>
      <c r="N28" s="54" t="n">
        <v>0</v>
      </c>
      <c r="O28" s="55" t="n">
        <v>0.02116</v>
      </c>
      <c r="P28" s="54" t="n">
        <f aca="false">SUM(J28:N28)</f>
        <v>0.223366666666667</v>
      </c>
      <c r="Q28" s="56" t="n">
        <v>67693</v>
      </c>
      <c r="R28" s="49" t="n">
        <v>54327</v>
      </c>
      <c r="S28" s="51" t="s">
        <v>208</v>
      </c>
      <c r="T28" s="79" t="n">
        <f aca="false">J28*J$1*R28</f>
        <v>327537.483</v>
      </c>
      <c r="U28" s="79"/>
      <c r="V28" s="80" t="n">
        <v>231378</v>
      </c>
      <c r="W28" s="51"/>
      <c r="X28" s="77"/>
      <c r="Y28" s="77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12.75" hidden="false" customHeight="false" outlineLevel="0" collapsed="false">
      <c r="A29" s="78"/>
      <c r="B29" s="51" t="s">
        <v>99</v>
      </c>
      <c r="C29" s="49" t="s">
        <v>185</v>
      </c>
      <c r="D29" s="49" t="s">
        <v>186</v>
      </c>
      <c r="E29" s="50" t="n">
        <v>36617</v>
      </c>
      <c r="F29" s="50" t="n">
        <v>36981</v>
      </c>
      <c r="G29" s="51" t="s">
        <v>187</v>
      </c>
      <c r="H29" s="51" t="s">
        <v>118</v>
      </c>
      <c r="I29" s="49" t="s">
        <v>188</v>
      </c>
      <c r="J29" s="63" t="n">
        <v>0.0293</v>
      </c>
      <c r="K29" s="54" t="n">
        <v>0</v>
      </c>
      <c r="L29" s="54" t="n">
        <v>0</v>
      </c>
      <c r="M29" s="54" t="n">
        <v>0</v>
      </c>
      <c r="N29" s="54" t="n">
        <v>0</v>
      </c>
      <c r="O29" s="55" t="n">
        <v>0</v>
      </c>
      <c r="P29" s="54" t="n">
        <f aca="false">SUM(J29:N29)</f>
        <v>0.0293</v>
      </c>
      <c r="Q29" s="56" t="n">
        <v>67712</v>
      </c>
      <c r="R29" s="49" t="n">
        <v>6050607</v>
      </c>
      <c r="S29" s="51" t="s">
        <v>209</v>
      </c>
      <c r="T29" s="79" t="n">
        <f aca="false">J29*R29</f>
        <v>177282.7851</v>
      </c>
      <c r="U29" s="79"/>
      <c r="V29" s="80" t="n">
        <v>235876</v>
      </c>
      <c r="W29" s="51" t="n">
        <v>231698</v>
      </c>
      <c r="X29" s="77"/>
      <c r="Y29" s="77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12.75" hidden="false" customHeight="false" outlineLevel="0" collapsed="false">
      <c r="A30" s="78"/>
      <c r="B30" s="51" t="s">
        <v>99</v>
      </c>
      <c r="C30" s="49" t="s">
        <v>185</v>
      </c>
      <c r="D30" s="49" t="s">
        <v>186</v>
      </c>
      <c r="E30" s="50" t="n">
        <v>36617</v>
      </c>
      <c r="F30" s="50" t="n">
        <v>36981</v>
      </c>
      <c r="G30" s="51" t="s">
        <v>187</v>
      </c>
      <c r="H30" s="51" t="s">
        <v>120</v>
      </c>
      <c r="I30" s="49" t="s">
        <v>188</v>
      </c>
      <c r="J30" s="63" t="n">
        <v>1.524</v>
      </c>
      <c r="K30" s="54" t="n">
        <v>0</v>
      </c>
      <c r="L30" s="54" t="n">
        <v>0</v>
      </c>
      <c r="M30" s="54" t="n">
        <v>0</v>
      </c>
      <c r="N30" s="54" t="n">
        <v>0</v>
      </c>
      <c r="O30" s="55" t="n">
        <v>0</v>
      </c>
      <c r="P30" s="54" t="n">
        <f aca="false">SUM(J30:N30)</f>
        <v>1.524</v>
      </c>
      <c r="Q30" s="56" t="n">
        <v>67712</v>
      </c>
      <c r="R30" s="49" t="n">
        <v>108648</v>
      </c>
      <c r="S30" s="51" t="s">
        <v>209</v>
      </c>
      <c r="T30" s="79" t="n">
        <f aca="false">J30*R30</f>
        <v>165579.552</v>
      </c>
      <c r="U30" s="79"/>
      <c r="V30" s="80" t="n">
        <v>235876</v>
      </c>
      <c r="W30" s="51" t="n">
        <v>231698</v>
      </c>
      <c r="X30" s="77"/>
      <c r="Y30" s="77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12.75" hidden="false" customHeight="false" outlineLevel="0" collapsed="false">
      <c r="A31" s="78"/>
      <c r="B31" s="51" t="s">
        <v>99</v>
      </c>
      <c r="C31" s="49" t="s">
        <v>185</v>
      </c>
      <c r="D31" s="49" t="s">
        <v>186</v>
      </c>
      <c r="E31" s="50" t="n">
        <v>36617</v>
      </c>
      <c r="F31" s="50" t="n">
        <v>36981</v>
      </c>
      <c r="G31" s="51" t="s">
        <v>187</v>
      </c>
      <c r="H31" s="51" t="s">
        <v>118</v>
      </c>
      <c r="I31" s="49" t="s">
        <v>188</v>
      </c>
      <c r="J31" s="63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5" t="n">
        <v>0</v>
      </c>
      <c r="P31" s="54" t="n">
        <f aca="false">SUM(J31:N31)</f>
        <v>0</v>
      </c>
      <c r="Q31" s="56" t="n">
        <v>67713</v>
      </c>
      <c r="R31" s="49" t="n">
        <v>0</v>
      </c>
      <c r="S31" s="51" t="s">
        <v>210</v>
      </c>
      <c r="T31" s="79" t="n">
        <f aca="false">J31*R31</f>
        <v>0</v>
      </c>
      <c r="U31" s="79"/>
      <c r="V31" s="80" t="n">
        <v>235876</v>
      </c>
      <c r="W31" s="51"/>
      <c r="X31" s="77"/>
      <c r="Y31" s="77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12.75" hidden="false" customHeight="false" outlineLevel="0" collapsed="false">
      <c r="A32" s="78"/>
      <c r="B32" s="51" t="s">
        <v>99</v>
      </c>
      <c r="C32" s="49" t="s">
        <v>185</v>
      </c>
      <c r="D32" s="49" t="s">
        <v>186</v>
      </c>
      <c r="E32" s="50" t="n">
        <v>36617</v>
      </c>
      <c r="F32" s="50" t="n">
        <v>36981</v>
      </c>
      <c r="G32" s="51" t="s">
        <v>187</v>
      </c>
      <c r="H32" s="51" t="s">
        <v>120</v>
      </c>
      <c r="I32" s="49" t="s">
        <v>188</v>
      </c>
      <c r="J32" s="63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5" t="n">
        <v>0</v>
      </c>
      <c r="P32" s="54" t="n">
        <f aca="false">SUM(J32:N32)</f>
        <v>0</v>
      </c>
      <c r="Q32" s="56" t="n">
        <v>67713</v>
      </c>
      <c r="R32" s="49" t="n">
        <v>0</v>
      </c>
      <c r="S32" s="51" t="s">
        <v>210</v>
      </c>
      <c r="T32" s="79" t="n">
        <f aca="false">J32*R32</f>
        <v>0</v>
      </c>
      <c r="U32" s="79"/>
      <c r="V32" s="80" t="n">
        <v>235876</v>
      </c>
      <c r="W32" s="51"/>
      <c r="X32" s="77"/>
      <c r="Y32" s="77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12.75" hidden="false" customHeight="false" outlineLevel="0" collapsed="false">
      <c r="A33" s="78"/>
      <c r="B33" s="51" t="s">
        <v>99</v>
      </c>
      <c r="C33" s="49" t="s">
        <v>185</v>
      </c>
      <c r="D33" s="49" t="s">
        <v>211</v>
      </c>
      <c r="E33" s="50" t="n">
        <v>36678</v>
      </c>
      <c r="F33" s="50" t="n">
        <v>37042</v>
      </c>
      <c r="G33" s="51" t="s">
        <v>212</v>
      </c>
      <c r="H33" s="51" t="s">
        <v>213</v>
      </c>
      <c r="I33" s="49" t="s">
        <v>11</v>
      </c>
      <c r="J33" s="63" t="n">
        <f aca="false">6.401/J$1</f>
        <v>0.213366666666667</v>
      </c>
      <c r="K33" s="54" t="n">
        <v>0.0132</v>
      </c>
      <c r="L33" s="54" t="n">
        <v>0.0022</v>
      </c>
      <c r="M33" s="54" t="n">
        <v>0.0072</v>
      </c>
      <c r="N33" s="54" t="n">
        <v>0</v>
      </c>
      <c r="O33" s="55" t="n">
        <v>0.02116</v>
      </c>
      <c r="P33" s="54" t="n">
        <f aca="false">SUM(J33:N33)</f>
        <v>0.235966666666667</v>
      </c>
      <c r="Q33" s="56" t="n">
        <v>68359</v>
      </c>
      <c r="R33" s="49" t="n">
        <v>285</v>
      </c>
      <c r="S33" s="51" t="s">
        <v>214</v>
      </c>
      <c r="T33" s="79" t="n">
        <f aca="false">J33*J$1*R33</f>
        <v>1824.285</v>
      </c>
      <c r="U33" s="79"/>
      <c r="V33" s="80" t="n">
        <v>271307</v>
      </c>
      <c r="W33" s="51"/>
      <c r="X33" s="77"/>
      <c r="Y33" s="77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12.75" hidden="false" customHeight="false" outlineLevel="0" collapsed="false">
      <c r="A34" s="78"/>
      <c r="B34" s="51" t="s">
        <v>99</v>
      </c>
      <c r="C34" s="49" t="s">
        <v>185</v>
      </c>
      <c r="D34" s="49" t="s">
        <v>215</v>
      </c>
      <c r="E34" s="50" t="n">
        <v>36678</v>
      </c>
      <c r="F34" s="50" t="n">
        <v>37042</v>
      </c>
      <c r="G34" s="51" t="s">
        <v>212</v>
      </c>
      <c r="H34" s="51" t="s">
        <v>216</v>
      </c>
      <c r="I34" s="49" t="s">
        <v>11</v>
      </c>
      <c r="J34" s="63" t="n">
        <f aca="false">6.401/J$1</f>
        <v>0.213366666666667</v>
      </c>
      <c r="K34" s="54" t="n">
        <v>0.0132</v>
      </c>
      <c r="L34" s="54" t="n">
        <v>0.0022</v>
      </c>
      <c r="M34" s="54" t="n">
        <v>0.0072</v>
      </c>
      <c r="N34" s="54" t="n">
        <v>0</v>
      </c>
      <c r="O34" s="55" t="n">
        <v>0.02116</v>
      </c>
      <c r="P34" s="54" t="n">
        <f aca="false">SUM(J34:N34)</f>
        <v>0.235966666666667</v>
      </c>
      <c r="Q34" s="56" t="n">
        <v>68384</v>
      </c>
      <c r="R34" s="49" t="n">
        <v>218</v>
      </c>
      <c r="S34" s="51" t="s">
        <v>217</v>
      </c>
      <c r="T34" s="79" t="n">
        <f aca="false">J34*J$1*R34</f>
        <v>1395.418</v>
      </c>
      <c r="U34" s="79"/>
      <c r="V34" s="80" t="n">
        <v>280570</v>
      </c>
      <c r="W34" s="51"/>
      <c r="X34" s="77"/>
      <c r="Y34" s="77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5" customFormat="false" ht="12.75" hidden="false" customHeight="false" outlineLevel="0" collapsed="false">
      <c r="A35" s="78"/>
      <c r="B35" s="51" t="s">
        <v>99</v>
      </c>
      <c r="C35" s="49" t="s">
        <v>185</v>
      </c>
      <c r="D35" s="49" t="s">
        <v>211</v>
      </c>
      <c r="E35" s="50" t="n">
        <v>36708</v>
      </c>
      <c r="F35" s="50" t="n">
        <v>37072</v>
      </c>
      <c r="G35" s="51" t="s">
        <v>212</v>
      </c>
      <c r="H35" s="51" t="s">
        <v>213</v>
      </c>
      <c r="I35" s="49" t="s">
        <v>11</v>
      </c>
      <c r="J35" s="63" t="n">
        <f aca="false">6.449/J$1</f>
        <v>0.214966666666667</v>
      </c>
      <c r="K35" s="54" t="n">
        <v>0.0132</v>
      </c>
      <c r="L35" s="54" t="n">
        <v>0.0022</v>
      </c>
      <c r="M35" s="54" t="n">
        <v>0.0072</v>
      </c>
      <c r="N35" s="54" t="n">
        <v>0</v>
      </c>
      <c r="O35" s="55" t="n">
        <v>0.02116</v>
      </c>
      <c r="P35" s="54" t="n">
        <f aca="false">SUM(J35:N35)</f>
        <v>0.237566666666667</v>
      </c>
      <c r="Q35" s="56" t="n">
        <v>68616</v>
      </c>
      <c r="R35" s="49" t="n">
        <v>900</v>
      </c>
      <c r="S35" s="51" t="s">
        <v>218</v>
      </c>
      <c r="T35" s="79" t="n">
        <f aca="false">J35*J$1*R35</f>
        <v>5804.1</v>
      </c>
      <c r="U35" s="79"/>
      <c r="V35" s="80" t="n">
        <v>309723</v>
      </c>
      <c r="W35" s="51" t="s">
        <v>219</v>
      </c>
      <c r="X35" s="77"/>
      <c r="Y35" s="77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</row>
    <row r="36" customFormat="false" ht="12.75" hidden="false" customHeight="false" outlineLevel="0" collapsed="false">
      <c r="A36" s="78"/>
      <c r="B36" s="51" t="s">
        <v>99</v>
      </c>
      <c r="C36" s="49" t="s">
        <v>185</v>
      </c>
      <c r="D36" s="49" t="s">
        <v>215</v>
      </c>
      <c r="E36" s="50" t="n">
        <v>36708</v>
      </c>
      <c r="F36" s="50" t="n">
        <v>37072</v>
      </c>
      <c r="G36" s="51" t="s">
        <v>212</v>
      </c>
      <c r="H36" s="51" t="s">
        <v>220</v>
      </c>
      <c r="I36" s="49" t="s">
        <v>11</v>
      </c>
      <c r="J36" s="63" t="n">
        <f aca="false">6.449/J$1</f>
        <v>0.214966666666667</v>
      </c>
      <c r="K36" s="54" t="n">
        <v>0.0132</v>
      </c>
      <c r="L36" s="54" t="n">
        <v>0.0022</v>
      </c>
      <c r="M36" s="54" t="n">
        <v>0.0072</v>
      </c>
      <c r="N36" s="54" t="n">
        <v>0</v>
      </c>
      <c r="O36" s="55" t="n">
        <v>0.02116</v>
      </c>
      <c r="P36" s="54" t="n">
        <f aca="false">SUM(J36:N36)</f>
        <v>0.237566666666667</v>
      </c>
      <c r="Q36" s="56" t="n">
        <v>68635</v>
      </c>
      <c r="R36" s="49" t="n">
        <v>1</v>
      </c>
      <c r="S36" s="51" t="s">
        <v>221</v>
      </c>
      <c r="T36" s="79" t="n">
        <f aca="false">J36*J$1*R36</f>
        <v>6.449</v>
      </c>
      <c r="U36" s="79"/>
      <c r="V36" s="80" t="n">
        <v>312333</v>
      </c>
      <c r="W36" s="51"/>
      <c r="X36" s="77"/>
      <c r="Y36" s="77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7" customFormat="false" ht="12.75" hidden="false" customHeight="false" outlineLevel="0" collapsed="false">
      <c r="A37" s="78"/>
      <c r="B37" s="51" t="s">
        <v>99</v>
      </c>
      <c r="C37" s="49" t="s">
        <v>185</v>
      </c>
      <c r="D37" s="49" t="s">
        <v>215</v>
      </c>
      <c r="E37" s="50" t="n">
        <v>36739</v>
      </c>
      <c r="F37" s="50" t="n">
        <v>37103</v>
      </c>
      <c r="G37" s="51" t="s">
        <v>212</v>
      </c>
      <c r="H37" s="51" t="s">
        <v>216</v>
      </c>
      <c r="I37" s="49" t="s">
        <v>11</v>
      </c>
      <c r="J37" s="63" t="n">
        <f aca="false">6.401/J$1</f>
        <v>0.213366666666667</v>
      </c>
      <c r="K37" s="54" t="n">
        <v>0.0132</v>
      </c>
      <c r="L37" s="54" t="n">
        <v>0.0022</v>
      </c>
      <c r="M37" s="54" t="n">
        <v>0.0072</v>
      </c>
      <c r="N37" s="54" t="n">
        <v>0</v>
      </c>
      <c r="O37" s="55" t="n">
        <v>0.02116</v>
      </c>
      <c r="P37" s="54" t="n">
        <f aca="false">SUM(J37:N37)</f>
        <v>0.235966666666667</v>
      </c>
      <c r="Q37" s="56" t="n">
        <v>68926</v>
      </c>
      <c r="R37" s="49" t="n">
        <v>4</v>
      </c>
      <c r="S37" s="51" t="s">
        <v>222</v>
      </c>
      <c r="T37" s="79" t="n">
        <f aca="false">J37*J$1*R37</f>
        <v>25.604</v>
      </c>
      <c r="U37" s="79"/>
      <c r="V37" s="80" t="n">
        <v>345125</v>
      </c>
      <c r="W37" s="51"/>
      <c r="X37" s="77"/>
      <c r="Y37" s="77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</row>
    <row r="38" customFormat="false" ht="12.75" hidden="false" customHeight="false" outlineLevel="0" collapsed="false">
      <c r="A38" s="78"/>
      <c r="B38" s="51" t="s">
        <v>99</v>
      </c>
      <c r="C38" s="49" t="s">
        <v>185</v>
      </c>
      <c r="D38" s="49" t="s">
        <v>215</v>
      </c>
      <c r="E38" s="50" t="n">
        <v>36404</v>
      </c>
      <c r="F38" s="50" t="n">
        <v>36769</v>
      </c>
      <c r="G38" s="51" t="s">
        <v>212</v>
      </c>
      <c r="H38" s="51" t="s">
        <v>216</v>
      </c>
      <c r="I38" s="49" t="s">
        <v>11</v>
      </c>
      <c r="J38" s="63" t="n">
        <f aca="false">6.449/J$1</f>
        <v>0.214966666666667</v>
      </c>
      <c r="K38" s="54" t="n">
        <v>0.0132</v>
      </c>
      <c r="L38" s="54" t="n">
        <v>0.0022</v>
      </c>
      <c r="M38" s="54" t="n">
        <v>0.0072</v>
      </c>
      <c r="N38" s="54" t="n">
        <v>0</v>
      </c>
      <c r="O38" s="55" t="n">
        <v>0.02116</v>
      </c>
      <c r="P38" s="54" t="n">
        <f aca="false">SUM(J38:N38)</f>
        <v>0.237566666666667</v>
      </c>
      <c r="Q38" s="56" t="n">
        <v>64651</v>
      </c>
      <c r="R38" s="49" t="n">
        <v>64</v>
      </c>
      <c r="S38" s="51" t="s">
        <v>223</v>
      </c>
      <c r="T38" s="79" t="n">
        <f aca="false">J38*J$1*R38</f>
        <v>412.736</v>
      </c>
      <c r="U38" s="79"/>
      <c r="V38" s="80" t="n">
        <v>235630</v>
      </c>
      <c r="W38" s="51"/>
      <c r="X38" s="77"/>
      <c r="Y38" s="77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</row>
    <row r="39" customFormat="false" ht="12.75" hidden="false" customHeight="false" outlineLevel="0" collapsed="false">
      <c r="A39" s="78"/>
      <c r="B39" s="51" t="s">
        <v>99</v>
      </c>
      <c r="C39" s="49" t="s">
        <v>185</v>
      </c>
      <c r="D39" s="49" t="s">
        <v>215</v>
      </c>
      <c r="E39" s="50" t="n">
        <v>36434</v>
      </c>
      <c r="F39" s="50" t="n">
        <v>36799</v>
      </c>
      <c r="G39" s="51" t="s">
        <v>212</v>
      </c>
      <c r="H39" s="51" t="s">
        <v>220</v>
      </c>
      <c r="I39" s="49" t="s">
        <v>11</v>
      </c>
      <c r="J39" s="63" t="n">
        <f aca="false">6.449/J$1</f>
        <v>0.214966666666667</v>
      </c>
      <c r="K39" s="54" t="n">
        <v>0.0132</v>
      </c>
      <c r="L39" s="54" t="n">
        <v>0.0022</v>
      </c>
      <c r="M39" s="54" t="n">
        <v>0.0072</v>
      </c>
      <c r="N39" s="54" t="n">
        <v>0</v>
      </c>
      <c r="O39" s="55" t="n">
        <v>0.02116</v>
      </c>
      <c r="P39" s="54" t="n">
        <f aca="false">SUM(J39:N39)</f>
        <v>0.237566666666667</v>
      </c>
      <c r="Q39" s="56" t="n">
        <v>64862</v>
      </c>
      <c r="R39" s="49" t="n">
        <v>13</v>
      </c>
      <c r="S39" s="51" t="s">
        <v>224</v>
      </c>
      <c r="T39" s="79" t="n">
        <f aca="false">J39*J$1*R39</f>
        <v>83.837</v>
      </c>
      <c r="U39" s="79"/>
      <c r="V39" s="80" t="n">
        <v>156592</v>
      </c>
      <c r="W39" s="51"/>
      <c r="X39" s="77"/>
      <c r="Y39" s="77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</row>
    <row r="40" customFormat="false" ht="12.75" hidden="false" customHeight="false" outlineLevel="0" collapsed="false">
      <c r="A40" s="78"/>
      <c r="B40" s="51" t="s">
        <v>99</v>
      </c>
      <c r="C40" s="49" t="s">
        <v>185</v>
      </c>
      <c r="D40" s="49" t="s">
        <v>186</v>
      </c>
      <c r="E40" s="50" t="n">
        <v>36434</v>
      </c>
      <c r="F40" s="50" t="n">
        <v>36799</v>
      </c>
      <c r="G40" s="51" t="s">
        <v>212</v>
      </c>
      <c r="H40" s="51" t="s">
        <v>225</v>
      </c>
      <c r="I40" s="49" t="s">
        <v>11</v>
      </c>
      <c r="J40" s="63" t="n">
        <f aca="false">6.372/J$1</f>
        <v>0.2124</v>
      </c>
      <c r="K40" s="54" t="n">
        <v>0.0132</v>
      </c>
      <c r="L40" s="54" t="n">
        <v>0.0022</v>
      </c>
      <c r="M40" s="54" t="n">
        <v>0.0072</v>
      </c>
      <c r="N40" s="54" t="n">
        <v>0</v>
      </c>
      <c r="O40" s="55" t="n">
        <v>0.02116</v>
      </c>
      <c r="P40" s="54" t="n">
        <f aca="false">SUM(J40:N40)</f>
        <v>0.235</v>
      </c>
      <c r="Q40" s="56" t="n">
        <v>64939</v>
      </c>
      <c r="R40" s="49" t="n">
        <v>2300</v>
      </c>
      <c r="S40" s="51" t="s">
        <v>226</v>
      </c>
      <c r="T40" s="79" t="n">
        <f aca="false">J40*J$1*R40</f>
        <v>14655.6</v>
      </c>
      <c r="U40" s="79"/>
      <c r="V40" s="80" t="n">
        <v>156593</v>
      </c>
      <c r="W40" s="51"/>
      <c r="X40" s="77"/>
      <c r="Y40" s="77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</row>
    <row r="41" customFormat="false" ht="12.75" hidden="false" customHeight="false" outlineLevel="0" collapsed="false">
      <c r="A41" s="78"/>
      <c r="B41" s="51" t="s">
        <v>99</v>
      </c>
      <c r="C41" s="49" t="s">
        <v>185</v>
      </c>
      <c r="D41" s="49" t="s">
        <v>186</v>
      </c>
      <c r="E41" s="50" t="n">
        <v>36708</v>
      </c>
      <c r="F41" s="50" t="n">
        <v>36799</v>
      </c>
      <c r="G41" s="51" t="s">
        <v>212</v>
      </c>
      <c r="H41" s="51" t="s">
        <v>225</v>
      </c>
      <c r="I41" s="49" t="s">
        <v>11</v>
      </c>
      <c r="J41" s="63" t="n">
        <f aca="false">6.372/J$1</f>
        <v>0.2124</v>
      </c>
      <c r="K41" s="54" t="n">
        <v>0.0132</v>
      </c>
      <c r="L41" s="54" t="n">
        <v>0.0022</v>
      </c>
      <c r="M41" s="54" t="n">
        <v>0.0072</v>
      </c>
      <c r="N41" s="54" t="n">
        <v>0</v>
      </c>
      <c r="O41" s="55" t="n">
        <v>0.02116</v>
      </c>
      <c r="P41" s="54" t="n">
        <f aca="false">SUM(J41:N41)</f>
        <v>0.235</v>
      </c>
      <c r="Q41" s="56" t="n">
        <v>64939</v>
      </c>
      <c r="R41" s="49" t="n">
        <v>-2300</v>
      </c>
      <c r="S41" s="51" t="s">
        <v>227</v>
      </c>
      <c r="T41" s="79" t="n">
        <f aca="false">J41*J$1*R41</f>
        <v>-14655.6</v>
      </c>
      <c r="U41" s="79"/>
      <c r="V41" s="80" t="n">
        <v>319306</v>
      </c>
      <c r="W41" s="51" t="s">
        <v>228</v>
      </c>
      <c r="X41" s="77"/>
      <c r="Y41" s="77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  <c r="IW41" s="78"/>
    </row>
    <row r="42" customFormat="false" ht="12.75" hidden="false" customHeight="false" outlineLevel="0" collapsed="false">
      <c r="A42" s="78"/>
      <c r="B42" s="51" t="s">
        <v>99</v>
      </c>
      <c r="C42" s="49" t="s">
        <v>185</v>
      </c>
      <c r="D42" s="49" t="s">
        <v>215</v>
      </c>
      <c r="E42" s="50" t="n">
        <v>36465</v>
      </c>
      <c r="F42" s="50" t="n">
        <v>36830</v>
      </c>
      <c r="G42" s="51" t="s">
        <v>212</v>
      </c>
      <c r="H42" s="51" t="s">
        <v>216</v>
      </c>
      <c r="I42" s="49" t="s">
        <v>11</v>
      </c>
      <c r="J42" s="63" t="n">
        <f aca="false">6.449/J$1</f>
        <v>0.214966666666667</v>
      </c>
      <c r="K42" s="54" t="n">
        <v>0.0132</v>
      </c>
      <c r="L42" s="54" t="n">
        <v>0.0022</v>
      </c>
      <c r="M42" s="54" t="n">
        <v>0.0072</v>
      </c>
      <c r="N42" s="54" t="n">
        <v>0</v>
      </c>
      <c r="O42" s="55" t="n">
        <v>0.02116</v>
      </c>
      <c r="P42" s="54" t="n">
        <f aca="false">SUM(J42:N42)</f>
        <v>0.237566666666667</v>
      </c>
      <c r="Q42" s="56" t="n">
        <v>65026</v>
      </c>
      <c r="R42" s="49" t="n">
        <v>128</v>
      </c>
      <c r="S42" s="51" t="s">
        <v>229</v>
      </c>
      <c r="T42" s="79" t="n">
        <f aca="false">J42*J$1*R42</f>
        <v>825.472</v>
      </c>
      <c r="U42" s="79"/>
      <c r="V42" s="80" t="n">
        <v>162286</v>
      </c>
      <c r="W42" s="51"/>
      <c r="X42" s="77"/>
      <c r="Y42" s="77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</row>
    <row r="43" customFormat="false" ht="12.75" hidden="false" customHeight="false" outlineLevel="0" collapsed="false">
      <c r="A43" s="78"/>
      <c r="B43" s="51" t="s">
        <v>99</v>
      </c>
      <c r="C43" s="49" t="s">
        <v>185</v>
      </c>
      <c r="D43" s="49" t="s">
        <v>230</v>
      </c>
      <c r="E43" s="50" t="n">
        <v>36465</v>
      </c>
      <c r="F43" s="50" t="n">
        <v>36830</v>
      </c>
      <c r="G43" s="51" t="s">
        <v>212</v>
      </c>
      <c r="H43" s="51" t="s">
        <v>231</v>
      </c>
      <c r="I43" s="49" t="s">
        <v>11</v>
      </c>
      <c r="J43" s="63" t="n">
        <f aca="false">6.449/J$1</f>
        <v>0.214966666666667</v>
      </c>
      <c r="K43" s="54" t="n">
        <v>0.0132</v>
      </c>
      <c r="L43" s="54" t="n">
        <v>0.0022</v>
      </c>
      <c r="M43" s="54" t="n">
        <v>0.0072</v>
      </c>
      <c r="N43" s="54" t="n">
        <v>0</v>
      </c>
      <c r="O43" s="55" t="n">
        <v>0.02116</v>
      </c>
      <c r="P43" s="54" t="n">
        <f aca="false">SUM(J43:N43)</f>
        <v>0.237566666666667</v>
      </c>
      <c r="Q43" s="56" t="n">
        <v>65041</v>
      </c>
      <c r="R43" s="49" t="n">
        <v>9619</v>
      </c>
      <c r="S43" s="51" t="s">
        <v>232</v>
      </c>
      <c r="T43" s="79" t="n">
        <f aca="false">J43*J$1*R43</f>
        <v>62032.931</v>
      </c>
      <c r="U43" s="79"/>
      <c r="V43" s="80" t="n">
        <v>162285</v>
      </c>
      <c r="W43" s="51"/>
      <c r="X43" s="77"/>
      <c r="Y43" s="77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</row>
    <row r="44" customFormat="false" ht="12.75" hidden="false" customHeight="false" outlineLevel="0" collapsed="false">
      <c r="A44" s="78"/>
      <c r="B44" s="51" t="s">
        <v>99</v>
      </c>
      <c r="C44" s="49" t="s">
        <v>185</v>
      </c>
      <c r="D44" s="49" t="s">
        <v>230</v>
      </c>
      <c r="E44" s="50" t="n">
        <v>36465</v>
      </c>
      <c r="F44" s="50" t="n">
        <v>36830</v>
      </c>
      <c r="G44" s="51" t="s">
        <v>212</v>
      </c>
      <c r="H44" s="51" t="s">
        <v>233</v>
      </c>
      <c r="I44" s="49" t="s">
        <v>11</v>
      </c>
      <c r="J44" s="63" t="n">
        <f aca="false">6.449/J$1</f>
        <v>0.214966666666667</v>
      </c>
      <c r="K44" s="54" t="n">
        <v>0.0132</v>
      </c>
      <c r="L44" s="54" t="n">
        <v>0.0022</v>
      </c>
      <c r="M44" s="54" t="n">
        <v>0.0072</v>
      </c>
      <c r="N44" s="54" t="n">
        <v>0</v>
      </c>
      <c r="O44" s="55" t="n">
        <v>0.02116</v>
      </c>
      <c r="P44" s="54" t="n">
        <f aca="false">SUM(J44:N44)</f>
        <v>0.237566666666667</v>
      </c>
      <c r="Q44" s="56" t="n">
        <v>65042</v>
      </c>
      <c r="R44" s="49" t="n">
        <v>4427</v>
      </c>
      <c r="S44" s="51" t="s">
        <v>234</v>
      </c>
      <c r="T44" s="79" t="n">
        <f aca="false">J44*J$1*R44</f>
        <v>28549.723</v>
      </c>
      <c r="U44" s="79"/>
      <c r="V44" s="80" t="n">
        <v>162287</v>
      </c>
      <c r="W44" s="51"/>
      <c r="X44" s="77"/>
      <c r="Y44" s="77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</row>
    <row r="45" customFormat="false" ht="12.75" hidden="false" customHeight="false" outlineLevel="0" collapsed="false">
      <c r="A45" s="78"/>
      <c r="B45" s="51" t="s">
        <v>99</v>
      </c>
      <c r="C45" s="49" t="s">
        <v>185</v>
      </c>
      <c r="D45" s="49" t="s">
        <v>235</v>
      </c>
      <c r="E45" s="50" t="n">
        <v>36465</v>
      </c>
      <c r="F45" s="50" t="n">
        <v>37011</v>
      </c>
      <c r="G45" s="51" t="s">
        <v>212</v>
      </c>
      <c r="H45" s="51" t="s">
        <v>236</v>
      </c>
      <c r="I45" s="49" t="s">
        <v>11</v>
      </c>
      <c r="J45" s="63" t="n">
        <f aca="false">6.449/J$1</f>
        <v>0.214966666666667</v>
      </c>
      <c r="K45" s="54" t="n">
        <v>0.0132</v>
      </c>
      <c r="L45" s="54" t="n">
        <v>0.0022</v>
      </c>
      <c r="M45" s="54" t="n">
        <v>0.0072</v>
      </c>
      <c r="N45" s="54" t="n">
        <v>0</v>
      </c>
      <c r="O45" s="55" t="n">
        <v>0.02116</v>
      </c>
      <c r="P45" s="54" t="n">
        <f aca="false">SUM(J45:N45)</f>
        <v>0.237566666666667</v>
      </c>
      <c r="Q45" s="56" t="n">
        <v>65108</v>
      </c>
      <c r="R45" s="49" t="n">
        <v>5000</v>
      </c>
      <c r="S45" s="51" t="s">
        <v>237</v>
      </c>
      <c r="T45" s="79" t="n">
        <f aca="false">J45*J$1*R45</f>
        <v>32245</v>
      </c>
      <c r="U45" s="79"/>
      <c r="V45" s="80" t="n">
        <v>163001</v>
      </c>
      <c r="W45" s="51"/>
      <c r="X45" s="77"/>
      <c r="Y45" s="77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12.75" hidden="false" customHeight="false" outlineLevel="0" collapsed="false">
      <c r="A46" s="78"/>
      <c r="B46" s="51" t="s">
        <v>99</v>
      </c>
      <c r="C46" s="49" t="s">
        <v>185</v>
      </c>
      <c r="D46" s="49"/>
      <c r="E46" s="50" t="n">
        <v>36557</v>
      </c>
      <c r="F46" s="50" t="n">
        <v>36830</v>
      </c>
      <c r="G46" s="51" t="s">
        <v>197</v>
      </c>
      <c r="H46" s="51" t="s">
        <v>191</v>
      </c>
      <c r="I46" s="49" t="s">
        <v>11</v>
      </c>
      <c r="J46" s="63" t="n">
        <f aca="false">4.563/J$1</f>
        <v>0.1521</v>
      </c>
      <c r="K46" s="54" t="n">
        <v>0.0132</v>
      </c>
      <c r="L46" s="54" t="n">
        <v>0.0022</v>
      </c>
      <c r="M46" s="54" t="n">
        <v>0.0072</v>
      </c>
      <c r="N46" s="54" t="n">
        <v>0</v>
      </c>
      <c r="O46" s="55" t="n">
        <v>0.02116</v>
      </c>
      <c r="P46" s="54" t="n">
        <f aca="false">SUM(J46:N46)</f>
        <v>0.1747</v>
      </c>
      <c r="Q46" s="56" t="n">
        <v>65418</v>
      </c>
      <c r="R46" s="49" t="n">
        <v>500</v>
      </c>
      <c r="S46" s="51" t="s">
        <v>238</v>
      </c>
      <c r="T46" s="79" t="n">
        <f aca="false">J46*J$1*R46</f>
        <v>2281.5</v>
      </c>
      <c r="U46" s="79"/>
      <c r="V46" s="80" t="n">
        <v>156599</v>
      </c>
      <c r="W46" s="51"/>
      <c r="X46" s="77"/>
      <c r="Y46" s="77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12.75" hidden="false" customHeight="false" outlineLevel="0" collapsed="false">
      <c r="A47" s="78"/>
      <c r="B47" s="51" t="s">
        <v>99</v>
      </c>
      <c r="C47" s="49" t="s">
        <v>185</v>
      </c>
      <c r="D47" s="49" t="s">
        <v>215</v>
      </c>
      <c r="E47" s="50" t="n">
        <v>36557</v>
      </c>
      <c r="F47" s="50" t="n">
        <v>36860</v>
      </c>
      <c r="G47" s="51" t="s">
        <v>212</v>
      </c>
      <c r="H47" s="51" t="s">
        <v>216</v>
      </c>
      <c r="I47" s="49" t="s">
        <v>11</v>
      </c>
      <c r="J47" s="63" t="n">
        <f aca="false">6.449/J$1</f>
        <v>0.214966666666667</v>
      </c>
      <c r="K47" s="54" t="n">
        <v>0.0132</v>
      </c>
      <c r="L47" s="54" t="n">
        <v>0.0022</v>
      </c>
      <c r="M47" s="54" t="n">
        <v>0.0072</v>
      </c>
      <c r="N47" s="54" t="n">
        <v>0</v>
      </c>
      <c r="O47" s="55" t="n">
        <v>0.02116</v>
      </c>
      <c r="P47" s="54" t="n">
        <f aca="false">SUM(J47:N47)</f>
        <v>0.237566666666667</v>
      </c>
      <c r="Q47" s="56" t="n">
        <v>65556</v>
      </c>
      <c r="R47" s="49" t="n">
        <v>3</v>
      </c>
      <c r="S47" s="51" t="s">
        <v>239</v>
      </c>
      <c r="T47" s="79" t="n">
        <f aca="false">J47*J$1*R47</f>
        <v>19.347</v>
      </c>
      <c r="U47" s="79"/>
      <c r="V47" s="80" t="n">
        <v>156602</v>
      </c>
      <c r="W47" s="51"/>
      <c r="X47" s="77"/>
      <c r="Y47" s="77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</row>
    <row r="48" customFormat="false" ht="12.75" hidden="false" customHeight="false" outlineLevel="0" collapsed="false">
      <c r="A48" s="78"/>
      <c r="B48" s="51" t="s">
        <v>99</v>
      </c>
      <c r="C48" s="49" t="s">
        <v>185</v>
      </c>
      <c r="D48" s="49" t="s">
        <v>105</v>
      </c>
      <c r="E48" s="50" t="n">
        <v>36557</v>
      </c>
      <c r="F48" s="50" t="n">
        <v>36922</v>
      </c>
      <c r="G48" s="51" t="s">
        <v>240</v>
      </c>
      <c r="H48" s="51" t="s">
        <v>241</v>
      </c>
      <c r="I48" s="49" t="s">
        <v>11</v>
      </c>
      <c r="J48" s="63" t="n">
        <f aca="false">6.449/J$1</f>
        <v>0.214966666666667</v>
      </c>
      <c r="K48" s="54"/>
      <c r="L48" s="54"/>
      <c r="M48" s="54"/>
      <c r="N48" s="54"/>
      <c r="O48" s="55"/>
      <c r="P48" s="54"/>
      <c r="Q48" s="56" t="n">
        <v>66280</v>
      </c>
      <c r="R48" s="49" t="n">
        <v>1</v>
      </c>
      <c r="S48" s="51" t="s">
        <v>242</v>
      </c>
      <c r="T48" s="79" t="n">
        <f aca="false">J48*J$1*R48</f>
        <v>6.449</v>
      </c>
      <c r="U48" s="79"/>
      <c r="V48" s="80" t="n">
        <v>156606</v>
      </c>
      <c r="W48" s="51"/>
      <c r="X48" s="77"/>
      <c r="Y48" s="77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</row>
    <row r="49" customFormat="false" ht="12.75" hidden="false" customHeight="false" outlineLevel="0" collapsed="false">
      <c r="A49" s="78"/>
      <c r="B49" s="51" t="s">
        <v>99</v>
      </c>
      <c r="C49" s="49" t="s">
        <v>185</v>
      </c>
      <c r="D49" s="49" t="s">
        <v>105</v>
      </c>
      <c r="E49" s="50" t="n">
        <v>36557</v>
      </c>
      <c r="F49" s="50" t="n">
        <v>36922</v>
      </c>
      <c r="G49" s="51" t="s">
        <v>240</v>
      </c>
      <c r="H49" s="51" t="s">
        <v>243</v>
      </c>
      <c r="I49" s="49" t="s">
        <v>11</v>
      </c>
      <c r="J49" s="63" t="n">
        <f aca="false">6.449/J$1</f>
        <v>0.214966666666667</v>
      </c>
      <c r="K49" s="54"/>
      <c r="L49" s="54"/>
      <c r="M49" s="54"/>
      <c r="N49" s="54"/>
      <c r="O49" s="55"/>
      <c r="P49" s="54"/>
      <c r="Q49" s="56" t="n">
        <v>66280</v>
      </c>
      <c r="R49" s="49" t="n">
        <v>4</v>
      </c>
      <c r="S49" s="51" t="s">
        <v>242</v>
      </c>
      <c r="T49" s="79" t="n">
        <f aca="false">J49*J$1*R49</f>
        <v>25.796</v>
      </c>
      <c r="U49" s="79"/>
      <c r="V49" s="80" t="n">
        <v>156606</v>
      </c>
      <c r="W49" s="51"/>
      <c r="X49" s="77"/>
      <c r="Y49" s="77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</row>
    <row r="50" customFormat="false" ht="12.75" hidden="false" customHeight="false" outlineLevel="0" collapsed="false">
      <c r="A50" s="78"/>
      <c r="B50" s="51" t="s">
        <v>99</v>
      </c>
      <c r="C50" s="49" t="s">
        <v>185</v>
      </c>
      <c r="D50" s="49" t="s">
        <v>105</v>
      </c>
      <c r="E50" s="50" t="n">
        <v>36656</v>
      </c>
      <c r="F50" s="50" t="n">
        <v>36950</v>
      </c>
      <c r="G50" s="51" t="s">
        <v>240</v>
      </c>
      <c r="H50" s="51" t="s">
        <v>241</v>
      </c>
      <c r="I50" s="49" t="s">
        <v>11</v>
      </c>
      <c r="J50" s="63" t="n">
        <v>6.449</v>
      </c>
      <c r="K50" s="54"/>
      <c r="L50" s="54"/>
      <c r="M50" s="54"/>
      <c r="N50" s="54"/>
      <c r="O50" s="55"/>
      <c r="P50" s="54"/>
      <c r="Q50" s="56" t="n">
        <v>68308</v>
      </c>
      <c r="R50" s="49" t="n">
        <v>5</v>
      </c>
      <c r="S50" s="51" t="s">
        <v>244</v>
      </c>
      <c r="T50" s="79" t="n">
        <f aca="false">+R50*J50</f>
        <v>32.245</v>
      </c>
      <c r="U50" s="79"/>
      <c r="V50" s="80" t="n">
        <v>262094</v>
      </c>
      <c r="W50" s="51"/>
      <c r="X50" s="77"/>
      <c r="Y50" s="77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</row>
    <row r="51" customFormat="false" ht="12.75" hidden="false" customHeight="false" outlineLevel="0" collapsed="false">
      <c r="A51" s="78"/>
      <c r="B51" s="51" t="s">
        <v>99</v>
      </c>
      <c r="C51" s="49" t="s">
        <v>185</v>
      </c>
      <c r="D51" s="49" t="s">
        <v>105</v>
      </c>
      <c r="E51" s="50" t="n">
        <v>36656</v>
      </c>
      <c r="F51" s="50" t="n">
        <v>36950</v>
      </c>
      <c r="G51" s="51" t="s">
        <v>240</v>
      </c>
      <c r="H51" s="51" t="s">
        <v>243</v>
      </c>
      <c r="I51" s="49" t="s">
        <v>11</v>
      </c>
      <c r="J51" s="63" t="n">
        <v>6.449</v>
      </c>
      <c r="K51" s="54"/>
      <c r="L51" s="54"/>
      <c r="M51" s="54"/>
      <c r="N51" s="54"/>
      <c r="O51" s="55"/>
      <c r="P51" s="54"/>
      <c r="Q51" s="56" t="n">
        <v>68308</v>
      </c>
      <c r="R51" s="49" t="n">
        <v>4</v>
      </c>
      <c r="S51" s="51" t="s">
        <v>244</v>
      </c>
      <c r="T51" s="79" t="n">
        <f aca="false">+R51*J51</f>
        <v>25.796</v>
      </c>
      <c r="U51" s="79"/>
      <c r="V51" s="80" t="n">
        <v>262094</v>
      </c>
      <c r="W51" s="51"/>
      <c r="X51" s="77"/>
      <c r="Y51" s="77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  <c r="IU51" s="78"/>
      <c r="IV51" s="78"/>
      <c r="IW51" s="78"/>
    </row>
    <row r="52" customFormat="false" ht="12.75" hidden="false" customHeight="false" outlineLevel="0" collapsed="false">
      <c r="A52" s="78"/>
      <c r="B52" s="51" t="s">
        <v>99</v>
      </c>
      <c r="C52" s="49" t="s">
        <v>185</v>
      </c>
      <c r="D52" s="49" t="s">
        <v>105</v>
      </c>
      <c r="E52" s="50" t="n">
        <v>36708</v>
      </c>
      <c r="F52" s="50" t="n">
        <v>37072</v>
      </c>
      <c r="G52" s="51" t="s">
        <v>102</v>
      </c>
      <c r="H52" s="51" t="s">
        <v>103</v>
      </c>
      <c r="I52" s="49" t="s">
        <v>104</v>
      </c>
      <c r="J52" s="63" t="n">
        <f aca="false">3.145/J$1</f>
        <v>0.104833333333333</v>
      </c>
      <c r="K52" s="54" t="n">
        <v>0.0132</v>
      </c>
      <c r="L52" s="54" t="n">
        <v>0.0022</v>
      </c>
      <c r="M52" s="54" t="n">
        <v>0</v>
      </c>
      <c r="N52" s="54" t="n">
        <v>0</v>
      </c>
      <c r="O52" s="55" t="n">
        <v>0.02116</v>
      </c>
      <c r="P52" s="54" t="n">
        <f aca="false">SUM(J52:N52)</f>
        <v>0.120233333333333</v>
      </c>
      <c r="Q52" s="56" t="n">
        <v>68635</v>
      </c>
      <c r="R52" s="49" t="n">
        <v>1</v>
      </c>
      <c r="S52" s="51" t="s">
        <v>245</v>
      </c>
      <c r="T52" s="79" t="n">
        <f aca="false">J52*J$1*R52</f>
        <v>3.145</v>
      </c>
      <c r="U52" s="79"/>
      <c r="V52" s="80" t="n">
        <v>312333</v>
      </c>
      <c r="W52" s="51"/>
      <c r="X52" s="77"/>
      <c r="Y52" s="77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  <c r="IU52" s="78"/>
      <c r="IV52" s="78"/>
      <c r="IW52" s="78"/>
    </row>
    <row r="53" customFormat="false" ht="12.75" hidden="false" customHeight="false" outlineLevel="0" collapsed="false">
      <c r="A53" s="78"/>
      <c r="B53" s="51" t="s">
        <v>99</v>
      </c>
      <c r="C53" s="49" t="s">
        <v>185</v>
      </c>
      <c r="D53" s="49" t="s">
        <v>246</v>
      </c>
      <c r="E53" s="50" t="n">
        <v>36617</v>
      </c>
      <c r="F53" s="50" t="s">
        <v>247</v>
      </c>
      <c r="G53" s="51" t="s">
        <v>248</v>
      </c>
      <c r="H53" s="51"/>
      <c r="I53" s="49" t="s">
        <v>249</v>
      </c>
      <c r="J53" s="63"/>
      <c r="K53" s="54"/>
      <c r="L53" s="54"/>
      <c r="M53" s="54"/>
      <c r="N53" s="54"/>
      <c r="O53" s="55"/>
      <c r="P53" s="54"/>
      <c r="Q53" s="56" t="n">
        <v>66917</v>
      </c>
      <c r="R53" s="49"/>
      <c r="S53" s="51"/>
      <c r="T53" s="79"/>
      <c r="U53" s="79"/>
      <c r="V53" s="80" t="n">
        <v>228085</v>
      </c>
      <c r="W53" s="51"/>
      <c r="X53" s="77"/>
      <c r="Y53" s="77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  <c r="IU53" s="78"/>
      <c r="IV53" s="78"/>
      <c r="IW53" s="78"/>
    </row>
    <row r="54" customFormat="false" ht="12.75" hidden="false" customHeight="false" outlineLevel="0" collapsed="false">
      <c r="A54" s="78"/>
      <c r="B54" s="51" t="s">
        <v>99</v>
      </c>
      <c r="C54" s="49" t="s">
        <v>185</v>
      </c>
      <c r="D54" s="49" t="s">
        <v>105</v>
      </c>
      <c r="E54" s="50" t="n">
        <v>36617</v>
      </c>
      <c r="F54" s="50" t="n">
        <v>36981</v>
      </c>
      <c r="G54" s="51" t="s">
        <v>240</v>
      </c>
      <c r="H54" s="51" t="s">
        <v>241</v>
      </c>
      <c r="I54" s="49" t="s">
        <v>11</v>
      </c>
      <c r="J54" s="63" t="n">
        <v>6.401</v>
      </c>
      <c r="K54" s="54"/>
      <c r="L54" s="54"/>
      <c r="M54" s="54"/>
      <c r="N54" s="54"/>
      <c r="O54" s="55"/>
      <c r="P54" s="54"/>
      <c r="Q54" s="56" t="n">
        <v>66939</v>
      </c>
      <c r="R54" s="49" t="n">
        <v>5</v>
      </c>
      <c r="S54" s="51" t="s">
        <v>250</v>
      </c>
      <c r="T54" s="79" t="n">
        <f aca="false">+R54*J54</f>
        <v>32.005</v>
      </c>
      <c r="U54" s="79"/>
      <c r="V54" s="80"/>
      <c r="W54" s="51"/>
      <c r="X54" s="77"/>
      <c r="Y54" s="77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  <c r="IU54" s="78"/>
      <c r="IV54" s="78"/>
      <c r="IW54" s="78"/>
    </row>
    <row r="55" customFormat="false" ht="12.75" hidden="false" customHeight="false" outlineLevel="0" collapsed="false">
      <c r="A55" s="78"/>
      <c r="B55" s="51" t="s">
        <v>99</v>
      </c>
      <c r="C55" s="49" t="s">
        <v>185</v>
      </c>
      <c r="D55" s="49" t="s">
        <v>105</v>
      </c>
      <c r="E55" s="50" t="n">
        <v>36617</v>
      </c>
      <c r="F55" s="50" t="n">
        <v>36981</v>
      </c>
      <c r="G55" s="51" t="s">
        <v>240</v>
      </c>
      <c r="H55" s="51" t="s">
        <v>243</v>
      </c>
      <c r="I55" s="49" t="s">
        <v>11</v>
      </c>
      <c r="J55" s="63" t="n">
        <v>6.401</v>
      </c>
      <c r="K55" s="54"/>
      <c r="L55" s="54"/>
      <c r="M55" s="54"/>
      <c r="N55" s="54"/>
      <c r="O55" s="55"/>
      <c r="P55" s="54"/>
      <c r="Q55" s="56" t="n">
        <v>66939</v>
      </c>
      <c r="R55" s="49" t="n">
        <v>27</v>
      </c>
      <c r="S55" s="51" t="s">
        <v>250</v>
      </c>
      <c r="T55" s="79" t="n">
        <f aca="false">+R55*J55</f>
        <v>172.827</v>
      </c>
      <c r="U55" s="79"/>
      <c r="V55" s="80"/>
      <c r="W55" s="51"/>
      <c r="X55" s="77"/>
      <c r="Y55" s="77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  <c r="IQ55" s="78"/>
      <c r="IR55" s="78"/>
      <c r="IS55" s="78"/>
      <c r="IT55" s="78"/>
      <c r="IU55" s="78"/>
      <c r="IV55" s="78"/>
      <c r="IW55" s="78"/>
    </row>
    <row r="56" customFormat="false" ht="12.75" hidden="false" customHeight="false" outlineLevel="0" collapsed="false">
      <c r="A56" s="78"/>
      <c r="B56" s="51" t="s">
        <v>99</v>
      </c>
      <c r="C56" s="49" t="s">
        <v>185</v>
      </c>
      <c r="D56" s="49" t="s">
        <v>105</v>
      </c>
      <c r="E56" s="50" t="n">
        <v>36617</v>
      </c>
      <c r="F56" s="50" t="n">
        <v>36981</v>
      </c>
      <c r="G56" s="51" t="s">
        <v>240</v>
      </c>
      <c r="H56" s="51" t="s">
        <v>251</v>
      </c>
      <c r="I56" s="49" t="s">
        <v>11</v>
      </c>
      <c r="J56" s="63" t="n">
        <v>6.401</v>
      </c>
      <c r="K56" s="54"/>
      <c r="L56" s="54"/>
      <c r="M56" s="54"/>
      <c r="N56" s="54"/>
      <c r="O56" s="55"/>
      <c r="P56" s="54"/>
      <c r="Q56" s="56" t="n">
        <v>66939</v>
      </c>
      <c r="R56" s="49" t="n">
        <v>3</v>
      </c>
      <c r="S56" s="51" t="s">
        <v>250</v>
      </c>
      <c r="T56" s="79" t="n">
        <f aca="false">+R56*J56</f>
        <v>19.203</v>
      </c>
      <c r="U56" s="79"/>
      <c r="V56" s="80"/>
      <c r="W56" s="51"/>
      <c r="X56" s="77"/>
      <c r="Y56" s="77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  <c r="IU56" s="78"/>
      <c r="IV56" s="78"/>
      <c r="IW56" s="78"/>
    </row>
    <row r="57" customFormat="false" ht="12.75" hidden="false" customHeight="false" outlineLevel="0" collapsed="false">
      <c r="A57" s="78"/>
      <c r="B57" s="51" t="s">
        <v>99</v>
      </c>
      <c r="C57" s="49" t="s">
        <v>185</v>
      </c>
      <c r="D57" s="49" t="s">
        <v>105</v>
      </c>
      <c r="E57" s="50" t="n">
        <v>36617</v>
      </c>
      <c r="F57" s="50" t="n">
        <v>36981</v>
      </c>
      <c r="G57" s="51" t="s">
        <v>240</v>
      </c>
      <c r="H57" s="51" t="s">
        <v>252</v>
      </c>
      <c r="I57" s="49" t="s">
        <v>11</v>
      </c>
      <c r="J57" s="63" t="n">
        <v>6.401</v>
      </c>
      <c r="K57" s="54"/>
      <c r="L57" s="54"/>
      <c r="M57" s="54"/>
      <c r="N57" s="54"/>
      <c r="O57" s="55"/>
      <c r="P57" s="54"/>
      <c r="Q57" s="56" t="n">
        <v>66939</v>
      </c>
      <c r="R57" s="49" t="n">
        <v>17</v>
      </c>
      <c r="S57" s="51" t="s">
        <v>250</v>
      </c>
      <c r="T57" s="79" t="n">
        <f aca="false">+R57*J57</f>
        <v>108.817</v>
      </c>
      <c r="U57" s="79"/>
      <c r="V57" s="80"/>
      <c r="W57" s="51"/>
      <c r="X57" s="77"/>
      <c r="Y57" s="77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  <c r="IW57" s="78"/>
    </row>
    <row r="58" customFormat="false" ht="12.75" hidden="false" customHeight="false" outlineLevel="0" collapsed="false">
      <c r="A58" s="78"/>
      <c r="B58" s="51" t="s">
        <v>99</v>
      </c>
      <c r="C58" s="49" t="s">
        <v>185</v>
      </c>
      <c r="D58" s="49" t="s">
        <v>253</v>
      </c>
      <c r="E58" s="50" t="n">
        <v>36617</v>
      </c>
      <c r="F58" s="50" t="n">
        <v>36981</v>
      </c>
      <c r="G58" s="51" t="s">
        <v>240</v>
      </c>
      <c r="H58" s="51" t="s">
        <v>254</v>
      </c>
      <c r="I58" s="49" t="s">
        <v>11</v>
      </c>
      <c r="J58" s="63" t="n">
        <v>6.401</v>
      </c>
      <c r="K58" s="54"/>
      <c r="L58" s="54"/>
      <c r="M58" s="54"/>
      <c r="N58" s="54"/>
      <c r="O58" s="55"/>
      <c r="P58" s="54"/>
      <c r="Q58" s="56" t="n">
        <v>66940</v>
      </c>
      <c r="R58" s="49" t="n">
        <v>1</v>
      </c>
      <c r="S58" s="51" t="s">
        <v>255</v>
      </c>
      <c r="T58" s="79" t="n">
        <f aca="false">+R58*J58</f>
        <v>6.401</v>
      </c>
      <c r="U58" s="79"/>
      <c r="V58" s="80" t="n">
        <v>228134</v>
      </c>
      <c r="W58" s="51"/>
      <c r="X58" s="77"/>
      <c r="Y58" s="77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  <c r="IW58" s="78"/>
    </row>
    <row r="59" customFormat="false" ht="12.75" hidden="false" customHeight="false" outlineLevel="0" collapsed="false">
      <c r="A59" s="78"/>
      <c r="B59" s="51" t="s">
        <v>99</v>
      </c>
      <c r="C59" s="49" t="s">
        <v>185</v>
      </c>
      <c r="D59" s="49" t="s">
        <v>253</v>
      </c>
      <c r="E59" s="50" t="n">
        <v>36617</v>
      </c>
      <c r="F59" s="50" t="n">
        <v>36981</v>
      </c>
      <c r="G59" s="51" t="s">
        <v>240</v>
      </c>
      <c r="H59" s="51" t="s">
        <v>256</v>
      </c>
      <c r="I59" s="49" t="s">
        <v>11</v>
      </c>
      <c r="J59" s="63" t="n">
        <v>6.401</v>
      </c>
      <c r="K59" s="54"/>
      <c r="L59" s="54"/>
      <c r="M59" s="54"/>
      <c r="N59" s="54"/>
      <c r="O59" s="55"/>
      <c r="P59" s="54"/>
      <c r="Q59" s="56" t="n">
        <v>66940</v>
      </c>
      <c r="R59" s="49" t="n">
        <v>1</v>
      </c>
      <c r="S59" s="51" t="s">
        <v>255</v>
      </c>
      <c r="T59" s="79" t="n">
        <f aca="false">+R59*J59</f>
        <v>6.401</v>
      </c>
      <c r="U59" s="79"/>
      <c r="V59" s="80" t="n">
        <v>228134</v>
      </c>
      <c r="W59" s="51"/>
      <c r="X59" s="77"/>
      <c r="Y59" s="77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  <c r="IW59" s="78"/>
    </row>
    <row r="60" customFormat="false" ht="12.75" hidden="false" customHeight="false" outlineLevel="0" collapsed="false">
      <c r="A60" s="78"/>
      <c r="B60" s="51" t="s">
        <v>99</v>
      </c>
      <c r="C60" s="49" t="s">
        <v>185</v>
      </c>
      <c r="D60" s="49" t="s">
        <v>253</v>
      </c>
      <c r="E60" s="50" t="n">
        <v>36647</v>
      </c>
      <c r="F60" s="50" t="n">
        <v>37011</v>
      </c>
      <c r="G60" s="51" t="s">
        <v>257</v>
      </c>
      <c r="H60" s="51" t="s">
        <v>258</v>
      </c>
      <c r="I60" s="49" t="s">
        <v>11</v>
      </c>
      <c r="J60" s="63" t="n">
        <f aca="false">6.401/J1</f>
        <v>0.213366666666667</v>
      </c>
      <c r="K60" s="54"/>
      <c r="L60" s="54"/>
      <c r="M60" s="54"/>
      <c r="N60" s="54"/>
      <c r="O60" s="55"/>
      <c r="P60" s="54"/>
      <c r="Q60" s="56" t="n">
        <v>68188</v>
      </c>
      <c r="R60" s="49" t="n">
        <v>1</v>
      </c>
      <c r="S60" s="51" t="s">
        <v>259</v>
      </c>
      <c r="T60" s="79" t="n">
        <f aca="false">+J60*R60*13</f>
        <v>2.77376666666667</v>
      </c>
      <c r="U60" s="79"/>
      <c r="V60" s="80" t="n">
        <v>253195</v>
      </c>
      <c r="W60" s="51"/>
      <c r="X60" s="77"/>
      <c r="Y60" s="77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  <c r="IW60" s="78"/>
    </row>
    <row r="61" customFormat="false" ht="12.75" hidden="false" customHeight="false" outlineLevel="0" collapsed="false">
      <c r="A61" s="135"/>
      <c r="B61" s="60" t="s">
        <v>99</v>
      </c>
      <c r="C61" s="102" t="s">
        <v>185</v>
      </c>
      <c r="D61" s="102" t="s">
        <v>3</v>
      </c>
      <c r="E61" s="136" t="n">
        <v>36312</v>
      </c>
      <c r="F61" s="136" t="n">
        <v>37011</v>
      </c>
      <c r="G61" s="60" t="s">
        <v>212</v>
      </c>
      <c r="H61" s="60" t="s">
        <v>260</v>
      </c>
      <c r="I61" s="102" t="s">
        <v>11</v>
      </c>
      <c r="J61" s="137"/>
      <c r="K61" s="82"/>
      <c r="L61" s="82"/>
      <c r="M61" s="82"/>
      <c r="N61" s="82"/>
      <c r="O61" s="138"/>
      <c r="P61" s="82"/>
      <c r="Q61" s="100" t="n">
        <v>65403</v>
      </c>
      <c r="R61" s="102"/>
      <c r="S61" s="60" t="s">
        <v>261</v>
      </c>
      <c r="T61" s="58"/>
      <c r="U61" s="58"/>
      <c r="V61" s="59"/>
      <c r="W61" s="60" t="s">
        <v>262</v>
      </c>
      <c r="X61" s="61"/>
      <c r="Y61" s="61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35"/>
      <c r="BW61" s="135"/>
      <c r="BX61" s="135"/>
      <c r="BY61" s="135"/>
      <c r="BZ61" s="135"/>
      <c r="CA61" s="135"/>
      <c r="CB61" s="135"/>
      <c r="CC61" s="135"/>
      <c r="CD61" s="135"/>
      <c r="CE61" s="135"/>
      <c r="CF61" s="135"/>
      <c r="CG61" s="135"/>
      <c r="CH61" s="135"/>
      <c r="CI61" s="135"/>
      <c r="CJ61" s="135"/>
      <c r="CK61" s="135"/>
      <c r="CL61" s="135"/>
      <c r="CM61" s="135"/>
      <c r="CN61" s="135"/>
      <c r="CO61" s="135"/>
      <c r="CP61" s="135"/>
      <c r="CQ61" s="135"/>
      <c r="CR61" s="135"/>
      <c r="CS61" s="135"/>
      <c r="CT61" s="135"/>
      <c r="CU61" s="135"/>
      <c r="CV61" s="135"/>
      <c r="CW61" s="135"/>
      <c r="CX61" s="135"/>
      <c r="CY61" s="135"/>
      <c r="CZ61" s="135"/>
      <c r="DA61" s="135"/>
      <c r="DB61" s="135"/>
      <c r="DC61" s="135"/>
      <c r="DD61" s="135"/>
      <c r="DE61" s="135"/>
      <c r="DF61" s="135"/>
      <c r="DG61" s="135"/>
      <c r="DH61" s="135"/>
      <c r="DI61" s="135"/>
      <c r="DJ61" s="135"/>
      <c r="DK61" s="135"/>
      <c r="DL61" s="135"/>
      <c r="DM61" s="135"/>
      <c r="DN61" s="135"/>
      <c r="DO61" s="135"/>
      <c r="DP61" s="135"/>
      <c r="DQ61" s="135"/>
      <c r="DR61" s="135"/>
      <c r="DS61" s="135"/>
      <c r="DT61" s="135"/>
      <c r="DU61" s="135"/>
      <c r="DV61" s="135"/>
      <c r="DW61" s="135"/>
      <c r="DX61" s="135"/>
      <c r="DY61" s="135"/>
      <c r="DZ61" s="135"/>
      <c r="EA61" s="135"/>
      <c r="EB61" s="135"/>
      <c r="EC61" s="135"/>
      <c r="ED61" s="135"/>
      <c r="EE61" s="135"/>
      <c r="EF61" s="135"/>
      <c r="EG61" s="135"/>
      <c r="EH61" s="135"/>
      <c r="EI61" s="135"/>
      <c r="EJ61" s="135"/>
      <c r="EK61" s="135"/>
      <c r="EL61" s="135"/>
      <c r="EM61" s="135"/>
      <c r="EN61" s="135"/>
      <c r="EO61" s="135"/>
      <c r="EP61" s="135"/>
      <c r="EQ61" s="135"/>
      <c r="ER61" s="135"/>
      <c r="ES61" s="135"/>
      <c r="ET61" s="135"/>
      <c r="EU61" s="135"/>
      <c r="EV61" s="135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5"/>
      <c r="FI61" s="135"/>
      <c r="FJ61" s="135"/>
      <c r="FK61" s="135"/>
      <c r="FL61" s="135"/>
      <c r="FM61" s="135"/>
      <c r="FN61" s="135"/>
      <c r="FO61" s="135"/>
      <c r="FP61" s="135"/>
      <c r="FQ61" s="135"/>
      <c r="FR61" s="135"/>
      <c r="FS61" s="135"/>
      <c r="FT61" s="135"/>
      <c r="FU61" s="135"/>
      <c r="FV61" s="135"/>
      <c r="FW61" s="135"/>
      <c r="FX61" s="135"/>
      <c r="FY61" s="135"/>
      <c r="FZ61" s="135"/>
      <c r="GA61" s="135"/>
      <c r="GB61" s="135"/>
      <c r="GC61" s="135"/>
      <c r="GD61" s="135"/>
      <c r="GE61" s="135"/>
      <c r="GF61" s="135"/>
      <c r="GG61" s="135"/>
      <c r="GH61" s="135"/>
      <c r="GI61" s="135"/>
      <c r="GJ61" s="135"/>
      <c r="GK61" s="135"/>
      <c r="GL61" s="135"/>
      <c r="GM61" s="135"/>
      <c r="GN61" s="135"/>
      <c r="GO61" s="135"/>
      <c r="GP61" s="135"/>
      <c r="GQ61" s="135"/>
      <c r="GR61" s="135"/>
      <c r="GS61" s="135"/>
      <c r="GT61" s="135"/>
      <c r="GU61" s="135"/>
      <c r="GV61" s="135"/>
      <c r="GW61" s="135"/>
      <c r="GX61" s="135"/>
      <c r="GY61" s="135"/>
      <c r="GZ61" s="135"/>
      <c r="HA61" s="135"/>
      <c r="HB61" s="135"/>
      <c r="HC61" s="135"/>
      <c r="HD61" s="135"/>
      <c r="HE61" s="135"/>
      <c r="HF61" s="135"/>
      <c r="HG61" s="135"/>
      <c r="HH61" s="135"/>
      <c r="HI61" s="135"/>
      <c r="HJ61" s="135"/>
      <c r="HK61" s="135"/>
      <c r="HL61" s="135"/>
      <c r="HM61" s="135"/>
      <c r="HN61" s="135"/>
      <c r="HO61" s="135"/>
      <c r="HP61" s="135"/>
      <c r="HQ61" s="135"/>
      <c r="HR61" s="135"/>
      <c r="HS61" s="135"/>
      <c r="HT61" s="135"/>
      <c r="HU61" s="135"/>
      <c r="HV61" s="135"/>
      <c r="HW61" s="135"/>
      <c r="HX61" s="135"/>
      <c r="HY61" s="135"/>
      <c r="HZ61" s="135"/>
      <c r="IA61" s="135"/>
      <c r="IB61" s="135"/>
      <c r="IC61" s="135"/>
      <c r="ID61" s="135"/>
      <c r="IE61" s="135"/>
      <c r="IF61" s="135"/>
      <c r="IG61" s="135"/>
      <c r="IH61" s="135"/>
      <c r="II61" s="135"/>
      <c r="IJ61" s="135"/>
      <c r="IK61" s="135"/>
      <c r="IL61" s="135"/>
      <c r="IM61" s="135"/>
      <c r="IN61" s="135"/>
      <c r="IO61" s="135"/>
      <c r="IP61" s="135"/>
      <c r="IQ61" s="135"/>
      <c r="IR61" s="135"/>
      <c r="IS61" s="135"/>
      <c r="IT61" s="135"/>
      <c r="IU61" s="135"/>
      <c r="IV61" s="135"/>
      <c r="IW61" s="135"/>
    </row>
    <row r="62" customFormat="false" ht="12.75" hidden="false" customHeight="false" outlineLevel="0" collapsed="false">
      <c r="A62" s="135"/>
      <c r="B62" s="60" t="s">
        <v>99</v>
      </c>
      <c r="C62" s="102" t="s">
        <v>185</v>
      </c>
      <c r="D62" s="102" t="s">
        <v>101</v>
      </c>
      <c r="E62" s="136" t="n">
        <v>36739</v>
      </c>
      <c r="F62" s="136" t="n">
        <v>37103</v>
      </c>
      <c r="G62" s="60" t="s">
        <v>240</v>
      </c>
      <c r="H62" s="60" t="s">
        <v>263</v>
      </c>
      <c r="I62" s="102" t="s">
        <v>11</v>
      </c>
      <c r="J62" s="137" t="n">
        <v>6.401</v>
      </c>
      <c r="K62" s="82"/>
      <c r="L62" s="82"/>
      <c r="M62" s="82"/>
      <c r="N62" s="82"/>
      <c r="O62" s="138"/>
      <c r="P62" s="82"/>
      <c r="Q62" s="100" t="n">
        <v>68928</v>
      </c>
      <c r="R62" s="102" t="n">
        <v>47</v>
      </c>
      <c r="S62" s="60" t="s">
        <v>264</v>
      </c>
      <c r="T62" s="58" t="n">
        <f aca="false">+J62*R62</f>
        <v>300.847</v>
      </c>
      <c r="U62" s="58"/>
      <c r="V62" s="59" t="n">
        <v>351966</v>
      </c>
      <c r="W62" s="60"/>
      <c r="X62" s="61"/>
      <c r="Y62" s="61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135"/>
      <c r="CX62" s="135"/>
      <c r="CY62" s="135"/>
      <c r="CZ62" s="135"/>
      <c r="DA62" s="135"/>
      <c r="DB62" s="135"/>
      <c r="DC62" s="135"/>
      <c r="DD62" s="135"/>
      <c r="DE62" s="135"/>
      <c r="DF62" s="135"/>
      <c r="DG62" s="135"/>
      <c r="DH62" s="135"/>
      <c r="DI62" s="135"/>
      <c r="DJ62" s="135"/>
      <c r="DK62" s="135"/>
      <c r="DL62" s="135"/>
      <c r="DM62" s="135"/>
      <c r="DN62" s="135"/>
      <c r="DO62" s="135"/>
      <c r="DP62" s="135"/>
      <c r="DQ62" s="135"/>
      <c r="DR62" s="135"/>
      <c r="DS62" s="135"/>
      <c r="DT62" s="135"/>
      <c r="DU62" s="135"/>
      <c r="DV62" s="135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5"/>
      <c r="EI62" s="135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5"/>
      <c r="EV62" s="135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5"/>
      <c r="FI62" s="135"/>
      <c r="FJ62" s="135"/>
      <c r="FK62" s="135"/>
      <c r="FL62" s="135"/>
      <c r="FM62" s="135"/>
      <c r="FN62" s="135"/>
      <c r="FO62" s="135"/>
      <c r="FP62" s="135"/>
      <c r="FQ62" s="135"/>
      <c r="FR62" s="135"/>
      <c r="FS62" s="135"/>
      <c r="FT62" s="135"/>
      <c r="FU62" s="135"/>
      <c r="FV62" s="135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  <c r="GG62" s="135"/>
      <c r="GH62" s="135"/>
      <c r="GI62" s="135"/>
      <c r="GJ62" s="135"/>
      <c r="GK62" s="135"/>
      <c r="GL62" s="135"/>
      <c r="GM62" s="135"/>
      <c r="GN62" s="135"/>
      <c r="GO62" s="135"/>
      <c r="GP62" s="135"/>
      <c r="GQ62" s="135"/>
      <c r="GR62" s="135"/>
      <c r="GS62" s="135"/>
      <c r="GT62" s="135"/>
      <c r="GU62" s="135"/>
      <c r="GV62" s="135"/>
      <c r="GW62" s="135"/>
      <c r="GX62" s="135"/>
      <c r="GY62" s="135"/>
      <c r="GZ62" s="135"/>
      <c r="HA62" s="135"/>
      <c r="HB62" s="135"/>
      <c r="HC62" s="135"/>
      <c r="HD62" s="135"/>
      <c r="HE62" s="135"/>
      <c r="HF62" s="135"/>
      <c r="HG62" s="135"/>
      <c r="HH62" s="135"/>
      <c r="HI62" s="135"/>
      <c r="HJ62" s="135"/>
      <c r="HK62" s="135"/>
      <c r="HL62" s="135"/>
      <c r="HM62" s="135"/>
      <c r="HN62" s="135"/>
      <c r="HO62" s="135"/>
      <c r="HP62" s="135"/>
      <c r="HQ62" s="135"/>
      <c r="HR62" s="135"/>
      <c r="HS62" s="135"/>
      <c r="HT62" s="135"/>
      <c r="HU62" s="135"/>
      <c r="HV62" s="135"/>
      <c r="HW62" s="135"/>
      <c r="HX62" s="135"/>
      <c r="HY62" s="135"/>
      <c r="HZ62" s="135"/>
      <c r="IA62" s="135"/>
      <c r="IB62" s="135"/>
      <c r="IC62" s="135"/>
      <c r="ID62" s="135"/>
      <c r="IE62" s="135"/>
      <c r="IF62" s="135"/>
      <c r="IG62" s="135"/>
      <c r="IH62" s="135"/>
      <c r="II62" s="135"/>
      <c r="IJ62" s="135"/>
      <c r="IK62" s="135"/>
      <c r="IL62" s="135"/>
      <c r="IM62" s="135"/>
      <c r="IN62" s="135"/>
      <c r="IO62" s="135"/>
      <c r="IP62" s="135"/>
      <c r="IQ62" s="135"/>
      <c r="IR62" s="135"/>
      <c r="IS62" s="135"/>
      <c r="IT62" s="135"/>
      <c r="IU62" s="135"/>
      <c r="IV62" s="135"/>
      <c r="IW62" s="135"/>
    </row>
    <row r="63" customFormat="false" ht="12.75" hidden="false" customHeight="false" outlineLevel="0" collapsed="false">
      <c r="A63" s="135"/>
      <c r="B63" s="60" t="s">
        <v>99</v>
      </c>
      <c r="C63" s="102" t="s">
        <v>185</v>
      </c>
      <c r="D63" s="102" t="s">
        <v>105</v>
      </c>
      <c r="E63" s="136" t="n">
        <v>36770</v>
      </c>
      <c r="F63" s="136" t="n">
        <v>37134</v>
      </c>
      <c r="G63" s="60" t="s">
        <v>240</v>
      </c>
      <c r="H63" s="60" t="s">
        <v>265</v>
      </c>
      <c r="I63" s="102" t="s">
        <v>11</v>
      </c>
      <c r="J63" s="137" t="n">
        <v>6.401</v>
      </c>
      <c r="K63" s="82"/>
      <c r="L63" s="82"/>
      <c r="M63" s="82"/>
      <c r="N63" s="82"/>
      <c r="O63" s="138"/>
      <c r="P63" s="82"/>
      <c r="Q63" s="100" t="n">
        <v>69144</v>
      </c>
      <c r="R63" s="102" t="n">
        <v>62</v>
      </c>
      <c r="S63" s="60" t="s">
        <v>266</v>
      </c>
      <c r="T63" s="58" t="n">
        <f aca="false">+J63*R63</f>
        <v>396.862</v>
      </c>
      <c r="U63" s="58"/>
      <c r="V63" s="59"/>
      <c r="W63" s="60"/>
      <c r="X63" s="61"/>
      <c r="Y63" s="61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135"/>
      <c r="CN63" s="135"/>
      <c r="CO63" s="135"/>
      <c r="CP63" s="135"/>
      <c r="CQ63" s="135"/>
      <c r="CR63" s="135"/>
      <c r="CS63" s="135"/>
      <c r="CT63" s="135"/>
      <c r="CU63" s="135"/>
      <c r="CV63" s="135"/>
      <c r="CW63" s="135"/>
      <c r="CX63" s="135"/>
      <c r="CY63" s="135"/>
      <c r="CZ63" s="135"/>
      <c r="DA63" s="135"/>
      <c r="DB63" s="135"/>
      <c r="DC63" s="135"/>
      <c r="DD63" s="135"/>
      <c r="DE63" s="135"/>
      <c r="DF63" s="135"/>
      <c r="DG63" s="135"/>
      <c r="DH63" s="135"/>
      <c r="DI63" s="135"/>
      <c r="DJ63" s="135"/>
      <c r="DK63" s="135"/>
      <c r="DL63" s="135"/>
      <c r="DM63" s="135"/>
      <c r="DN63" s="135"/>
      <c r="DO63" s="135"/>
      <c r="DP63" s="135"/>
      <c r="DQ63" s="135"/>
      <c r="DR63" s="135"/>
      <c r="DS63" s="135"/>
      <c r="DT63" s="135"/>
      <c r="DU63" s="135"/>
      <c r="DV63" s="135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5"/>
      <c r="EI63" s="135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5"/>
      <c r="EV63" s="135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5"/>
      <c r="FI63" s="135"/>
      <c r="FJ63" s="135"/>
      <c r="FK63" s="135"/>
      <c r="FL63" s="135"/>
      <c r="FM63" s="135"/>
      <c r="FN63" s="135"/>
      <c r="FO63" s="135"/>
      <c r="FP63" s="135"/>
      <c r="FQ63" s="135"/>
      <c r="FR63" s="135"/>
      <c r="FS63" s="135"/>
      <c r="FT63" s="135"/>
      <c r="FU63" s="135"/>
      <c r="FV63" s="135"/>
      <c r="FW63" s="135"/>
      <c r="FX63" s="135"/>
      <c r="FY63" s="135"/>
      <c r="FZ63" s="135"/>
      <c r="GA63" s="135"/>
      <c r="GB63" s="135"/>
      <c r="GC63" s="135"/>
      <c r="GD63" s="135"/>
      <c r="GE63" s="135"/>
      <c r="GF63" s="135"/>
      <c r="GG63" s="135"/>
      <c r="GH63" s="135"/>
      <c r="GI63" s="135"/>
      <c r="GJ63" s="135"/>
      <c r="GK63" s="135"/>
      <c r="GL63" s="135"/>
      <c r="GM63" s="135"/>
      <c r="GN63" s="135"/>
      <c r="GO63" s="135"/>
      <c r="GP63" s="135"/>
      <c r="GQ63" s="135"/>
      <c r="GR63" s="135"/>
      <c r="GS63" s="135"/>
      <c r="GT63" s="135"/>
      <c r="GU63" s="135"/>
      <c r="GV63" s="135"/>
      <c r="GW63" s="135"/>
      <c r="GX63" s="135"/>
      <c r="GY63" s="135"/>
      <c r="GZ63" s="135"/>
      <c r="HA63" s="135"/>
      <c r="HB63" s="135"/>
      <c r="HC63" s="135"/>
      <c r="HD63" s="135"/>
      <c r="HE63" s="135"/>
      <c r="HF63" s="135"/>
      <c r="HG63" s="135"/>
      <c r="HH63" s="135"/>
      <c r="HI63" s="135"/>
      <c r="HJ63" s="135"/>
      <c r="HK63" s="135"/>
      <c r="HL63" s="135"/>
      <c r="HM63" s="135"/>
      <c r="HN63" s="135"/>
      <c r="HO63" s="135"/>
      <c r="HP63" s="135"/>
      <c r="HQ63" s="135"/>
      <c r="HR63" s="135"/>
      <c r="HS63" s="135"/>
      <c r="HT63" s="135"/>
      <c r="HU63" s="135"/>
      <c r="HV63" s="135"/>
      <c r="HW63" s="135"/>
      <c r="HX63" s="135"/>
      <c r="HY63" s="135"/>
      <c r="HZ63" s="135"/>
      <c r="IA63" s="135"/>
      <c r="IB63" s="135"/>
      <c r="IC63" s="135"/>
      <c r="ID63" s="135"/>
      <c r="IE63" s="135"/>
      <c r="IF63" s="135"/>
      <c r="IG63" s="135"/>
      <c r="IH63" s="135"/>
      <c r="II63" s="135"/>
      <c r="IJ63" s="135"/>
      <c r="IK63" s="135"/>
      <c r="IL63" s="135"/>
      <c r="IM63" s="135"/>
      <c r="IN63" s="135"/>
      <c r="IO63" s="135"/>
      <c r="IP63" s="135"/>
      <c r="IQ63" s="135"/>
      <c r="IR63" s="135"/>
      <c r="IS63" s="135"/>
      <c r="IT63" s="135"/>
      <c r="IU63" s="135"/>
      <c r="IV63" s="135"/>
      <c r="IW63" s="135"/>
    </row>
    <row r="64" customFormat="false" ht="12.75" hidden="false" customHeight="false" outlineLevel="0" collapsed="false">
      <c r="A64" s="135"/>
      <c r="B64" s="60" t="s">
        <v>99</v>
      </c>
      <c r="C64" s="102" t="s">
        <v>185</v>
      </c>
      <c r="D64" s="102" t="s">
        <v>101</v>
      </c>
      <c r="E64" s="136" t="n">
        <v>36647</v>
      </c>
      <c r="F64" s="136" t="n">
        <v>37011</v>
      </c>
      <c r="G64" s="60" t="s">
        <v>240</v>
      </c>
      <c r="H64" s="60" t="s">
        <v>267</v>
      </c>
      <c r="I64" s="102" t="s">
        <v>11</v>
      </c>
      <c r="J64" s="137" t="n">
        <v>6.401</v>
      </c>
      <c r="K64" s="82"/>
      <c r="L64" s="82"/>
      <c r="M64" s="82"/>
      <c r="N64" s="82"/>
      <c r="O64" s="138"/>
      <c r="P64" s="82"/>
      <c r="Q64" s="100" t="n">
        <v>68257</v>
      </c>
      <c r="R64" s="102" t="n">
        <v>21</v>
      </c>
      <c r="S64" s="60" t="s">
        <v>268</v>
      </c>
      <c r="T64" s="58" t="n">
        <f aca="false">+R64*J64</f>
        <v>134.421</v>
      </c>
      <c r="U64" s="58"/>
      <c r="V64" s="59" t="n">
        <v>254718</v>
      </c>
      <c r="W64" s="60"/>
      <c r="X64" s="61"/>
      <c r="Y64" s="61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135"/>
      <c r="CR64" s="135"/>
      <c r="CS64" s="135"/>
      <c r="CT64" s="135"/>
      <c r="CU64" s="135"/>
      <c r="CV64" s="135"/>
      <c r="CW64" s="135"/>
      <c r="CX64" s="135"/>
      <c r="CY64" s="135"/>
      <c r="CZ64" s="135"/>
      <c r="DA64" s="135"/>
      <c r="DB64" s="135"/>
      <c r="DC64" s="135"/>
      <c r="DD64" s="135"/>
      <c r="DE64" s="135"/>
      <c r="DF64" s="135"/>
      <c r="DG64" s="135"/>
      <c r="DH64" s="135"/>
      <c r="DI64" s="135"/>
      <c r="DJ64" s="135"/>
      <c r="DK64" s="135"/>
      <c r="DL64" s="135"/>
      <c r="DM64" s="135"/>
      <c r="DN64" s="135"/>
      <c r="DO64" s="135"/>
      <c r="DP64" s="135"/>
      <c r="DQ64" s="135"/>
      <c r="DR64" s="135"/>
      <c r="DS64" s="135"/>
      <c r="DT64" s="135"/>
      <c r="DU64" s="135"/>
      <c r="DV64" s="135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5"/>
      <c r="EI64" s="135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5"/>
      <c r="EV64" s="135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5"/>
      <c r="FI64" s="135"/>
      <c r="FJ64" s="135"/>
      <c r="FK64" s="135"/>
      <c r="FL64" s="135"/>
      <c r="FM64" s="135"/>
      <c r="FN64" s="135"/>
      <c r="FO64" s="135"/>
      <c r="FP64" s="135"/>
      <c r="FQ64" s="135"/>
      <c r="FR64" s="135"/>
      <c r="FS64" s="135"/>
      <c r="FT64" s="135"/>
      <c r="FU64" s="135"/>
      <c r="FV64" s="135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  <c r="GG64" s="135"/>
      <c r="GH64" s="135"/>
      <c r="GI64" s="135"/>
      <c r="GJ64" s="135"/>
      <c r="GK64" s="135"/>
      <c r="GL64" s="135"/>
      <c r="GM64" s="135"/>
      <c r="GN64" s="135"/>
      <c r="GO64" s="135"/>
      <c r="GP64" s="135"/>
      <c r="GQ64" s="135"/>
      <c r="GR64" s="135"/>
      <c r="GS64" s="135"/>
      <c r="GT64" s="135"/>
      <c r="GU64" s="135"/>
      <c r="GV64" s="135"/>
      <c r="GW64" s="135"/>
      <c r="GX64" s="135"/>
      <c r="GY64" s="135"/>
      <c r="GZ64" s="135"/>
      <c r="HA64" s="135"/>
      <c r="HB64" s="135"/>
      <c r="HC64" s="135"/>
      <c r="HD64" s="135"/>
      <c r="HE64" s="135"/>
      <c r="HF64" s="135"/>
      <c r="HG64" s="135"/>
      <c r="HH64" s="135"/>
      <c r="HI64" s="135"/>
      <c r="HJ64" s="135"/>
      <c r="HK64" s="135"/>
      <c r="HL64" s="135"/>
      <c r="HM64" s="135"/>
      <c r="HN64" s="135"/>
      <c r="HO64" s="135"/>
      <c r="HP64" s="135"/>
      <c r="HQ64" s="135"/>
      <c r="HR64" s="135"/>
      <c r="HS64" s="135"/>
      <c r="HT64" s="135"/>
      <c r="HU64" s="135"/>
      <c r="HV64" s="135"/>
      <c r="HW64" s="135"/>
      <c r="HX64" s="135"/>
      <c r="HY64" s="135"/>
      <c r="HZ64" s="135"/>
      <c r="IA64" s="135"/>
      <c r="IB64" s="135"/>
      <c r="IC64" s="135"/>
      <c r="ID64" s="135"/>
      <c r="IE64" s="135"/>
      <c r="IF64" s="135"/>
      <c r="IG64" s="135"/>
      <c r="IH64" s="135"/>
      <c r="II64" s="135"/>
      <c r="IJ64" s="135"/>
      <c r="IK64" s="135"/>
      <c r="IL64" s="135"/>
      <c r="IM64" s="135"/>
      <c r="IN64" s="135"/>
      <c r="IO64" s="135"/>
      <c r="IP64" s="135"/>
      <c r="IQ64" s="135"/>
      <c r="IR64" s="135"/>
      <c r="IS64" s="135"/>
      <c r="IT64" s="135"/>
      <c r="IU64" s="135"/>
      <c r="IV64" s="135"/>
      <c r="IW64" s="135"/>
    </row>
    <row r="65" customFormat="false" ht="12.75" hidden="false" customHeight="false" outlineLevel="0" collapsed="false">
      <c r="T65" s="79" t="n">
        <f aca="false">+R65*J65</f>
        <v>0</v>
      </c>
    </row>
    <row r="66" customFormat="false" ht="12.75" hidden="false" customHeight="false" outlineLevel="0" collapsed="false">
      <c r="B66" s="124" t="s">
        <v>67</v>
      </c>
      <c r="C66" s="125" t="s">
        <v>67</v>
      </c>
      <c r="D66" s="125" t="s">
        <v>67</v>
      </c>
      <c r="E66" s="127" t="s">
        <v>67</v>
      </c>
      <c r="F66" s="127" t="s">
        <v>67</v>
      </c>
      <c r="G66" s="124" t="s">
        <v>67</v>
      </c>
      <c r="H66" s="128" t="s">
        <v>67</v>
      </c>
      <c r="I66" s="125" t="s">
        <v>67</v>
      </c>
      <c r="J66" s="129"/>
      <c r="K66" s="130"/>
      <c r="L66" s="130"/>
      <c r="M66" s="130"/>
      <c r="N66" s="130"/>
      <c r="O66" s="131"/>
      <c r="P66" s="130"/>
      <c r="Q66" s="132" t="s">
        <v>67</v>
      </c>
      <c r="R66" s="125" t="n">
        <f aca="false">SUM(R31:R64)</f>
        <v>21362</v>
      </c>
      <c r="S66" s="124" t="s">
        <v>67</v>
      </c>
      <c r="T66" s="133" t="n">
        <f aca="false">SUM(T19:T64)</f>
        <v>881580.210866667</v>
      </c>
      <c r="U66" s="133" t="e">
        <f aca="false">SUM(#REF!)</f>
        <v>#REF!</v>
      </c>
      <c r="V66" s="134"/>
      <c r="W66" s="128"/>
      <c r="X66" s="77"/>
      <c r="Y66" s="77"/>
    </row>
    <row r="67" customFormat="false" ht="12.75" hidden="false" customHeight="false" outlineLevel="0" collapsed="false">
      <c r="B67" s="68" t="s">
        <v>79</v>
      </c>
      <c r="C67" s="69" t="s">
        <v>80</v>
      </c>
      <c r="D67" s="69" t="s">
        <v>81</v>
      </c>
      <c r="E67" s="70" t="s">
        <v>82</v>
      </c>
      <c r="F67" s="70"/>
      <c r="G67" s="68" t="s">
        <v>83</v>
      </c>
      <c r="H67" s="68" t="s">
        <v>84</v>
      </c>
      <c r="I67" s="69" t="s">
        <v>85</v>
      </c>
      <c r="J67" s="71" t="s">
        <v>86</v>
      </c>
      <c r="K67" s="69" t="s">
        <v>87</v>
      </c>
      <c r="L67" s="69" t="s">
        <v>88</v>
      </c>
      <c r="M67" s="69" t="s">
        <v>89</v>
      </c>
      <c r="N67" s="69" t="s">
        <v>90</v>
      </c>
      <c r="O67" s="72" t="s">
        <v>91</v>
      </c>
      <c r="P67" s="69" t="s">
        <v>92</v>
      </c>
      <c r="Q67" s="73" t="s">
        <v>93</v>
      </c>
      <c r="R67" s="69" t="s">
        <v>94</v>
      </c>
      <c r="S67" s="68" t="s">
        <v>95</v>
      </c>
      <c r="T67" s="74" t="s">
        <v>96</v>
      </c>
      <c r="U67" s="74" t="s">
        <v>97</v>
      </c>
      <c r="V67" s="75" t="s">
        <v>98</v>
      </c>
      <c r="W67" s="76" t="n">
        <f aca="false">+W37</f>
        <v>0</v>
      </c>
      <c r="X67" s="77"/>
      <c r="Y67" s="77"/>
    </row>
    <row r="68" customFormat="false" ht="12" hidden="false" customHeight="true" outlineLevel="0" collapsed="false">
      <c r="A68" s="83"/>
      <c r="B68" s="84" t="s">
        <v>99</v>
      </c>
      <c r="C68" s="85" t="s">
        <v>269</v>
      </c>
      <c r="D68" s="85" t="s">
        <v>270</v>
      </c>
      <c r="E68" s="86" t="n">
        <v>35612</v>
      </c>
      <c r="F68" s="86" t="n">
        <v>37437</v>
      </c>
      <c r="G68" s="84" t="s">
        <v>271</v>
      </c>
      <c r="H68" s="84" t="s">
        <v>272</v>
      </c>
      <c r="I68" s="85" t="s">
        <v>11</v>
      </c>
      <c r="J68" s="87" t="n">
        <v>0</v>
      </c>
      <c r="K68" s="88" t="n">
        <v>0</v>
      </c>
      <c r="L68" s="88" t="n">
        <v>0.0022</v>
      </c>
      <c r="M68" s="88" t="n">
        <v>0.0072</v>
      </c>
      <c r="N68" s="88" t="n">
        <v>0</v>
      </c>
      <c r="O68" s="89" t="n">
        <v>0</v>
      </c>
      <c r="P68" s="88" t="n">
        <f aca="false">SUM(J68:N68)</f>
        <v>0.0094</v>
      </c>
      <c r="Q68" s="90" t="n">
        <v>270</v>
      </c>
      <c r="R68" s="85" t="n">
        <v>1000</v>
      </c>
      <c r="S68" s="84" t="s">
        <v>273</v>
      </c>
      <c r="T68" s="91" t="n">
        <f aca="false">J68*J$1*R68</f>
        <v>0</v>
      </c>
      <c r="U68" s="91"/>
      <c r="V68" s="92" t="n">
        <v>348630</v>
      </c>
      <c r="W68" s="84"/>
      <c r="X68" s="94"/>
      <c r="Y68" s="94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</row>
    <row r="69" customFormat="false" ht="12" hidden="false" customHeight="true" outlineLevel="0" collapsed="false">
      <c r="A69" s="78"/>
      <c r="B69" s="51"/>
      <c r="C69" s="49"/>
      <c r="D69" s="49"/>
      <c r="E69" s="50"/>
      <c r="F69" s="50"/>
      <c r="G69" s="51"/>
      <c r="H69" s="51"/>
      <c r="I69" s="49"/>
      <c r="J69" s="63"/>
      <c r="K69" s="54"/>
      <c r="L69" s="54"/>
      <c r="M69" s="54"/>
      <c r="N69" s="54"/>
      <c r="O69" s="55"/>
      <c r="P69" s="54"/>
      <c r="Q69" s="56"/>
      <c r="R69" s="49"/>
      <c r="S69" s="51"/>
      <c r="T69" s="79" t="n">
        <f aca="false">SUM(T68)</f>
        <v>0</v>
      </c>
      <c r="U69" s="79"/>
      <c r="V69" s="80"/>
      <c r="W69" s="51"/>
      <c r="X69" s="77"/>
      <c r="Y69" s="77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78"/>
      <c r="HK69" s="78"/>
      <c r="HL69" s="78"/>
      <c r="HM69" s="78"/>
      <c r="HN69" s="78"/>
      <c r="HO69" s="78"/>
      <c r="HP69" s="78"/>
      <c r="HQ69" s="78"/>
      <c r="HR69" s="78"/>
      <c r="HS69" s="78"/>
      <c r="HT69" s="78"/>
      <c r="HU69" s="78"/>
      <c r="HV69" s="78"/>
      <c r="HW69" s="78"/>
      <c r="HX69" s="78"/>
      <c r="HY69" s="78"/>
      <c r="HZ69" s="78"/>
      <c r="IA69" s="78"/>
      <c r="IB69" s="78"/>
      <c r="IC69" s="78"/>
      <c r="ID69" s="78"/>
      <c r="IE69" s="78"/>
      <c r="IF69" s="78"/>
      <c r="IG69" s="78"/>
      <c r="IH69" s="78"/>
      <c r="II69" s="78"/>
      <c r="IJ69" s="78"/>
      <c r="IK69" s="78"/>
      <c r="IL69" s="78"/>
      <c r="IM69" s="78"/>
      <c r="IN69" s="78"/>
      <c r="IO69" s="78"/>
      <c r="IP69" s="78"/>
      <c r="IQ69" s="78"/>
      <c r="IR69" s="78"/>
      <c r="IS69" s="78"/>
      <c r="IT69" s="78"/>
      <c r="IU69" s="78"/>
      <c r="IV69" s="78"/>
      <c r="IW69" s="78"/>
    </row>
    <row r="70" customFormat="false" ht="12.75" hidden="false" customHeight="false" outlineLevel="0" collapsed="false">
      <c r="B70" s="45"/>
      <c r="C70" s="49"/>
      <c r="D70" s="49"/>
      <c r="E70" s="50"/>
      <c r="F70" s="50"/>
      <c r="G70" s="51"/>
      <c r="H70" s="51"/>
      <c r="I70" s="49"/>
      <c r="J70" s="54"/>
      <c r="K70" s="54"/>
      <c r="L70" s="54"/>
      <c r="M70" s="54"/>
      <c r="N70" s="54"/>
      <c r="O70" s="55"/>
      <c r="P70" s="54"/>
      <c r="Q70" s="100"/>
      <c r="R70" s="101"/>
      <c r="S70" s="58"/>
      <c r="T70" s="58"/>
      <c r="U70" s="58"/>
      <c r="V70" s="59"/>
      <c r="W70" s="60"/>
      <c r="X70" s="61"/>
      <c r="Y70" s="61"/>
    </row>
    <row r="71" customFormat="false" ht="12.75" hidden="false" customHeight="false" outlineLevel="0" collapsed="false">
      <c r="B71" s="45"/>
      <c r="C71" s="49"/>
      <c r="D71" s="49"/>
      <c r="E71" s="50"/>
      <c r="F71" s="50"/>
      <c r="G71" s="51"/>
      <c r="H71" s="51"/>
      <c r="I71" s="49"/>
      <c r="J71" s="63"/>
      <c r="K71" s="54"/>
      <c r="L71" s="54"/>
      <c r="M71" s="54"/>
      <c r="N71" s="54"/>
      <c r="O71" s="55"/>
      <c r="P71" s="54"/>
      <c r="Q71" s="100"/>
      <c r="R71" s="101"/>
      <c r="S71" s="58"/>
      <c r="T71" s="58"/>
      <c r="U71" s="58"/>
      <c r="V71" s="59"/>
      <c r="W71" s="60"/>
      <c r="X71" s="61"/>
      <c r="Y71" s="61"/>
    </row>
    <row r="72" customFormat="false" ht="13.5" hidden="false" customHeight="false" outlineLevel="0" collapsed="false">
      <c r="B72" s="45"/>
      <c r="C72" s="49"/>
      <c r="D72" s="49"/>
      <c r="E72" s="50"/>
      <c r="F72" s="50"/>
      <c r="G72" s="51"/>
      <c r="H72" s="51"/>
      <c r="I72" s="49"/>
      <c r="J72" s="54"/>
      <c r="K72" s="54"/>
      <c r="L72" s="54"/>
      <c r="M72" s="54"/>
      <c r="N72" s="54"/>
      <c r="O72" s="55"/>
      <c r="P72" s="54"/>
      <c r="Q72" s="100"/>
      <c r="R72" s="101"/>
      <c r="S72" s="58"/>
      <c r="T72" s="139" t="n">
        <f aca="false">SUM(T69,T66,T17,)</f>
        <v>882040.039166667</v>
      </c>
      <c r="U72" s="58"/>
      <c r="V72" s="59"/>
      <c r="W72" s="60"/>
      <c r="X72" s="61"/>
      <c r="Y72" s="61"/>
    </row>
    <row r="73" customFormat="false" ht="13.5" hidden="false" customHeight="false" outlineLevel="0" collapsed="false">
      <c r="B73" s="45"/>
      <c r="C73" s="49"/>
      <c r="D73" s="49"/>
      <c r="E73" s="50"/>
      <c r="F73" s="50"/>
      <c r="G73" s="51"/>
      <c r="H73" s="51"/>
      <c r="I73" s="49"/>
      <c r="J73" s="54"/>
      <c r="K73" s="54"/>
      <c r="L73" s="54"/>
      <c r="M73" s="54"/>
      <c r="N73" s="54"/>
      <c r="O73" s="55"/>
      <c r="P73" s="54"/>
      <c r="Q73" s="100"/>
      <c r="R73" s="101"/>
      <c r="S73" s="58"/>
      <c r="T73" s="58"/>
      <c r="U73" s="60"/>
      <c r="V73" s="59"/>
      <c r="W73" s="60"/>
      <c r="X73" s="102"/>
      <c r="Y73" s="61"/>
    </row>
    <row r="74" customFormat="false" ht="12.75" hidden="false" customHeight="false" outlineLevel="0" collapsed="false">
      <c r="B74" s="45"/>
      <c r="C74" s="49"/>
      <c r="D74" s="49"/>
      <c r="E74" s="50"/>
      <c r="F74" s="50"/>
      <c r="G74" s="51"/>
      <c r="H74" s="51"/>
      <c r="I74" s="49"/>
      <c r="J74" s="54"/>
      <c r="K74" s="54"/>
      <c r="L74" s="54"/>
      <c r="M74" s="54"/>
      <c r="N74" s="54"/>
      <c r="O74" s="55"/>
      <c r="P74" s="54"/>
      <c r="Q74" s="100"/>
      <c r="R74" s="101"/>
      <c r="S74" s="58"/>
      <c r="T74" s="58" t="n">
        <v>10000</v>
      </c>
      <c r="U74" s="58" t="s">
        <v>274</v>
      </c>
      <c r="V74" s="59"/>
      <c r="W74" s="60"/>
      <c r="X74" s="61"/>
      <c r="Y74" s="61"/>
    </row>
    <row r="75" customFormat="false" ht="13.5" hidden="false" customHeight="false" outlineLevel="0" collapsed="false">
      <c r="B75" s="45"/>
      <c r="C75" s="49"/>
      <c r="D75" s="49"/>
      <c r="E75" s="50"/>
      <c r="F75" s="50"/>
      <c r="G75" s="51"/>
      <c r="H75" s="51"/>
      <c r="I75" s="49"/>
      <c r="J75" s="54"/>
      <c r="K75" s="54"/>
      <c r="L75" s="54"/>
      <c r="M75" s="54"/>
      <c r="N75" s="54"/>
      <c r="O75" s="55"/>
      <c r="P75" s="54"/>
      <c r="Q75" s="100"/>
      <c r="R75" s="101"/>
      <c r="S75" s="58"/>
      <c r="T75" s="139" t="n">
        <f aca="false">+T74+T72</f>
        <v>892040.039166667</v>
      </c>
      <c r="U75" s="140" t="s">
        <v>16</v>
      </c>
      <c r="V75" s="59"/>
      <c r="W75" s="60"/>
      <c r="X75" s="61"/>
      <c r="Y75" s="61"/>
    </row>
    <row r="76" customFormat="false" ht="13.5" hidden="false" customHeight="false" outlineLevel="0" collapsed="false">
      <c r="B76" s="45"/>
      <c r="C76" s="49"/>
      <c r="D76" s="49"/>
      <c r="E76" s="50"/>
      <c r="F76" s="50"/>
      <c r="G76" s="51"/>
      <c r="H76" s="51"/>
      <c r="I76" s="49"/>
      <c r="J76" s="63"/>
      <c r="K76" s="54"/>
      <c r="L76" s="54"/>
      <c r="M76" s="54"/>
      <c r="N76" s="54"/>
      <c r="O76" s="55"/>
      <c r="P76" s="54"/>
      <c r="Q76" s="100"/>
      <c r="R76" s="101"/>
      <c r="S76" s="102"/>
      <c r="T76" s="58"/>
      <c r="U76" s="58"/>
      <c r="V76" s="59"/>
      <c r="W76" s="60"/>
      <c r="X76" s="61"/>
      <c r="Y76" s="61"/>
    </row>
    <row r="77" customFormat="false" ht="12.75" hidden="false" customHeight="false" outlineLevel="0" collapsed="false">
      <c r="B77" s="45"/>
      <c r="C77" s="49"/>
      <c r="D77" s="49"/>
      <c r="E77" s="50"/>
      <c r="F77" s="50"/>
      <c r="G77" s="51"/>
      <c r="H77" s="51"/>
      <c r="I77" s="49"/>
      <c r="J77" s="63"/>
      <c r="K77" s="54"/>
      <c r="L77" s="54"/>
      <c r="M77" s="54"/>
      <c r="N77" s="54"/>
      <c r="O77" s="55"/>
      <c r="P77" s="54"/>
      <c r="Q77" s="100"/>
      <c r="R77" s="101"/>
      <c r="S77" s="102"/>
      <c r="T77" s="58"/>
      <c r="U77" s="58"/>
      <c r="V77" s="59"/>
      <c r="W77" s="60"/>
      <c r="X77" s="61"/>
      <c r="Y77" s="61"/>
    </row>
    <row r="78" customFormat="false" ht="12.75" hidden="false" customHeight="false" outlineLevel="0" collapsed="false">
      <c r="Q78" s="42"/>
      <c r="R78" s="42"/>
      <c r="S78" s="42"/>
      <c r="T78" s="42"/>
      <c r="U78" s="42"/>
      <c r="V78" s="121"/>
      <c r="W78" s="122"/>
      <c r="X78" s="121"/>
    </row>
    <row r="79" customFormat="false" ht="12.75" hidden="false" customHeight="false" outlineLevel="0" collapsed="false">
      <c r="Q79" s="42"/>
      <c r="R79" s="42"/>
      <c r="S79" s="42"/>
      <c r="T79" s="42"/>
      <c r="U79" s="42"/>
      <c r="V79" s="121"/>
      <c r="W79" s="122"/>
      <c r="X79" s="1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275</v>
      </c>
      <c r="D1" s="0" t="s">
        <v>276</v>
      </c>
      <c r="E1" s="0" t="s">
        <v>277</v>
      </c>
      <c r="F1" s="0" t="s">
        <v>278</v>
      </c>
      <c r="G1" s="0" t="s">
        <v>279</v>
      </c>
      <c r="H1" s="0" t="s">
        <v>280</v>
      </c>
      <c r="I1" s="0" t="s">
        <v>281</v>
      </c>
      <c r="J1" s="0" t="s">
        <v>282</v>
      </c>
      <c r="K1" s="0" t="s">
        <v>283</v>
      </c>
      <c r="L1" s="0" t="s">
        <v>284</v>
      </c>
      <c r="M1" s="0" t="s">
        <v>285</v>
      </c>
      <c r="N1" s="0" t="s">
        <v>286</v>
      </c>
      <c r="O1" s="0" t="s">
        <v>287</v>
      </c>
    </row>
    <row r="2" customFormat="false" ht="12.75" hidden="false" customHeight="false" outlineLevel="0" collapsed="false">
      <c r="B2" s="141"/>
      <c r="C2" s="141" t="s">
        <v>288</v>
      </c>
      <c r="D2" s="141" t="n">
        <v>37147</v>
      </c>
      <c r="E2" s="141" t="s">
        <v>289</v>
      </c>
      <c r="F2" s="141" t="s">
        <v>290</v>
      </c>
      <c r="G2" s="141" t="s">
        <v>290</v>
      </c>
      <c r="H2" s="142" t="n">
        <v>35582</v>
      </c>
      <c r="I2" s="141" t="s">
        <v>290</v>
      </c>
      <c r="J2" s="141" t="s">
        <v>290</v>
      </c>
      <c r="K2" s="141" t="n">
        <v>0</v>
      </c>
      <c r="L2" s="141" t="n">
        <v>0</v>
      </c>
      <c r="M2" s="141" t="n">
        <v>0</v>
      </c>
      <c r="N2" s="141" t="n">
        <v>0</v>
      </c>
      <c r="O2" s="141" t="n">
        <v>0</v>
      </c>
      <c r="P2" s="141" t="n">
        <v>0</v>
      </c>
      <c r="Q2" s="141" t="s">
        <v>290</v>
      </c>
    </row>
    <row r="3" customFormat="false" ht="12.75" hidden="false" customHeight="false" outlineLevel="0" collapsed="false">
      <c r="B3" s="143"/>
      <c r="C3" s="143" t="s">
        <v>288</v>
      </c>
      <c r="D3" s="143" t="n">
        <v>39149</v>
      </c>
      <c r="E3" s="143" t="s">
        <v>249</v>
      </c>
      <c r="F3" s="143" t="s">
        <v>290</v>
      </c>
      <c r="G3" s="143" t="s">
        <v>290</v>
      </c>
      <c r="H3" s="144" t="n">
        <v>35582</v>
      </c>
      <c r="I3" s="143" t="s">
        <v>290</v>
      </c>
      <c r="J3" s="143" t="s">
        <v>290</v>
      </c>
      <c r="K3" s="145" t="n">
        <v>500000</v>
      </c>
      <c r="L3" s="143" t="n">
        <v>0</v>
      </c>
      <c r="M3" s="145" t="n">
        <v>500000</v>
      </c>
      <c r="N3" s="143" t="n">
        <v>0</v>
      </c>
      <c r="O3" s="143" t="n">
        <v>0</v>
      </c>
      <c r="P3" s="143" t="n">
        <v>0</v>
      </c>
      <c r="Q3" s="143" t="s">
        <v>290</v>
      </c>
    </row>
    <row r="4" customFormat="false" ht="12.75" hidden="false" customHeight="false" outlineLevel="0" collapsed="false">
      <c r="B4" s="141"/>
      <c r="C4" s="141" t="s">
        <v>288</v>
      </c>
      <c r="D4" s="141" t="n">
        <v>39607</v>
      </c>
      <c r="E4" s="141" t="s">
        <v>291</v>
      </c>
      <c r="F4" s="141" t="s">
        <v>290</v>
      </c>
      <c r="G4" s="141" t="s">
        <v>290</v>
      </c>
      <c r="H4" s="142" t="n">
        <v>35582</v>
      </c>
      <c r="I4" s="141" t="s">
        <v>290</v>
      </c>
      <c r="J4" s="141" t="s">
        <v>290</v>
      </c>
      <c r="K4" s="146" t="n">
        <v>10000000</v>
      </c>
      <c r="L4" s="141" t="n">
        <v>0</v>
      </c>
      <c r="M4" s="146" t="n">
        <v>10000000</v>
      </c>
      <c r="N4" s="141" t="n">
        <v>0</v>
      </c>
      <c r="O4" s="141" t="n">
        <v>0</v>
      </c>
      <c r="P4" s="141" t="n">
        <v>0</v>
      </c>
      <c r="Q4" s="141" t="s">
        <v>290</v>
      </c>
    </row>
    <row r="5" customFormat="false" ht="12.75" hidden="false" customHeight="false" outlineLevel="0" collapsed="false">
      <c r="B5" s="143"/>
      <c r="C5" s="143" t="s">
        <v>288</v>
      </c>
      <c r="D5" s="143" t="n">
        <v>39764</v>
      </c>
      <c r="E5" s="143" t="s">
        <v>292</v>
      </c>
      <c r="F5" s="143" t="s">
        <v>290</v>
      </c>
      <c r="G5" s="143" t="s">
        <v>290</v>
      </c>
      <c r="H5" s="144" t="n">
        <v>35582</v>
      </c>
      <c r="I5" s="143" t="s">
        <v>290</v>
      </c>
      <c r="J5" s="143" t="s">
        <v>290</v>
      </c>
      <c r="K5" s="145" t="n">
        <v>60000</v>
      </c>
      <c r="L5" s="143" t="n">
        <v>0</v>
      </c>
      <c r="M5" s="145" t="n">
        <v>60000</v>
      </c>
      <c r="N5" s="143" t="n">
        <v>0</v>
      </c>
      <c r="O5" s="143" t="n">
        <v>0</v>
      </c>
      <c r="P5" s="143" t="n">
        <v>0</v>
      </c>
      <c r="Q5" s="143" t="s">
        <v>290</v>
      </c>
    </row>
    <row r="6" customFormat="false" ht="12.75" hidden="false" customHeight="false" outlineLevel="0" collapsed="false">
      <c r="B6" s="141"/>
      <c r="C6" s="141" t="s">
        <v>288</v>
      </c>
      <c r="D6" s="141" t="n">
        <v>40998</v>
      </c>
      <c r="E6" s="141" t="s">
        <v>293</v>
      </c>
      <c r="F6" s="141" t="s">
        <v>290</v>
      </c>
      <c r="G6" s="141" t="s">
        <v>290</v>
      </c>
      <c r="H6" s="142" t="n">
        <v>34393</v>
      </c>
      <c r="I6" s="141" t="s">
        <v>290</v>
      </c>
      <c r="J6" s="141" t="s">
        <v>290</v>
      </c>
      <c r="K6" s="146" t="n">
        <v>250000</v>
      </c>
      <c r="L6" s="141" t="n">
        <v>0</v>
      </c>
      <c r="M6" s="146" t="n">
        <v>250000</v>
      </c>
      <c r="N6" s="141" t="n">
        <v>0</v>
      </c>
      <c r="O6" s="141" t="n">
        <v>0</v>
      </c>
      <c r="P6" s="141" t="n">
        <v>0</v>
      </c>
      <c r="Q6" s="141" t="s">
        <v>290</v>
      </c>
    </row>
    <row r="7" customFormat="false" ht="12.75" hidden="false" customHeight="false" outlineLevel="0" collapsed="false">
      <c r="B7" s="143"/>
      <c r="C7" s="143" t="s">
        <v>288</v>
      </c>
      <c r="D7" s="143" t="n">
        <v>60094</v>
      </c>
      <c r="E7" s="143" t="s">
        <v>294</v>
      </c>
      <c r="F7" s="143" t="s">
        <v>290</v>
      </c>
      <c r="G7" s="143" t="s">
        <v>290</v>
      </c>
      <c r="H7" s="144" t="n">
        <v>35916</v>
      </c>
      <c r="I7" s="143" t="s">
        <v>290</v>
      </c>
      <c r="J7" s="143" t="s">
        <v>290</v>
      </c>
      <c r="K7" s="143" t="n">
        <v>0</v>
      </c>
      <c r="L7" s="143" t="n">
        <v>0</v>
      </c>
      <c r="M7" s="143" t="n">
        <v>0</v>
      </c>
      <c r="N7" s="143" t="n">
        <v>0</v>
      </c>
      <c r="O7" s="143" t="n">
        <v>0</v>
      </c>
      <c r="P7" s="143" t="n">
        <v>0</v>
      </c>
      <c r="Q7" s="143" t="s">
        <v>290</v>
      </c>
    </row>
    <row r="8" customFormat="false" ht="12.75" hidden="false" customHeight="false" outlineLevel="0" collapsed="false">
      <c r="B8" s="141"/>
      <c r="C8" s="141" t="s">
        <v>288</v>
      </c>
      <c r="D8" s="141" t="n">
        <v>61822</v>
      </c>
      <c r="E8" s="141" t="s">
        <v>11</v>
      </c>
      <c r="F8" s="141" t="s">
        <v>290</v>
      </c>
      <c r="G8" s="141" t="s">
        <v>290</v>
      </c>
      <c r="H8" s="142" t="n">
        <v>36557</v>
      </c>
      <c r="I8" s="141" t="s">
        <v>290</v>
      </c>
      <c r="J8" s="141" t="n">
        <v>22429</v>
      </c>
      <c r="K8" s="146" t="n">
        <v>4000</v>
      </c>
      <c r="L8" s="141" t="n">
        <v>0</v>
      </c>
      <c r="M8" s="146" t="n">
        <v>4000</v>
      </c>
      <c r="N8" s="141" t="n">
        <v>0</v>
      </c>
      <c r="O8" s="141" t="n">
        <v>0</v>
      </c>
      <c r="P8" s="141" t="n">
        <v>0</v>
      </c>
      <c r="Q8" s="141" t="s">
        <v>290</v>
      </c>
    </row>
    <row r="9" customFormat="false" ht="12.75" hidden="false" customHeight="false" outlineLevel="0" collapsed="false">
      <c r="B9" s="143"/>
      <c r="C9" s="143" t="s">
        <v>288</v>
      </c>
      <c r="D9" s="143" t="n">
        <v>61825</v>
      </c>
      <c r="E9" s="143" t="s">
        <v>11</v>
      </c>
      <c r="F9" s="143" t="s">
        <v>290</v>
      </c>
      <c r="G9" s="143" t="s">
        <v>290</v>
      </c>
      <c r="H9" s="144" t="n">
        <v>36557</v>
      </c>
      <c r="I9" s="144" t="n">
        <v>36830</v>
      </c>
      <c r="J9" s="143" t="n">
        <v>22428</v>
      </c>
      <c r="K9" s="145" t="n">
        <v>8000</v>
      </c>
      <c r="L9" s="143" t="n">
        <v>0</v>
      </c>
      <c r="M9" s="145" t="n">
        <v>8000</v>
      </c>
      <c r="N9" s="143" t="n">
        <v>0</v>
      </c>
      <c r="O9" s="143" t="n">
        <v>0</v>
      </c>
      <c r="P9" s="143" t="n">
        <v>0</v>
      </c>
      <c r="Q9" s="143" t="s">
        <v>290</v>
      </c>
    </row>
    <row r="10" customFormat="false" ht="12.75" hidden="false" customHeight="false" outlineLevel="0" collapsed="false">
      <c r="B10" s="141"/>
      <c r="C10" s="141" t="s">
        <v>288</v>
      </c>
      <c r="D10" s="141" t="n">
        <v>61838</v>
      </c>
      <c r="E10" s="141" t="s">
        <v>11</v>
      </c>
      <c r="F10" s="141" t="s">
        <v>290</v>
      </c>
      <c r="G10" s="141" t="s">
        <v>290</v>
      </c>
      <c r="H10" s="142" t="n">
        <v>36557</v>
      </c>
      <c r="I10" s="141" t="s">
        <v>290</v>
      </c>
      <c r="J10" s="141" t="n">
        <v>22422</v>
      </c>
      <c r="K10" s="146" t="n">
        <v>1000</v>
      </c>
      <c r="L10" s="141" t="n">
        <v>0</v>
      </c>
      <c r="M10" s="146" t="n">
        <v>1000</v>
      </c>
      <c r="N10" s="141" t="n">
        <v>0</v>
      </c>
      <c r="O10" s="141" t="n">
        <v>0</v>
      </c>
      <c r="P10" s="141" t="n">
        <v>0</v>
      </c>
      <c r="Q10" s="141" t="s">
        <v>290</v>
      </c>
    </row>
    <row r="11" customFormat="false" ht="12.75" hidden="false" customHeight="false" outlineLevel="0" collapsed="false">
      <c r="B11" s="143"/>
      <c r="C11" s="143" t="s">
        <v>288</v>
      </c>
      <c r="D11" s="143" t="n">
        <v>61990</v>
      </c>
      <c r="E11" s="143" t="s">
        <v>11</v>
      </c>
      <c r="F11" s="143" t="s">
        <v>290</v>
      </c>
      <c r="G11" s="143" t="s">
        <v>290</v>
      </c>
      <c r="H11" s="144" t="n">
        <v>36557</v>
      </c>
      <c r="I11" s="143" t="s">
        <v>290</v>
      </c>
      <c r="J11" s="143" t="n">
        <v>22747</v>
      </c>
      <c r="K11" s="145" t="n">
        <v>2000</v>
      </c>
      <c r="L11" s="143" t="n">
        <v>0</v>
      </c>
      <c r="M11" s="145" t="n">
        <v>2000</v>
      </c>
      <c r="N11" s="143" t="n">
        <v>0</v>
      </c>
      <c r="O11" s="143" t="n">
        <v>0</v>
      </c>
      <c r="P11" s="143" t="n">
        <v>0</v>
      </c>
      <c r="Q11" s="143" t="s">
        <v>290</v>
      </c>
    </row>
    <row r="12" customFormat="false" ht="12.75" hidden="false" customHeight="false" outlineLevel="0" collapsed="false">
      <c r="B12" s="141"/>
      <c r="C12" s="141" t="s">
        <v>288</v>
      </c>
      <c r="D12" s="141" t="n">
        <v>62164</v>
      </c>
      <c r="E12" s="141" t="s">
        <v>11</v>
      </c>
      <c r="F12" s="141" t="s">
        <v>290</v>
      </c>
      <c r="G12" s="141" t="s">
        <v>290</v>
      </c>
      <c r="H12" s="142" t="n">
        <v>36557</v>
      </c>
      <c r="I12" s="142" t="n">
        <v>36891</v>
      </c>
      <c r="J12" s="141" t="n">
        <v>23652</v>
      </c>
      <c r="K12" s="146" t="n">
        <v>2000</v>
      </c>
      <c r="L12" s="141" t="n">
        <v>0</v>
      </c>
      <c r="M12" s="146" t="n">
        <v>2000</v>
      </c>
      <c r="N12" s="141" t="n">
        <v>0</v>
      </c>
      <c r="O12" s="141" t="n">
        <v>0</v>
      </c>
      <c r="P12" s="141" t="n">
        <v>0</v>
      </c>
      <c r="Q12" s="141" t="s">
        <v>290</v>
      </c>
    </row>
    <row r="13" customFormat="false" ht="12.75" hidden="false" customHeight="false" outlineLevel="0" collapsed="false">
      <c r="B13" s="143"/>
      <c r="C13" s="143" t="s">
        <v>288</v>
      </c>
      <c r="D13" s="143" t="n">
        <v>64034</v>
      </c>
      <c r="E13" s="143" t="s">
        <v>11</v>
      </c>
      <c r="F13" s="143" t="s">
        <v>290</v>
      </c>
      <c r="G13" s="143" t="s">
        <v>290</v>
      </c>
      <c r="H13" s="144" t="n">
        <v>36557</v>
      </c>
      <c r="I13" s="144" t="n">
        <v>36707</v>
      </c>
      <c r="J13" s="143" t="n">
        <v>25699</v>
      </c>
      <c r="K13" s="143" t="n">
        <v>911</v>
      </c>
      <c r="L13" s="143" t="n">
        <v>0</v>
      </c>
      <c r="M13" s="143" t="n">
        <v>911</v>
      </c>
      <c r="N13" s="143" t="n">
        <v>0</v>
      </c>
      <c r="O13" s="143" t="n">
        <v>0</v>
      </c>
      <c r="P13" s="143" t="n">
        <v>0</v>
      </c>
      <c r="Q13" s="143" t="s">
        <v>290</v>
      </c>
    </row>
    <row r="14" customFormat="false" ht="12.75" hidden="false" customHeight="false" outlineLevel="0" collapsed="false">
      <c r="B14" s="141"/>
      <c r="C14" s="141" t="s">
        <v>288</v>
      </c>
      <c r="D14" s="141" t="n">
        <v>64036</v>
      </c>
      <c r="E14" s="141" t="s">
        <v>11</v>
      </c>
      <c r="F14" s="141" t="s">
        <v>290</v>
      </c>
      <c r="G14" s="141" t="s">
        <v>290</v>
      </c>
      <c r="H14" s="142" t="n">
        <v>36557</v>
      </c>
      <c r="I14" s="142" t="n">
        <v>36707</v>
      </c>
      <c r="J14" s="141" t="n">
        <v>25712</v>
      </c>
      <c r="K14" s="141" t="n">
        <v>1</v>
      </c>
      <c r="L14" s="141" t="n">
        <v>0</v>
      </c>
      <c r="M14" s="141" t="n">
        <v>1</v>
      </c>
      <c r="N14" s="141" t="n">
        <v>0</v>
      </c>
      <c r="O14" s="141" t="n">
        <v>0</v>
      </c>
      <c r="P14" s="141" t="n">
        <v>0</v>
      </c>
      <c r="Q14" s="141" t="s">
        <v>290</v>
      </c>
    </row>
    <row r="15" customFormat="false" ht="12.75" hidden="false" customHeight="false" outlineLevel="0" collapsed="false">
      <c r="B15" s="143"/>
      <c r="C15" s="143" t="s">
        <v>288</v>
      </c>
      <c r="D15" s="143" t="n">
        <v>64328</v>
      </c>
      <c r="E15" s="143" t="s">
        <v>11</v>
      </c>
      <c r="F15" s="143" t="s">
        <v>290</v>
      </c>
      <c r="G15" s="143" t="s">
        <v>290</v>
      </c>
      <c r="H15" s="144" t="n">
        <v>36557</v>
      </c>
      <c r="I15" s="144" t="n">
        <v>36738</v>
      </c>
      <c r="J15" s="143" t="n">
        <v>25955</v>
      </c>
      <c r="K15" s="143" t="n">
        <v>51</v>
      </c>
      <c r="L15" s="143" t="n">
        <v>0</v>
      </c>
      <c r="M15" s="143" t="n">
        <v>51</v>
      </c>
      <c r="N15" s="143" t="n">
        <v>0</v>
      </c>
      <c r="O15" s="143" t="n">
        <v>0</v>
      </c>
      <c r="P15" s="143" t="n">
        <v>0</v>
      </c>
      <c r="Q15" s="143" t="s">
        <v>290</v>
      </c>
    </row>
    <row r="16" customFormat="false" ht="12.75" hidden="false" customHeight="false" outlineLevel="0" collapsed="false">
      <c r="B16" s="141"/>
      <c r="C16" s="141" t="s">
        <v>288</v>
      </c>
      <c r="D16" s="141" t="n">
        <v>64329</v>
      </c>
      <c r="E16" s="141" t="s">
        <v>11</v>
      </c>
      <c r="F16" s="141" t="s">
        <v>290</v>
      </c>
      <c r="G16" s="141" t="s">
        <v>290</v>
      </c>
      <c r="H16" s="142" t="n">
        <v>36557</v>
      </c>
      <c r="I16" s="142" t="n">
        <v>36738</v>
      </c>
      <c r="J16" s="141" t="n">
        <v>25965</v>
      </c>
      <c r="K16" s="141" t="n">
        <v>12</v>
      </c>
      <c r="L16" s="141" t="n">
        <v>0</v>
      </c>
      <c r="M16" s="141" t="n">
        <v>12</v>
      </c>
      <c r="N16" s="141" t="n">
        <v>0</v>
      </c>
      <c r="O16" s="141" t="n">
        <v>0</v>
      </c>
      <c r="P16" s="141" t="n">
        <v>0</v>
      </c>
      <c r="Q16" s="141" t="s">
        <v>290</v>
      </c>
    </row>
    <row r="17" customFormat="false" ht="12.75" hidden="false" customHeight="false" outlineLevel="0" collapsed="false">
      <c r="B17" s="143"/>
      <c r="C17" s="143" t="s">
        <v>288</v>
      </c>
      <c r="D17" s="143" t="n">
        <v>64356</v>
      </c>
      <c r="E17" s="143" t="s">
        <v>295</v>
      </c>
      <c r="F17" s="143" t="s">
        <v>296</v>
      </c>
      <c r="G17" s="143" t="s">
        <v>290</v>
      </c>
      <c r="H17" s="144" t="n">
        <v>36526</v>
      </c>
      <c r="I17" s="144" t="n">
        <v>36707</v>
      </c>
      <c r="J17" s="143" t="s">
        <v>290</v>
      </c>
      <c r="K17" s="145" t="n">
        <v>310000</v>
      </c>
      <c r="L17" s="143" t="n">
        <v>0</v>
      </c>
      <c r="M17" s="145" t="n">
        <v>310000</v>
      </c>
      <c r="N17" s="143" t="n">
        <v>0</v>
      </c>
      <c r="O17" s="143" t="n">
        <v>0</v>
      </c>
      <c r="P17" s="143" t="n">
        <v>0</v>
      </c>
      <c r="Q17" s="143"/>
    </row>
    <row r="18" customFormat="false" ht="12.75" hidden="false" customHeight="false" outlineLevel="0" collapsed="false">
      <c r="B18" s="141"/>
      <c r="C18" s="141" t="s">
        <v>288</v>
      </c>
      <c r="D18" s="141" t="n">
        <v>64651</v>
      </c>
      <c r="E18" s="141" t="s">
        <v>11</v>
      </c>
      <c r="F18" s="141" t="s">
        <v>290</v>
      </c>
      <c r="G18" s="141" t="s">
        <v>290</v>
      </c>
      <c r="H18" s="142" t="n">
        <v>36557</v>
      </c>
      <c r="I18" s="142" t="n">
        <v>36769</v>
      </c>
      <c r="J18" s="141" t="n">
        <v>26150</v>
      </c>
      <c r="K18" s="141" t="n">
        <v>64</v>
      </c>
      <c r="L18" s="141" t="n">
        <v>0</v>
      </c>
      <c r="M18" s="141" t="n">
        <v>64</v>
      </c>
      <c r="N18" s="141" t="n">
        <v>0</v>
      </c>
      <c r="O18" s="141" t="n">
        <v>0</v>
      </c>
      <c r="P18" s="141" t="n">
        <v>0</v>
      </c>
      <c r="Q18" s="141" t="s">
        <v>290</v>
      </c>
    </row>
    <row r="19" customFormat="false" ht="12.75" hidden="false" customHeight="false" outlineLevel="0" collapsed="false">
      <c r="B19" s="143"/>
      <c r="C19" s="143" t="s">
        <v>288</v>
      </c>
      <c r="D19" s="143" t="n">
        <v>64862</v>
      </c>
      <c r="E19" s="143" t="s">
        <v>11</v>
      </c>
      <c r="F19" s="143" t="s">
        <v>290</v>
      </c>
      <c r="G19" s="143" t="s">
        <v>290</v>
      </c>
      <c r="H19" s="144" t="n">
        <v>36557</v>
      </c>
      <c r="I19" s="144" t="n">
        <v>36799</v>
      </c>
      <c r="J19" s="143" t="n">
        <v>26503</v>
      </c>
      <c r="K19" s="143" t="n">
        <v>13</v>
      </c>
      <c r="L19" s="143" t="n">
        <v>0</v>
      </c>
      <c r="M19" s="143" t="n">
        <v>13</v>
      </c>
      <c r="N19" s="143" t="n">
        <v>0</v>
      </c>
      <c r="O19" s="143" t="n">
        <v>0</v>
      </c>
      <c r="P19" s="143" t="n">
        <v>0</v>
      </c>
      <c r="Q19" s="143" t="s">
        <v>290</v>
      </c>
    </row>
    <row r="20" customFormat="false" ht="12.75" hidden="false" customHeight="false" outlineLevel="0" collapsed="false">
      <c r="B20" s="141"/>
      <c r="C20" s="141" t="s">
        <v>288</v>
      </c>
      <c r="D20" s="141" t="n">
        <v>64939</v>
      </c>
      <c r="E20" s="141" t="s">
        <v>11</v>
      </c>
      <c r="F20" s="141" t="s">
        <v>290</v>
      </c>
      <c r="G20" s="141" t="s">
        <v>290</v>
      </c>
      <c r="H20" s="142" t="n">
        <v>36557</v>
      </c>
      <c r="I20" s="142" t="n">
        <v>36799</v>
      </c>
      <c r="J20" s="141" t="n">
        <v>26577</v>
      </c>
      <c r="K20" s="146" t="n">
        <v>2300</v>
      </c>
      <c r="L20" s="141" t="n">
        <v>0</v>
      </c>
      <c r="M20" s="146" t="n">
        <v>2300</v>
      </c>
      <c r="N20" s="141" t="n">
        <v>0</v>
      </c>
      <c r="O20" s="141" t="n">
        <v>0</v>
      </c>
      <c r="P20" s="141" t="n">
        <v>0</v>
      </c>
      <c r="Q20" s="141" t="s">
        <v>290</v>
      </c>
    </row>
    <row r="21" customFormat="false" ht="12.75" hidden="false" customHeight="false" outlineLevel="0" collapsed="false">
      <c r="B21" s="143"/>
      <c r="C21" s="143" t="s">
        <v>288</v>
      </c>
      <c r="D21" s="143" t="n">
        <v>65026</v>
      </c>
      <c r="E21" s="143" t="s">
        <v>11</v>
      </c>
      <c r="F21" s="143" t="s">
        <v>290</v>
      </c>
      <c r="G21" s="143" t="s">
        <v>290</v>
      </c>
      <c r="H21" s="144" t="n">
        <v>36557</v>
      </c>
      <c r="I21" s="144" t="n">
        <v>36830</v>
      </c>
      <c r="J21" s="143" t="n">
        <v>26726</v>
      </c>
      <c r="K21" s="143" t="n">
        <v>128</v>
      </c>
      <c r="L21" s="143" t="n">
        <v>0</v>
      </c>
      <c r="M21" s="143" t="n">
        <v>128</v>
      </c>
      <c r="N21" s="143" t="n">
        <v>0</v>
      </c>
      <c r="O21" s="143" t="n">
        <v>0</v>
      </c>
      <c r="P21" s="143" t="n">
        <v>0</v>
      </c>
      <c r="Q21" s="143" t="s">
        <v>290</v>
      </c>
    </row>
    <row r="22" customFormat="false" ht="12.75" hidden="false" customHeight="false" outlineLevel="0" collapsed="false">
      <c r="B22" s="141"/>
      <c r="C22" s="141" t="s">
        <v>288</v>
      </c>
      <c r="D22" s="141" t="n">
        <v>65041</v>
      </c>
      <c r="E22" s="141" t="s">
        <v>11</v>
      </c>
      <c r="F22" s="141" t="s">
        <v>290</v>
      </c>
      <c r="G22" s="141" t="s">
        <v>290</v>
      </c>
      <c r="H22" s="142" t="n">
        <v>36557</v>
      </c>
      <c r="I22" s="142" t="n">
        <v>36830</v>
      </c>
      <c r="J22" s="141" t="n">
        <v>26754</v>
      </c>
      <c r="K22" s="146" t="n">
        <v>9619</v>
      </c>
      <c r="L22" s="141" t="n">
        <v>0</v>
      </c>
      <c r="M22" s="146" t="n">
        <v>9619</v>
      </c>
      <c r="N22" s="141" t="n">
        <v>0</v>
      </c>
      <c r="O22" s="141" t="n">
        <v>0</v>
      </c>
      <c r="P22" s="141" t="n">
        <v>0</v>
      </c>
      <c r="Q22" s="141" t="s">
        <v>290</v>
      </c>
    </row>
    <row r="23" customFormat="false" ht="12.75" hidden="false" customHeight="false" outlineLevel="0" collapsed="false">
      <c r="B23" s="143"/>
      <c r="C23" s="143" t="s">
        <v>288</v>
      </c>
      <c r="D23" s="143" t="n">
        <v>65042</v>
      </c>
      <c r="E23" s="143" t="s">
        <v>11</v>
      </c>
      <c r="F23" s="143" t="s">
        <v>290</v>
      </c>
      <c r="G23" s="143" t="s">
        <v>290</v>
      </c>
      <c r="H23" s="144" t="n">
        <v>36557</v>
      </c>
      <c r="I23" s="144" t="n">
        <v>36830</v>
      </c>
      <c r="J23" s="143" t="n">
        <v>26753</v>
      </c>
      <c r="K23" s="145" t="n">
        <v>4427</v>
      </c>
      <c r="L23" s="143" t="n">
        <v>0</v>
      </c>
      <c r="M23" s="145" t="n">
        <v>4427</v>
      </c>
      <c r="N23" s="143" t="n">
        <v>0</v>
      </c>
      <c r="O23" s="143" t="n">
        <v>0</v>
      </c>
      <c r="P23" s="143" t="n">
        <v>0</v>
      </c>
      <c r="Q23" s="143" t="s">
        <v>290</v>
      </c>
    </row>
    <row r="24" customFormat="false" ht="12.75" hidden="false" customHeight="false" outlineLevel="0" collapsed="false">
      <c r="B24" s="141"/>
      <c r="C24" s="141" t="s">
        <v>288</v>
      </c>
      <c r="D24" s="141" t="n">
        <v>65071</v>
      </c>
      <c r="E24" s="141" t="s">
        <v>11</v>
      </c>
      <c r="F24" s="141" t="s">
        <v>290</v>
      </c>
      <c r="G24" s="141" t="s">
        <v>290</v>
      </c>
      <c r="H24" s="142" t="n">
        <v>36557</v>
      </c>
      <c r="I24" s="142" t="n">
        <v>36830</v>
      </c>
      <c r="J24" s="141" t="n">
        <v>26782</v>
      </c>
      <c r="K24" s="146" t="n">
        <v>7429</v>
      </c>
      <c r="L24" s="141" t="n">
        <v>0</v>
      </c>
      <c r="M24" s="146" t="n">
        <v>7035</v>
      </c>
      <c r="N24" s="141" t="n">
        <v>394</v>
      </c>
      <c r="O24" s="141" t="n">
        <v>0</v>
      </c>
      <c r="P24" s="141" t="n">
        <v>0</v>
      </c>
      <c r="Q24" s="141" t="s">
        <v>290</v>
      </c>
    </row>
    <row r="25" customFormat="false" ht="12.75" hidden="false" customHeight="false" outlineLevel="0" collapsed="false">
      <c r="B25" s="143"/>
      <c r="C25" s="143" t="s">
        <v>288</v>
      </c>
      <c r="D25" s="143" t="n">
        <v>65108</v>
      </c>
      <c r="E25" s="143" t="s">
        <v>11</v>
      </c>
      <c r="F25" s="143" t="s">
        <v>290</v>
      </c>
      <c r="G25" s="143" t="s">
        <v>290</v>
      </c>
      <c r="H25" s="144" t="n">
        <v>36557</v>
      </c>
      <c r="I25" s="144" t="n">
        <v>37011</v>
      </c>
      <c r="J25" s="143" t="s">
        <v>290</v>
      </c>
      <c r="K25" s="145" t="n">
        <v>5000</v>
      </c>
      <c r="L25" s="143" t="n">
        <v>0</v>
      </c>
      <c r="M25" s="145" t="n">
        <v>5000</v>
      </c>
      <c r="N25" s="143" t="n">
        <v>0</v>
      </c>
      <c r="O25" s="143" t="n">
        <v>0</v>
      </c>
      <c r="P25" s="143" t="n">
        <v>0</v>
      </c>
      <c r="Q25" s="143" t="s">
        <v>290</v>
      </c>
    </row>
    <row r="26" customFormat="false" ht="12.75" hidden="false" customHeight="false" outlineLevel="0" collapsed="false">
      <c r="B26" s="141"/>
      <c r="C26" s="141" t="s">
        <v>288</v>
      </c>
      <c r="D26" s="141" t="n">
        <v>65402</v>
      </c>
      <c r="E26" s="141" t="s">
        <v>11</v>
      </c>
      <c r="F26" s="141" t="s">
        <v>290</v>
      </c>
      <c r="G26" s="141" t="s">
        <v>290</v>
      </c>
      <c r="H26" s="142" t="n">
        <v>36557</v>
      </c>
      <c r="I26" s="142" t="n">
        <v>36830</v>
      </c>
      <c r="J26" s="141" t="n">
        <v>26694</v>
      </c>
      <c r="K26" s="146" t="n">
        <v>20000</v>
      </c>
      <c r="L26" s="141" t="n">
        <v>0</v>
      </c>
      <c r="M26" s="141" t="n">
        <v>0</v>
      </c>
      <c r="N26" s="146" t="n">
        <v>20000</v>
      </c>
      <c r="O26" s="141" t="n">
        <v>0</v>
      </c>
      <c r="P26" s="141" t="n">
        <v>0</v>
      </c>
      <c r="Q26" s="141" t="s">
        <v>290</v>
      </c>
    </row>
    <row r="27" customFormat="false" ht="12.75" hidden="false" customHeight="false" outlineLevel="0" collapsed="false">
      <c r="B27" s="143"/>
      <c r="C27" s="143" t="s">
        <v>288</v>
      </c>
      <c r="D27" s="143" t="n">
        <v>65403</v>
      </c>
      <c r="E27" s="143" t="s">
        <v>11</v>
      </c>
      <c r="F27" s="143" t="s">
        <v>290</v>
      </c>
      <c r="G27" s="143" t="s">
        <v>290</v>
      </c>
      <c r="H27" s="144" t="n">
        <v>36557</v>
      </c>
      <c r="I27" s="144" t="n">
        <v>37011</v>
      </c>
      <c r="J27" s="143" t="n">
        <v>26714</v>
      </c>
      <c r="K27" s="145" t="n">
        <v>19293</v>
      </c>
      <c r="L27" s="143" t="n">
        <v>0</v>
      </c>
      <c r="M27" s="145" t="n">
        <v>19293</v>
      </c>
      <c r="N27" s="143" t="n">
        <v>0</v>
      </c>
      <c r="O27" s="143" t="n">
        <v>0</v>
      </c>
      <c r="P27" s="143" t="n">
        <v>0</v>
      </c>
      <c r="Q27" s="143" t="s">
        <v>290</v>
      </c>
    </row>
    <row r="28" customFormat="false" ht="12.75" hidden="false" customHeight="false" outlineLevel="0" collapsed="false">
      <c r="B28" s="141"/>
      <c r="C28" s="141" t="s">
        <v>288</v>
      </c>
      <c r="D28" s="141" t="n">
        <v>65418</v>
      </c>
      <c r="E28" s="141" t="s">
        <v>11</v>
      </c>
      <c r="F28" s="141" t="s">
        <v>290</v>
      </c>
      <c r="G28" s="141" t="s">
        <v>290</v>
      </c>
      <c r="H28" s="142" t="n">
        <v>36557</v>
      </c>
      <c r="I28" s="141" t="s">
        <v>290</v>
      </c>
      <c r="J28" s="141" t="n">
        <v>26722</v>
      </c>
      <c r="K28" s="141" t="n">
        <v>500</v>
      </c>
      <c r="L28" s="141" t="n">
        <v>0</v>
      </c>
      <c r="M28" s="141" t="n">
        <v>500</v>
      </c>
      <c r="N28" s="141" t="n">
        <v>0</v>
      </c>
      <c r="O28" s="141" t="n">
        <v>0</v>
      </c>
      <c r="P28" s="141" t="n">
        <v>0</v>
      </c>
      <c r="Q28" s="141" t="s">
        <v>290</v>
      </c>
    </row>
    <row r="29" customFormat="false" ht="12.75" hidden="false" customHeight="false" outlineLevel="0" collapsed="false">
      <c r="B29" s="143"/>
      <c r="C29" s="143" t="s">
        <v>288</v>
      </c>
      <c r="D29" s="143" t="n">
        <v>65556</v>
      </c>
      <c r="E29" s="143" t="s">
        <v>11</v>
      </c>
      <c r="F29" s="143" t="s">
        <v>290</v>
      </c>
      <c r="G29" s="143" t="s">
        <v>290</v>
      </c>
      <c r="H29" s="144" t="n">
        <v>36557</v>
      </c>
      <c r="I29" s="144" t="n">
        <v>36860</v>
      </c>
      <c r="J29" s="143" t="n">
        <v>27127</v>
      </c>
      <c r="K29" s="143" t="n">
        <v>3</v>
      </c>
      <c r="L29" s="143" t="n">
        <v>0</v>
      </c>
      <c r="M29" s="143" t="n">
        <v>3</v>
      </c>
      <c r="N29" s="143" t="n">
        <v>0</v>
      </c>
      <c r="O29" s="143" t="n">
        <v>0</v>
      </c>
      <c r="P29" s="143" t="n">
        <v>0</v>
      </c>
      <c r="Q29" s="143" t="s">
        <v>290</v>
      </c>
    </row>
    <row r="30" customFormat="false" ht="12.75" hidden="false" customHeight="false" outlineLevel="0" collapsed="false">
      <c r="B30" s="141"/>
      <c r="C30" s="141" t="s">
        <v>288</v>
      </c>
      <c r="D30" s="141" t="n">
        <v>66280</v>
      </c>
      <c r="E30" s="141" t="s">
        <v>11</v>
      </c>
      <c r="F30" s="141" t="s">
        <v>290</v>
      </c>
      <c r="G30" s="141" t="s">
        <v>290</v>
      </c>
      <c r="H30" s="142" t="n">
        <v>36557</v>
      </c>
      <c r="I30" s="142" t="n">
        <v>36922</v>
      </c>
      <c r="J30" s="141" t="n">
        <v>27772</v>
      </c>
      <c r="K30" s="141" t="n">
        <v>5</v>
      </c>
      <c r="L30" s="141" t="n">
        <v>0</v>
      </c>
      <c r="M30" s="141" t="n">
        <v>5</v>
      </c>
      <c r="N30" s="141" t="n">
        <v>0</v>
      </c>
      <c r="O30" s="141" t="n">
        <v>0</v>
      </c>
      <c r="P30" s="141" t="n">
        <v>0</v>
      </c>
      <c r="Q30" s="141" t="s">
        <v>290</v>
      </c>
    </row>
    <row r="31" customFormat="false" ht="12.75" hidden="false" customHeight="false" outlineLevel="0" collapsed="false">
      <c r="B31" s="143"/>
      <c r="C31" s="143" t="s">
        <v>288</v>
      </c>
      <c r="D31" s="143" t="n">
        <v>66917</v>
      </c>
      <c r="E31" s="143" t="s">
        <v>249</v>
      </c>
      <c r="F31" s="143" t="s">
        <v>290</v>
      </c>
      <c r="G31" s="143" t="s">
        <v>290</v>
      </c>
      <c r="H31" s="144" t="n">
        <v>36617</v>
      </c>
      <c r="I31" s="143" t="s">
        <v>290</v>
      </c>
      <c r="J31" s="143" t="s">
        <v>290</v>
      </c>
      <c r="K31" s="145" t="n">
        <v>50000</v>
      </c>
      <c r="L31" s="143" t="n">
        <v>0</v>
      </c>
      <c r="M31" s="145" t="n">
        <v>50000</v>
      </c>
      <c r="N31" s="143" t="n">
        <v>0</v>
      </c>
      <c r="O31" s="143" t="n">
        <v>0</v>
      </c>
      <c r="P31" s="143" t="n">
        <v>0</v>
      </c>
      <c r="Q31" s="143" t="s">
        <v>290</v>
      </c>
    </row>
    <row r="32" customFormat="false" ht="12.75" hidden="false" customHeight="false" outlineLevel="0" collapsed="false">
      <c r="B32" s="141"/>
      <c r="C32" s="141" t="s">
        <v>288</v>
      </c>
      <c r="D32" s="141" t="n">
        <v>66930</v>
      </c>
      <c r="E32" s="141" t="s">
        <v>11</v>
      </c>
      <c r="F32" s="141" t="s">
        <v>290</v>
      </c>
      <c r="G32" s="141" t="s">
        <v>290</v>
      </c>
      <c r="H32" s="142" t="n">
        <v>36617</v>
      </c>
      <c r="I32" s="142" t="n">
        <v>36981</v>
      </c>
      <c r="J32" s="141" t="n">
        <v>28188</v>
      </c>
      <c r="K32" s="146" t="n">
        <v>4000</v>
      </c>
      <c r="L32" s="141" t="n">
        <v>0</v>
      </c>
      <c r="M32" s="146" t="n">
        <v>4000</v>
      </c>
      <c r="N32" s="141" t="n">
        <v>0</v>
      </c>
      <c r="O32" s="141" t="n">
        <v>0</v>
      </c>
      <c r="P32" s="141" t="n">
        <v>0</v>
      </c>
      <c r="Q32" s="141" t="s">
        <v>290</v>
      </c>
    </row>
    <row r="33" customFormat="false" ht="12.75" hidden="false" customHeight="false" outlineLevel="0" collapsed="false">
      <c r="B33" s="143"/>
      <c r="C33" s="143" t="s">
        <v>288</v>
      </c>
      <c r="D33" s="143" t="n">
        <v>66931</v>
      </c>
      <c r="E33" s="143" t="s">
        <v>11</v>
      </c>
      <c r="F33" s="143" t="s">
        <v>290</v>
      </c>
      <c r="G33" s="143" t="s">
        <v>290</v>
      </c>
      <c r="H33" s="144" t="n">
        <v>36617</v>
      </c>
      <c r="I33" s="144" t="n">
        <v>36981</v>
      </c>
      <c r="J33" s="143" t="n">
        <v>28189</v>
      </c>
      <c r="K33" s="145" t="n">
        <v>4000</v>
      </c>
      <c r="L33" s="143" t="n">
        <v>0</v>
      </c>
      <c r="M33" s="145" t="n">
        <v>4000</v>
      </c>
      <c r="N33" s="143" t="n">
        <v>0</v>
      </c>
      <c r="O33" s="143" t="n">
        <v>0</v>
      </c>
      <c r="P33" s="143" t="n">
        <v>0</v>
      </c>
      <c r="Q33" s="143" t="s">
        <v>290</v>
      </c>
    </row>
    <row r="34" customFormat="false" ht="12.75" hidden="false" customHeight="false" outlineLevel="0" collapsed="false">
      <c r="B34" s="141"/>
      <c r="C34" s="141" t="s">
        <v>288</v>
      </c>
      <c r="D34" s="141" t="n">
        <v>66932</v>
      </c>
      <c r="E34" s="141" t="s">
        <v>11</v>
      </c>
      <c r="F34" s="141" t="s">
        <v>290</v>
      </c>
      <c r="G34" s="141" t="s">
        <v>290</v>
      </c>
      <c r="H34" s="142" t="n">
        <v>36617</v>
      </c>
      <c r="I34" s="142" t="n">
        <v>36981</v>
      </c>
      <c r="J34" s="141" t="n">
        <v>28176</v>
      </c>
      <c r="K34" s="146" t="n">
        <v>4000</v>
      </c>
      <c r="L34" s="141" t="n">
        <v>0</v>
      </c>
      <c r="M34" s="146" t="n">
        <v>4000</v>
      </c>
      <c r="N34" s="141" t="n">
        <v>0</v>
      </c>
      <c r="O34" s="141" t="n">
        <v>0</v>
      </c>
      <c r="P34" s="141" t="n">
        <v>0</v>
      </c>
      <c r="Q34" s="141" t="s">
        <v>290</v>
      </c>
    </row>
    <row r="35" customFormat="false" ht="12.75" hidden="false" customHeight="false" outlineLevel="0" collapsed="false">
      <c r="B35" s="143"/>
      <c r="C35" s="143" t="s">
        <v>288</v>
      </c>
      <c r="D35" s="143" t="n">
        <v>66939</v>
      </c>
      <c r="E35" s="143" t="s">
        <v>11</v>
      </c>
      <c r="F35" s="143" t="s">
        <v>290</v>
      </c>
      <c r="G35" s="143" t="s">
        <v>290</v>
      </c>
      <c r="H35" s="144" t="n">
        <v>36617</v>
      </c>
      <c r="I35" s="144" t="n">
        <v>36981</v>
      </c>
      <c r="J35" s="143" t="n">
        <v>28332</v>
      </c>
      <c r="K35" s="143" t="n">
        <v>52</v>
      </c>
      <c r="L35" s="143" t="n">
        <v>0</v>
      </c>
      <c r="M35" s="143" t="n">
        <v>52</v>
      </c>
      <c r="N35" s="143" t="n">
        <v>0</v>
      </c>
      <c r="O35" s="143" t="n">
        <v>0</v>
      </c>
      <c r="P35" s="143" t="n">
        <v>0</v>
      </c>
      <c r="Q35" s="143" t="s">
        <v>290</v>
      </c>
    </row>
    <row r="36" customFormat="false" ht="12.75" hidden="false" customHeight="false" outlineLevel="0" collapsed="false">
      <c r="B36" s="141"/>
      <c r="C36" s="141" t="s">
        <v>288</v>
      </c>
      <c r="D36" s="141" t="n">
        <v>66940</v>
      </c>
      <c r="E36" s="141" t="s">
        <v>11</v>
      </c>
      <c r="F36" s="141" t="s">
        <v>290</v>
      </c>
      <c r="G36" s="141" t="s">
        <v>290</v>
      </c>
      <c r="H36" s="142" t="n">
        <v>36617</v>
      </c>
      <c r="I36" s="142" t="n">
        <v>36981</v>
      </c>
      <c r="J36" s="141" t="n">
        <v>28331</v>
      </c>
      <c r="K36" s="141" t="n">
        <v>2</v>
      </c>
      <c r="L36" s="141" t="n">
        <v>0</v>
      </c>
      <c r="M36" s="141" t="n">
        <v>2</v>
      </c>
      <c r="N36" s="141" t="n">
        <v>0</v>
      </c>
      <c r="O36" s="141" t="n">
        <v>0</v>
      </c>
      <c r="P36" s="141" t="n">
        <v>0</v>
      </c>
      <c r="Q36" s="141" t="s">
        <v>290</v>
      </c>
    </row>
    <row r="37" customFormat="false" ht="12.75" hidden="false" customHeight="false" outlineLevel="0" collapsed="false">
      <c r="B37" s="143"/>
      <c r="C37" s="143" t="s">
        <v>288</v>
      </c>
      <c r="D37" s="143" t="n">
        <v>66965</v>
      </c>
      <c r="E37" s="143" t="s">
        <v>207</v>
      </c>
      <c r="F37" s="143" t="s">
        <v>290</v>
      </c>
      <c r="G37" s="143" t="s">
        <v>290</v>
      </c>
      <c r="H37" s="144" t="n">
        <v>36617</v>
      </c>
      <c r="I37" s="144" t="n">
        <v>36830</v>
      </c>
      <c r="J37" s="143" t="n">
        <v>28226</v>
      </c>
      <c r="K37" s="145" t="n">
        <v>20000</v>
      </c>
      <c r="L37" s="143" t="n">
        <v>0</v>
      </c>
      <c r="M37" s="145" t="n">
        <v>20000</v>
      </c>
      <c r="N37" s="143" t="n">
        <v>0</v>
      </c>
      <c r="O37" s="143" t="n">
        <v>0</v>
      </c>
      <c r="P37" s="143" t="n">
        <v>0</v>
      </c>
      <c r="Q37" s="143" t="s">
        <v>290</v>
      </c>
    </row>
    <row r="38" customFormat="false" ht="12.75" hidden="false" customHeight="false" outlineLevel="0" collapsed="false">
      <c r="B38" s="141"/>
      <c r="C38" s="141" t="s">
        <v>288</v>
      </c>
      <c r="D38" s="141" t="n">
        <v>67693</v>
      </c>
      <c r="E38" s="141" t="s">
        <v>207</v>
      </c>
      <c r="F38" s="141" t="s">
        <v>290</v>
      </c>
      <c r="G38" s="141" t="s">
        <v>290</v>
      </c>
      <c r="H38" s="142" t="n">
        <v>36617</v>
      </c>
      <c r="I38" s="142" t="n">
        <v>36799</v>
      </c>
      <c r="J38" s="141" t="n">
        <v>28390</v>
      </c>
      <c r="K38" s="146" t="n">
        <v>54327</v>
      </c>
      <c r="L38" s="141" t="n">
        <v>0</v>
      </c>
      <c r="M38" s="146" t="n">
        <v>29827</v>
      </c>
      <c r="N38" s="146" t="n">
        <v>24500</v>
      </c>
      <c r="O38" s="141" t="n">
        <v>0</v>
      </c>
      <c r="P38" s="141" t="n">
        <v>0</v>
      </c>
      <c r="Q38" s="141" t="s">
        <v>290</v>
      </c>
    </row>
    <row r="39" customFormat="false" ht="12.75" hidden="false" customHeight="false" outlineLevel="0" collapsed="false">
      <c r="B39" s="143"/>
      <c r="C39" s="143" t="s">
        <v>288</v>
      </c>
      <c r="D39" s="143" t="n">
        <v>67712</v>
      </c>
      <c r="E39" s="143" t="s">
        <v>188</v>
      </c>
      <c r="F39" s="143" t="s">
        <v>290</v>
      </c>
      <c r="G39" s="143" t="s">
        <v>290</v>
      </c>
      <c r="H39" s="144" t="n">
        <v>36617</v>
      </c>
      <c r="I39" s="144" t="n">
        <v>36981</v>
      </c>
      <c r="J39" s="143" t="n">
        <v>28389</v>
      </c>
      <c r="K39" s="145" t="n">
        <v>108648</v>
      </c>
      <c r="L39" s="145" t="n">
        <v>6050607</v>
      </c>
      <c r="M39" s="145" t="n">
        <v>108648</v>
      </c>
      <c r="N39" s="143" t="n">
        <v>0</v>
      </c>
      <c r="O39" s="143" t="n">
        <v>0</v>
      </c>
      <c r="P39" s="143" t="n">
        <v>0</v>
      </c>
      <c r="Q39" s="143" t="n">
        <v>67713</v>
      </c>
    </row>
    <row r="40" customFormat="false" ht="12.75" hidden="false" customHeight="false" outlineLevel="0" collapsed="false">
      <c r="B40" s="141"/>
      <c r="C40" s="141" t="s">
        <v>288</v>
      </c>
      <c r="D40" s="141" t="n">
        <v>67713</v>
      </c>
      <c r="E40" s="141" t="s">
        <v>188</v>
      </c>
      <c r="F40" s="141" t="s">
        <v>290</v>
      </c>
      <c r="G40" s="141" t="s">
        <v>290</v>
      </c>
      <c r="H40" s="142" t="n">
        <v>36617</v>
      </c>
      <c r="I40" s="142" t="n">
        <v>36981</v>
      </c>
      <c r="J40" s="141" t="n">
        <v>28389</v>
      </c>
      <c r="K40" s="146" t="n">
        <v>108648</v>
      </c>
      <c r="L40" s="146" t="n">
        <v>6050607</v>
      </c>
      <c r="M40" s="146" t="n">
        <v>108648</v>
      </c>
      <c r="N40" s="141" t="n">
        <v>0</v>
      </c>
      <c r="O40" s="141" t="n">
        <v>0</v>
      </c>
      <c r="P40" s="141" t="n">
        <v>0</v>
      </c>
      <c r="Q40" s="141" t="n">
        <v>67713</v>
      </c>
    </row>
    <row r="41" customFormat="false" ht="12.75" hidden="false" customHeight="false" outlineLevel="0" collapsed="false">
      <c r="B41" s="143"/>
      <c r="C41" s="143" t="s">
        <v>288</v>
      </c>
      <c r="D41" s="143" t="n">
        <v>68188</v>
      </c>
      <c r="E41" s="143" t="s">
        <v>11</v>
      </c>
      <c r="F41" s="143" t="s">
        <v>290</v>
      </c>
      <c r="G41" s="143" t="s">
        <v>290</v>
      </c>
      <c r="H41" s="144" t="n">
        <v>36647</v>
      </c>
      <c r="I41" s="144" t="n">
        <v>37011</v>
      </c>
      <c r="J41" s="143" t="n">
        <v>28742</v>
      </c>
      <c r="K41" s="143" t="n">
        <v>1</v>
      </c>
      <c r="L41" s="143" t="n">
        <v>0</v>
      </c>
      <c r="M41" s="143" t="n">
        <v>1</v>
      </c>
      <c r="N41" s="143" t="n">
        <v>0</v>
      </c>
      <c r="O41" s="143" t="n">
        <v>0</v>
      </c>
      <c r="P41" s="143" t="n">
        <v>0</v>
      </c>
      <c r="Q41" s="143" t="s">
        <v>290</v>
      </c>
    </row>
    <row r="42" customFormat="false" ht="12.75" hidden="false" customHeight="false" outlineLevel="0" collapsed="false">
      <c r="B42" s="141"/>
      <c r="C42" s="141" t="s">
        <v>288</v>
      </c>
      <c r="D42" s="141" t="n">
        <v>68257</v>
      </c>
      <c r="E42" s="141" t="s">
        <v>11</v>
      </c>
      <c r="F42" s="141" t="s">
        <v>290</v>
      </c>
      <c r="G42" s="141" t="s">
        <v>290</v>
      </c>
      <c r="H42" s="142" t="n">
        <v>36647</v>
      </c>
      <c r="I42" s="142" t="n">
        <v>37011</v>
      </c>
      <c r="J42" s="141" t="n">
        <v>28631</v>
      </c>
      <c r="K42" s="141" t="n">
        <v>21</v>
      </c>
      <c r="L42" s="141" t="n">
        <v>0</v>
      </c>
      <c r="M42" s="141" t="n">
        <v>21</v>
      </c>
      <c r="N42" s="141" t="n">
        <v>0</v>
      </c>
      <c r="O42" s="141" t="n">
        <v>0</v>
      </c>
      <c r="P42" s="141" t="n">
        <v>0</v>
      </c>
      <c r="Q42" s="141"/>
    </row>
    <row r="43" customFormat="false" ht="12.75" hidden="false" customHeight="false" outlineLevel="0" collapsed="false">
      <c r="B43" s="143"/>
      <c r="C43" s="143" t="s">
        <v>288</v>
      </c>
      <c r="D43" s="143" t="n">
        <v>68308</v>
      </c>
      <c r="E43" s="143" t="s">
        <v>11</v>
      </c>
      <c r="F43" s="143" t="s">
        <v>290</v>
      </c>
      <c r="G43" s="143" t="s">
        <v>290</v>
      </c>
      <c r="H43" s="144" t="n">
        <v>36656</v>
      </c>
      <c r="I43" s="144" t="n">
        <v>36950</v>
      </c>
      <c r="J43" s="143" t="n">
        <v>28864</v>
      </c>
      <c r="K43" s="143" t="n">
        <v>9</v>
      </c>
      <c r="L43" s="143" t="n">
        <v>0</v>
      </c>
      <c r="M43" s="143" t="n">
        <v>9</v>
      </c>
      <c r="N43" s="143" t="n">
        <v>0</v>
      </c>
      <c r="O43" s="143" t="n">
        <v>0</v>
      </c>
      <c r="P43" s="143" t="n">
        <v>0</v>
      </c>
      <c r="Q43" s="143" t="s">
        <v>290</v>
      </c>
    </row>
    <row r="44" customFormat="false" ht="12.75" hidden="false" customHeight="false" outlineLevel="0" collapsed="false">
      <c r="B44" s="141"/>
      <c r="C44" s="141" t="s">
        <v>288</v>
      </c>
      <c r="D44" s="141" t="n">
        <v>68359</v>
      </c>
      <c r="E44" s="141" t="s">
        <v>11</v>
      </c>
      <c r="F44" s="141" t="s">
        <v>290</v>
      </c>
      <c r="G44" s="141" t="s">
        <v>290</v>
      </c>
      <c r="H44" s="142" t="n">
        <v>36678</v>
      </c>
      <c r="I44" s="142" t="n">
        <v>37042</v>
      </c>
      <c r="J44" s="141" t="n">
        <v>28933</v>
      </c>
      <c r="K44" s="141" t="n">
        <v>285</v>
      </c>
      <c r="L44" s="141" t="n">
        <v>0</v>
      </c>
      <c r="M44" s="141" t="n">
        <v>285</v>
      </c>
      <c r="N44" s="141" t="n">
        <v>0</v>
      </c>
      <c r="O44" s="141" t="n">
        <v>0</v>
      </c>
      <c r="P44" s="141" t="n">
        <v>0</v>
      </c>
      <c r="Q44" s="141" t="s">
        <v>290</v>
      </c>
    </row>
    <row r="45" customFormat="false" ht="12.75" hidden="false" customHeight="false" outlineLevel="0" collapsed="false">
      <c r="B45" s="143"/>
      <c r="C45" s="143" t="s">
        <v>288</v>
      </c>
      <c r="D45" s="143" t="n">
        <v>68384</v>
      </c>
      <c r="E45" s="143" t="s">
        <v>11</v>
      </c>
      <c r="F45" s="143" t="s">
        <v>290</v>
      </c>
      <c r="G45" s="143" t="s">
        <v>290</v>
      </c>
      <c r="H45" s="144" t="n">
        <v>36678</v>
      </c>
      <c r="I45" s="144" t="n">
        <v>37042</v>
      </c>
      <c r="J45" s="143" t="n">
        <v>28962</v>
      </c>
      <c r="K45" s="143" t="n">
        <v>218</v>
      </c>
      <c r="L45" s="143" t="n">
        <v>0</v>
      </c>
      <c r="M45" s="143" t="n">
        <v>218</v>
      </c>
      <c r="N45" s="143" t="n">
        <v>0</v>
      </c>
      <c r="O45" s="143" t="n">
        <v>0</v>
      </c>
      <c r="P45" s="143" t="n">
        <v>0</v>
      </c>
      <c r="Q45" s="143" t="s">
        <v>290</v>
      </c>
    </row>
    <row r="46" customFormat="false" ht="12.75" hidden="false" customHeight="false" outlineLevel="0" collapsed="false">
      <c r="B46" s="141"/>
      <c r="C46" s="141" t="s">
        <v>288</v>
      </c>
      <c r="D46" s="141" t="n">
        <v>68443</v>
      </c>
      <c r="E46" s="141" t="s">
        <v>207</v>
      </c>
      <c r="F46" s="141" t="s">
        <v>290</v>
      </c>
      <c r="G46" s="141" t="s">
        <v>290</v>
      </c>
      <c r="H46" s="142" t="n">
        <v>36678</v>
      </c>
      <c r="I46" s="142" t="n">
        <v>36707</v>
      </c>
      <c r="J46" s="141" t="n">
        <v>29005</v>
      </c>
      <c r="K46" s="146" t="n">
        <v>10000</v>
      </c>
      <c r="L46" s="141" t="n">
        <v>0</v>
      </c>
      <c r="M46" s="146" t="n">
        <v>10000</v>
      </c>
      <c r="N46" s="141" t="n">
        <v>0</v>
      </c>
      <c r="O46" s="141" t="n">
        <v>0</v>
      </c>
      <c r="P46" s="141" t="n">
        <v>0</v>
      </c>
      <c r="Q46" s="141" t="s">
        <v>290</v>
      </c>
    </row>
    <row r="47" customFormat="false" ht="12.75" hidden="false" customHeight="false" outlineLevel="0" collapsed="false">
      <c r="B47" s="143"/>
      <c r="C47" s="143" t="s">
        <v>288</v>
      </c>
      <c r="D47" s="143" t="n">
        <v>68447</v>
      </c>
      <c r="E47" s="143" t="s">
        <v>11</v>
      </c>
      <c r="F47" s="143" t="s">
        <v>290</v>
      </c>
      <c r="G47" s="143" t="s">
        <v>290</v>
      </c>
      <c r="H47" s="144" t="n">
        <v>36678</v>
      </c>
      <c r="I47" s="144" t="n">
        <v>36707</v>
      </c>
      <c r="J47" s="143" t="n">
        <v>29095</v>
      </c>
      <c r="K47" s="145" t="n">
        <v>7500</v>
      </c>
      <c r="L47" s="143" t="n">
        <v>0</v>
      </c>
      <c r="M47" s="145" t="n">
        <v>7500</v>
      </c>
      <c r="N47" s="143" t="n">
        <v>0</v>
      </c>
      <c r="O47" s="143" t="n">
        <v>0</v>
      </c>
      <c r="P47" s="143" t="n">
        <v>0</v>
      </c>
      <c r="Q47" s="143" t="s">
        <v>290</v>
      </c>
    </row>
    <row r="48" customFormat="false" ht="38.25" hidden="false" customHeight="false" outlineLevel="0" collapsed="false">
      <c r="B48" s="141"/>
      <c r="C48" s="141" t="s">
        <v>297</v>
      </c>
      <c r="D48" s="141" t="n">
        <v>37393</v>
      </c>
      <c r="E48" s="141" t="s">
        <v>298</v>
      </c>
      <c r="F48" s="141" t="s">
        <v>290</v>
      </c>
      <c r="G48" s="141" t="s">
        <v>290</v>
      </c>
      <c r="H48" s="142" t="n">
        <v>34274</v>
      </c>
      <c r="I48" s="141" t="s">
        <v>290</v>
      </c>
      <c r="J48" s="141" t="s">
        <v>290</v>
      </c>
      <c r="K48" s="146" t="n">
        <v>20000</v>
      </c>
      <c r="L48" s="141" t="n">
        <v>0</v>
      </c>
      <c r="M48" s="146" t="n">
        <v>20000</v>
      </c>
      <c r="N48" s="141" t="n">
        <v>0</v>
      </c>
      <c r="O48" s="141" t="n">
        <v>0</v>
      </c>
      <c r="P48" s="141" t="n">
        <v>0</v>
      </c>
      <c r="Q48" s="141" t="s">
        <v>290</v>
      </c>
    </row>
    <row r="49" customFormat="false" ht="38.25" hidden="false" customHeight="false" outlineLevel="0" collapsed="false">
      <c r="B49" s="143"/>
      <c r="C49" s="143" t="s">
        <v>297</v>
      </c>
      <c r="D49" s="143" t="n">
        <v>37556</v>
      </c>
      <c r="E49" s="143" t="s">
        <v>299</v>
      </c>
      <c r="F49" s="143" t="s">
        <v>290</v>
      </c>
      <c r="G49" s="143" t="s">
        <v>290</v>
      </c>
      <c r="H49" s="144" t="n">
        <v>34274</v>
      </c>
      <c r="I49" s="143" t="s">
        <v>290</v>
      </c>
      <c r="J49" s="143" t="s">
        <v>290</v>
      </c>
      <c r="K49" s="145" t="n">
        <v>300000</v>
      </c>
      <c r="L49" s="143" t="n">
        <v>0</v>
      </c>
      <c r="M49" s="145" t="n">
        <v>300000</v>
      </c>
      <c r="N49" s="143" t="n">
        <v>0</v>
      </c>
      <c r="O49" s="143" t="n">
        <v>0</v>
      </c>
      <c r="P49" s="143" t="n">
        <v>0</v>
      </c>
      <c r="Q49" s="143" t="s">
        <v>290</v>
      </c>
    </row>
    <row r="50" customFormat="false" ht="38.25" hidden="false" customHeight="false" outlineLevel="0" collapsed="false">
      <c r="B50" s="141"/>
      <c r="C50" s="141" t="s">
        <v>297</v>
      </c>
      <c r="D50" s="141" t="n">
        <v>37861</v>
      </c>
      <c r="E50" s="141" t="s">
        <v>300</v>
      </c>
      <c r="F50" s="141" t="s">
        <v>290</v>
      </c>
      <c r="G50" s="141" t="s">
        <v>290</v>
      </c>
      <c r="H50" s="142" t="n">
        <v>35582</v>
      </c>
      <c r="I50" s="141" t="s">
        <v>290</v>
      </c>
      <c r="J50" s="141" t="s">
        <v>290</v>
      </c>
      <c r="K50" s="146" t="n">
        <v>15000</v>
      </c>
      <c r="L50" s="141" t="n">
        <v>0</v>
      </c>
      <c r="M50" s="146" t="n">
        <v>15000</v>
      </c>
      <c r="N50" s="141" t="n">
        <v>0</v>
      </c>
      <c r="O50" s="141" t="n">
        <v>0</v>
      </c>
      <c r="P50" s="141" t="n">
        <v>0</v>
      </c>
      <c r="Q50" s="141" t="s">
        <v>290</v>
      </c>
    </row>
    <row r="51" customFormat="false" ht="38.25" hidden="false" customHeight="false" outlineLevel="0" collapsed="false">
      <c r="B51" s="143"/>
      <c r="C51" s="143" t="s">
        <v>297</v>
      </c>
      <c r="D51" s="143" t="n">
        <v>38641</v>
      </c>
      <c r="E51" s="143" t="s">
        <v>301</v>
      </c>
      <c r="F51" s="143" t="s">
        <v>290</v>
      </c>
      <c r="G51" s="143" t="s">
        <v>290</v>
      </c>
      <c r="H51" s="144" t="n">
        <v>34274</v>
      </c>
      <c r="I51" s="143" t="s">
        <v>290</v>
      </c>
      <c r="J51" s="143" t="s">
        <v>290</v>
      </c>
      <c r="K51" s="145" t="n">
        <v>450000</v>
      </c>
      <c r="L51" s="143" t="n">
        <v>0</v>
      </c>
      <c r="M51" s="145" t="n">
        <v>450000</v>
      </c>
      <c r="N51" s="143" t="n">
        <v>0</v>
      </c>
      <c r="O51" s="143" t="n">
        <v>0</v>
      </c>
      <c r="P51" s="143" t="n">
        <v>0</v>
      </c>
      <c r="Q51" s="143" t="s">
        <v>290</v>
      </c>
    </row>
    <row r="52" customFormat="false" ht="38.25" hidden="false" customHeight="false" outlineLevel="0" collapsed="false">
      <c r="B52" s="141"/>
      <c r="C52" s="141" t="s">
        <v>297</v>
      </c>
      <c r="D52" s="141" t="n">
        <v>39229</v>
      </c>
      <c r="E52" s="141" t="s">
        <v>289</v>
      </c>
      <c r="F52" s="141" t="s">
        <v>290</v>
      </c>
      <c r="G52" s="141" t="s">
        <v>290</v>
      </c>
      <c r="H52" s="142" t="n">
        <v>34274</v>
      </c>
      <c r="I52" s="141" t="s">
        <v>290</v>
      </c>
      <c r="J52" s="141" t="s">
        <v>290</v>
      </c>
      <c r="K52" s="141" t="n">
        <v>0</v>
      </c>
      <c r="L52" s="141" t="n">
        <v>0</v>
      </c>
      <c r="M52" s="141" t="n">
        <v>0</v>
      </c>
      <c r="N52" s="141" t="n">
        <v>0</v>
      </c>
      <c r="O52" s="141" t="n">
        <v>0</v>
      </c>
      <c r="P52" s="141" t="n">
        <v>0</v>
      </c>
      <c r="Q52" s="141" t="s">
        <v>290</v>
      </c>
    </row>
    <row r="53" customFormat="false" ht="38.25" hidden="false" customHeight="false" outlineLevel="0" collapsed="false">
      <c r="B53" s="143"/>
      <c r="C53" s="143" t="s">
        <v>297</v>
      </c>
      <c r="D53" s="143" t="n">
        <v>39266</v>
      </c>
      <c r="E53" s="143" t="s">
        <v>249</v>
      </c>
      <c r="F53" s="143" t="s">
        <v>290</v>
      </c>
      <c r="G53" s="143" t="s">
        <v>290</v>
      </c>
      <c r="H53" s="144" t="n">
        <v>34274</v>
      </c>
      <c r="I53" s="143" t="s">
        <v>290</v>
      </c>
      <c r="J53" s="143" t="s">
        <v>290</v>
      </c>
      <c r="K53" s="145" t="n">
        <v>300000</v>
      </c>
      <c r="L53" s="143" t="n">
        <v>0</v>
      </c>
      <c r="M53" s="145" t="n">
        <v>300000</v>
      </c>
      <c r="N53" s="143" t="n">
        <v>0</v>
      </c>
      <c r="O53" s="143" t="n">
        <v>0</v>
      </c>
      <c r="P53" s="143" t="n">
        <v>0</v>
      </c>
      <c r="Q53" s="143" t="s">
        <v>290</v>
      </c>
    </row>
    <row r="54" customFormat="false" ht="38.25" hidden="false" customHeight="false" outlineLevel="0" collapsed="false">
      <c r="B54" s="141"/>
      <c r="C54" s="141" t="s">
        <v>297</v>
      </c>
      <c r="D54" s="141" t="n">
        <v>42789</v>
      </c>
      <c r="E54" s="141" t="s">
        <v>298</v>
      </c>
      <c r="F54" s="141" t="s">
        <v>290</v>
      </c>
      <c r="G54" s="141" t="s">
        <v>290</v>
      </c>
      <c r="H54" s="142" t="n">
        <v>36557</v>
      </c>
      <c r="I54" s="141" t="s">
        <v>290</v>
      </c>
      <c r="J54" s="141" t="s">
        <v>290</v>
      </c>
      <c r="K54" s="146" t="n">
        <v>30000</v>
      </c>
      <c r="L54" s="141" t="n">
        <v>0</v>
      </c>
      <c r="M54" s="146" t="n">
        <v>30000</v>
      </c>
      <c r="N54" s="141" t="n">
        <v>0</v>
      </c>
      <c r="O54" s="141" t="n">
        <v>0</v>
      </c>
      <c r="P54" s="141" t="n">
        <v>0</v>
      </c>
      <c r="Q54" s="141" t="s">
        <v>290</v>
      </c>
    </row>
    <row r="55" customFormat="false" ht="38.25" hidden="false" customHeight="false" outlineLevel="0" collapsed="false">
      <c r="B55" s="143"/>
      <c r="C55" s="143" t="s">
        <v>297</v>
      </c>
      <c r="D55" s="143" t="n">
        <v>50250</v>
      </c>
      <c r="E55" s="143" t="s">
        <v>298</v>
      </c>
      <c r="F55" s="143" t="s">
        <v>290</v>
      </c>
      <c r="G55" s="143" t="s">
        <v>290</v>
      </c>
      <c r="H55" s="144" t="n">
        <v>36557</v>
      </c>
      <c r="I55" s="143" t="s">
        <v>290</v>
      </c>
      <c r="J55" s="143" t="s">
        <v>290</v>
      </c>
      <c r="K55" s="145" t="n">
        <v>20000</v>
      </c>
      <c r="L55" s="143" t="n">
        <v>0</v>
      </c>
      <c r="M55" s="145" t="n">
        <v>20000</v>
      </c>
      <c r="N55" s="143" t="n">
        <v>0</v>
      </c>
      <c r="O55" s="143" t="n">
        <v>0</v>
      </c>
      <c r="P55" s="143" t="n">
        <v>0</v>
      </c>
      <c r="Q55" s="143" t="s">
        <v>290</v>
      </c>
    </row>
    <row r="56" customFormat="false" ht="38.25" hidden="false" customHeight="false" outlineLevel="0" collapsed="false">
      <c r="B56" s="141"/>
      <c r="C56" s="141" t="s">
        <v>297</v>
      </c>
      <c r="D56" s="141" t="n">
        <v>58654</v>
      </c>
      <c r="E56" s="141" t="s">
        <v>300</v>
      </c>
      <c r="F56" s="141" t="s">
        <v>290</v>
      </c>
      <c r="G56" s="141" t="s">
        <v>290</v>
      </c>
      <c r="H56" s="142" t="n">
        <v>36557</v>
      </c>
      <c r="I56" s="141" t="s">
        <v>290</v>
      </c>
      <c r="J56" s="141" t="s">
        <v>290</v>
      </c>
      <c r="K56" s="146" t="n">
        <v>15000</v>
      </c>
      <c r="L56" s="141" t="n">
        <v>0</v>
      </c>
      <c r="M56" s="146" t="n">
        <v>15000</v>
      </c>
      <c r="N56" s="141" t="n">
        <v>0</v>
      </c>
      <c r="O56" s="141" t="n">
        <v>0</v>
      </c>
      <c r="P56" s="141" t="n">
        <v>0</v>
      </c>
      <c r="Q56" s="141" t="s">
        <v>290</v>
      </c>
    </row>
    <row r="57" customFormat="false" ht="38.25" hidden="false" customHeight="false" outlineLevel="0" collapsed="false">
      <c r="B57" s="143"/>
      <c r="C57" s="143" t="s">
        <v>297</v>
      </c>
      <c r="D57" s="143" t="n">
        <v>62408</v>
      </c>
      <c r="E57" s="143" t="s">
        <v>298</v>
      </c>
      <c r="F57" s="143" t="s">
        <v>290</v>
      </c>
      <c r="G57" s="143" t="s">
        <v>290</v>
      </c>
      <c r="H57" s="144" t="n">
        <v>36557</v>
      </c>
      <c r="I57" s="143" t="s">
        <v>290</v>
      </c>
      <c r="J57" s="143" t="s">
        <v>290</v>
      </c>
      <c r="K57" s="145" t="n">
        <v>40000</v>
      </c>
      <c r="L57" s="143" t="n">
        <v>0</v>
      </c>
      <c r="M57" s="145" t="n">
        <v>40000</v>
      </c>
      <c r="N57" s="143" t="n">
        <v>0</v>
      </c>
      <c r="O57" s="143" t="n">
        <v>0</v>
      </c>
      <c r="P57" s="143" t="n">
        <v>0</v>
      </c>
      <c r="Q57" s="143" t="s">
        <v>290</v>
      </c>
    </row>
    <row r="58" customFormat="false" ht="38.25" hidden="false" customHeight="false" outlineLevel="0" collapsed="false">
      <c r="B58" s="141"/>
      <c r="C58" s="141" t="s">
        <v>297</v>
      </c>
      <c r="D58" s="141" t="n">
        <v>63115</v>
      </c>
      <c r="E58" s="141" t="s">
        <v>300</v>
      </c>
      <c r="F58" s="141" t="s">
        <v>290</v>
      </c>
      <c r="G58" s="141" t="s">
        <v>290</v>
      </c>
      <c r="H58" s="142" t="n">
        <v>36557</v>
      </c>
      <c r="I58" s="142" t="n">
        <v>37346</v>
      </c>
      <c r="J58" s="141" t="n">
        <v>24770</v>
      </c>
      <c r="K58" s="146" t="n">
        <v>30000</v>
      </c>
      <c r="L58" s="141" t="n">
        <v>0</v>
      </c>
      <c r="M58" s="146" t="n">
        <v>30000</v>
      </c>
      <c r="N58" s="141" t="n">
        <v>0</v>
      </c>
      <c r="O58" s="141" t="n">
        <v>0</v>
      </c>
      <c r="P58" s="141" t="n">
        <v>0</v>
      </c>
      <c r="Q58" s="141" t="s">
        <v>290</v>
      </c>
    </row>
    <row r="59" customFormat="false" ht="38.25" hidden="false" customHeight="false" outlineLevel="0" collapsed="false">
      <c r="B59" s="143"/>
      <c r="C59" s="143" t="s">
        <v>297</v>
      </c>
      <c r="D59" s="143" t="n">
        <v>63922</v>
      </c>
      <c r="E59" s="143" t="s">
        <v>298</v>
      </c>
      <c r="F59" s="143" t="s">
        <v>290</v>
      </c>
      <c r="G59" s="143" t="s">
        <v>290</v>
      </c>
      <c r="H59" s="144" t="n">
        <v>36557</v>
      </c>
      <c r="I59" s="144" t="n">
        <v>38291</v>
      </c>
      <c r="J59" s="143" t="n">
        <v>25471</v>
      </c>
      <c r="K59" s="145" t="n">
        <v>25654</v>
      </c>
      <c r="L59" s="143" t="n">
        <v>0</v>
      </c>
      <c r="M59" s="145" t="n">
        <v>25654</v>
      </c>
      <c r="N59" s="143" t="n">
        <v>0</v>
      </c>
      <c r="O59" s="143" t="n">
        <v>0</v>
      </c>
      <c r="P59" s="143" t="n">
        <v>0</v>
      </c>
      <c r="Q59" s="143" t="s">
        <v>290</v>
      </c>
    </row>
    <row r="60" customFormat="false" ht="38.25" hidden="false" customHeight="false" outlineLevel="0" collapsed="false">
      <c r="B60" s="141"/>
      <c r="C60" s="141" t="s">
        <v>297</v>
      </c>
      <c r="D60" s="141" t="n">
        <v>64033</v>
      </c>
      <c r="E60" s="141" t="s">
        <v>300</v>
      </c>
      <c r="F60" s="141" t="s">
        <v>290</v>
      </c>
      <c r="G60" s="141" t="s">
        <v>290</v>
      </c>
      <c r="H60" s="142" t="n">
        <v>36557</v>
      </c>
      <c r="I60" s="142" t="n">
        <v>36707</v>
      </c>
      <c r="J60" s="141" t="n">
        <v>25713</v>
      </c>
      <c r="K60" s="141" t="n">
        <v>1</v>
      </c>
      <c r="L60" s="141" t="n">
        <v>0</v>
      </c>
      <c r="M60" s="141" t="n">
        <v>1</v>
      </c>
      <c r="N60" s="141" t="n">
        <v>0</v>
      </c>
      <c r="O60" s="141" t="n">
        <v>0</v>
      </c>
      <c r="P60" s="141" t="n">
        <v>0</v>
      </c>
      <c r="Q60" s="141" t="s">
        <v>290</v>
      </c>
    </row>
    <row r="61" customFormat="false" ht="38.25" hidden="false" customHeight="false" outlineLevel="0" collapsed="false">
      <c r="B61" s="143"/>
      <c r="C61" s="143" t="s">
        <v>297</v>
      </c>
      <c r="D61" s="143" t="n">
        <v>64035</v>
      </c>
      <c r="E61" s="143" t="s">
        <v>300</v>
      </c>
      <c r="F61" s="143" t="s">
        <v>290</v>
      </c>
      <c r="G61" s="143" t="s">
        <v>290</v>
      </c>
      <c r="H61" s="144" t="n">
        <v>36557</v>
      </c>
      <c r="I61" s="144" t="n">
        <v>36707</v>
      </c>
      <c r="J61" s="143" t="n">
        <v>25700</v>
      </c>
      <c r="K61" s="143" t="n">
        <v>931</v>
      </c>
      <c r="L61" s="143" t="n">
        <v>0</v>
      </c>
      <c r="M61" s="143" t="n">
        <v>931</v>
      </c>
      <c r="N61" s="143" t="n">
        <v>0</v>
      </c>
      <c r="O61" s="143" t="n">
        <v>0</v>
      </c>
      <c r="P61" s="143" t="n">
        <v>0</v>
      </c>
      <c r="Q61" s="143" t="s">
        <v>290</v>
      </c>
    </row>
    <row r="62" customFormat="false" ht="38.25" hidden="false" customHeight="false" outlineLevel="0" collapsed="false">
      <c r="B62" s="141"/>
      <c r="C62" s="141" t="s">
        <v>297</v>
      </c>
      <c r="D62" s="141" t="n">
        <v>64332</v>
      </c>
      <c r="E62" s="141" t="s">
        <v>300</v>
      </c>
      <c r="F62" s="141" t="s">
        <v>290</v>
      </c>
      <c r="G62" s="141" t="s">
        <v>290</v>
      </c>
      <c r="H62" s="142" t="n">
        <v>36557</v>
      </c>
      <c r="I62" s="142" t="n">
        <v>36738</v>
      </c>
      <c r="J62" s="141" t="n">
        <v>25966</v>
      </c>
      <c r="K62" s="141" t="n">
        <v>12</v>
      </c>
      <c r="L62" s="141" t="n">
        <v>0</v>
      </c>
      <c r="M62" s="141" t="n">
        <v>12</v>
      </c>
      <c r="N62" s="141" t="n">
        <v>0</v>
      </c>
      <c r="O62" s="141" t="n">
        <v>0</v>
      </c>
      <c r="P62" s="141" t="n">
        <v>0</v>
      </c>
      <c r="Q62" s="141" t="s">
        <v>290</v>
      </c>
    </row>
    <row r="63" customFormat="false" ht="38.25" hidden="false" customHeight="false" outlineLevel="0" collapsed="false">
      <c r="B63" s="143"/>
      <c r="C63" s="143" t="s">
        <v>297</v>
      </c>
      <c r="D63" s="143" t="n">
        <v>64334</v>
      </c>
      <c r="E63" s="143" t="s">
        <v>300</v>
      </c>
      <c r="F63" s="143" t="s">
        <v>290</v>
      </c>
      <c r="G63" s="143" t="s">
        <v>290</v>
      </c>
      <c r="H63" s="144" t="n">
        <v>36557</v>
      </c>
      <c r="I63" s="144" t="n">
        <v>36738</v>
      </c>
      <c r="J63" s="143" t="n">
        <v>25956</v>
      </c>
      <c r="K63" s="143" t="n">
        <v>52</v>
      </c>
      <c r="L63" s="143" t="n">
        <v>0</v>
      </c>
      <c r="M63" s="143" t="n">
        <v>52</v>
      </c>
      <c r="N63" s="143" t="n">
        <v>0</v>
      </c>
      <c r="O63" s="143" t="n">
        <v>0</v>
      </c>
      <c r="P63" s="143" t="n">
        <v>0</v>
      </c>
      <c r="Q63" s="143" t="s">
        <v>290</v>
      </c>
    </row>
    <row r="64" customFormat="false" ht="38.25" hidden="false" customHeight="false" outlineLevel="0" collapsed="false">
      <c r="B64" s="141"/>
      <c r="C64" s="141" t="s">
        <v>297</v>
      </c>
      <c r="D64" s="141" t="n">
        <v>64446</v>
      </c>
      <c r="E64" s="141" t="s">
        <v>300</v>
      </c>
      <c r="F64" s="141" t="s">
        <v>290</v>
      </c>
      <c r="G64" s="141" t="s">
        <v>290</v>
      </c>
      <c r="H64" s="142" t="n">
        <v>36557</v>
      </c>
      <c r="I64" s="142" t="n">
        <v>36738</v>
      </c>
      <c r="J64" s="141" t="n">
        <v>26081</v>
      </c>
      <c r="K64" s="141" t="n">
        <v>142</v>
      </c>
      <c r="L64" s="141" t="n">
        <v>0</v>
      </c>
      <c r="M64" s="141" t="n">
        <v>142</v>
      </c>
      <c r="N64" s="141" t="n">
        <v>0</v>
      </c>
      <c r="O64" s="141" t="n">
        <v>0</v>
      </c>
      <c r="P64" s="141" t="n">
        <v>0</v>
      </c>
      <c r="Q64" s="141" t="s">
        <v>290</v>
      </c>
    </row>
    <row r="65" customFormat="false" ht="38.25" hidden="false" customHeight="false" outlineLevel="0" collapsed="false">
      <c r="B65" s="143"/>
      <c r="C65" s="143" t="s">
        <v>297</v>
      </c>
      <c r="D65" s="143" t="n">
        <v>64502</v>
      </c>
      <c r="E65" s="143" t="s">
        <v>298</v>
      </c>
      <c r="F65" s="143" t="s">
        <v>290</v>
      </c>
      <c r="G65" s="143" t="s">
        <v>290</v>
      </c>
      <c r="H65" s="144" t="n">
        <v>36557</v>
      </c>
      <c r="I65" s="143" t="s">
        <v>290</v>
      </c>
      <c r="J65" s="143" t="s">
        <v>290</v>
      </c>
      <c r="K65" s="145" t="n">
        <v>29000</v>
      </c>
      <c r="L65" s="143" t="n">
        <v>0</v>
      </c>
      <c r="M65" s="145" t="n">
        <v>29000</v>
      </c>
      <c r="N65" s="143" t="n">
        <v>0</v>
      </c>
      <c r="O65" s="143" t="n">
        <v>0</v>
      </c>
      <c r="P65" s="143" t="n">
        <v>0</v>
      </c>
      <c r="Q65" s="143"/>
    </row>
    <row r="66" customFormat="false" ht="38.25" hidden="false" customHeight="false" outlineLevel="0" collapsed="false">
      <c r="B66" s="141"/>
      <c r="C66" s="141" t="s">
        <v>297</v>
      </c>
      <c r="D66" s="141" t="n">
        <v>64652</v>
      </c>
      <c r="E66" s="141" t="s">
        <v>300</v>
      </c>
      <c r="F66" s="141" t="s">
        <v>290</v>
      </c>
      <c r="G66" s="141" t="s">
        <v>290</v>
      </c>
      <c r="H66" s="142" t="n">
        <v>36557</v>
      </c>
      <c r="I66" s="142" t="n">
        <v>36769</v>
      </c>
      <c r="J66" s="141" t="n">
        <v>26151</v>
      </c>
      <c r="K66" s="141" t="n">
        <v>65</v>
      </c>
      <c r="L66" s="141" t="n">
        <v>0</v>
      </c>
      <c r="M66" s="141" t="n">
        <v>65</v>
      </c>
      <c r="N66" s="141" t="n">
        <v>0</v>
      </c>
      <c r="O66" s="141" t="n">
        <v>0</v>
      </c>
      <c r="P66" s="141" t="n">
        <v>0</v>
      </c>
      <c r="Q66" s="141" t="s">
        <v>290</v>
      </c>
    </row>
    <row r="67" customFormat="false" ht="38.25" hidden="false" customHeight="false" outlineLevel="0" collapsed="false">
      <c r="B67" s="143"/>
      <c r="C67" s="143" t="s">
        <v>297</v>
      </c>
      <c r="D67" s="143" t="n">
        <v>64863</v>
      </c>
      <c r="E67" s="143" t="s">
        <v>300</v>
      </c>
      <c r="F67" s="143" t="s">
        <v>290</v>
      </c>
      <c r="G67" s="143" t="s">
        <v>290</v>
      </c>
      <c r="H67" s="144" t="n">
        <v>36557</v>
      </c>
      <c r="I67" s="144" t="n">
        <v>36799</v>
      </c>
      <c r="J67" s="143" t="n">
        <v>26504</v>
      </c>
      <c r="K67" s="143" t="n">
        <v>13</v>
      </c>
      <c r="L67" s="143" t="n">
        <v>0</v>
      </c>
      <c r="M67" s="143" t="n">
        <v>13</v>
      </c>
      <c r="N67" s="143" t="n">
        <v>0</v>
      </c>
      <c r="O67" s="143" t="n">
        <v>0</v>
      </c>
      <c r="P67" s="143" t="n">
        <v>0</v>
      </c>
      <c r="Q67" s="143" t="s">
        <v>290</v>
      </c>
    </row>
    <row r="68" customFormat="false" ht="38.25" hidden="false" customHeight="false" outlineLevel="0" collapsed="false">
      <c r="B68" s="141"/>
      <c r="C68" s="141" t="s">
        <v>297</v>
      </c>
      <c r="D68" s="141" t="n">
        <v>64937</v>
      </c>
      <c r="E68" s="141" t="s">
        <v>298</v>
      </c>
      <c r="F68" s="141" t="s">
        <v>290</v>
      </c>
      <c r="G68" s="141" t="s">
        <v>290</v>
      </c>
      <c r="H68" s="142" t="n">
        <v>36434</v>
      </c>
      <c r="I68" s="141" t="s">
        <v>290</v>
      </c>
      <c r="J68" s="141" t="s">
        <v>290</v>
      </c>
      <c r="K68" s="146" t="n">
        <v>10000</v>
      </c>
      <c r="L68" s="141" t="n">
        <v>0</v>
      </c>
      <c r="M68" s="146" t="n">
        <v>10000</v>
      </c>
      <c r="N68" s="141" t="n">
        <v>0</v>
      </c>
      <c r="O68" s="141" t="n">
        <v>0</v>
      </c>
      <c r="P68" s="141" t="n">
        <v>0</v>
      </c>
      <c r="Q68" s="141" t="s">
        <v>290</v>
      </c>
    </row>
    <row r="69" customFormat="false" ht="38.25" hidden="false" customHeight="false" outlineLevel="0" collapsed="false">
      <c r="B69" s="143"/>
      <c r="C69" s="143" t="s">
        <v>297</v>
      </c>
      <c r="D69" s="143" t="n">
        <v>65027</v>
      </c>
      <c r="E69" s="143" t="s">
        <v>300</v>
      </c>
      <c r="F69" s="143" t="s">
        <v>290</v>
      </c>
      <c r="G69" s="143" t="s">
        <v>290</v>
      </c>
      <c r="H69" s="144" t="n">
        <v>36557</v>
      </c>
      <c r="I69" s="144" t="n">
        <v>36830</v>
      </c>
      <c r="J69" s="143" t="n">
        <v>26727</v>
      </c>
      <c r="K69" s="143" t="n">
        <v>131</v>
      </c>
      <c r="L69" s="143" t="n">
        <v>0</v>
      </c>
      <c r="M69" s="143" t="n">
        <v>131</v>
      </c>
      <c r="N69" s="143" t="n">
        <v>0</v>
      </c>
      <c r="O69" s="143" t="n">
        <v>0</v>
      </c>
      <c r="P69" s="143" t="n">
        <v>0</v>
      </c>
      <c r="Q69" s="143" t="s">
        <v>290</v>
      </c>
    </row>
    <row r="70" customFormat="false" ht="38.25" hidden="false" customHeight="false" outlineLevel="0" collapsed="false">
      <c r="B70" s="141"/>
      <c r="C70" s="141" t="s">
        <v>297</v>
      </c>
      <c r="D70" s="141" t="n">
        <v>65072</v>
      </c>
      <c r="E70" s="141" t="s">
        <v>300</v>
      </c>
      <c r="F70" s="141" t="s">
        <v>290</v>
      </c>
      <c r="G70" s="141" t="s">
        <v>290</v>
      </c>
      <c r="H70" s="142" t="n">
        <v>36617</v>
      </c>
      <c r="I70" s="142" t="n">
        <v>36830</v>
      </c>
      <c r="J70" s="141" t="n">
        <v>26785</v>
      </c>
      <c r="K70" s="146" t="n">
        <v>7391</v>
      </c>
      <c r="L70" s="141" t="n">
        <v>0</v>
      </c>
      <c r="M70" s="146" t="n">
        <v>6987</v>
      </c>
      <c r="N70" s="141" t="n">
        <v>404</v>
      </c>
      <c r="O70" s="141" t="n">
        <v>0</v>
      </c>
      <c r="P70" s="141" t="n">
        <v>0</v>
      </c>
      <c r="Q70" s="141" t="s">
        <v>290</v>
      </c>
    </row>
    <row r="71" customFormat="false" ht="38.25" hidden="false" customHeight="false" outlineLevel="0" collapsed="false">
      <c r="B71" s="143"/>
      <c r="C71" s="143" t="s">
        <v>297</v>
      </c>
      <c r="D71" s="143" t="n">
        <v>65557</v>
      </c>
      <c r="E71" s="143" t="s">
        <v>300</v>
      </c>
      <c r="F71" s="143" t="s">
        <v>290</v>
      </c>
      <c r="G71" s="143" t="s">
        <v>290</v>
      </c>
      <c r="H71" s="144" t="n">
        <v>36557</v>
      </c>
      <c r="I71" s="144" t="n">
        <v>36860</v>
      </c>
      <c r="J71" s="143" t="n">
        <v>27128</v>
      </c>
      <c r="K71" s="143" t="n">
        <v>3</v>
      </c>
      <c r="L71" s="143" t="n">
        <v>0</v>
      </c>
      <c r="M71" s="143" t="n">
        <v>3</v>
      </c>
      <c r="N71" s="143" t="n">
        <v>0</v>
      </c>
      <c r="O71" s="143" t="n">
        <v>0</v>
      </c>
      <c r="P71" s="143" t="n">
        <v>0</v>
      </c>
      <c r="Q71" s="143" t="s">
        <v>290</v>
      </c>
    </row>
    <row r="72" customFormat="false" ht="38.25" hidden="false" customHeight="false" outlineLevel="0" collapsed="false">
      <c r="B72" s="141"/>
      <c r="C72" s="141" t="s">
        <v>297</v>
      </c>
      <c r="D72" s="141" t="n">
        <v>66283</v>
      </c>
      <c r="E72" s="141" t="s">
        <v>300</v>
      </c>
      <c r="F72" s="141" t="s">
        <v>290</v>
      </c>
      <c r="G72" s="141" t="s">
        <v>290</v>
      </c>
      <c r="H72" s="142" t="n">
        <v>36557</v>
      </c>
      <c r="I72" s="142" t="n">
        <v>36922</v>
      </c>
      <c r="J72" s="141" t="n">
        <v>27775</v>
      </c>
      <c r="K72" s="141" t="n">
        <v>5</v>
      </c>
      <c r="L72" s="141" t="n">
        <v>0</v>
      </c>
      <c r="M72" s="141" t="n">
        <v>5</v>
      </c>
      <c r="N72" s="141" t="n">
        <v>0</v>
      </c>
      <c r="O72" s="141" t="n">
        <v>0</v>
      </c>
      <c r="P72" s="141" t="n">
        <v>0</v>
      </c>
      <c r="Q72" s="141" t="s">
        <v>290</v>
      </c>
    </row>
    <row r="73" customFormat="false" ht="38.25" hidden="false" customHeight="false" outlineLevel="0" collapsed="false">
      <c r="B73" s="143"/>
      <c r="C73" s="143" t="s">
        <v>297</v>
      </c>
      <c r="D73" s="143" t="n">
        <v>66941</v>
      </c>
      <c r="E73" s="143" t="s">
        <v>300</v>
      </c>
      <c r="F73" s="143" t="s">
        <v>290</v>
      </c>
      <c r="G73" s="143" t="s">
        <v>290</v>
      </c>
      <c r="H73" s="144" t="n">
        <v>36617</v>
      </c>
      <c r="I73" s="144" t="n">
        <v>36981</v>
      </c>
      <c r="J73" s="143" t="n">
        <v>28330</v>
      </c>
      <c r="K73" s="143" t="n">
        <v>53</v>
      </c>
      <c r="L73" s="143" t="n">
        <v>0</v>
      </c>
      <c r="M73" s="143" t="n">
        <v>53</v>
      </c>
      <c r="N73" s="143" t="n">
        <v>0</v>
      </c>
      <c r="O73" s="143" t="n">
        <v>0</v>
      </c>
      <c r="P73" s="143" t="n">
        <v>0</v>
      </c>
      <c r="Q73" s="143" t="s">
        <v>290</v>
      </c>
    </row>
    <row r="74" customFormat="false" ht="38.25" hidden="false" customHeight="false" outlineLevel="0" collapsed="false">
      <c r="B74" s="141"/>
      <c r="C74" s="141" t="s">
        <v>297</v>
      </c>
      <c r="D74" s="141" t="n">
        <v>66973</v>
      </c>
      <c r="E74" s="141" t="s">
        <v>298</v>
      </c>
      <c r="F74" s="141" t="s">
        <v>290</v>
      </c>
      <c r="G74" s="141" t="s">
        <v>290</v>
      </c>
      <c r="H74" s="142" t="n">
        <v>36678</v>
      </c>
      <c r="I74" s="142" t="n">
        <v>36981</v>
      </c>
      <c r="J74" s="141" t="s">
        <v>290</v>
      </c>
      <c r="K74" s="146" t="n">
        <v>10000</v>
      </c>
      <c r="L74" s="141" t="n">
        <v>0</v>
      </c>
      <c r="M74" s="146" t="n">
        <v>10000</v>
      </c>
      <c r="N74" s="141" t="n">
        <v>0</v>
      </c>
      <c r="O74" s="141" t="n">
        <v>0</v>
      </c>
      <c r="P74" s="141" t="n">
        <v>0</v>
      </c>
      <c r="Q74" s="141" t="s">
        <v>290</v>
      </c>
    </row>
    <row r="75" customFormat="false" ht="38.25" hidden="false" customHeight="false" outlineLevel="0" collapsed="false">
      <c r="B75" s="143"/>
      <c r="C75" s="143" t="s">
        <v>297</v>
      </c>
      <c r="D75" s="143" t="n">
        <v>68281</v>
      </c>
      <c r="E75" s="143" t="s">
        <v>300</v>
      </c>
      <c r="F75" s="143" t="s">
        <v>290</v>
      </c>
      <c r="G75" s="143" t="s">
        <v>290</v>
      </c>
      <c r="H75" s="144" t="n">
        <v>36647</v>
      </c>
      <c r="I75" s="144" t="n">
        <v>37011</v>
      </c>
      <c r="J75" s="143" t="n">
        <v>28632</v>
      </c>
      <c r="K75" s="143" t="n">
        <v>21</v>
      </c>
      <c r="L75" s="143" t="n">
        <v>0</v>
      </c>
      <c r="M75" s="143" t="n">
        <v>21</v>
      </c>
      <c r="N75" s="143" t="n">
        <v>0</v>
      </c>
      <c r="O75" s="143" t="n">
        <v>0</v>
      </c>
      <c r="P75" s="143" t="n">
        <v>0</v>
      </c>
      <c r="Q75" s="143"/>
    </row>
    <row r="76" customFormat="false" ht="38.25" hidden="false" customHeight="false" outlineLevel="0" collapsed="false">
      <c r="B76" s="141"/>
      <c r="C76" s="141" t="s">
        <v>297</v>
      </c>
      <c r="D76" s="141" t="n">
        <v>68309</v>
      </c>
      <c r="E76" s="141" t="s">
        <v>300</v>
      </c>
      <c r="F76" s="141" t="s">
        <v>290</v>
      </c>
      <c r="G76" s="141" t="s">
        <v>290</v>
      </c>
      <c r="H76" s="142" t="n">
        <v>36656</v>
      </c>
      <c r="I76" s="142" t="n">
        <v>36950</v>
      </c>
      <c r="J76" s="141" t="n">
        <v>28865</v>
      </c>
      <c r="K76" s="141" t="n">
        <v>9</v>
      </c>
      <c r="L76" s="141" t="n">
        <v>0</v>
      </c>
      <c r="M76" s="141" t="n">
        <v>9</v>
      </c>
      <c r="N76" s="141" t="n">
        <v>0</v>
      </c>
      <c r="O76" s="141" t="n">
        <v>0</v>
      </c>
      <c r="P76" s="141" t="n">
        <v>0</v>
      </c>
      <c r="Q76" s="141" t="s">
        <v>290</v>
      </c>
    </row>
    <row r="77" customFormat="false" ht="38.25" hidden="false" customHeight="false" outlineLevel="0" collapsed="false">
      <c r="B77" s="143"/>
      <c r="C77" s="143" t="s">
        <v>297</v>
      </c>
      <c r="D77" s="143" t="n">
        <v>68360</v>
      </c>
      <c r="E77" s="143" t="s">
        <v>300</v>
      </c>
      <c r="F77" s="143" t="s">
        <v>290</v>
      </c>
      <c r="G77" s="143" t="s">
        <v>290</v>
      </c>
      <c r="H77" s="144" t="n">
        <v>36678</v>
      </c>
      <c r="I77" s="144" t="n">
        <v>37042</v>
      </c>
      <c r="J77" s="143" t="n">
        <v>28934</v>
      </c>
      <c r="K77" s="143" t="n">
        <v>291</v>
      </c>
      <c r="L77" s="143" t="n">
        <v>0</v>
      </c>
      <c r="M77" s="143" t="n">
        <v>291</v>
      </c>
      <c r="N77" s="143" t="n">
        <v>0</v>
      </c>
      <c r="O77" s="143" t="n">
        <v>0</v>
      </c>
      <c r="P77" s="143" t="n">
        <v>0</v>
      </c>
      <c r="Q77" s="143" t="s">
        <v>290</v>
      </c>
    </row>
    <row r="78" customFormat="false" ht="38.25" hidden="false" customHeight="false" outlineLevel="0" collapsed="false">
      <c r="B78" s="141"/>
      <c r="C78" s="141" t="s">
        <v>297</v>
      </c>
      <c r="D78" s="141" t="n">
        <v>68385</v>
      </c>
      <c r="E78" s="141" t="s">
        <v>300</v>
      </c>
      <c r="F78" s="141" t="s">
        <v>290</v>
      </c>
      <c r="G78" s="141" t="s">
        <v>290</v>
      </c>
      <c r="H78" s="142" t="n">
        <v>36678</v>
      </c>
      <c r="I78" s="142" t="n">
        <v>37042</v>
      </c>
      <c r="J78" s="141" t="n">
        <v>28963</v>
      </c>
      <c r="K78" s="141" t="n">
        <v>223</v>
      </c>
      <c r="L78" s="141" t="n">
        <v>0</v>
      </c>
      <c r="M78" s="141" t="n">
        <v>223</v>
      </c>
      <c r="N78" s="141" t="n">
        <v>0</v>
      </c>
      <c r="O78" s="141" t="n">
        <v>0</v>
      </c>
      <c r="P78" s="141" t="n">
        <v>0</v>
      </c>
      <c r="Q78" s="141" t="s">
        <v>290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2000-09-14T15:03:17Z</cp:lastPrinted>
  <cp:revision>0</cp:revision>
  <dc:subject/>
  <dc:title/>
</cp:coreProperties>
</file>