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Sheet1" sheetId="6" state="visible" r:id="rId8"/>
  </sheets>
  <definedNames>
    <definedName function="false" hidden="false" localSheetId="3" name="_xlnm.Print_Area" vbProcedure="false">'CES Retail East'!$A$1:$AC$76</definedName>
    <definedName function="false" hidden="false" localSheetId="4" name="_xlnm.Print_Area" vbProcedure="false">'CES Retail Mrkt'!$A$16:$W$67</definedName>
    <definedName function="false" hidden="false" localSheetId="0" name="_xlnm.Print_Area" vbProcedure="false">'Pricing Notes'!$A$1:$N$72</definedName>
    <definedName function="false" hidden="false" localSheetId="5" name="_xlnm.Print_Titles" vbProcedure="false">Sheet1!$1:$1</definedName>
    <definedName function="false" hidden="false" localSheetId="5" name="TABLE" vbProcedure="false">Sheet1!$B$2:$Q$78</definedName>
    <definedName function="false" hidden="false" localSheetId="5" name="TABLE_2" vbProcedure="false">Sheet1!$B$2:$Q$78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<sst xmlns="http://schemas.openxmlformats.org/spreadsheetml/2006/main" count="1702" uniqueCount="410">
  <si>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</si>
  <si>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</si>
  <si>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</si>
  <si>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</si>
  <si>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</si>
  <si>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</si>
  <si>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</si>
  <si>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</si>
  <si>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</si>
  <si>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</si>
  <si>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</si>
  <si>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</si>
  <si>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</si>
  <si>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</si>
  <si>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</si>
  <si>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</si>
  <si>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</si>
  <si>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</si>
  <si>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</si>
  <si>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</si>
  <si>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</si>
  <si>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</si>
  <si>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</si>
  <si>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</si>
  <si>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</si>
  <si>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</si>
  <si>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</si>
  <si>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</si>
  <si>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</si>
  <si>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</si>
  <si>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</si>
  <si>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</si>
  <si>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</si>
  <si>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</si>
  <si>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</si>
  <si>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</si>
  <si>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</si>
  <si>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</si>
  <si>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</si>
  <si>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</si>
  <si>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</si>
  <si>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</si>
  <si>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</si>
  <si>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</si>
  <si>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</si>
  <si>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</si>
  <si>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</si>
  <si>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</si>
  <si>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</si>
  <si>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</si>
  <si>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</si>
  <si>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</si>
  <si>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</si>
  <si>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</si>
  <si>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</si>
  <si>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</si>
  <si>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</si>
  <si>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</si>
  <si>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</si>
  <si>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</si>
  <si>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</si>
  <si>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</si>
  <si>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</si>
  <si>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</si>
  <si>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</si>
  <si>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</si>
  <si>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</si>
  <si>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</si>
  <si>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</si>
  <si>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</si>
  <si>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</si>
  <si>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</si>
  <si>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</si>
  <si>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</si>
  <si>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</si>
  <si>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</si>
  <si>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</si>
  <si>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</si>
  <si>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</si>
  <si>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</si>
  <si>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</si>
  <si>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</si>
  <si>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</si>
  <si>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</si>
  <si>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</si>
  <si>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</si>
  <si>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</si>
  <si>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</si>
  <si>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</si>
  <si>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</si>
  <si>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</si>
  <si>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</si>
  <si>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</si>
  <si>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</si>
  <si>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</si>
  <si>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</si>
  <si>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</si>
  <si>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</si>
  <si>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</si>
  <si>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</si>
  <si>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</si>
  <si>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</si>
  <si>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</si>
  <si>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</si>
  <si>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</si>
  <si>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</si>
  <si>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</si>
  <si>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</si>
  <si>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</si>
  <si>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</si>
  <si>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</si>
  <si>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</si>
  <si>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</si>
  <si>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</si>
  <si>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228293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</si>
  <si>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</si>
  <si>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</si>
  <si>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</si>
  <si>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</si>
  <si>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</si>
  <si>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Transport</t>
  </si>
  <si>
    <t xml:space="preserve">Deal 227081, 227113</t>
  </si>
  <si>
    <t xml:space="preserve">Deal 235398</t>
  </si>
  <si>
    <t xml:space="preserve">CGLF</t>
  </si>
  <si>
    <t xml:space="preserve">FT-1</t>
  </si>
  <si>
    <t xml:space="preserve">Volume</t>
  </si>
  <si>
    <t xml:space="preserve">Deal 318748 (bookout with deal 202939)</t>
  </si>
  <si>
    <t xml:space="preserve">Deals 318750 and 318749</t>
  </si>
  <si>
    <t xml:space="preserve">Note:  CES purchased gas from ENA at CGLF Mainline (deal 202939).  ENA will buy this gas back at the CGLF Onshore Index plus $.06,</t>
  </si>
  <si>
    <t xml:space="preserve">and sell the gas back to CES at CGAS pool at CGLFOnshore Index +$.06 + variable cost from Mainline to Leach.</t>
  </si>
  <si>
    <t xml:space="preserve">ENA will buy the CGAS Pool gas back at the FOM price for CGAS.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</si>
  <si>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</si>
  <si>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</si>
  <si>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</si>
  <si>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</si>
  <si>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</si>
  <si>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</si>
  <si>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</si>
  <si>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</si>
  <si>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</si>
  <si>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</si>
  <si>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</si>
  <si>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</si>
  <si>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</si>
  <si>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</si>
  <si>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</si>
  <si>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</si>
  <si>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</si>
  <si>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</si>
  <si>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</si>
  <si>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</si>
  <si>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</si>
  <si>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</si>
  <si>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</si>
  <si>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</si>
  <si>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</si>
  <si>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</si>
  <si>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</si>
  <si>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</si>
  <si>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</si>
  <si>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</si>
  <si>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</si>
  <si>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</si>
  <si>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</si>
  <si>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</si>
  <si>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</si>
  <si>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</si>
  <si>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</si>
  <si>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</si>
  <si>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</si>
  <si>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</si>
  <si>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</si>
  <si>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</si>
  <si>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</si>
  <si>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</si>
  <si>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</si>
  <si>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</si>
  <si>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</si>
  <si>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</si>
  <si>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July,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</si>
  <si>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</si>
  <si>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</si>
  <si>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</si>
  <si>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</si>
  <si>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</si>
  <si>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</si>
  <si>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</si>
  <si>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</si>
  <si>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</si>
  <si>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</si>
  <si>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</si>
  <si>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</si>
  <si>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</si>
  <si>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</si>
  <si>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</si>
  <si>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</si>
  <si>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</si>
  <si>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</si>
  <si>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</si>
  <si>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</si>
  <si>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</si>
  <si>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</si>
  <si>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</si>
  <si>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</si>
  <si>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</si>
  <si>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</si>
  <si>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</si>
  <si>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</si>
  <si>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</si>
  <si>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</si>
  <si>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</si>
  <si>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</si>
  <si>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</si>
  <si>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</si>
  <si>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#29290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</si>
  <si>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</si>
  <si>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</si>
  <si>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CMd</t>
  </si>
  <si>
    <t xml:space="preserve">From CES #66615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</si>
  <si>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</si>
  <si>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</si>
  <si>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</si>
  <si>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</si>
  <si>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</si>
  <si>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FT</t>
  </si>
  <si>
    <t xml:space="preserve">FSNG101</t>
  </si>
  <si>
    <t xml:space="preserve">SGA</t>
  </si>
  <si>
    <t xml:space="preserve">FSGA25</t>
  </si>
  <si>
    <t xml:space="preserve">Release to mgag .13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</si>
  <si>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</si>
  <si>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</si>
  <si>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</si>
  <si>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</si>
  <si>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</si>
  <si>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</si>
  <si>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</si>
  <si>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</si>
  <si>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</si>
  <si>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</si>
  <si>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</si>
  <si>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</si>
  <si>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</si>
  <si>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</si>
  <si>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</si>
  <si>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</si>
  <si>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</si>
  <si>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</si>
  <si>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</si>
  <si>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</si>
  <si>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</si>
  <si>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</si>
  <si>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</si>
  <si>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</si>
  <si>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</si>
  <si>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3.5711/.7537</t>
  </si>
  <si>
    <t xml:space="preserve">#20461</t>
  </si>
  <si>
    <t xml:space="preserve">St 45</t>
  </si>
  <si>
    <t xml:space="preserve">Z3</t>
  </si>
  <si>
    <t xml:space="preserve">3.5712/.7537</t>
  </si>
  <si>
    <t xml:space="preserve">#20460</t>
  </si>
  <si>
    <t xml:space="preserve">6971 St 85</t>
  </si>
  <si>
    <t xml:space="preserve">FTCHR</t>
  </si>
  <si>
    <t xml:space="preserve">3.5660/2.7055</t>
  </si>
  <si>
    <t xml:space="preserve">#020447</t>
  </si>
  <si>
    <t xml:space="preserve">WSR Capacity</t>
  </si>
  <si>
    <t xml:space="preserve">WSR</t>
  </si>
  <si>
    <t xml:space="preserve">#19862</t>
  </si>
  <si>
    <t xml:space="preserve">WSR Demand</t>
  </si>
  <si>
    <t xml:space="preserve">ESR Capacity</t>
  </si>
  <si>
    <t xml:space="preserve">ESR</t>
  </si>
  <si>
    <t xml:space="preserve">#20393</t>
  </si>
  <si>
    <t xml:space="preserve">ESR Demand</t>
  </si>
  <si>
    <t xml:space="preserve">CES/Agency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</si>
  <si>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</si>
  <si>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</si>
  <si>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</si>
  <si>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</si>
  <si>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</si>
  <si>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</si>
  <si>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2.4899 </t>
  </si>
  <si>
    <t xml:space="preserve">#20100</t>
  </si>
  <si>
    <t xml:space="preserve">2.8607 / 2.1439</t>
  </si>
  <si>
    <t xml:space="preserve">#13683</t>
  </si>
  <si>
    <t xml:space="preserve">143931 / 143928</t>
  </si>
  <si>
    <t xml:space="preserve">2.8607 </t>
  </si>
  <si>
    <t xml:space="preserve">#20101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</si>
  <si>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</si>
  <si>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</si>
  <si>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</si>
  <si>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</si>
  <si>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</si>
  <si>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#013911</t>
  </si>
  <si>
    <t xml:space="preserve">Col Gas</t>
  </si>
  <si>
    <t xml:space="preserve">CES / COH</t>
  </si>
  <si>
    <t xml:space="preserve">STOW</t>
  </si>
  <si>
    <t xml:space="preserve">MSQ</t>
  </si>
  <si>
    <t xml:space="preserve">FSS</t>
  </si>
  <si>
    <t xml:space="preserve">#24855</t>
  </si>
  <si>
    <t xml:space="preserve">MDWQ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</si>
  <si>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</si>
  <si>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</si>
  <si>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</si>
  <si>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</si>
  <si>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</si>
  <si>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</si>
  <si>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</si>
  <si>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</si>
  <si>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</si>
  <si>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</si>
  <si>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</si>
  <si>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</si>
  <si>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</si>
  <si>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</si>
  <si>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</si>
  <si>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</si>
  <si>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</si>
  <si>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</si>
  <si>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</si>
  <si>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</si>
  <si>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</si>
  <si>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</si>
  <si>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</si>
  <si>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</si>
  <si>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</si>
  <si>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</si>
  <si>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</si>
  <si>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</si>
  <si>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</si>
  <si>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</si>
  <si>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</si>
  <si>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</si>
  <si>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</si>
  <si>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</si>
  <si>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</si>
  <si>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</si>
  <si>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</si>
  <si>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</si>
  <si>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</si>
  <si>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</si>
  <si>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</si>
  <si>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</si>
  <si>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</si>
  <si>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</si>
  <si>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</si>
  <si>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</si>
  <si>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</si>
  <si>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</si>
  <si>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</si>
  <si>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</si>
  <si>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</si>
  <si>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</si>
  <si>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</si>
  <si>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</si>
  <si>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</si>
  <si>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</si>
  <si>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</si>
  <si>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</si>
  <si>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</si>
  <si>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</si>
  <si>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</si>
  <si>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</si>
  <si>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</si>
  <si>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</si>
  <si>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</si>
  <si>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</si>
  <si>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</si>
  <si>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</si>
  <si>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</si>
  <si>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</si>
  <si>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8 Mansfield COH 7-8</t>
  </si>
  <si>
    <t xml:space="preserve">#26694 &amp;#29000</t>
  </si>
  <si>
    <t xml:space="preserve">156596/280583</t>
  </si>
  <si>
    <t xml:space="preserve">Release to equitable 20 K at .03 see annuity deal 327906</t>
  </si>
  <si>
    <t xml:space="preserve">4 BG&amp;E</t>
  </si>
  <si>
    <t xml:space="preserve">#26714 ENA purchased from CES</t>
  </si>
  <si>
    <t xml:space="preserve">ENA Bought 19,293 @.18 see annuity deal 327906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</si>
  <si>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</si>
  <si>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</si>
  <si>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</si>
  <si>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</si>
  <si>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</si>
  <si>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</si>
  <si>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Month to Month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</si>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</sst>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9.99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 t="s">
        <v>21</v>
      </c>
      <c r="M1" s="17"/>
      <c r="N1" s="17"/>
    </row>
    <row r="2" customFormat="false" ht="12.75" hidden="false" customHeight="fals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5" t="s">
        <v>106</v>
      </c>
      <c r="B3" s="15" t="s">
        <v>107</v>
      </c>
      <c r="C3" s="18" t="n">
        <v>4.72</v>
      </c>
      <c r="E3" s="18" t="n">
        <v>4.72</v>
      </c>
      <c r="M3" s="17"/>
      <c r="N3" s="17"/>
    </row>
    <row r="4" customFormat="false" ht="12.75" hidden="false" customHeight="false" outlineLevel="0" collapsed="false">
      <c r="A4" s="15" t="s">
        <v>108</v>
      </c>
      <c r="C4" s="18" t="n">
        <v>0.01</v>
      </c>
      <c r="E4" s="18" t="n">
        <v>0.1</v>
      </c>
      <c r="M4" s="17"/>
      <c r="N4" s="17"/>
    </row>
    <row r="5" customFormat="false" ht="12.75" hidden="false" customHeight="false" outlineLevel="0" collapsed="false">
      <c r="A5" s="15" t="s">
        <v>109</v>
      </c>
      <c r="C5" s="18" t="n">
        <v>0.0112</v>
      </c>
      <c r="E5" s="18" t="n">
        <v>0.0112</v>
      </c>
      <c r="M5" s="17"/>
      <c r="N5" s="17"/>
    </row>
    <row r="6" customFormat="false" ht="12.75" hidden="false" customHeight="false" outlineLevel="0" collapsed="false">
      <c r="A6" s="15" t="s">
        <v>110</v>
      </c>
      <c r="C6" s="18" t="n">
        <v>0.0094</v>
      </c>
      <c r="E6" s="18" t="n">
        <v>0.0094</v>
      </c>
      <c r="M6" s="17"/>
      <c r="N6" s="17"/>
    </row>
    <row r="7" customFormat="false" ht="12.75" hidden="false" customHeight="false" outlineLevel="0" collapsed="false">
      <c r="A7" s="15" t="s">
        <v>111</v>
      </c>
      <c r="C7" s="19" t="n">
        <v>0.0058</v>
      </c>
      <c r="E7" s="19" t="n">
        <v>0.0058</v>
      </c>
      <c r="M7" s="17"/>
      <c r="N7" s="17"/>
    </row>
    <row r="8" customFormat="false" ht="12.75" hidden="false" customHeight="false" outlineLevel="0" collapsed="false">
      <c r="A8" s="15" t="s">
        <v>112</v>
      </c>
      <c r="C8" s="20" t="n">
        <f aca="false">ROUND(+C3/(1-C7)+(C5+C6),4)-C3</f>
        <v>0.0480999999999998</v>
      </c>
      <c r="E8" s="20" t="n">
        <f aca="false">ROUND(+E3/(1-E7)+(E5+E6),4)-E3</f>
        <v>0.0480999999999998</v>
      </c>
      <c r="M8" s="17"/>
      <c r="N8" s="17"/>
    </row>
    <row r="9" customFormat="false" ht="13.5" hidden="false" customHeight="false" outlineLevel="0" collapsed="false">
      <c r="C9" s="21" t="n">
        <f aca="false">SUM(C3,C4,C8)</f>
        <v>4.7781</v>
      </c>
      <c r="D9" s="15" t="s">
        <v>113</v>
      </c>
      <c r="E9" s="21" t="n">
        <f aca="false">SUM(E3,E4,E8)</f>
        <v>4.8681</v>
      </c>
      <c r="F9" s="17"/>
      <c r="G9" s="17"/>
      <c r="H9" s="17"/>
      <c r="I9" s="17"/>
      <c r="J9" s="17"/>
      <c r="K9" s="17"/>
      <c r="L9" s="17"/>
      <c r="M9" s="17"/>
      <c r="N9" s="17"/>
    </row>
    <row r="10" customFormat="false" ht="13.5" hidden="false" customHeight="false" outlineLevel="0" collapsed="false">
      <c r="F10" s="17"/>
      <c r="G10" s="17"/>
      <c r="H10" s="17"/>
      <c r="I10" s="17"/>
      <c r="J10" s="17"/>
      <c r="K10" s="17"/>
      <c r="L10" s="17"/>
      <c r="M10" s="17"/>
      <c r="N10" s="17"/>
    </row>
    <row r="11" customFormat="false" ht="12.75" hidden="false" customHeight="false" outlineLevel="0" collapsed="false">
      <c r="A11" s="15" t="s">
        <v>114</v>
      </c>
      <c r="B11" s="15" t="s">
        <v>113</v>
      </c>
      <c r="F11" s="17"/>
      <c r="G11" s="17"/>
      <c r="H11" s="17"/>
      <c r="I11" s="17"/>
      <c r="J11" s="17"/>
      <c r="K11" s="17"/>
      <c r="L11" s="17"/>
      <c r="M11" s="17"/>
      <c r="N11" s="17"/>
    </row>
    <row r="12" customFormat="false" ht="12.75" hidden="false" customHeight="false" outlineLevel="0" collapsed="false">
      <c r="B12" s="15" t="s">
        <v>113</v>
      </c>
      <c r="F12" s="17"/>
      <c r="G12" s="17"/>
      <c r="H12" s="17"/>
      <c r="I12" s="17"/>
      <c r="J12" s="17"/>
      <c r="K12" s="17"/>
      <c r="L12" s="17"/>
      <c r="M12" s="17"/>
      <c r="N12" s="17"/>
    </row>
    <row r="13" customFormat="false" ht="12.75" hidden="false" customHeight="false" outlineLevel="0" collapsed="false">
      <c r="B13" s="15" t="s">
        <v>113</v>
      </c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12.75" hidden="false" customHeight="false" outlineLevel="0" collapsed="false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customFormat="false" ht="12.7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customFormat="false" ht="12.75" hidden="false" customHeight="false" outlineLevel="0" collapsed="false">
      <c r="A17" s="16" t="s">
        <v>37</v>
      </c>
      <c r="C17" s="15" t="s">
        <v>115</v>
      </c>
      <c r="D17" s="15" t="s">
        <v>116</v>
      </c>
      <c r="E17" s="15" t="s">
        <v>113</v>
      </c>
      <c r="F17" s="17"/>
      <c r="G17" s="17"/>
      <c r="H17" s="17"/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15" t="s">
        <v>106</v>
      </c>
      <c r="B18" s="15" t="s">
        <v>37</v>
      </c>
      <c r="C18" s="18" t="n">
        <v>4.52</v>
      </c>
      <c r="E18" s="18" t="n">
        <v>4.52</v>
      </c>
      <c r="F18" s="17"/>
      <c r="G18" s="17" t="s">
        <v>117</v>
      </c>
      <c r="H18" s="17"/>
      <c r="I18" s="18" t="n">
        <f aca="false">+C24</f>
        <v>4.6511</v>
      </c>
      <c r="J18" s="17"/>
      <c r="K18" s="17"/>
      <c r="L18" s="17"/>
      <c r="M18" s="17"/>
      <c r="N18" s="17"/>
    </row>
    <row r="19" customFormat="false" ht="12.75" hidden="false" customHeight="false" outlineLevel="0" collapsed="false">
      <c r="A19" s="15" t="s">
        <v>108</v>
      </c>
      <c r="C19" s="18" t="n">
        <v>0.0075</v>
      </c>
      <c r="E19" s="18" t="n">
        <v>0.0075</v>
      </c>
      <c r="F19" s="17"/>
      <c r="G19" s="17"/>
      <c r="H19" s="17"/>
      <c r="I19" s="18" t="n">
        <v>0</v>
      </c>
      <c r="J19" s="17"/>
      <c r="K19" s="17"/>
      <c r="L19" s="17"/>
      <c r="M19" s="17"/>
      <c r="N19" s="17"/>
    </row>
    <row r="20" customFormat="false" ht="12.75" hidden="false" customHeight="false" outlineLevel="0" collapsed="false">
      <c r="A20" s="15" t="s">
        <v>118</v>
      </c>
      <c r="C20" s="18" t="n">
        <v>0.0133</v>
      </c>
      <c r="E20" s="18" t="n">
        <v>0.0133</v>
      </c>
      <c r="F20" s="17"/>
      <c r="G20" s="17" t="s">
        <v>119</v>
      </c>
      <c r="H20" s="17"/>
      <c r="I20" s="18" t="n">
        <v>0.0153</v>
      </c>
      <c r="J20" s="17"/>
      <c r="K20" s="17"/>
      <c r="L20" s="17"/>
      <c r="M20" s="17"/>
      <c r="N20" s="17"/>
    </row>
    <row r="21" customFormat="false" ht="12.75" hidden="false" customHeight="false" outlineLevel="0" collapsed="false">
      <c r="A21" s="15" t="s">
        <v>110</v>
      </c>
      <c r="C21" s="18" t="n">
        <v>0.0094</v>
      </c>
      <c r="E21" s="18" t="n">
        <v>0.0094</v>
      </c>
      <c r="F21" s="17"/>
      <c r="G21" s="17" t="s">
        <v>111</v>
      </c>
      <c r="H21" s="17"/>
      <c r="I21" s="22" t="n">
        <v>0.0017</v>
      </c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15" t="s">
        <v>111</v>
      </c>
      <c r="C22" s="22" t="n">
        <v>0.02184</v>
      </c>
      <c r="E22" s="22" t="n">
        <v>0.02184</v>
      </c>
      <c r="F22" s="17"/>
      <c r="G22" s="17"/>
      <c r="H22" s="17"/>
      <c r="I22" s="20" t="n">
        <f aca="false">ROUND(+I18/(1-I21)+I20,4)-I18</f>
        <v>0.0231999999999992</v>
      </c>
      <c r="J22" s="17"/>
      <c r="K22" s="17"/>
      <c r="L22" s="17"/>
      <c r="M22" s="17"/>
      <c r="N22" s="17"/>
    </row>
    <row r="23" customFormat="false" ht="13.5" hidden="false" customHeight="false" outlineLevel="0" collapsed="false">
      <c r="A23" s="15" t="s">
        <v>120</v>
      </c>
      <c r="C23" s="20" t="n">
        <f aca="false">ROUND(+C18/(1-C22)+(C20+C21),4)-C18</f>
        <v>0.123600000000001</v>
      </c>
      <c r="E23" s="20" t="n">
        <f aca="false">ROUND(+E18/(1-E22)+(E20+E21),4)-E18</f>
        <v>0.123600000000001</v>
      </c>
      <c r="F23" s="17"/>
      <c r="G23" s="17"/>
      <c r="H23" s="17"/>
      <c r="I23" s="21" t="n">
        <f aca="false">I18+I22</f>
        <v>4.6743</v>
      </c>
      <c r="J23" s="17"/>
      <c r="K23" s="17"/>
      <c r="L23" s="23"/>
      <c r="M23" s="17"/>
      <c r="N23" s="17"/>
    </row>
    <row r="24" customFormat="false" ht="14.25" hidden="false" customHeight="false" outlineLevel="0" collapsed="false">
      <c r="C24" s="21" t="n">
        <f aca="false">SUM(C18,C19,C23)</f>
        <v>4.6511</v>
      </c>
      <c r="E24" s="20" t="n">
        <v>0.02</v>
      </c>
      <c r="F24" s="17"/>
      <c r="G24" s="17"/>
      <c r="H24" s="17"/>
      <c r="I24" s="24" t="s">
        <v>113</v>
      </c>
      <c r="J24" s="17"/>
      <c r="K24" s="17"/>
      <c r="L24" s="23"/>
      <c r="M24" s="17"/>
      <c r="N24" s="17"/>
    </row>
    <row r="25" customFormat="false" ht="14.25" hidden="false" customHeight="false" outlineLevel="0" collapsed="false">
      <c r="A25" s="15" t="s">
        <v>121</v>
      </c>
      <c r="E25" s="21" t="n">
        <f aca="false">+E24+E23+E18</f>
        <v>4.6636</v>
      </c>
      <c r="F25" s="15" t="s">
        <v>122</v>
      </c>
      <c r="H25" s="17"/>
      <c r="I25" s="17"/>
      <c r="J25" s="17"/>
      <c r="K25" s="17"/>
      <c r="L25" s="23"/>
      <c r="M25" s="17"/>
      <c r="N25" s="17"/>
    </row>
    <row r="26" customFormat="false" ht="13.5" hidden="false" customHeight="false" outlineLevel="0" collapsed="false">
      <c r="C26" s="25"/>
      <c r="E26" s="25"/>
      <c r="H26" s="17"/>
      <c r="I26" s="17"/>
      <c r="J26" s="17"/>
      <c r="K26" s="17"/>
      <c r="L26" s="23"/>
      <c r="M26" s="17"/>
      <c r="N26" s="17"/>
    </row>
    <row r="27" customFormat="false" ht="12.75" hidden="false" customHeight="false" outlineLevel="0" collapsed="false">
      <c r="C27" s="26"/>
      <c r="E27" s="26"/>
      <c r="H27" s="17"/>
      <c r="I27" s="17"/>
      <c r="J27" s="17"/>
      <c r="K27" s="17"/>
      <c r="L27" s="23"/>
      <c r="M27" s="17"/>
      <c r="N27" s="17"/>
    </row>
    <row r="28" customFormat="false" ht="12.75" hidden="false" customHeight="false" outlineLevel="0" collapsed="false">
      <c r="A28" s="16" t="s">
        <v>123</v>
      </c>
      <c r="C28" s="15" t="s">
        <v>124</v>
      </c>
      <c r="D28" s="27" t="s">
        <v>125</v>
      </c>
      <c r="E28" s="27"/>
      <c r="F28" s="28"/>
      <c r="G28" s="28"/>
      <c r="H28" s="28"/>
      <c r="I28" s="28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15" t="s">
        <v>106</v>
      </c>
      <c r="B29" s="15" t="s">
        <v>123</v>
      </c>
      <c r="C29" s="18" t="n">
        <v>4.34</v>
      </c>
      <c r="D29" s="29" t="n">
        <v>1155</v>
      </c>
      <c r="E29" s="27" t="s">
        <v>126</v>
      </c>
      <c r="F29" s="28"/>
      <c r="G29" s="28"/>
      <c r="H29" s="28"/>
      <c r="I29" s="24"/>
      <c r="J29" s="17"/>
      <c r="K29" s="17"/>
      <c r="L29" s="17"/>
      <c r="M29" s="17"/>
      <c r="N29" s="17"/>
    </row>
    <row r="30" customFormat="false" ht="12.75" hidden="false" customHeight="false" outlineLevel="0" collapsed="false">
      <c r="A30" s="15" t="s">
        <v>108</v>
      </c>
      <c r="C30" s="18" t="n">
        <v>0.06</v>
      </c>
      <c r="D30" s="27"/>
      <c r="E30" s="24"/>
      <c r="F30" s="28"/>
      <c r="G30" s="28"/>
      <c r="H30" s="28"/>
      <c r="I30" s="24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15" t="s">
        <v>118</v>
      </c>
      <c r="C31" s="18" t="n">
        <v>0.017</v>
      </c>
      <c r="D31" s="27"/>
      <c r="E31" s="24"/>
      <c r="F31" s="28"/>
      <c r="G31" s="28"/>
      <c r="H31" s="28"/>
      <c r="I31" s="24"/>
      <c r="J31" s="17"/>
      <c r="K31" s="17"/>
      <c r="L31" s="17"/>
      <c r="M31" s="17"/>
      <c r="N31" s="17"/>
    </row>
    <row r="32" customFormat="false" ht="12.75" hidden="false" customHeight="false" outlineLevel="0" collapsed="false">
      <c r="A32" s="15" t="s">
        <v>110</v>
      </c>
      <c r="C32" s="18" t="n">
        <v>0.0022</v>
      </c>
      <c r="D32" s="27"/>
      <c r="E32" s="24"/>
      <c r="F32" s="28"/>
      <c r="G32" s="28"/>
      <c r="H32" s="28"/>
      <c r="I32" s="30"/>
      <c r="J32" s="17"/>
      <c r="K32" s="17"/>
      <c r="L32" s="17"/>
      <c r="M32" s="17"/>
      <c r="N32" s="17"/>
    </row>
    <row r="33" customFormat="false" ht="12.75" hidden="false" customHeight="false" outlineLevel="0" collapsed="false">
      <c r="A33" s="15" t="s">
        <v>111</v>
      </c>
      <c r="C33" s="22" t="n">
        <v>0.0282</v>
      </c>
      <c r="D33" s="27" t="n">
        <f aca="false">ROUND(+D29*(1-C33),0)</f>
        <v>1122</v>
      </c>
      <c r="E33" s="30" t="s">
        <v>127</v>
      </c>
      <c r="F33" s="28"/>
      <c r="G33" s="28"/>
      <c r="H33" s="28"/>
      <c r="I33" s="24"/>
      <c r="J33" s="17"/>
      <c r="K33" s="17"/>
      <c r="L33" s="17"/>
      <c r="M33" s="17"/>
      <c r="N33" s="17"/>
    </row>
    <row r="34" customFormat="false" ht="12.75" hidden="false" customHeight="false" outlineLevel="0" collapsed="false">
      <c r="A34" s="15" t="s">
        <v>120</v>
      </c>
      <c r="C34" s="20" t="n">
        <f aca="false">ROUND((+C29+C30)/(1-C33)+(C31+C32),4)-C29-C30</f>
        <v>0.1469</v>
      </c>
      <c r="D34" s="27"/>
      <c r="E34" s="24"/>
      <c r="F34" s="28"/>
      <c r="G34" s="28"/>
      <c r="H34" s="28"/>
      <c r="I34" s="24"/>
      <c r="J34" s="17"/>
      <c r="K34" s="17"/>
      <c r="L34" s="23"/>
      <c r="M34" s="17"/>
      <c r="N34" s="17"/>
    </row>
    <row r="35" customFormat="false" ht="13.5" hidden="false" customHeight="false" outlineLevel="0" collapsed="false">
      <c r="C35" s="21" t="n">
        <f aca="false">SUM(C29,C30,C34)</f>
        <v>4.5469</v>
      </c>
      <c r="D35" s="27"/>
      <c r="E35" s="24"/>
      <c r="F35" s="28"/>
      <c r="G35" s="28"/>
      <c r="H35" s="28"/>
      <c r="I35" s="24"/>
      <c r="J35" s="17"/>
      <c r="K35" s="17"/>
      <c r="L35" s="23"/>
      <c r="M35" s="17"/>
      <c r="N35" s="17"/>
    </row>
    <row r="36" customFormat="false" ht="13.5" hidden="false" customHeight="false" outlineLevel="0" collapsed="false">
      <c r="A36" s="15" t="s">
        <v>121</v>
      </c>
      <c r="D36" s="27"/>
      <c r="E36" s="24"/>
      <c r="F36" s="27"/>
      <c r="G36" s="27"/>
      <c r="H36" s="28"/>
      <c r="I36" s="28"/>
      <c r="J36" s="17"/>
      <c r="K36" s="17"/>
      <c r="L36" s="23"/>
      <c r="M36" s="17"/>
      <c r="N36" s="17"/>
    </row>
    <row r="37" customFormat="false" ht="12.75" hidden="false" customHeight="false" outlineLevel="0" collapsed="false">
      <c r="C37" s="25"/>
      <c r="E37" s="25"/>
      <c r="H37" s="17"/>
      <c r="I37" s="17"/>
      <c r="J37" s="17"/>
      <c r="K37" s="17"/>
      <c r="L37" s="23"/>
      <c r="M37" s="17"/>
      <c r="N37" s="17"/>
    </row>
    <row r="38" customFormat="false" ht="12.75" hidden="false" customHeight="false" outlineLevel="0" collapsed="false">
      <c r="A38" s="15" t="s">
        <v>128</v>
      </c>
      <c r="C38" s="26"/>
      <c r="E38" s="26"/>
      <c r="H38" s="17"/>
      <c r="I38" s="17"/>
      <c r="J38" s="17"/>
      <c r="K38" s="17"/>
      <c r="L38" s="23"/>
      <c r="M38" s="17"/>
      <c r="N38" s="17"/>
    </row>
    <row r="39" customFormat="false" ht="12.75" hidden="false" customHeight="false" outlineLevel="0" collapsed="false">
      <c r="B39" s="15" t="s">
        <v>129</v>
      </c>
      <c r="C39" s="31"/>
      <c r="H39" s="17"/>
      <c r="I39" s="17"/>
      <c r="J39" s="17"/>
      <c r="K39" s="17"/>
      <c r="L39" s="23"/>
      <c r="M39" s="17"/>
      <c r="N39" s="17"/>
    </row>
    <row r="40" customFormat="false" ht="12.75" hidden="false" customHeight="false" outlineLevel="0" collapsed="false">
      <c r="A40" s="17"/>
      <c r="B40" s="17" t="s">
        <v>130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customFormat="false" ht="12.75" hidden="false" customHeight="false" outlineLevel="0" collapsed="false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2.75" hidden="false" customHeight="false" outlineLevel="0" collapsed="false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customFormat="false" ht="12.75" hidden="false" customHeight="false" outlineLevel="0" collapsed="false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customFormat="false" ht="12.75" hidden="false" customHeight="false" outlineLevel="0" collapsed="false">
      <c r="A46" s="16" t="s">
        <v>131</v>
      </c>
      <c r="C46" s="15" t="s">
        <v>132</v>
      </c>
      <c r="E46" s="15" t="s">
        <v>133</v>
      </c>
      <c r="G46" s="15" t="s">
        <v>134</v>
      </c>
      <c r="H46" s="17"/>
      <c r="I46" s="17"/>
      <c r="J46" s="17"/>
      <c r="K46" s="17"/>
      <c r="L46" s="17"/>
      <c r="M46" s="17"/>
      <c r="N46" s="17"/>
    </row>
    <row r="47" customFormat="false" ht="12.75" hidden="false" customHeight="false" outlineLevel="0" collapsed="false">
      <c r="A47" s="15" t="s">
        <v>106</v>
      </c>
      <c r="B47" s="15" t="s">
        <v>131</v>
      </c>
      <c r="C47" s="18" t="n">
        <v>4.56</v>
      </c>
      <c r="E47" s="18" t="n">
        <v>4.56</v>
      </c>
      <c r="G47" s="18" t="n">
        <v>4.56</v>
      </c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15" t="s">
        <v>108</v>
      </c>
      <c r="C48" s="18" t="n">
        <v>0.0075</v>
      </c>
      <c r="E48" s="18" t="n">
        <v>0.0075</v>
      </c>
      <c r="G48" s="18" t="n">
        <v>0.0075</v>
      </c>
      <c r="H48" s="17"/>
      <c r="I48" s="17"/>
      <c r="J48" s="17"/>
      <c r="K48" s="17"/>
      <c r="L48" s="17"/>
      <c r="M48" s="17"/>
      <c r="N48" s="17"/>
    </row>
    <row r="49" customFormat="false" ht="12.75" hidden="false" customHeight="false" outlineLevel="0" collapsed="false">
      <c r="A49" s="15" t="s">
        <v>118</v>
      </c>
      <c r="C49" s="18" t="n">
        <v>0.0395</v>
      </c>
      <c r="E49" s="18" t="n">
        <v>0.0395</v>
      </c>
      <c r="G49" s="18" t="n">
        <v>0.0395</v>
      </c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5" t="s">
        <v>110</v>
      </c>
      <c r="C50" s="18" t="n">
        <v>0.0022</v>
      </c>
      <c r="E50" s="18" t="n">
        <v>0.0022</v>
      </c>
      <c r="G50" s="18" t="n">
        <v>0.0022</v>
      </c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5" t="s">
        <v>111</v>
      </c>
      <c r="C51" s="19" t="n">
        <v>0.0228</v>
      </c>
      <c r="E51" s="19" t="n">
        <v>0.0228</v>
      </c>
      <c r="G51" s="19" t="n">
        <v>0.0228</v>
      </c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15" t="s">
        <v>120</v>
      </c>
      <c r="C52" s="20" t="n">
        <f aca="false">ROUND(+C47/(1-C51)+(C49+C50),4)-C47</f>
        <v>0.1481</v>
      </c>
      <c r="E52" s="20" t="n">
        <f aca="false">ROUND(+E47/(1-E51)+(E49+E50),4)-E47</f>
        <v>0.1481</v>
      </c>
      <c r="F52" s="27"/>
      <c r="G52" s="20" t="n">
        <f aca="false">ROUND(+G47/(1-G51)+(G49+G50),4)-G47</f>
        <v>0.1481</v>
      </c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15" t="s">
        <v>135</v>
      </c>
      <c r="C53" s="20" t="n">
        <v>0</v>
      </c>
      <c r="E53" s="20" t="n">
        <v>0.02</v>
      </c>
      <c r="F53" s="27"/>
      <c r="G53" s="20" t="n">
        <v>0.02</v>
      </c>
      <c r="H53" s="17"/>
      <c r="I53" s="17"/>
      <c r="J53" s="17"/>
      <c r="K53" s="17"/>
      <c r="L53" s="17"/>
      <c r="M53" s="17"/>
      <c r="N53" s="17"/>
    </row>
    <row r="54" customFormat="false" ht="13.5" hidden="false" customHeight="false" outlineLevel="0" collapsed="false">
      <c r="A54" s="15" t="s">
        <v>136</v>
      </c>
      <c r="C54" s="32" t="n">
        <f aca="false">SUM(C52,C47:C48,C53)</f>
        <v>4.7156</v>
      </c>
      <c r="E54" s="32" t="n">
        <f aca="false">SUM(E52,E47:E48,E53)</f>
        <v>4.7356</v>
      </c>
      <c r="F54" s="27"/>
      <c r="G54" s="32" t="n">
        <f aca="false">SUM(G52,G47:G48,G53)</f>
        <v>4.7356</v>
      </c>
      <c r="H54" s="17"/>
      <c r="I54" s="17"/>
      <c r="J54" s="17"/>
      <c r="K54" s="17"/>
      <c r="L54" s="17"/>
      <c r="M54" s="17"/>
      <c r="N54" s="17"/>
    </row>
    <row r="55" customFormat="false" ht="13.5" hidden="false" customHeight="false" outlineLevel="0" collapsed="false">
      <c r="A55" s="15" t="s">
        <v>113</v>
      </c>
      <c r="B55" s="15" t="s">
        <v>113</v>
      </c>
      <c r="C55" s="29" t="n">
        <v>37170</v>
      </c>
      <c r="E55" s="29" t="n">
        <v>54450</v>
      </c>
      <c r="F55" s="27"/>
      <c r="G55" s="29" t="n">
        <v>118800</v>
      </c>
      <c r="H55" s="17"/>
      <c r="I55" s="17"/>
      <c r="J55" s="17"/>
      <c r="K55" s="17"/>
      <c r="L55" s="17"/>
      <c r="M55" s="17"/>
      <c r="N55" s="17"/>
    </row>
    <row r="56" customFormat="false" ht="12.75" hidden="false" customHeight="false" outlineLevel="0" collapsed="false">
      <c r="A56" s="15" t="s">
        <v>137</v>
      </c>
      <c r="C56" s="24"/>
      <c r="E56" s="27"/>
      <c r="F56" s="27"/>
      <c r="G56" s="27"/>
      <c r="H56" s="17"/>
      <c r="I56" s="17"/>
      <c r="J56" s="17"/>
      <c r="K56" s="17"/>
      <c r="L56" s="17"/>
      <c r="M56" s="17"/>
      <c r="N56" s="17"/>
    </row>
    <row r="57" customFormat="false" ht="12.75" hidden="false" customHeight="false" outlineLevel="0" collapsed="false">
      <c r="A57" s="15" t="s">
        <v>138</v>
      </c>
      <c r="C57" s="24"/>
      <c r="H57" s="17"/>
      <c r="I57" s="17"/>
      <c r="J57" s="17"/>
      <c r="K57" s="17"/>
      <c r="L57" s="17"/>
      <c r="M57" s="17"/>
      <c r="N57" s="17"/>
    </row>
    <row r="58" customFormat="false" ht="12.75" hidden="false" customHeight="false" outlineLevel="0" collapsed="false">
      <c r="A58" s="15" t="s">
        <v>139</v>
      </c>
      <c r="C58" s="24"/>
      <c r="H58" s="17"/>
      <c r="I58" s="17"/>
      <c r="J58" s="17"/>
      <c r="K58" s="17"/>
      <c r="L58" s="17"/>
      <c r="M58" s="17"/>
      <c r="N58" s="17"/>
    </row>
    <row r="59" customFormat="false" ht="12.75" hidden="false" customHeight="false" outlineLevel="0" collapsed="false">
      <c r="A59" s="15" t="s">
        <v>140</v>
      </c>
      <c r="C59" s="24"/>
      <c r="H59" s="17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C60" s="24"/>
      <c r="H60" s="17"/>
      <c r="I60" s="17" t="s">
        <v>113</v>
      </c>
      <c r="J60" s="17"/>
      <c r="K60" s="17"/>
      <c r="L60" s="17"/>
      <c r="M60" s="17"/>
      <c r="N60" s="17"/>
    </row>
    <row r="61" customFormat="false" ht="12.75" hidden="false" customHeight="false" outlineLevel="0" collapsed="false">
      <c r="A61" s="15" t="s">
        <v>113</v>
      </c>
      <c r="C61" s="24"/>
      <c r="H61" s="17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15" t="s">
        <v>113</v>
      </c>
      <c r="B62" s="15" t="s">
        <v>113</v>
      </c>
      <c r="C62" s="24"/>
      <c r="H62" s="17"/>
      <c r="I62" s="17"/>
      <c r="J62" s="17"/>
      <c r="K62" s="17"/>
      <c r="L62" s="17"/>
      <c r="M62" s="17"/>
      <c r="N62" s="17"/>
    </row>
    <row r="63" customFormat="false" ht="12.75" hidden="false" customHeight="false" outlineLevel="0" collapsed="false">
      <c r="A63" s="15" t="s">
        <v>113</v>
      </c>
      <c r="B63" s="15" t="s">
        <v>113</v>
      </c>
      <c r="C63" s="24"/>
      <c r="H63" s="17"/>
      <c r="I63" s="17"/>
      <c r="J63" s="17"/>
      <c r="K63" s="17"/>
      <c r="L63" s="17"/>
      <c r="M63" s="17"/>
      <c r="N63" s="17"/>
    </row>
    <row r="64" customFormat="false" ht="12.75" hidden="false" customHeight="false" outlineLevel="0" collapsed="false">
      <c r="C64" s="24"/>
      <c r="H64" s="17"/>
      <c r="I64" s="17"/>
      <c r="J64" s="17"/>
      <c r="K64" s="17"/>
      <c r="L64" s="17"/>
      <c r="M64" s="17"/>
      <c r="N64" s="17"/>
    </row>
    <row r="65" customFormat="false" ht="12.75" hidden="false" customHeight="false" outlineLevel="0" collapsed="false">
      <c r="C65" s="24"/>
      <c r="H65" s="17"/>
      <c r="I65" s="17"/>
      <c r="J65" s="17"/>
      <c r="K65" s="17"/>
      <c r="L65" s="17"/>
      <c r="M65" s="17"/>
      <c r="N65" s="17"/>
    </row>
    <row r="66" customFormat="false" ht="12.75" hidden="false" customHeight="false" outlineLevel="0" collapsed="false">
      <c r="C66" s="24"/>
      <c r="H66" s="17"/>
      <c r="I66" s="17"/>
      <c r="J66" s="17"/>
      <c r="K66" s="17"/>
      <c r="L66" s="17"/>
      <c r="M66" s="17"/>
      <c r="N66" s="17"/>
    </row>
    <row r="67" customFormat="false" ht="12.75" hidden="false" customHeight="false" outlineLevel="0" collapsed="false">
      <c r="C67" s="24"/>
      <c r="H67" s="17"/>
      <c r="I67" s="17"/>
      <c r="J67" s="17"/>
      <c r="K67" s="17"/>
      <c r="L67" s="17"/>
      <c r="M67" s="17"/>
      <c r="N67" s="17"/>
    </row>
    <row r="68" customFormat="false" ht="12.75" hidden="false" customHeight="false" outlineLevel="0" collapsed="false">
      <c r="A68" s="16" t="s">
        <v>141</v>
      </c>
      <c r="C68" s="33" t="s">
        <v>142</v>
      </c>
      <c r="E68" s="33" t="s">
        <v>143</v>
      </c>
      <c r="G68" s="17"/>
      <c r="H68" s="17"/>
      <c r="I68" s="17"/>
      <c r="J68" s="17"/>
      <c r="K68" s="17"/>
      <c r="L68" s="17"/>
      <c r="M68" s="17"/>
      <c r="N68" s="17"/>
    </row>
    <row r="69" customFormat="false" ht="12.75" hidden="false" customHeight="false" outlineLevel="0" collapsed="false">
      <c r="A69" s="15" t="s">
        <v>106</v>
      </c>
      <c r="B69" s="15" t="s">
        <v>144</v>
      </c>
      <c r="C69" s="18" t="n">
        <v>4.29</v>
      </c>
      <c r="E69" s="18" t="n">
        <f aca="false">+C75</f>
        <v>4.4635</v>
      </c>
      <c r="G69" s="17"/>
      <c r="H69" s="17"/>
      <c r="I69" s="17"/>
      <c r="J69" s="17"/>
      <c r="K69" s="17"/>
      <c r="L69" s="17"/>
      <c r="M69" s="17"/>
      <c r="N69" s="17"/>
    </row>
    <row r="70" customFormat="false" ht="12.75" hidden="false" customHeight="false" outlineLevel="0" collapsed="false">
      <c r="A70" s="15" t="s">
        <v>108</v>
      </c>
      <c r="C70" s="18" t="n">
        <v>0.01</v>
      </c>
      <c r="E70" s="18" t="n">
        <v>0</v>
      </c>
      <c r="G70" s="17"/>
      <c r="H70" s="17"/>
      <c r="I70" s="17"/>
      <c r="J70" s="17"/>
      <c r="K70" s="17"/>
      <c r="L70" s="17"/>
      <c r="M70" s="17"/>
      <c r="N70" s="17"/>
    </row>
    <row r="71" customFormat="false" ht="12.75" hidden="false" customHeight="false" outlineLevel="0" collapsed="false">
      <c r="A71" s="15" t="s">
        <v>118</v>
      </c>
      <c r="C71" s="18" t="n">
        <v>0.0572</v>
      </c>
      <c r="E71" s="18" t="n">
        <v>0.0011</v>
      </c>
      <c r="G71" s="17"/>
      <c r="H71" s="17"/>
      <c r="I71" s="17"/>
      <c r="J71" s="17"/>
      <c r="K71" s="17"/>
      <c r="L71" s="17"/>
      <c r="M71" s="17"/>
      <c r="N71" s="17"/>
    </row>
    <row r="72" customFormat="false" ht="12.75" hidden="false" customHeight="false" outlineLevel="0" collapsed="false">
      <c r="A72" s="15" t="s">
        <v>110</v>
      </c>
      <c r="C72" s="18" t="n">
        <v>0.0319</v>
      </c>
      <c r="E72" s="18" t="n">
        <v>0.0094</v>
      </c>
      <c r="F72" s="15" t="s">
        <v>145</v>
      </c>
      <c r="G72" s="17"/>
      <c r="H72" s="17"/>
      <c r="I72" s="17"/>
      <c r="J72" s="17"/>
      <c r="K72" s="17"/>
      <c r="L72" s="17"/>
      <c r="M72" s="17"/>
      <c r="N72" s="17"/>
    </row>
    <row r="73" customFormat="false" ht="12.75" hidden="false" customHeight="false" outlineLevel="0" collapsed="false">
      <c r="A73" s="15" t="s">
        <v>111</v>
      </c>
      <c r="C73" s="19" t="n">
        <v>0.017</v>
      </c>
      <c r="E73" s="19" t="n">
        <v>0.022</v>
      </c>
      <c r="G73" s="17"/>
      <c r="H73" s="17"/>
      <c r="I73" s="17"/>
      <c r="J73" s="17"/>
      <c r="K73" s="17"/>
      <c r="L73" s="17"/>
      <c r="M73" s="17"/>
      <c r="N73" s="17"/>
    </row>
    <row r="74" customFormat="false" ht="12.75" hidden="false" customHeight="false" outlineLevel="0" collapsed="false">
      <c r="A74" s="15" t="s">
        <v>120</v>
      </c>
      <c r="C74" s="20" t="n">
        <f aca="false">ROUND((+C69+C70)/(1-C73)-(C69+C70)+C71+C72,4)</f>
        <v>0.1635</v>
      </c>
      <c r="E74" s="20" t="n">
        <f aca="false">ROUND((+E69+E70)/(1-E73)-(E69+E70)+E71+E72,4)</f>
        <v>0.1109</v>
      </c>
      <c r="G74" s="17"/>
      <c r="H74" s="17"/>
      <c r="I74" s="17"/>
      <c r="J74" s="17"/>
      <c r="K74" s="17"/>
      <c r="L74" s="17"/>
      <c r="M74" s="17"/>
      <c r="N74" s="17"/>
    </row>
    <row r="75" customFormat="false" ht="13.5" hidden="false" customHeight="false" outlineLevel="0" collapsed="false">
      <c r="A75" s="15" t="s">
        <v>136</v>
      </c>
      <c r="C75" s="21" t="n">
        <f aca="false">SUM(C74,C69:C70)</f>
        <v>4.4635</v>
      </c>
      <c r="E75" s="21" t="n">
        <f aca="false">SUM(E74,E69:E70)</f>
        <v>4.5744</v>
      </c>
      <c r="F75" s="15" t="s">
        <v>146</v>
      </c>
      <c r="G75" s="17"/>
      <c r="H75" s="17"/>
      <c r="I75" s="17"/>
      <c r="J75" s="17"/>
      <c r="K75" s="17"/>
      <c r="L75" s="17"/>
      <c r="M75" s="17"/>
      <c r="N75" s="17"/>
    </row>
    <row r="76" customFormat="false" ht="13.5" hidden="false" customHeight="false" outlineLevel="0" collapsed="false">
      <c r="G76" s="17"/>
      <c r="H76" s="17"/>
      <c r="I76" s="17"/>
      <c r="J76" s="17"/>
      <c r="K76" s="17"/>
      <c r="L76" s="17"/>
      <c r="M76" s="17"/>
      <c r="N76" s="17"/>
    </row>
    <row r="77" customFormat="false" ht="12.75" hidden="false" customHeight="false" outlineLevel="0" collapsed="false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customFormat="false" ht="12.75" hidden="false" customHeight="false" outlineLevel="0" collapsed="false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customFormat="false" ht="12.75" hidden="false" customHeight="false" outlineLevel="0" collapsed="false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customFormat="false" ht="12.75" hidden="false" customHeight="false" outlineLevel="0" collapsed="false">
      <c r="A80" s="16" t="s">
        <v>60</v>
      </c>
      <c r="C80" s="33" t="s">
        <v>115</v>
      </c>
      <c r="E80" s="33" t="s">
        <v>147</v>
      </c>
      <c r="G80" s="17"/>
      <c r="H80" s="17"/>
      <c r="I80" s="17"/>
      <c r="J80" s="17"/>
      <c r="K80" s="17"/>
      <c r="L80" s="17"/>
      <c r="M80" s="17"/>
      <c r="N80" s="17"/>
    </row>
    <row r="81" customFormat="false" ht="12.75" hidden="false" customHeight="false" outlineLevel="0" collapsed="false">
      <c r="A81" s="15" t="s">
        <v>106</v>
      </c>
      <c r="B81" s="15" t="s">
        <v>131</v>
      </c>
      <c r="C81" s="18" t="n">
        <v>4.56</v>
      </c>
      <c r="E81" s="31" t="n">
        <v>4.56</v>
      </c>
      <c r="G81" s="17"/>
      <c r="H81" s="17"/>
      <c r="I81" s="17"/>
      <c r="J81" s="17"/>
      <c r="K81" s="17"/>
      <c r="L81" s="17"/>
      <c r="M81" s="17"/>
      <c r="N81" s="17"/>
    </row>
    <row r="82" customFormat="false" ht="12.75" hidden="false" customHeight="false" outlineLevel="0" collapsed="false">
      <c r="A82" s="15" t="s">
        <v>108</v>
      </c>
      <c r="C82" s="18" t="n">
        <v>0.0275</v>
      </c>
      <c r="E82" s="31" t="n">
        <v>0.0275</v>
      </c>
      <c r="G82" s="17"/>
      <c r="H82" s="17"/>
      <c r="I82" s="17"/>
      <c r="J82" s="17"/>
      <c r="K82" s="17"/>
      <c r="L82" s="17"/>
      <c r="M82" s="17"/>
      <c r="N82" s="17"/>
    </row>
    <row r="83" customFormat="false" ht="12.75" hidden="false" customHeight="false" outlineLevel="0" collapsed="false">
      <c r="A83" s="15" t="s">
        <v>118</v>
      </c>
      <c r="C83" s="18" t="n">
        <v>0.0092</v>
      </c>
      <c r="E83" s="18" t="n">
        <v>0.2127</v>
      </c>
      <c r="G83" s="17"/>
      <c r="H83" s="17"/>
      <c r="I83" s="17"/>
      <c r="J83" s="17"/>
      <c r="K83" s="17"/>
      <c r="L83" s="17"/>
      <c r="M83" s="17"/>
      <c r="N83" s="17"/>
    </row>
    <row r="84" customFormat="false" ht="12.75" hidden="false" customHeight="false" outlineLevel="0" collapsed="false">
      <c r="A84" s="15" t="s">
        <v>110</v>
      </c>
      <c r="C84" s="18" t="n">
        <v>0.0094</v>
      </c>
      <c r="E84" s="18" t="n">
        <v>0.0094</v>
      </c>
      <c r="F84" s="17"/>
      <c r="G84" s="17"/>
      <c r="H84" s="17"/>
      <c r="I84" s="17"/>
      <c r="J84" s="17"/>
      <c r="K84" s="17"/>
      <c r="L84" s="17"/>
      <c r="M84" s="17"/>
      <c r="N84" s="17"/>
    </row>
    <row r="85" customFormat="false" ht="12.75" hidden="false" customHeight="false" outlineLevel="0" collapsed="false">
      <c r="A85" s="15" t="s">
        <v>111</v>
      </c>
      <c r="C85" s="19" t="n">
        <v>0.03</v>
      </c>
      <c r="E85" s="19" t="n">
        <v>0.03</v>
      </c>
      <c r="F85" s="17"/>
      <c r="G85" s="17"/>
      <c r="H85" s="17"/>
      <c r="I85" s="17"/>
      <c r="J85" s="17"/>
      <c r="K85" s="17"/>
      <c r="L85" s="17"/>
      <c r="M85" s="17"/>
      <c r="N85" s="17"/>
    </row>
    <row r="86" customFormat="false" ht="12.75" hidden="false" customHeight="false" outlineLevel="0" collapsed="false">
      <c r="A86" s="15" t="s">
        <v>120</v>
      </c>
      <c r="C86" s="20" t="n">
        <f aca="false">ROUND((+C81+C82)/(1-C85)-(C81+C82)+C83+C84,4)</f>
        <v>0.1605</v>
      </c>
      <c r="E86" s="20" t="n">
        <f aca="false">ROUND((+E81+E82)/(1-E85)-(E81+E82)+E83+E84,4)</f>
        <v>0.364</v>
      </c>
      <c r="F86" s="17"/>
      <c r="G86" s="17"/>
      <c r="H86" s="17"/>
      <c r="I86" s="17"/>
      <c r="J86" s="17"/>
      <c r="K86" s="17"/>
      <c r="L86" s="17"/>
      <c r="M86" s="17"/>
      <c r="N86" s="17"/>
    </row>
    <row r="87" customFormat="false" ht="13.5" hidden="false" customHeight="false" outlineLevel="0" collapsed="false">
      <c r="A87" s="15" t="s">
        <v>136</v>
      </c>
      <c r="C87" s="21" t="n">
        <f aca="false">SUM(C86,C81:C82)</f>
        <v>4.748</v>
      </c>
      <c r="E87" s="34" t="n">
        <f aca="false">SUM(E86,E81:E82)</f>
        <v>4.9515</v>
      </c>
      <c r="F87" s="17"/>
      <c r="G87" s="17"/>
      <c r="H87" s="17"/>
      <c r="I87" s="17"/>
      <c r="J87" s="17"/>
      <c r="K87" s="17"/>
      <c r="L87" s="17"/>
      <c r="M87" s="17"/>
      <c r="N87" s="17"/>
    </row>
    <row r="88" customFormat="false" ht="13.5" hidden="false" customHeight="false" outlineLevel="0" collapsed="false">
      <c r="F88" s="17"/>
      <c r="G88" s="17"/>
      <c r="H88" s="17"/>
      <c r="I88" s="17"/>
      <c r="J88" s="17"/>
      <c r="K88" s="17"/>
      <c r="L88" s="17"/>
      <c r="M88" s="17"/>
      <c r="N88" s="17"/>
    </row>
    <row r="89" customFormat="false" ht="12.75" hidden="false" customHeight="false" outlineLevel="0" collapsed="false">
      <c r="A89" s="15" t="s">
        <v>148</v>
      </c>
      <c r="F89" s="17"/>
      <c r="G89" s="17"/>
      <c r="H89" s="17"/>
      <c r="I89" s="17"/>
      <c r="J89" s="17"/>
      <c r="K89" s="17"/>
      <c r="L89" s="17"/>
      <c r="M89" s="17"/>
      <c r="N89" s="17"/>
    </row>
    <row r="90" customFormat="false" ht="12.75" hidden="false" customHeight="false" outlineLevel="0" collapsed="false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customFormat="false" ht="12.75" hidden="false" customHeight="false" outlineLevel="0" collapsed="false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customFormat="false" ht="12.75" hidden="false" customHeight="false" outlineLevel="0" collapsed="false">
      <c r="A92" s="16" t="s">
        <v>149</v>
      </c>
      <c r="F92" s="17"/>
      <c r="G92" s="17"/>
      <c r="H92" s="17"/>
      <c r="I92" s="17"/>
      <c r="J92" s="17"/>
      <c r="K92" s="17"/>
      <c r="L92" s="17"/>
      <c r="M92" s="17"/>
      <c r="N92" s="17"/>
    </row>
    <row r="93" customFormat="false" ht="12.75" hidden="false" customHeight="false" outlineLevel="0" collapsed="false">
      <c r="A93" s="15" t="s">
        <v>106</v>
      </c>
      <c r="B93" s="15" t="s">
        <v>150</v>
      </c>
      <c r="C93" s="18" t="n">
        <v>4.29</v>
      </c>
      <c r="F93" s="17"/>
      <c r="G93" s="17"/>
      <c r="H93" s="17"/>
      <c r="I93" s="17"/>
      <c r="J93" s="17"/>
      <c r="K93" s="17"/>
      <c r="L93" s="17"/>
      <c r="M93" s="17"/>
      <c r="N93" s="17"/>
    </row>
    <row r="94" customFormat="false" ht="12.75" hidden="false" customHeight="false" outlineLevel="0" collapsed="false">
      <c r="A94" s="15" t="s">
        <v>108</v>
      </c>
      <c r="C94" s="18" t="n">
        <v>0.01</v>
      </c>
      <c r="F94" s="17"/>
      <c r="G94" s="17"/>
      <c r="H94" s="17"/>
      <c r="I94" s="17"/>
      <c r="J94" s="17"/>
      <c r="K94" s="17"/>
      <c r="L94" s="17"/>
      <c r="M94" s="17"/>
      <c r="N94" s="17"/>
    </row>
    <row r="95" customFormat="false" ht="12.75" hidden="false" customHeight="false" outlineLevel="0" collapsed="false">
      <c r="A95" s="15" t="s">
        <v>118</v>
      </c>
      <c r="C95" s="18" t="n">
        <v>0.1126</v>
      </c>
      <c r="F95" s="17"/>
      <c r="G95" s="17"/>
      <c r="H95" s="17"/>
      <c r="I95" s="17"/>
      <c r="J95" s="17"/>
      <c r="K95" s="17"/>
      <c r="L95" s="17"/>
      <c r="M95" s="17"/>
      <c r="N95" s="17"/>
    </row>
    <row r="96" customFormat="false" ht="12.75" hidden="false" customHeight="false" outlineLevel="0" collapsed="false">
      <c r="A96" s="15" t="s">
        <v>110</v>
      </c>
      <c r="C96" s="18" t="n">
        <v>0.0094</v>
      </c>
      <c r="F96" s="17"/>
      <c r="G96" s="17"/>
      <c r="H96" s="17"/>
      <c r="I96" s="17"/>
      <c r="J96" s="17"/>
      <c r="K96" s="17"/>
      <c r="L96" s="17"/>
      <c r="M96" s="17"/>
      <c r="N96" s="17"/>
    </row>
    <row r="97" customFormat="false" ht="12.75" hidden="false" customHeight="false" outlineLevel="0" collapsed="false">
      <c r="A97" s="15" t="s">
        <v>111</v>
      </c>
      <c r="C97" s="19" t="n">
        <v>0.0597</v>
      </c>
      <c r="F97" s="17"/>
      <c r="G97" s="17"/>
      <c r="H97" s="17"/>
      <c r="I97" s="17"/>
      <c r="J97" s="17"/>
      <c r="K97" s="17"/>
      <c r="L97" s="17"/>
      <c r="M97" s="17"/>
      <c r="N97" s="17"/>
    </row>
    <row r="98" customFormat="false" ht="12.75" hidden="false" customHeight="false" outlineLevel="0" collapsed="false">
      <c r="A98" s="15" t="s">
        <v>120</v>
      </c>
      <c r="C98" s="20" t="n">
        <f aca="false">ROUND((+C93+C94)/(1-C97)-(C93+C94)+C95+C96,4)</f>
        <v>0.395</v>
      </c>
      <c r="F98" s="17"/>
      <c r="G98" s="17"/>
      <c r="H98" s="17"/>
      <c r="I98" s="17"/>
      <c r="J98" s="17"/>
      <c r="K98" s="17"/>
      <c r="L98" s="17"/>
      <c r="M98" s="17"/>
      <c r="N98" s="17"/>
    </row>
    <row r="99" customFormat="false" ht="13.5" hidden="false" customHeight="false" outlineLevel="0" collapsed="false">
      <c r="C99" s="21" t="n">
        <f aca="false">SUM(C98,C93:C94)</f>
        <v>4.695</v>
      </c>
      <c r="D99" s="15" t="s">
        <v>151</v>
      </c>
      <c r="F99" s="17"/>
      <c r="G99" s="17"/>
      <c r="H99" s="17"/>
      <c r="I99" s="17"/>
      <c r="J99" s="17"/>
      <c r="K99" s="17"/>
      <c r="L99" s="17"/>
      <c r="M99" s="17"/>
      <c r="N99" s="17"/>
    </row>
    <row r="100" customFormat="false" ht="13.5" hidden="false" customHeight="false" outlineLevel="0" collapsed="false"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customFormat="false" ht="12.75" hidden="false" customHeight="false" outlineLevel="0" collapsed="false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customFormat="false" ht="12.75" hidden="false" customHeight="false" outlineLevel="0" collapsed="false">
      <c r="A102" s="16" t="s">
        <v>44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customFormat="false" ht="12.75" hidden="false" customHeight="false" outlineLevel="0" collapsed="false">
      <c r="A103" s="15" t="s">
        <v>106</v>
      </c>
      <c r="B103" s="15" t="s">
        <v>152</v>
      </c>
      <c r="C103" s="18" t="n">
        <v>4.3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customFormat="false" ht="12.75" hidden="false" customHeight="false" outlineLevel="0" collapsed="false">
      <c r="A104" s="15" t="s">
        <v>108</v>
      </c>
      <c r="C104" s="18" t="n">
        <v>0.01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customFormat="false" ht="12.75" hidden="false" customHeight="false" outlineLevel="0" collapsed="false">
      <c r="A105" s="15" t="s">
        <v>118</v>
      </c>
      <c r="C105" s="18" t="n">
        <v>0.1012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customFormat="false" ht="12.75" hidden="false" customHeight="false" outlineLevel="0" collapsed="false">
      <c r="A106" s="15" t="s">
        <v>110</v>
      </c>
      <c r="C106" s="18" t="n">
        <v>0.0094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customFormat="false" ht="12.75" hidden="false" customHeight="false" outlineLevel="0" collapsed="false">
      <c r="A107" s="15" t="s">
        <v>111</v>
      </c>
      <c r="C107" s="19" t="n">
        <v>0.0705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customFormat="false" ht="12.75" hidden="false" customHeight="false" outlineLevel="0" collapsed="false">
      <c r="A108" s="15" t="s">
        <v>120</v>
      </c>
      <c r="C108" s="20" t="n">
        <f aca="false">ROUND((+C103+C104)/(1-C107)-(C103+C104)+C105+C106,4)</f>
        <v>0.4375</v>
      </c>
      <c r="D108" s="15" t="s">
        <v>153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customFormat="false" ht="13.5" hidden="false" customHeight="false" outlineLevel="0" collapsed="false">
      <c r="C109" s="21" t="n">
        <f aca="false">SUM(C108,C103:C104)</f>
        <v>4.7475</v>
      </c>
      <c r="D109" s="15" t="s">
        <v>154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customFormat="false" ht="13.5" hidden="false" customHeight="false" outlineLevel="0" collapsed="false"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customFormat="false" ht="12.75" hidden="false" customHeight="false" outlineLevel="0" collapsed="false">
      <c r="A111" s="15" t="s">
        <v>155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customFormat="false" ht="12.75" hidden="false" customHeight="false" outlineLevel="0" collapsed="false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customFormat="false" ht="12.75" hidden="false" customHeight="false" outlineLevel="0" collapsed="false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customFormat="false" ht="12.75" hidden="false" customHeight="false" outlineLevel="0" collapsed="false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customFormat="false" ht="12.75" hidden="false" customHeight="false" outlineLevel="0" collapsed="false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customFormat="false" ht="12.75" hidden="false" customHeight="false" outlineLevel="0" collapsed="false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customFormat="false" ht="12.75" hidden="false" customHeight="false" outlineLevel="0" collapsed="false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customFormat="false" ht="12.75" hidden="false" customHeight="false" outlineLevel="0" collapsed="false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customFormat="false" ht="12.75" hidden="false" customHeight="false" outlineLevel="0" collapsed="false">
      <c r="A119" s="35" t="s">
        <v>62</v>
      </c>
      <c r="G119" s="36"/>
      <c r="H119" s="36"/>
    </row>
    <row r="120" customFormat="false" ht="12.75" hidden="false" customHeight="false" outlineLevel="0" collapsed="false">
      <c r="D120" s="37"/>
      <c r="F120" s="29"/>
      <c r="G120" s="36"/>
    </row>
    <row r="121" customFormat="false" ht="12" hidden="false" customHeight="false" outlineLevel="0" collapsed="false">
      <c r="A121" s="15" t="s">
        <v>156</v>
      </c>
      <c r="E121" s="27"/>
      <c r="F121" s="27"/>
      <c r="G121" s="27"/>
      <c r="H121" s="27"/>
      <c r="I121" s="27"/>
      <c r="J121" s="27"/>
      <c r="K121" s="27"/>
      <c r="L121" s="27"/>
    </row>
    <row r="122" customFormat="false" ht="12.75" hidden="false" customHeight="false" outlineLevel="0" collapsed="false">
      <c r="A122" s="15" t="s">
        <v>106</v>
      </c>
      <c r="B122" s="15" t="s">
        <v>157</v>
      </c>
      <c r="C122" s="31" t="n">
        <v>4.36</v>
      </c>
      <c r="E122" s="27"/>
      <c r="F122" s="27"/>
      <c r="G122" s="24"/>
      <c r="H122" s="27"/>
      <c r="I122" s="27"/>
      <c r="J122" s="27"/>
      <c r="K122" s="24"/>
      <c r="L122" s="38"/>
    </row>
    <row r="123" customFormat="false" ht="12.75" hidden="false" customHeight="false" outlineLevel="0" collapsed="false">
      <c r="C123" s="31" t="n">
        <v>0.0075</v>
      </c>
      <c r="E123" s="27"/>
      <c r="F123" s="27"/>
      <c r="G123" s="24"/>
      <c r="H123" s="27"/>
      <c r="I123" s="27"/>
      <c r="J123" s="27"/>
      <c r="K123" s="24"/>
      <c r="L123" s="38"/>
    </row>
    <row r="124" customFormat="false" ht="12.75" hidden="false" customHeight="false" outlineLevel="0" collapsed="false">
      <c r="A124" s="15" t="s">
        <v>118</v>
      </c>
      <c r="B124" s="36"/>
      <c r="C124" s="18" t="n">
        <v>0.0274</v>
      </c>
      <c r="E124" s="27"/>
      <c r="F124" s="38"/>
      <c r="G124" s="24"/>
      <c r="H124" s="27"/>
      <c r="I124" s="27"/>
      <c r="J124" s="38"/>
      <c r="K124" s="24"/>
      <c r="L124" s="38"/>
    </row>
    <row r="125" customFormat="false" ht="12.75" hidden="false" customHeight="false" outlineLevel="0" collapsed="false">
      <c r="A125" s="15" t="s">
        <v>110</v>
      </c>
      <c r="B125" s="36"/>
      <c r="C125" s="18" t="n">
        <v>0.0225</v>
      </c>
      <c r="E125" s="27"/>
      <c r="F125" s="38"/>
      <c r="G125" s="24"/>
      <c r="H125" s="27"/>
      <c r="I125" s="27"/>
      <c r="J125" s="38"/>
      <c r="K125" s="24"/>
      <c r="L125" s="38"/>
    </row>
    <row r="126" customFormat="false" ht="12.75" hidden="false" customHeight="false" outlineLevel="0" collapsed="false">
      <c r="A126" s="15" t="s">
        <v>111</v>
      </c>
      <c r="B126" s="39"/>
      <c r="C126" s="19" t="n">
        <v>0.0472</v>
      </c>
      <c r="E126" s="27"/>
      <c r="F126" s="39"/>
      <c r="G126" s="40"/>
      <c r="H126" s="27"/>
      <c r="I126" s="27"/>
      <c r="J126" s="39"/>
      <c r="K126" s="40"/>
      <c r="L126" s="38"/>
    </row>
    <row r="127" customFormat="false" ht="12.75" hidden="false" customHeight="false" outlineLevel="0" collapsed="false">
      <c r="A127" s="15" t="s">
        <v>120</v>
      </c>
      <c r="C127" s="20" t="n">
        <f aca="false">ROUND((+C122+C123)/(1-C126)+(C124+C125),4)-C122-C123</f>
        <v>0.2663</v>
      </c>
      <c r="E127" s="27"/>
      <c r="F127" s="27"/>
      <c r="G127" s="24"/>
      <c r="H127" s="27"/>
      <c r="I127" s="27"/>
      <c r="J127" s="27"/>
      <c r="K127" s="24"/>
      <c r="L127" s="38"/>
    </row>
    <row r="128" customFormat="false" ht="13.5" hidden="false" customHeight="false" outlineLevel="0" collapsed="false">
      <c r="C128" s="34" t="n">
        <f aca="false">SUM(C127,C122:C123)</f>
        <v>4.6338</v>
      </c>
      <c r="D128" s="15" t="s">
        <v>158</v>
      </c>
      <c r="E128" s="27"/>
      <c r="F128" s="27"/>
      <c r="G128" s="27"/>
      <c r="H128" s="27"/>
      <c r="I128" s="27"/>
      <c r="J128" s="27"/>
      <c r="K128" s="27"/>
      <c r="L128" s="38"/>
      <c r="M128" s="29"/>
      <c r="N128" s="31"/>
    </row>
    <row r="129" customFormat="false" ht="13.5" hidden="false" customHeight="false" outlineLevel="0" collapsed="false">
      <c r="B129" s="36"/>
      <c r="C129" s="31"/>
      <c r="G129" s="29"/>
      <c r="H129" s="41"/>
    </row>
    <row r="130" customFormat="false" ht="12.75" hidden="false" customHeight="false" outlineLevel="0" collapsed="false">
      <c r="K130" s="36"/>
      <c r="L130" s="31"/>
    </row>
    <row r="131" customFormat="false" ht="12.75" hidden="false" customHeight="false" outlineLevel="0" collapsed="false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customFormat="false" ht="12" hidden="false" customHeight="false" outlineLevel="0" collapsed="false">
      <c r="A132" s="15" t="s">
        <v>159</v>
      </c>
      <c r="E132" s="27"/>
      <c r="F132" s="27"/>
      <c r="G132" s="27"/>
      <c r="H132" s="27"/>
      <c r="I132" s="27"/>
      <c r="J132" s="27"/>
      <c r="K132" s="27"/>
      <c r="L132" s="27"/>
    </row>
    <row r="133" customFormat="false" ht="12.75" hidden="false" customHeight="false" outlineLevel="0" collapsed="false">
      <c r="A133" s="15" t="s">
        <v>106</v>
      </c>
      <c r="B133" s="15" t="s">
        <v>157</v>
      </c>
      <c r="C133" s="18" t="n">
        <v>4.36</v>
      </c>
      <c r="E133" s="27"/>
      <c r="F133" s="27"/>
      <c r="G133" s="24"/>
      <c r="H133" s="27"/>
      <c r="I133" s="27"/>
      <c r="J133" s="27"/>
      <c r="K133" s="24"/>
      <c r="L133" s="38"/>
    </row>
    <row r="134" customFormat="false" ht="12.75" hidden="false" customHeight="false" outlineLevel="0" collapsed="false">
      <c r="C134" s="18" t="n">
        <v>0.0075</v>
      </c>
      <c r="E134" s="27"/>
      <c r="F134" s="27"/>
      <c r="G134" s="24"/>
      <c r="H134" s="27"/>
      <c r="I134" s="27"/>
      <c r="J134" s="27"/>
      <c r="K134" s="24"/>
      <c r="L134" s="38"/>
    </row>
    <row r="135" customFormat="false" ht="12.75" hidden="false" customHeight="false" outlineLevel="0" collapsed="false">
      <c r="A135" s="15" t="s">
        <v>118</v>
      </c>
      <c r="B135" s="36"/>
      <c r="C135" s="18" t="n">
        <v>0.014</v>
      </c>
      <c r="E135" s="27"/>
      <c r="F135" s="38"/>
      <c r="G135" s="24"/>
      <c r="H135" s="27"/>
      <c r="I135" s="27"/>
      <c r="J135" s="38"/>
      <c r="K135" s="24"/>
      <c r="L135" s="38"/>
    </row>
    <row r="136" customFormat="false" ht="12.75" hidden="false" customHeight="false" outlineLevel="0" collapsed="false">
      <c r="A136" s="15" t="s">
        <v>110</v>
      </c>
      <c r="B136" s="36"/>
      <c r="C136" s="18" t="n">
        <v>0.0225</v>
      </c>
      <c r="E136" s="27"/>
      <c r="F136" s="38"/>
      <c r="G136" s="24"/>
      <c r="H136" s="27"/>
      <c r="I136" s="27"/>
      <c r="J136" s="38"/>
      <c r="K136" s="24"/>
      <c r="L136" s="38"/>
    </row>
    <row r="137" customFormat="false" ht="12.75" hidden="false" customHeight="false" outlineLevel="0" collapsed="false">
      <c r="A137" s="15" t="s">
        <v>111</v>
      </c>
      <c r="B137" s="39"/>
      <c r="C137" s="19" t="n">
        <v>0.0235</v>
      </c>
      <c r="E137" s="27"/>
      <c r="F137" s="39"/>
      <c r="G137" s="40"/>
      <c r="H137" s="27"/>
      <c r="I137" s="27"/>
      <c r="J137" s="39"/>
      <c r="K137" s="40"/>
      <c r="L137" s="38"/>
    </row>
    <row r="138" customFormat="false" ht="12.75" hidden="false" customHeight="false" outlineLevel="0" collapsed="false">
      <c r="A138" s="15" t="s">
        <v>120</v>
      </c>
      <c r="C138" s="20" t="n">
        <f aca="false">ROUND((+C133+C134)/(1-C137)+(C135+C136),4)-C133-C134</f>
        <v>0.1416</v>
      </c>
      <c r="E138" s="27"/>
      <c r="F138" s="27"/>
      <c r="G138" s="24"/>
      <c r="H138" s="27"/>
      <c r="I138" s="27"/>
      <c r="J138" s="27"/>
      <c r="K138" s="24"/>
      <c r="L138" s="38"/>
    </row>
    <row r="139" customFormat="false" ht="13.5" hidden="false" customHeight="false" outlineLevel="0" collapsed="false">
      <c r="C139" s="21" t="n">
        <f aca="false">SUM(C138,C133:C134)</f>
        <v>4.5091</v>
      </c>
      <c r="D139" s="15" t="s">
        <v>160</v>
      </c>
      <c r="E139" s="27"/>
      <c r="F139" s="27"/>
      <c r="G139" s="27"/>
      <c r="H139" s="27"/>
      <c r="I139" s="27"/>
      <c r="J139" s="27"/>
      <c r="K139" s="27"/>
      <c r="L139" s="38"/>
      <c r="M139" s="29"/>
      <c r="N139" s="31"/>
    </row>
    <row r="140" customFormat="false" ht="13.5" hidden="false" customHeight="false" outlineLevel="0" collapsed="false">
      <c r="B140" s="36"/>
      <c r="C140" s="31"/>
      <c r="G140" s="29"/>
      <c r="H140" s="41"/>
    </row>
    <row r="141" customFormat="false" ht="12.75" hidden="false" customHeight="false" outlineLevel="0" collapsed="false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customFormat="false" ht="12.75" hidden="false" customHeight="false" outlineLevel="0" collapsed="false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customFormat="false" ht="12" hidden="false" customHeight="false" outlineLevel="0" collapsed="false">
      <c r="A143" s="15" t="s">
        <v>161</v>
      </c>
      <c r="I143" s="15" t="s">
        <v>162</v>
      </c>
    </row>
    <row r="144" customFormat="false" ht="12.75" hidden="false" customHeight="false" outlineLevel="0" collapsed="false">
      <c r="A144" s="15" t="s">
        <v>106</v>
      </c>
      <c r="B144" s="15" t="s">
        <v>163</v>
      </c>
      <c r="C144" s="18" t="n">
        <v>4.37</v>
      </c>
      <c r="I144" s="15" t="s">
        <v>106</v>
      </c>
      <c r="J144" s="15" t="s">
        <v>163</v>
      </c>
      <c r="K144" s="18" t="n">
        <v>4.37</v>
      </c>
      <c r="L144" s="36"/>
    </row>
    <row r="145" customFormat="false" ht="12.75" hidden="false" customHeight="false" outlineLevel="0" collapsed="false">
      <c r="A145" s="15" t="s">
        <v>108</v>
      </c>
      <c r="C145" s="18" t="n">
        <v>0.0175</v>
      </c>
      <c r="K145" s="18" t="n">
        <v>0.0175</v>
      </c>
      <c r="L145" s="36"/>
    </row>
    <row r="146" customFormat="false" ht="12.75" hidden="false" customHeight="false" outlineLevel="0" collapsed="false">
      <c r="A146" s="15" t="s">
        <v>118</v>
      </c>
      <c r="B146" s="36"/>
      <c r="C146" s="18" t="n">
        <v>0.0115</v>
      </c>
      <c r="I146" s="15" t="s">
        <v>118</v>
      </c>
      <c r="J146" s="36"/>
      <c r="K146" s="18" t="n">
        <v>0.0023</v>
      </c>
      <c r="L146" s="36"/>
    </row>
    <row r="147" customFormat="false" ht="12.75" hidden="false" customHeight="false" outlineLevel="0" collapsed="false">
      <c r="A147" s="15" t="s">
        <v>110</v>
      </c>
      <c r="B147" s="36"/>
      <c r="C147" s="18" t="n">
        <v>0.0094</v>
      </c>
      <c r="D147" s="15" t="s">
        <v>164</v>
      </c>
      <c r="I147" s="15" t="s">
        <v>110</v>
      </c>
      <c r="J147" s="36"/>
      <c r="K147" s="18" t="n">
        <v>0.0094</v>
      </c>
      <c r="L147" s="15" t="s">
        <v>164</v>
      </c>
    </row>
    <row r="148" customFormat="false" ht="12.75" hidden="false" customHeight="false" outlineLevel="0" collapsed="false">
      <c r="A148" s="15" t="s">
        <v>111</v>
      </c>
      <c r="B148" s="39"/>
      <c r="C148" s="19" t="n">
        <v>0.019</v>
      </c>
      <c r="I148" s="15" t="s">
        <v>111</v>
      </c>
      <c r="J148" s="39"/>
      <c r="K148" s="19" t="n">
        <v>0.019</v>
      </c>
      <c r="L148" s="36"/>
    </row>
    <row r="149" customFormat="false" ht="12.75" hidden="false" customHeight="false" outlineLevel="0" collapsed="false">
      <c r="A149" s="15" t="s">
        <v>120</v>
      </c>
      <c r="C149" s="20" t="n">
        <f aca="false">ROUND((+C144+C145)/(1-C148)+(C146+C147),4)-C144-C145</f>
        <v>0.1059</v>
      </c>
      <c r="I149" s="15" t="s">
        <v>120</v>
      </c>
      <c r="K149" s="20" t="n">
        <f aca="false">ROUND((+K144+K145)/(1-K148)+(K146+K147),4)-K144-K145</f>
        <v>0.0967000000000003</v>
      </c>
      <c r="L149" s="36"/>
    </row>
    <row r="150" customFormat="false" ht="13.5" hidden="false" customHeight="false" outlineLevel="0" collapsed="false">
      <c r="A150" s="15" t="s">
        <v>136</v>
      </c>
      <c r="C150" s="21" t="n">
        <f aca="false">SUM(C149,C144:C145)</f>
        <v>4.4934</v>
      </c>
      <c r="D150" s="15" t="s">
        <v>165</v>
      </c>
      <c r="I150" s="27" t="s">
        <v>136</v>
      </c>
      <c r="J150" s="27"/>
      <c r="K150" s="21" t="n">
        <f aca="false">SUM(K149,K144:K145)</f>
        <v>4.4842</v>
      </c>
      <c r="L150" s="36" t="s">
        <v>166</v>
      </c>
      <c r="M150" s="29"/>
      <c r="N150" s="31"/>
    </row>
    <row r="151" customFormat="false" ht="13.5" hidden="false" customHeight="false" outlineLevel="0" collapsed="false">
      <c r="B151" s="36"/>
      <c r="C151" s="31"/>
      <c r="G151" s="29"/>
      <c r="H151" s="41"/>
    </row>
    <row r="152" customFormat="false" ht="12.75" hidden="false" customHeight="false" outlineLevel="0" collapsed="false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customFormat="false" ht="12" hidden="false" customHeight="false" outlineLevel="0" collapsed="false">
      <c r="A153" s="15" t="s">
        <v>167</v>
      </c>
    </row>
    <row r="154" customFormat="false" ht="12" hidden="false" customHeight="false" outlineLevel="0" collapsed="false">
      <c r="A154" s="15" t="s">
        <v>106</v>
      </c>
      <c r="B154" s="15" t="s">
        <v>163</v>
      </c>
      <c r="C154" s="18" t="n">
        <v>4.37</v>
      </c>
      <c r="D154" s="15" t="s">
        <v>168</v>
      </c>
    </row>
    <row r="155" customFormat="false" ht="12.75" hidden="false" customHeight="false" outlineLevel="0" collapsed="false">
      <c r="A155" s="15" t="s">
        <v>118</v>
      </c>
      <c r="B155" s="36"/>
      <c r="C155" s="18" t="n">
        <v>0.0203</v>
      </c>
    </row>
    <row r="156" customFormat="false" ht="12.75" hidden="false" customHeight="false" outlineLevel="0" collapsed="false">
      <c r="A156" s="15" t="s">
        <v>110</v>
      </c>
      <c r="B156" s="36"/>
      <c r="C156" s="18" t="n">
        <v>0.0225</v>
      </c>
    </row>
    <row r="157" customFormat="false" ht="12" hidden="false" customHeight="false" outlineLevel="0" collapsed="false">
      <c r="A157" s="15" t="s">
        <v>111</v>
      </c>
      <c r="B157" s="39"/>
      <c r="C157" s="19" t="n">
        <v>0.0343</v>
      </c>
    </row>
    <row r="158" customFormat="false" ht="12" hidden="false" customHeight="false" outlineLevel="0" collapsed="false">
      <c r="A158" s="15" t="s">
        <v>120</v>
      </c>
      <c r="C158" s="20" t="n">
        <v>0.1428</v>
      </c>
    </row>
    <row r="159" customFormat="false" ht="12" hidden="false" customHeight="false" outlineLevel="0" collapsed="false">
      <c r="A159" s="15" t="s">
        <v>169</v>
      </c>
      <c r="C159" s="42" t="n">
        <v>0.27</v>
      </c>
    </row>
    <row r="160" customFormat="false" ht="12.75" hidden="false" customHeight="false" outlineLevel="0" collapsed="false">
      <c r="A160" s="15" t="s">
        <v>136</v>
      </c>
      <c r="C160" s="21" t="n">
        <v>3.0428</v>
      </c>
      <c r="D160" s="15" t="s">
        <v>170</v>
      </c>
    </row>
    <row r="161" customFormat="false" ht="12.75" hidden="false" customHeight="false" outlineLevel="0" collapsed="false">
      <c r="D161" s="15" t="s">
        <v>171</v>
      </c>
    </row>
    <row r="162" customFormat="false" ht="12" hidden="false" customHeight="false" outlineLevel="0" collapsed="false">
      <c r="D162" s="15" t="s">
        <v>172</v>
      </c>
    </row>
    <row r="166" customFormat="false" ht="12" hidden="false" customHeight="false" outlineLevel="0" collapsed="false">
      <c r="A166" s="15" t="s">
        <v>173</v>
      </c>
    </row>
    <row r="167" customFormat="false" ht="12" hidden="false" customHeight="false" outlineLevel="0" collapsed="false">
      <c r="A167" s="15" t="s">
        <v>106</v>
      </c>
      <c r="B167" s="15" t="s">
        <v>157</v>
      </c>
      <c r="C167" s="18" t="n">
        <v>4.36</v>
      </c>
    </row>
    <row r="168" customFormat="false" ht="12" hidden="false" customHeight="false" outlineLevel="0" collapsed="false">
      <c r="C168" s="18" t="n">
        <v>0.0075</v>
      </c>
    </row>
    <row r="169" customFormat="false" ht="12.75" hidden="false" customHeight="false" outlineLevel="0" collapsed="false">
      <c r="A169" s="15" t="s">
        <v>118</v>
      </c>
      <c r="B169" s="36"/>
      <c r="C169" s="18" t="n">
        <v>0.0228</v>
      </c>
    </row>
    <row r="170" customFormat="false" ht="12.75" hidden="false" customHeight="false" outlineLevel="0" collapsed="false">
      <c r="A170" s="15" t="s">
        <v>110</v>
      </c>
      <c r="B170" s="36"/>
      <c r="C170" s="18" t="n">
        <v>0.0225</v>
      </c>
    </row>
    <row r="171" customFormat="false" ht="12" hidden="false" customHeight="false" outlineLevel="0" collapsed="false">
      <c r="A171" s="15" t="s">
        <v>111</v>
      </c>
      <c r="B171" s="39"/>
      <c r="C171" s="19" t="n">
        <v>0.0388</v>
      </c>
    </row>
    <row r="172" customFormat="false" ht="12" hidden="false" customHeight="false" outlineLevel="0" collapsed="false">
      <c r="A172" s="15" t="s">
        <v>120</v>
      </c>
      <c r="C172" s="20" t="n">
        <f aca="false">ROUND((+C167+C168)/(1-C171)+(C169+C170),4)-C167-C168</f>
        <v>0.2216</v>
      </c>
    </row>
    <row r="173" customFormat="false" ht="12.75" hidden="false" customHeight="false" outlineLevel="0" collapsed="false">
      <c r="A173" s="15" t="s">
        <v>136</v>
      </c>
      <c r="C173" s="21" t="n">
        <f aca="false">SUM(C172,C167:C168)</f>
        <v>4.5891</v>
      </c>
      <c r="D173" s="15" t="s">
        <v>174</v>
      </c>
    </row>
    <row r="174" customFormat="false" ht="12.75" hidden="false" customHeight="false" outlineLevel="0" collapsed="false"/>
    <row r="180" customFormat="false" ht="12" hidden="false" customHeight="false" outlineLevel="0" collapsed="false">
      <c r="A180" s="16" t="s">
        <v>175</v>
      </c>
    </row>
    <row r="181" customFormat="false" ht="12" hidden="false" customHeight="false" outlineLevel="0" collapsed="false">
      <c r="A181" s="15" t="s">
        <v>106</v>
      </c>
      <c r="B181" s="15" t="s">
        <v>176</v>
      </c>
      <c r="C181" s="18" t="n">
        <v>4.33</v>
      </c>
    </row>
    <row r="182" customFormat="false" ht="12" hidden="false" customHeight="false" outlineLevel="0" collapsed="false">
      <c r="A182" s="15" t="s">
        <v>108</v>
      </c>
      <c r="C182" s="18" t="n">
        <v>-0.01</v>
      </c>
    </row>
    <row r="183" customFormat="false" ht="12" hidden="false" customHeight="false" outlineLevel="0" collapsed="false">
      <c r="A183" s="15" t="s">
        <v>118</v>
      </c>
      <c r="C183" s="18" t="n">
        <v>0.0323</v>
      </c>
    </row>
    <row r="184" customFormat="false" ht="12" hidden="false" customHeight="false" outlineLevel="0" collapsed="false">
      <c r="A184" s="15" t="s">
        <v>110</v>
      </c>
      <c r="C184" s="18" t="n">
        <v>0.0094</v>
      </c>
    </row>
    <row r="185" customFormat="false" ht="12" hidden="false" customHeight="false" outlineLevel="0" collapsed="false">
      <c r="A185" s="15" t="s">
        <v>111</v>
      </c>
      <c r="C185" s="19" t="n">
        <v>0.0268</v>
      </c>
    </row>
    <row r="186" customFormat="false" ht="12" hidden="false" customHeight="false" outlineLevel="0" collapsed="false">
      <c r="A186" s="15" t="s">
        <v>120</v>
      </c>
      <c r="C186" s="20" t="n">
        <f aca="false">ROUND((+C181+C182)/(1-C185)+(C183+C184),4)-C181-C182</f>
        <v>0.1607</v>
      </c>
    </row>
    <row r="187" customFormat="false" ht="12.75" hidden="false" customHeight="false" outlineLevel="0" collapsed="false">
      <c r="A187" s="15" t="s">
        <v>136</v>
      </c>
      <c r="C187" s="21" t="n">
        <f aca="false">SUM(C186,C181:C182)</f>
        <v>4.4807</v>
      </c>
      <c r="D187" s="15" t="s">
        <v>113</v>
      </c>
    </row>
    <row r="188" customFormat="false" ht="12.75" hidden="false" customHeight="false" outlineLevel="0" collapsed="false"/>
    <row r="190" customFormat="false" ht="12" hidden="false" customHeight="false" outlineLevel="0" collapsed="false">
      <c r="A190" s="16" t="s">
        <v>63</v>
      </c>
    </row>
    <row r="191" customFormat="false" ht="12" hidden="false" customHeight="false" outlineLevel="0" collapsed="false">
      <c r="A191" s="15" t="s">
        <v>106</v>
      </c>
      <c r="B191" s="15" t="s">
        <v>177</v>
      </c>
      <c r="C191" s="18" t="n">
        <v>4.35</v>
      </c>
    </row>
    <row r="192" customFormat="false" ht="12" hidden="false" customHeight="false" outlineLevel="0" collapsed="false">
      <c r="A192" s="15" t="s">
        <v>108</v>
      </c>
      <c r="C192" s="18" t="n">
        <v>0.0075</v>
      </c>
    </row>
    <row r="193" customFormat="false" ht="12" hidden="false" customHeight="false" outlineLevel="0" collapsed="false">
      <c r="A193" s="15" t="s">
        <v>118</v>
      </c>
      <c r="C193" s="18" t="n">
        <v>0.021</v>
      </c>
    </row>
    <row r="194" customFormat="false" ht="12" hidden="false" customHeight="false" outlineLevel="0" collapsed="false">
      <c r="A194" s="15" t="s">
        <v>110</v>
      </c>
      <c r="C194" s="18" t="n">
        <f aca="false">0.0022+0.0072</f>
        <v>0.0094</v>
      </c>
    </row>
    <row r="195" customFormat="false" ht="12" hidden="false" customHeight="false" outlineLevel="0" collapsed="false">
      <c r="A195" s="15" t="s">
        <v>111</v>
      </c>
      <c r="C195" s="19" t="n">
        <v>0.026</v>
      </c>
    </row>
    <row r="196" customFormat="false" ht="12" hidden="false" customHeight="false" outlineLevel="0" collapsed="false">
      <c r="A196" s="15" t="s">
        <v>120</v>
      </c>
      <c r="C196" s="20" t="n">
        <f aca="false">ROUND((+C191+C192)/(1-C195)-(C191+C192)+C193+C194,4)</f>
        <v>0.1467</v>
      </c>
    </row>
    <row r="197" customFormat="false" ht="12.75" hidden="false" customHeight="false" outlineLevel="0" collapsed="false">
      <c r="A197" s="15" t="s">
        <v>136</v>
      </c>
      <c r="C197" s="21" t="n">
        <f aca="false">SUM(C196,C191:C192)</f>
        <v>4.5042</v>
      </c>
      <c r="D197" s="15" t="s">
        <v>178</v>
      </c>
    </row>
    <row r="198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3.99"/>
    <col collapsed="false" customWidth="true" hidden="false" outlineLevel="0" max="9" min="9" style="36" width="10.71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1.7"/>
    <col collapsed="false" customWidth="true" hidden="false" outlineLevel="0" max="18" min="18" style="36" width="9.41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189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e">
        <f aca="false">+#REF!</f>
        <v>#REF!</v>
      </c>
      <c r="X11" s="75"/>
      <c r="Y11" s="75"/>
    </row>
    <row r="12" customFormat="false" ht="12.75" hidden="false" customHeight="false" outlineLevel="0" collapsed="false">
      <c r="A12" s="76"/>
      <c r="B12" s="49" t="s">
        <v>207</v>
      </c>
      <c r="C12" s="47" t="s">
        <v>208</v>
      </c>
      <c r="D12" s="47" t="s">
        <v>209</v>
      </c>
      <c r="E12" s="48" t="n">
        <v>36678</v>
      </c>
      <c r="F12" s="48" t="n">
        <v>37042</v>
      </c>
      <c r="G12" s="49" t="s">
        <v>210</v>
      </c>
      <c r="H12" s="49" t="s">
        <v>211</v>
      </c>
      <c r="I12" s="47" t="s">
        <v>212</v>
      </c>
      <c r="J12" s="61" t="n">
        <f aca="false">3.145/J$1</f>
        <v>0.101451612903226</v>
      </c>
      <c r="K12" s="52" t="n">
        <v>0.0132</v>
      </c>
      <c r="L12" s="52" t="n">
        <v>0.0022</v>
      </c>
      <c r="M12" s="52" t="n">
        <v>0</v>
      </c>
      <c r="N12" s="52" t="n">
        <v>0</v>
      </c>
      <c r="O12" s="53" t="n">
        <v>0.02116</v>
      </c>
      <c r="P12" s="52" t="n">
        <f aca="false">SUM(J12:N12)</f>
        <v>0.116851612903226</v>
      </c>
      <c r="Q12" s="54" t="n">
        <v>68360</v>
      </c>
      <c r="R12" s="47" t="n">
        <v>291</v>
      </c>
      <c r="S12" s="49"/>
      <c r="T12" s="77" t="n">
        <f aca="false">J12*J$1*R12</f>
        <v>915.195</v>
      </c>
      <c r="U12" s="77"/>
      <c r="V12" s="78" t="n">
        <v>271311</v>
      </c>
      <c r="W12" s="49"/>
      <c r="X12" s="75"/>
      <c r="Y12" s="75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customFormat="false" ht="12.75" hidden="false" customHeight="false" outlineLevel="0" collapsed="false">
      <c r="A13" s="76"/>
      <c r="B13" s="49" t="s">
        <v>207</v>
      </c>
      <c r="C13" s="47" t="s">
        <v>208</v>
      </c>
      <c r="D13" s="47" t="s">
        <v>213</v>
      </c>
      <c r="E13" s="48" t="n">
        <v>36678</v>
      </c>
      <c r="F13" s="48" t="n">
        <v>37042</v>
      </c>
      <c r="G13" s="49" t="s">
        <v>210</v>
      </c>
      <c r="H13" s="49" t="s">
        <v>211</v>
      </c>
      <c r="I13" s="47" t="s">
        <v>212</v>
      </c>
      <c r="J13" s="61" t="n">
        <f aca="false">3.145/J$1</f>
        <v>0.101451612903226</v>
      </c>
      <c r="K13" s="52" t="n">
        <v>0.0132</v>
      </c>
      <c r="L13" s="52" t="n">
        <v>0.0022</v>
      </c>
      <c r="M13" s="52" t="n">
        <v>0</v>
      </c>
      <c r="N13" s="52" t="n">
        <v>0</v>
      </c>
      <c r="O13" s="53" t="n">
        <v>0.02116</v>
      </c>
      <c r="P13" s="52" t="n">
        <f aca="false">SUM(J13:N13)</f>
        <v>0.116851612903226</v>
      </c>
      <c r="Q13" s="54" t="n">
        <v>68385</v>
      </c>
      <c r="R13" s="47" t="n">
        <v>223</v>
      </c>
      <c r="S13" s="49"/>
      <c r="T13" s="77" t="n">
        <f aca="false">J13*J$1*R13</f>
        <v>701.335</v>
      </c>
      <c r="U13" s="77"/>
      <c r="V13" s="78" t="n">
        <v>280550</v>
      </c>
      <c r="W13" s="49"/>
      <c r="X13" s="75"/>
      <c r="Y13" s="75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customFormat="false" ht="12.75" hidden="false" customHeight="false" outlineLevel="0" collapsed="false">
      <c r="A14" s="79"/>
      <c r="B14" s="80" t="s">
        <v>207</v>
      </c>
      <c r="C14" s="81" t="s">
        <v>208</v>
      </c>
      <c r="D14" s="81" t="s">
        <v>213</v>
      </c>
      <c r="E14" s="82" t="n">
        <v>36708</v>
      </c>
      <c r="F14" s="82" t="n">
        <v>37072</v>
      </c>
      <c r="G14" s="80" t="s">
        <v>210</v>
      </c>
      <c r="H14" s="80" t="s">
        <v>211</v>
      </c>
      <c r="I14" s="81" t="s">
        <v>212</v>
      </c>
      <c r="J14" s="83" t="n">
        <f aca="false">3.145/J$1</f>
        <v>0.101451612903226</v>
      </c>
      <c r="K14" s="84" t="n">
        <v>0.0132</v>
      </c>
      <c r="L14" s="84" t="n">
        <v>0.0022</v>
      </c>
      <c r="M14" s="84" t="n">
        <v>0</v>
      </c>
      <c r="N14" s="84" t="n">
        <v>0</v>
      </c>
      <c r="O14" s="85" t="n">
        <v>0.02116</v>
      </c>
      <c r="P14" s="84" t="n">
        <f aca="false">SUM(J14:N14)</f>
        <v>0.116851612903226</v>
      </c>
      <c r="Q14" s="86" t="n">
        <v>68635</v>
      </c>
      <c r="R14" s="81" t="n">
        <v>1</v>
      </c>
      <c r="S14" s="80" t="s">
        <v>214</v>
      </c>
      <c r="T14" s="87" t="n">
        <f aca="false">J14*J$1*R14</f>
        <v>3.145</v>
      </c>
      <c r="U14" s="87"/>
      <c r="V14" s="88" t="n">
        <v>312333</v>
      </c>
      <c r="W14" s="80"/>
      <c r="X14" s="89"/>
      <c r="Y14" s="8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2.75" hidden="false" customHeight="false" outlineLevel="0" collapsed="false">
      <c r="A15" s="79"/>
      <c r="B15" s="80" t="s">
        <v>207</v>
      </c>
      <c r="C15" s="81" t="s">
        <v>208</v>
      </c>
      <c r="D15" s="81" t="s">
        <v>209</v>
      </c>
      <c r="E15" s="82" t="n">
        <v>36708</v>
      </c>
      <c r="F15" s="82" t="n">
        <v>37072</v>
      </c>
      <c r="G15" s="80" t="s">
        <v>210</v>
      </c>
      <c r="H15" s="80" t="s">
        <v>211</v>
      </c>
      <c r="I15" s="81" t="s">
        <v>212</v>
      </c>
      <c r="J15" s="83" t="n">
        <f aca="false">3.145/J$1</f>
        <v>0.101451612903226</v>
      </c>
      <c r="K15" s="84" t="n">
        <v>0.0132</v>
      </c>
      <c r="L15" s="84" t="n">
        <v>0.0022</v>
      </c>
      <c r="M15" s="84" t="n">
        <v>0</v>
      </c>
      <c r="N15" s="84" t="n">
        <v>0</v>
      </c>
      <c r="O15" s="85" t="n">
        <v>0.02116</v>
      </c>
      <c r="P15" s="84" t="n">
        <f aca="false">SUM(J15:N15)</f>
        <v>0.116851612903226</v>
      </c>
      <c r="Q15" s="86" t="n">
        <v>68615</v>
      </c>
      <c r="R15" s="81" t="n">
        <v>920</v>
      </c>
      <c r="S15" s="80"/>
      <c r="T15" s="87" t="n">
        <f aca="false">J15*J$1*R15</f>
        <v>2893.4</v>
      </c>
      <c r="U15" s="87"/>
      <c r="V15" s="88" t="n">
        <v>309873</v>
      </c>
      <c r="W15" s="80"/>
      <c r="X15" s="89"/>
      <c r="Y15" s="8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2.75" hidden="false" customHeight="false" outlineLevel="0" collapsed="false">
      <c r="A16" s="76"/>
      <c r="B16" s="49" t="s">
        <v>207</v>
      </c>
      <c r="C16" s="47" t="s">
        <v>208</v>
      </c>
      <c r="D16" s="47" t="s">
        <v>213</v>
      </c>
      <c r="E16" s="48" t="n">
        <v>36373</v>
      </c>
      <c r="F16" s="48" t="n">
        <v>36738</v>
      </c>
      <c r="G16" s="49" t="s">
        <v>210</v>
      </c>
      <c r="H16" s="49" t="s">
        <v>211</v>
      </c>
      <c r="I16" s="47" t="s">
        <v>212</v>
      </c>
      <c r="J16" s="61" t="n">
        <f aca="false">3.145/J$1</f>
        <v>0.101451612903226</v>
      </c>
      <c r="K16" s="52" t="n">
        <v>0.0132</v>
      </c>
      <c r="L16" s="52" t="n">
        <v>0.0022</v>
      </c>
      <c r="M16" s="52" t="n">
        <v>0</v>
      </c>
      <c r="N16" s="52" t="n">
        <v>0</v>
      </c>
      <c r="O16" s="53" t="n">
        <v>0.02116</v>
      </c>
      <c r="P16" s="52" t="n">
        <f aca="false">SUM(J16:N16)</f>
        <v>0.116851612903226</v>
      </c>
      <c r="Q16" s="54" t="n">
        <v>64332</v>
      </c>
      <c r="R16" s="47" t="n">
        <v>12</v>
      </c>
      <c r="S16" s="49"/>
      <c r="T16" s="77" t="n">
        <f aca="false">J16*J$1*R16</f>
        <v>37.74</v>
      </c>
      <c r="U16" s="77"/>
      <c r="V16" s="78" t="n">
        <v>156621</v>
      </c>
      <c r="W16" s="49"/>
      <c r="X16" s="75"/>
      <c r="Y16" s="75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customFormat="false" ht="12.75" hidden="false" customHeight="false" outlineLevel="0" collapsed="false">
      <c r="A17" s="76"/>
      <c r="B17" s="49" t="s">
        <v>207</v>
      </c>
      <c r="C17" s="47" t="s">
        <v>208</v>
      </c>
      <c r="D17" s="47" t="s">
        <v>209</v>
      </c>
      <c r="E17" s="48" t="n">
        <v>36373</v>
      </c>
      <c r="F17" s="48" t="n">
        <v>36738</v>
      </c>
      <c r="G17" s="49" t="s">
        <v>210</v>
      </c>
      <c r="H17" s="49" t="s">
        <v>211</v>
      </c>
      <c r="I17" s="47" t="s">
        <v>212</v>
      </c>
      <c r="J17" s="61" t="n">
        <f aca="false">3.145/J$1</f>
        <v>0.101451612903226</v>
      </c>
      <c r="K17" s="52" t="n">
        <v>0.0132</v>
      </c>
      <c r="L17" s="52" t="n">
        <v>0.0022</v>
      </c>
      <c r="M17" s="52" t="n">
        <v>0</v>
      </c>
      <c r="N17" s="52" t="n">
        <v>0</v>
      </c>
      <c r="O17" s="53" t="n">
        <v>0.02116</v>
      </c>
      <c r="P17" s="52" t="n">
        <f aca="false">SUM(J17:N17)</f>
        <v>0.116851612903226</v>
      </c>
      <c r="Q17" s="54" t="n">
        <v>64334</v>
      </c>
      <c r="R17" s="47" t="n">
        <v>52</v>
      </c>
      <c r="S17" s="49"/>
      <c r="T17" s="77" t="n">
        <f aca="false">J17*J$1*R17</f>
        <v>163.54</v>
      </c>
      <c r="U17" s="77"/>
      <c r="V17" s="78" t="n">
        <v>221878</v>
      </c>
      <c r="W17" s="49"/>
      <c r="X17" s="75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49" t="s">
        <v>207</v>
      </c>
      <c r="C18" s="47" t="s">
        <v>208</v>
      </c>
      <c r="D18" s="47" t="s">
        <v>213</v>
      </c>
      <c r="E18" s="48" t="n">
        <v>36404</v>
      </c>
      <c r="F18" s="48" t="n">
        <v>36769</v>
      </c>
      <c r="G18" s="49" t="s">
        <v>210</v>
      </c>
      <c r="H18" s="49" t="s">
        <v>211</v>
      </c>
      <c r="I18" s="47" t="s">
        <v>212</v>
      </c>
      <c r="J18" s="61" t="n">
        <f aca="false">3.145/J$1</f>
        <v>0.101451612903226</v>
      </c>
      <c r="K18" s="52" t="n">
        <v>0.0132</v>
      </c>
      <c r="L18" s="52" t="n">
        <v>0.0022</v>
      </c>
      <c r="M18" s="52" t="n">
        <v>0</v>
      </c>
      <c r="N18" s="52" t="n">
        <v>0</v>
      </c>
      <c r="O18" s="53" t="n">
        <v>0.02116</v>
      </c>
      <c r="P18" s="52" t="n">
        <f aca="false">SUM(J18:N18)</f>
        <v>0.116851612903226</v>
      </c>
      <c r="Q18" s="54" t="n">
        <v>64652</v>
      </c>
      <c r="R18" s="47" t="n">
        <v>65</v>
      </c>
      <c r="S18" s="49"/>
      <c r="T18" s="77" t="n">
        <f aca="false">J18*J$1*R18</f>
        <v>204.425</v>
      </c>
      <c r="U18" s="77"/>
      <c r="V18" s="78" t="n">
        <v>156623</v>
      </c>
      <c r="W18" s="49"/>
      <c r="X18" s="75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49" t="s">
        <v>207</v>
      </c>
      <c r="C19" s="47" t="s">
        <v>208</v>
      </c>
      <c r="D19" s="47" t="s">
        <v>213</v>
      </c>
      <c r="E19" s="48" t="n">
        <v>36434</v>
      </c>
      <c r="F19" s="48" t="n">
        <v>36799</v>
      </c>
      <c r="G19" s="49" t="s">
        <v>210</v>
      </c>
      <c r="H19" s="49" t="s">
        <v>211</v>
      </c>
      <c r="I19" s="47" t="s">
        <v>212</v>
      </c>
      <c r="J19" s="61" t="n">
        <f aca="false">3.145/J$1</f>
        <v>0.101451612903226</v>
      </c>
      <c r="K19" s="52" t="n">
        <v>0.0132</v>
      </c>
      <c r="L19" s="52" t="n">
        <v>0.0022</v>
      </c>
      <c r="M19" s="52" t="n">
        <v>0</v>
      </c>
      <c r="N19" s="52" t="n">
        <v>0</v>
      </c>
      <c r="O19" s="53" t="n">
        <v>0.02116</v>
      </c>
      <c r="P19" s="52" t="n">
        <f aca="false">SUM(J19:N19)</f>
        <v>0.116851612903226</v>
      </c>
      <c r="Q19" s="54" t="n">
        <v>64863</v>
      </c>
      <c r="R19" s="47" t="n">
        <v>13</v>
      </c>
      <c r="S19" s="49"/>
      <c r="T19" s="77" t="n">
        <f aca="false">J19*J$1*R19</f>
        <v>40.885</v>
      </c>
      <c r="U19" s="77"/>
      <c r="V19" s="78" t="n">
        <v>156625</v>
      </c>
      <c r="W19" s="49"/>
      <c r="X19" s="75"/>
      <c r="Y19" s="75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49" t="s">
        <v>207</v>
      </c>
      <c r="C20" s="47" t="s">
        <v>208</v>
      </c>
      <c r="D20" s="47" t="s">
        <v>213</v>
      </c>
      <c r="E20" s="48" t="n">
        <v>36465</v>
      </c>
      <c r="F20" s="48" t="n">
        <v>36830</v>
      </c>
      <c r="G20" s="49" t="s">
        <v>210</v>
      </c>
      <c r="H20" s="49" t="s">
        <v>211</v>
      </c>
      <c r="I20" s="47"/>
      <c r="J20" s="61" t="n">
        <f aca="false">3.145/J$1</f>
        <v>0.101451612903226</v>
      </c>
      <c r="K20" s="52" t="n">
        <v>0.0132</v>
      </c>
      <c r="L20" s="52" t="n">
        <v>0.0022</v>
      </c>
      <c r="M20" s="52" t="n">
        <v>0</v>
      </c>
      <c r="N20" s="52" t="n">
        <v>0</v>
      </c>
      <c r="O20" s="53" t="n">
        <v>0.02116</v>
      </c>
      <c r="P20" s="52" t="n">
        <f aca="false">SUM(J20:N20)</f>
        <v>0.116851612903226</v>
      </c>
      <c r="Q20" s="54" t="n">
        <v>65027</v>
      </c>
      <c r="R20" s="47" t="n">
        <v>131</v>
      </c>
      <c r="S20" s="49" t="s">
        <v>215</v>
      </c>
      <c r="T20" s="77" t="n">
        <f aca="false">J20*J$1*R20</f>
        <v>411.995</v>
      </c>
      <c r="U20" s="77"/>
      <c r="V20" s="78" t="n">
        <v>156666</v>
      </c>
      <c r="W20" s="49" t="s">
        <v>216</v>
      </c>
      <c r="X20" s="75"/>
      <c r="Y20" s="75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49" t="s">
        <v>207</v>
      </c>
      <c r="C21" s="47" t="s">
        <v>208</v>
      </c>
      <c r="D21" s="47" t="s">
        <v>213</v>
      </c>
      <c r="E21" s="48" t="n">
        <v>36495</v>
      </c>
      <c r="F21" s="48" t="n">
        <v>36860</v>
      </c>
      <c r="G21" s="49" t="s">
        <v>210</v>
      </c>
      <c r="H21" s="49" t="s">
        <v>211</v>
      </c>
      <c r="I21" s="47" t="s">
        <v>212</v>
      </c>
      <c r="J21" s="61" t="n">
        <f aca="false">3.145/J$1</f>
        <v>0.101451612903226</v>
      </c>
      <c r="K21" s="52" t="n">
        <v>0.0132</v>
      </c>
      <c r="L21" s="52" t="n">
        <v>0.0022</v>
      </c>
      <c r="M21" s="52" t="n">
        <v>0</v>
      </c>
      <c r="N21" s="52" t="n">
        <v>0</v>
      </c>
      <c r="O21" s="53" t="n">
        <v>0.02116</v>
      </c>
      <c r="P21" s="52" t="n">
        <f aca="false">SUM(J21:N21)</f>
        <v>0.116851612903226</v>
      </c>
      <c r="Q21" s="54" t="n">
        <v>65557</v>
      </c>
      <c r="R21" s="47" t="n">
        <v>3</v>
      </c>
      <c r="S21" s="49"/>
      <c r="T21" s="77" t="n">
        <f aca="false">J21*J$1*R21</f>
        <v>9.435</v>
      </c>
      <c r="U21" s="77"/>
      <c r="V21" s="78" t="n">
        <v>156669</v>
      </c>
      <c r="W21" s="49"/>
      <c r="X21" s="75"/>
      <c r="Y21" s="75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49" t="s">
        <v>207</v>
      </c>
      <c r="C22" s="47" t="s">
        <v>208</v>
      </c>
      <c r="D22" s="47" t="s">
        <v>213</v>
      </c>
      <c r="E22" s="48" t="n">
        <v>36617</v>
      </c>
      <c r="F22" s="48" t="n">
        <v>36981</v>
      </c>
      <c r="G22" s="49" t="s">
        <v>210</v>
      </c>
      <c r="H22" s="49" t="s">
        <v>211</v>
      </c>
      <c r="I22" s="47" t="s">
        <v>212</v>
      </c>
      <c r="J22" s="61" t="n">
        <f aca="false">3.145/J1</f>
        <v>0.101451612903226</v>
      </c>
      <c r="K22" s="52"/>
      <c r="L22" s="52"/>
      <c r="M22" s="52"/>
      <c r="N22" s="52"/>
      <c r="O22" s="53"/>
      <c r="P22" s="52"/>
      <c r="Q22" s="54" t="n">
        <v>66941</v>
      </c>
      <c r="R22" s="47" t="n">
        <v>53</v>
      </c>
      <c r="S22" s="49"/>
      <c r="T22" s="77" t="n">
        <f aca="false">J22*J$1*R22</f>
        <v>166.685</v>
      </c>
      <c r="U22" s="77"/>
      <c r="V22" s="78" t="n">
        <v>228122</v>
      </c>
      <c r="W22" s="49"/>
      <c r="X22" s="75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49" t="s">
        <v>207</v>
      </c>
      <c r="C23" s="47" t="s">
        <v>208</v>
      </c>
      <c r="D23" s="47" t="s">
        <v>213</v>
      </c>
      <c r="E23" s="48" t="n">
        <v>36557</v>
      </c>
      <c r="F23" s="48" t="n">
        <v>36922</v>
      </c>
      <c r="G23" s="49" t="s">
        <v>210</v>
      </c>
      <c r="H23" s="49" t="s">
        <v>211</v>
      </c>
      <c r="I23" s="47" t="s">
        <v>212</v>
      </c>
      <c r="J23" s="61" t="n">
        <f aca="false">3.145/31</f>
        <v>0.101451612903226</v>
      </c>
      <c r="K23" s="52"/>
      <c r="L23" s="52"/>
      <c r="M23" s="52"/>
      <c r="N23" s="52"/>
      <c r="O23" s="53"/>
      <c r="P23" s="52"/>
      <c r="Q23" s="54" t="n">
        <v>66283</v>
      </c>
      <c r="R23" s="47" t="n">
        <v>5</v>
      </c>
      <c r="S23" s="49"/>
      <c r="T23" s="90" t="n">
        <f aca="false">+J23*R23*31</f>
        <v>15.725</v>
      </c>
      <c r="U23" s="77"/>
      <c r="V23" s="78" t="n">
        <v>156674</v>
      </c>
      <c r="W23" s="49"/>
      <c r="X23" s="75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49" t="s">
        <v>207</v>
      </c>
      <c r="C24" s="47" t="s">
        <v>208</v>
      </c>
      <c r="D24" s="47" t="s">
        <v>217</v>
      </c>
      <c r="E24" s="48" t="n">
        <v>36617</v>
      </c>
      <c r="F24" s="48" t="n">
        <v>36981</v>
      </c>
      <c r="G24" s="49" t="s">
        <v>210</v>
      </c>
      <c r="H24" s="49" t="s">
        <v>211</v>
      </c>
      <c r="I24" s="47" t="s">
        <v>212</v>
      </c>
      <c r="J24" s="61" t="n">
        <f aca="false">3.15/J1</f>
        <v>0.101612903225806</v>
      </c>
      <c r="K24" s="52"/>
      <c r="L24" s="52"/>
      <c r="M24" s="52"/>
      <c r="N24" s="52"/>
      <c r="O24" s="53"/>
      <c r="P24" s="52"/>
      <c r="Q24" s="54" t="n">
        <v>66941</v>
      </c>
      <c r="R24" s="47" t="n">
        <v>53</v>
      </c>
      <c r="S24" s="49"/>
      <c r="T24" s="90" t="n">
        <f aca="false">+J24*R24*31</f>
        <v>166.95</v>
      </c>
      <c r="U24" s="77"/>
      <c r="V24" s="78" t="n">
        <v>228122</v>
      </c>
      <c r="W24" s="49"/>
      <c r="X24" s="75"/>
      <c r="Y24" s="75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91"/>
      <c r="B25" s="92" t="s">
        <v>207</v>
      </c>
      <c r="C25" s="93" t="s">
        <v>208</v>
      </c>
      <c r="D25" s="93" t="s">
        <v>213</v>
      </c>
      <c r="E25" s="94" t="n">
        <v>36656</v>
      </c>
      <c r="F25" s="94" t="n">
        <v>36950</v>
      </c>
      <c r="G25" s="92" t="s">
        <v>210</v>
      </c>
      <c r="H25" s="92" t="s">
        <v>211</v>
      </c>
      <c r="I25" s="93" t="s">
        <v>212</v>
      </c>
      <c r="J25" s="95" t="n">
        <v>3.145</v>
      </c>
      <c r="K25" s="96"/>
      <c r="L25" s="96"/>
      <c r="M25" s="96"/>
      <c r="N25" s="96"/>
      <c r="O25" s="97"/>
      <c r="P25" s="96"/>
      <c r="Q25" s="98" t="n">
        <v>68309</v>
      </c>
      <c r="R25" s="93" t="n">
        <v>9</v>
      </c>
      <c r="S25" s="92"/>
      <c r="T25" s="99" t="n">
        <f aca="false">+R25*J25/31*21</f>
        <v>19.1743548387097</v>
      </c>
      <c r="U25" s="99"/>
      <c r="V25" s="100" t="n">
        <v>262090</v>
      </c>
      <c r="W25" s="92" t="s">
        <v>218</v>
      </c>
      <c r="X25" s="101"/>
      <c r="Y25" s="10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A26" s="76"/>
      <c r="B26" s="49" t="s">
        <v>207</v>
      </c>
      <c r="C26" s="47" t="s">
        <v>208</v>
      </c>
      <c r="D26" s="47" t="s">
        <v>209</v>
      </c>
      <c r="E26" s="48" t="n">
        <v>36647</v>
      </c>
      <c r="F26" s="48" t="n">
        <v>37011</v>
      </c>
      <c r="G26" s="49" t="s">
        <v>210</v>
      </c>
      <c r="H26" s="49" t="s">
        <v>211</v>
      </c>
      <c r="I26" s="47" t="s">
        <v>212</v>
      </c>
      <c r="J26" s="61" t="n">
        <v>3.154</v>
      </c>
      <c r="K26" s="52"/>
      <c r="L26" s="52"/>
      <c r="M26" s="52"/>
      <c r="N26" s="52"/>
      <c r="O26" s="53"/>
      <c r="P26" s="52"/>
      <c r="Q26" s="54" t="n">
        <v>68281</v>
      </c>
      <c r="R26" s="47" t="n">
        <v>21</v>
      </c>
      <c r="S26" s="49" t="s">
        <v>219</v>
      </c>
      <c r="T26" s="77" t="n">
        <f aca="false">+J26*R26</f>
        <v>66.234</v>
      </c>
      <c r="U26" s="77"/>
      <c r="V26" s="78" t="n">
        <v>256413</v>
      </c>
      <c r="W26" s="49"/>
      <c r="X26" s="75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8" customFormat="false" ht="12.75" hidden="false" customHeight="false" outlineLevel="0" collapsed="false">
      <c r="A28" s="76"/>
      <c r="B28" s="49"/>
      <c r="C28" s="47"/>
      <c r="D28" s="47"/>
      <c r="E28" s="48"/>
      <c r="F28" s="48"/>
      <c r="G28" s="49"/>
      <c r="H28" s="49"/>
      <c r="I28" s="47"/>
      <c r="J28" s="61"/>
      <c r="K28" s="52"/>
      <c r="L28" s="52"/>
      <c r="M28" s="52"/>
      <c r="N28" s="52"/>
      <c r="O28" s="53"/>
      <c r="P28" s="52"/>
      <c r="Q28" s="54"/>
      <c r="R28" s="47"/>
      <c r="S28" s="49"/>
      <c r="T28" s="77"/>
      <c r="U28" s="77"/>
      <c r="V28" s="78"/>
      <c r="W28" s="49"/>
      <c r="X28" s="75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false" outlineLevel="0" collapsed="false">
      <c r="B29" s="49"/>
      <c r="C29" s="47"/>
      <c r="D29" s="47"/>
      <c r="E29" s="48"/>
      <c r="F29" s="48"/>
      <c r="G29" s="49"/>
      <c r="H29" s="49"/>
      <c r="I29" s="47"/>
      <c r="J29" s="61"/>
      <c r="K29" s="52"/>
      <c r="L29" s="102"/>
      <c r="M29" s="52"/>
      <c r="N29" s="52"/>
      <c r="O29" s="53"/>
      <c r="P29" s="52"/>
      <c r="Q29" s="54"/>
      <c r="R29" s="55" t="n">
        <f aca="false">SUM(R12:R27)</f>
        <v>1852</v>
      </c>
      <c r="S29" s="47"/>
      <c r="T29" s="77" t="n">
        <f aca="false">SUM(T12:T28)</f>
        <v>5815.86335483871</v>
      </c>
      <c r="U29" s="77"/>
      <c r="V29" s="78"/>
      <c r="W29" s="49"/>
      <c r="X29" s="75"/>
      <c r="Y29" s="75"/>
    </row>
    <row r="30" customFormat="false" ht="12.75" hidden="false" customHeight="false" outlineLevel="0" collapsed="false">
      <c r="B30" s="66" t="s">
        <v>187</v>
      </c>
      <c r="C30" s="67" t="s">
        <v>188</v>
      </c>
      <c r="D30" s="67" t="s">
        <v>189</v>
      </c>
      <c r="E30" s="68" t="s">
        <v>190</v>
      </c>
      <c r="F30" s="68"/>
      <c r="G30" s="66" t="s">
        <v>191</v>
      </c>
      <c r="H30" s="66" t="s">
        <v>192</v>
      </c>
      <c r="I30" s="67" t="s">
        <v>193</v>
      </c>
      <c r="J30" s="69" t="s">
        <v>194</v>
      </c>
      <c r="K30" s="67" t="s">
        <v>195</v>
      </c>
      <c r="L30" s="67" t="s">
        <v>196</v>
      </c>
      <c r="M30" s="67" t="s">
        <v>197</v>
      </c>
      <c r="N30" s="67" t="s">
        <v>198</v>
      </c>
      <c r="O30" s="70" t="s">
        <v>199</v>
      </c>
      <c r="P30" s="67" t="s">
        <v>200</v>
      </c>
      <c r="Q30" s="71" t="s">
        <v>201</v>
      </c>
      <c r="R30" s="67" t="s">
        <v>202</v>
      </c>
      <c r="S30" s="66" t="s">
        <v>203</v>
      </c>
      <c r="T30" s="72" t="s">
        <v>204</v>
      </c>
      <c r="U30" s="72" t="s">
        <v>205</v>
      </c>
      <c r="V30" s="73" t="s">
        <v>206</v>
      </c>
      <c r="W30" s="74" t="e">
        <f aca="false">+#REF!</f>
        <v>#REF!</v>
      </c>
      <c r="X30" s="75"/>
      <c r="Y30" s="75"/>
    </row>
    <row r="31" customFormat="false" ht="12" hidden="false" customHeight="true" outlineLevel="0" collapsed="false">
      <c r="A31" s="91"/>
      <c r="B31" s="92" t="s">
        <v>207</v>
      </c>
      <c r="C31" s="93" t="s">
        <v>220</v>
      </c>
      <c r="D31" s="93" t="s">
        <v>221</v>
      </c>
      <c r="E31" s="94" t="n">
        <v>36708</v>
      </c>
      <c r="F31" s="94" t="n">
        <v>36738</v>
      </c>
      <c r="G31" s="92"/>
      <c r="H31" s="92"/>
      <c r="I31" s="93" t="s">
        <v>222</v>
      </c>
      <c r="J31" s="95" t="n">
        <v>0.02834</v>
      </c>
      <c r="K31" s="96" t="n">
        <v>0</v>
      </c>
      <c r="L31" s="96" t="n">
        <v>0.0022</v>
      </c>
      <c r="M31" s="96" t="n">
        <v>0.0072</v>
      </c>
      <c r="N31" s="96" t="n">
        <v>0</v>
      </c>
      <c r="O31" s="97" t="n">
        <v>0</v>
      </c>
      <c r="P31" s="96" t="n">
        <f aca="false">SUM(J31:N31)</f>
        <v>0.03774</v>
      </c>
      <c r="Q31" s="98" t="s">
        <v>223</v>
      </c>
      <c r="R31" s="93" t="n">
        <v>817756</v>
      </c>
      <c r="S31" s="92"/>
      <c r="T31" s="99" t="n">
        <f aca="false">+J31*R31</f>
        <v>23175.20504</v>
      </c>
      <c r="U31" s="99"/>
      <c r="V31" s="100" t="n">
        <v>311984</v>
      </c>
      <c r="W31" s="92"/>
      <c r="X31" s="101"/>
      <c r="Y31" s="10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" hidden="false" customHeight="true" outlineLevel="0" collapsed="false">
      <c r="A32" s="91"/>
      <c r="B32" s="92" t="s">
        <v>207</v>
      </c>
      <c r="C32" s="93" t="s">
        <v>220</v>
      </c>
      <c r="D32" s="93" t="s">
        <v>221</v>
      </c>
      <c r="E32" s="94" t="n">
        <v>36708</v>
      </c>
      <c r="F32" s="94" t="n">
        <v>36738</v>
      </c>
      <c r="G32" s="92"/>
      <c r="H32" s="92"/>
      <c r="I32" s="93" t="s">
        <v>222</v>
      </c>
      <c r="J32" s="95" t="n">
        <f aca="false">1.544/J1</f>
        <v>0.0498064516129032</v>
      </c>
      <c r="K32" s="96" t="n">
        <v>0</v>
      </c>
      <c r="L32" s="96" t="n">
        <v>0.0022</v>
      </c>
      <c r="M32" s="96" t="n">
        <v>0.0072</v>
      </c>
      <c r="N32" s="96" t="n">
        <v>0</v>
      </c>
      <c r="O32" s="97" t="n">
        <v>0</v>
      </c>
      <c r="P32" s="96" t="n">
        <f aca="false">SUM(J32:N32)</f>
        <v>0.0592064516129032</v>
      </c>
      <c r="Q32" s="98" t="s">
        <v>223</v>
      </c>
      <c r="R32" s="93" t="n">
        <v>16512</v>
      </c>
      <c r="S32" s="92"/>
      <c r="T32" s="99" t="n">
        <f aca="false">+J32*R32*30</f>
        <v>24672.1238709677</v>
      </c>
      <c r="U32" s="99"/>
      <c r="V32" s="100" t="n">
        <v>311984</v>
      </c>
      <c r="W32" s="92"/>
      <c r="X32" s="101"/>
      <c r="Y32" s="10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" hidden="false" customHeight="true" outlineLevel="0" collapsed="false">
      <c r="A33" s="91"/>
      <c r="B33" s="92" t="s">
        <v>207</v>
      </c>
      <c r="C33" s="93" t="s">
        <v>220</v>
      </c>
      <c r="D33" s="93" t="s">
        <v>221</v>
      </c>
      <c r="E33" s="94" t="n">
        <v>36708</v>
      </c>
      <c r="F33" s="94" t="n">
        <v>36738</v>
      </c>
      <c r="G33" s="92"/>
      <c r="H33" s="92"/>
      <c r="I33" s="93" t="s">
        <v>222</v>
      </c>
      <c r="J33" s="95" t="n">
        <v>0.02834</v>
      </c>
      <c r="K33" s="96" t="n">
        <v>0</v>
      </c>
      <c r="L33" s="96" t="n">
        <v>0.0022</v>
      </c>
      <c r="M33" s="96" t="n">
        <v>0.0072</v>
      </c>
      <c r="N33" s="96" t="n">
        <v>0</v>
      </c>
      <c r="O33" s="97" t="n">
        <v>0</v>
      </c>
      <c r="P33" s="96" t="n">
        <f aca="false">SUM(J33:N33)</f>
        <v>0.03774</v>
      </c>
      <c r="Q33" s="98" t="s">
        <v>223</v>
      </c>
      <c r="R33" s="93" t="n">
        <v>12522</v>
      </c>
      <c r="S33" s="92"/>
      <c r="T33" s="99" t="n">
        <f aca="false">+J33*R33</f>
        <v>354.87348</v>
      </c>
      <c r="U33" s="99"/>
      <c r="V33" s="100" t="n">
        <v>311964</v>
      </c>
      <c r="W33" s="92"/>
      <c r="X33" s="101"/>
      <c r="Y33" s="10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" hidden="false" customHeight="true" outlineLevel="0" collapsed="false">
      <c r="A34" s="91"/>
      <c r="B34" s="92" t="s">
        <v>207</v>
      </c>
      <c r="C34" s="93" t="s">
        <v>220</v>
      </c>
      <c r="D34" s="93" t="s">
        <v>221</v>
      </c>
      <c r="E34" s="94" t="n">
        <v>36708</v>
      </c>
      <c r="F34" s="94" t="n">
        <v>36738</v>
      </c>
      <c r="G34" s="92"/>
      <c r="H34" s="92"/>
      <c r="I34" s="93" t="s">
        <v>222</v>
      </c>
      <c r="J34" s="95" t="n">
        <f aca="false">1.544/31</f>
        <v>0.0498064516129032</v>
      </c>
      <c r="K34" s="96" t="n">
        <v>0</v>
      </c>
      <c r="L34" s="96" t="n">
        <v>0.0022</v>
      </c>
      <c r="M34" s="96" t="n">
        <v>0.0072</v>
      </c>
      <c r="N34" s="96" t="n">
        <v>0</v>
      </c>
      <c r="O34" s="97" t="n">
        <v>0</v>
      </c>
      <c r="P34" s="96" t="n">
        <f aca="false">SUM(J34:N34)</f>
        <v>0.0592064516129032</v>
      </c>
      <c r="Q34" s="98" t="s">
        <v>223</v>
      </c>
      <c r="R34" s="93" t="n">
        <v>253</v>
      </c>
      <c r="S34" s="92"/>
      <c r="T34" s="99" t="n">
        <f aca="false">+J34*R34*30</f>
        <v>378.030967741936</v>
      </c>
      <c r="U34" s="99"/>
      <c r="V34" s="100" t="n">
        <v>311964</v>
      </c>
      <c r="W34" s="92"/>
      <c r="X34" s="101"/>
      <c r="Y34" s="10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" hidden="false" customHeight="true" outlineLevel="0" collapsed="false">
      <c r="A35" s="91"/>
      <c r="B35" s="92" t="s">
        <v>207</v>
      </c>
      <c r="C35" s="93" t="s">
        <v>220</v>
      </c>
      <c r="D35" s="93" t="s">
        <v>221</v>
      </c>
      <c r="E35" s="94" t="n">
        <v>36708</v>
      </c>
      <c r="F35" s="94" t="n">
        <v>36738</v>
      </c>
      <c r="G35" s="92"/>
      <c r="H35" s="92"/>
      <c r="I35" s="93" t="s">
        <v>224</v>
      </c>
      <c r="J35" s="95" t="n">
        <f aca="false">10.913/J1</f>
        <v>0.352032258064516</v>
      </c>
      <c r="K35" s="96"/>
      <c r="L35" s="96"/>
      <c r="M35" s="96"/>
      <c r="N35" s="96"/>
      <c r="O35" s="97"/>
      <c r="P35" s="96"/>
      <c r="Q35" s="98" t="s">
        <v>225</v>
      </c>
      <c r="R35" s="93" t="n">
        <v>30387</v>
      </c>
      <c r="S35" s="92"/>
      <c r="T35" s="99" t="n">
        <f aca="false">J35*J$1*R35</f>
        <v>331613.331</v>
      </c>
      <c r="U35" s="99"/>
      <c r="V35" s="100" t="n">
        <v>314114</v>
      </c>
      <c r="W35" s="92"/>
      <c r="X35" s="101"/>
      <c r="Y35" s="10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" hidden="false" customHeight="true" outlineLevel="0" collapsed="false">
      <c r="A36" s="91"/>
      <c r="B36" s="92" t="s">
        <v>207</v>
      </c>
      <c r="C36" s="93" t="s">
        <v>220</v>
      </c>
      <c r="D36" s="93" t="s">
        <v>221</v>
      </c>
      <c r="E36" s="94" t="n">
        <v>36708</v>
      </c>
      <c r="F36" s="94" t="n">
        <v>36738</v>
      </c>
      <c r="G36" s="92"/>
      <c r="H36" s="92"/>
      <c r="I36" s="93" t="s">
        <v>224</v>
      </c>
      <c r="J36" s="95" t="n">
        <f aca="false">11.204/31</f>
        <v>0.36141935483871</v>
      </c>
      <c r="K36" s="96"/>
      <c r="L36" s="96"/>
      <c r="M36" s="96"/>
      <c r="N36" s="96"/>
      <c r="O36" s="97"/>
      <c r="P36" s="96"/>
      <c r="Q36" s="98" t="s">
        <v>225</v>
      </c>
      <c r="R36" s="93" t="n">
        <v>514</v>
      </c>
      <c r="S36" s="92"/>
      <c r="T36" s="99" t="n">
        <f aca="false">J36*J$1*R36</f>
        <v>5758.856</v>
      </c>
      <c r="U36" s="99"/>
      <c r="V36" s="100" t="n">
        <v>311941</v>
      </c>
      <c r="W36" s="92"/>
      <c r="X36" s="101"/>
      <c r="Y36" s="10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" hidden="false" customHeight="true" outlineLevel="0" collapsed="false">
      <c r="A37" s="91"/>
      <c r="B37" s="92" t="s">
        <v>207</v>
      </c>
      <c r="C37" s="93" t="s">
        <v>220</v>
      </c>
      <c r="D37" s="93" t="s">
        <v>221</v>
      </c>
      <c r="E37" s="94" t="n">
        <v>36708</v>
      </c>
      <c r="F37" s="94" t="n">
        <v>36738</v>
      </c>
      <c r="G37" s="92"/>
      <c r="H37" s="92"/>
      <c r="I37" s="93" t="s">
        <v>224</v>
      </c>
      <c r="J37" s="95" t="n">
        <f aca="false">8.5094/J1</f>
        <v>0.274496774193548</v>
      </c>
      <c r="K37" s="96"/>
      <c r="L37" s="96"/>
      <c r="M37" s="96"/>
      <c r="N37" s="96"/>
      <c r="O37" s="97"/>
      <c r="P37" s="96"/>
      <c r="Q37" s="98" t="s">
        <v>225</v>
      </c>
      <c r="R37" s="93" t="n">
        <v>6558</v>
      </c>
      <c r="S37" s="92"/>
      <c r="T37" s="99" t="n">
        <f aca="false">J37*J$1*R37</f>
        <v>55804.6452</v>
      </c>
      <c r="U37" s="99"/>
      <c r="V37" s="100" t="n">
        <v>311950</v>
      </c>
      <c r="W37" s="92"/>
      <c r="X37" s="101"/>
      <c r="Y37" s="10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" hidden="false" customHeight="true" outlineLevel="0" collapsed="false">
      <c r="A38" s="91"/>
      <c r="B38" s="92" t="s">
        <v>207</v>
      </c>
      <c r="C38" s="93" t="s">
        <v>226</v>
      </c>
      <c r="D38" s="93" t="s">
        <v>221</v>
      </c>
      <c r="E38" s="94" t="n">
        <v>36708</v>
      </c>
      <c r="F38" s="94" t="n">
        <v>36738</v>
      </c>
      <c r="G38" s="92" t="s">
        <v>150</v>
      </c>
      <c r="H38" s="92" t="s">
        <v>150</v>
      </c>
      <c r="I38" s="93" t="s">
        <v>224</v>
      </c>
      <c r="J38" s="95" t="n">
        <f aca="false">5.406/31</f>
        <v>0.174387096774194</v>
      </c>
      <c r="K38" s="96"/>
      <c r="L38" s="96"/>
      <c r="M38" s="96"/>
      <c r="N38" s="96"/>
      <c r="O38" s="97"/>
      <c r="P38" s="96"/>
      <c r="Q38" s="98" t="s">
        <v>227</v>
      </c>
      <c r="R38" s="93" t="n">
        <v>515</v>
      </c>
      <c r="S38" s="92"/>
      <c r="T38" s="99" t="n">
        <f aca="false">J38*J$1*R38</f>
        <v>2784.09</v>
      </c>
      <c r="U38" s="99"/>
      <c r="V38" s="100" t="n">
        <v>311922</v>
      </c>
      <c r="W38" s="92"/>
      <c r="X38" s="101"/>
      <c r="Y38" s="10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" hidden="false" customHeight="true" outlineLevel="0" collapsed="false">
      <c r="A39" s="91"/>
      <c r="B39" s="92" t="s">
        <v>207</v>
      </c>
      <c r="C39" s="93" t="s">
        <v>226</v>
      </c>
      <c r="D39" s="93" t="s">
        <v>221</v>
      </c>
      <c r="E39" s="94" t="n">
        <v>36708</v>
      </c>
      <c r="F39" s="94" t="n">
        <v>36738</v>
      </c>
      <c r="G39" s="92"/>
      <c r="H39" s="92"/>
      <c r="I39" s="93" t="s">
        <v>224</v>
      </c>
      <c r="J39" s="95"/>
      <c r="K39" s="96"/>
      <c r="L39" s="96"/>
      <c r="M39" s="96"/>
      <c r="N39" s="96"/>
      <c r="O39" s="97"/>
      <c r="P39" s="96"/>
      <c r="Q39" s="98" t="s">
        <v>227</v>
      </c>
      <c r="R39" s="93" t="n">
        <v>-400</v>
      </c>
      <c r="S39" s="92"/>
      <c r="T39" s="99" t="n">
        <f aca="false">+J39*R39*30</f>
        <v>-0</v>
      </c>
      <c r="U39" s="99"/>
      <c r="V39" s="100" t="n">
        <v>315181</v>
      </c>
      <c r="W39" s="92" t="s">
        <v>228</v>
      </c>
      <c r="X39" s="101"/>
      <c r="Y39" s="10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</row>
    <row r="40" customFormat="false" ht="12.75" hidden="false" customHeight="false" outlineLevel="0" collapsed="false">
      <c r="A40" s="76"/>
      <c r="B40" s="49"/>
      <c r="C40" s="47"/>
      <c r="D40" s="47"/>
      <c r="E40" s="48"/>
      <c r="F40" s="48"/>
      <c r="G40" s="49"/>
      <c r="H40" s="49"/>
      <c r="I40" s="47"/>
      <c r="J40" s="61"/>
      <c r="K40" s="52"/>
      <c r="L40" s="52"/>
      <c r="M40" s="52"/>
      <c r="N40" s="52"/>
      <c r="O40" s="53"/>
      <c r="P40" s="52"/>
      <c r="Q40" s="54"/>
      <c r="R40" s="47"/>
      <c r="S40" s="49"/>
      <c r="T40" s="77" t="n">
        <f aca="false">SUM(T31:T38)</f>
        <v>444541.15555871</v>
      </c>
      <c r="U40" s="77"/>
      <c r="V40" s="78"/>
      <c r="W40" s="49"/>
      <c r="X40" s="75"/>
      <c r="Y40" s="75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B41" s="66" t="s">
        <v>187</v>
      </c>
      <c r="C41" s="67" t="s">
        <v>188</v>
      </c>
      <c r="D41" s="67" t="s">
        <v>189</v>
      </c>
      <c r="E41" s="68" t="s">
        <v>190</v>
      </c>
      <c r="F41" s="68"/>
      <c r="G41" s="66" t="s">
        <v>191</v>
      </c>
      <c r="H41" s="66" t="s">
        <v>192</v>
      </c>
      <c r="I41" s="67" t="s">
        <v>193</v>
      </c>
      <c r="J41" s="69" t="s">
        <v>194</v>
      </c>
      <c r="K41" s="67" t="s">
        <v>195</v>
      </c>
      <c r="L41" s="67" t="s">
        <v>196</v>
      </c>
      <c r="M41" s="67" t="s">
        <v>197</v>
      </c>
      <c r="N41" s="67" t="s">
        <v>198</v>
      </c>
      <c r="O41" s="70" t="s">
        <v>199</v>
      </c>
      <c r="P41" s="67" t="s">
        <v>200</v>
      </c>
      <c r="Q41" s="71" t="s">
        <v>201</v>
      </c>
      <c r="R41" s="67" t="s">
        <v>202</v>
      </c>
      <c r="S41" s="66" t="s">
        <v>203</v>
      </c>
      <c r="T41" s="72" t="s">
        <v>204</v>
      </c>
      <c r="U41" s="72" t="s">
        <v>205</v>
      </c>
      <c r="V41" s="73" t="s">
        <v>206</v>
      </c>
      <c r="W41" s="74" t="e">
        <f aca="false">+#REF!</f>
        <v>#REF!</v>
      </c>
      <c r="X41" s="75"/>
      <c r="Y41" s="75"/>
    </row>
    <row r="42" customFormat="false" ht="12.75" hidden="false" customHeight="false" outlineLevel="0" collapsed="false">
      <c r="A42" s="79"/>
      <c r="B42" s="80" t="s">
        <v>207</v>
      </c>
      <c r="C42" s="81" t="s">
        <v>229</v>
      </c>
      <c r="D42" s="81" t="s">
        <v>230</v>
      </c>
      <c r="E42" s="82" t="n">
        <v>36708</v>
      </c>
      <c r="F42" s="82" t="n">
        <v>36738</v>
      </c>
      <c r="G42" s="80" t="s">
        <v>231</v>
      </c>
      <c r="H42" s="80" t="s">
        <v>232</v>
      </c>
      <c r="I42" s="81" t="s">
        <v>233</v>
      </c>
      <c r="J42" s="83" t="n">
        <f aca="false">6.79/30</f>
        <v>0.226333333333333</v>
      </c>
      <c r="K42" s="84" t="n">
        <v>0.0763</v>
      </c>
      <c r="L42" s="84" t="n">
        <v>0.0022</v>
      </c>
      <c r="M42" s="84" t="n">
        <v>0.0072</v>
      </c>
      <c r="N42" s="84" t="n">
        <v>0</v>
      </c>
      <c r="O42" s="85" t="n">
        <v>0.0279</v>
      </c>
      <c r="P42" s="84" t="n">
        <f aca="false">SUM(J42:N42)</f>
        <v>0.312033333333333</v>
      </c>
      <c r="Q42" s="86" t="n">
        <v>34025</v>
      </c>
      <c r="R42" s="81" t="n">
        <v>3525</v>
      </c>
      <c r="S42" s="80" t="s">
        <v>234</v>
      </c>
      <c r="T42" s="87" t="n">
        <f aca="false">J42*J$1*R42</f>
        <v>24732.575</v>
      </c>
      <c r="U42" s="87"/>
      <c r="V42" s="88" t="n">
        <v>310525</v>
      </c>
      <c r="W42" s="80" t="s">
        <v>235</v>
      </c>
      <c r="X42" s="89"/>
      <c r="Y42" s="8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79"/>
      <c r="B43" s="80" t="s">
        <v>207</v>
      </c>
      <c r="C43" s="81" t="s">
        <v>236</v>
      </c>
      <c r="D43" s="81" t="s">
        <v>230</v>
      </c>
      <c r="E43" s="82" t="n">
        <v>36708</v>
      </c>
      <c r="F43" s="82" t="n">
        <v>36738</v>
      </c>
      <c r="G43" s="80" t="s">
        <v>237</v>
      </c>
      <c r="H43" s="80" t="s">
        <v>230</v>
      </c>
      <c r="I43" s="81" t="s">
        <v>233</v>
      </c>
      <c r="J43" s="83" t="n">
        <f aca="false">11.95/30</f>
        <v>0.398333333333333</v>
      </c>
      <c r="K43" s="84" t="n">
        <v>0</v>
      </c>
      <c r="L43" s="84" t="n">
        <v>0.0022</v>
      </c>
      <c r="M43" s="84" t="n">
        <v>0.0072</v>
      </c>
      <c r="N43" s="84" t="n">
        <v>0</v>
      </c>
      <c r="O43" s="85" t="n">
        <v>0.0222</v>
      </c>
      <c r="P43" s="84" t="n">
        <f aca="false">SUM(J43:N43)</f>
        <v>0.407733333333333</v>
      </c>
      <c r="Q43" s="86" t="n">
        <v>34031</v>
      </c>
      <c r="R43" s="81" t="n">
        <v>3932</v>
      </c>
      <c r="S43" s="80" t="s">
        <v>234</v>
      </c>
      <c r="T43" s="87" t="n">
        <f aca="false">J43*J$1*R43</f>
        <v>48553.6466666667</v>
      </c>
      <c r="U43" s="87"/>
      <c r="V43" s="88" t="n">
        <v>310535</v>
      </c>
      <c r="W43" s="80" t="s">
        <v>235</v>
      </c>
      <c r="X43" s="89"/>
      <c r="Y43" s="8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9"/>
      <c r="B44" s="80" t="s">
        <v>207</v>
      </c>
      <c r="C44" s="81" t="s">
        <v>229</v>
      </c>
      <c r="D44" s="81" t="s">
        <v>230</v>
      </c>
      <c r="E44" s="82" t="n">
        <v>36708</v>
      </c>
      <c r="F44" s="82" t="n">
        <v>36738</v>
      </c>
      <c r="G44" s="80" t="s">
        <v>238</v>
      </c>
      <c r="H44" s="80"/>
      <c r="I44" s="81" t="s">
        <v>239</v>
      </c>
      <c r="J44" s="83" t="n">
        <v>0.0248</v>
      </c>
      <c r="K44" s="84"/>
      <c r="L44" s="84"/>
      <c r="M44" s="84"/>
      <c r="N44" s="84"/>
      <c r="O44" s="85"/>
      <c r="P44" s="84"/>
      <c r="Q44" s="86" t="n">
        <v>34088</v>
      </c>
      <c r="R44" s="81" t="n">
        <v>210350</v>
      </c>
      <c r="S44" s="80"/>
      <c r="T44" s="87" t="n">
        <f aca="false">J44*R44</f>
        <v>5216.68</v>
      </c>
      <c r="U44" s="87"/>
      <c r="V44" s="88" t="n">
        <v>310553</v>
      </c>
      <c r="W44" s="80" t="s">
        <v>235</v>
      </c>
      <c r="X44" s="89"/>
      <c r="Y44" s="8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9"/>
      <c r="B45" s="80" t="s">
        <v>207</v>
      </c>
      <c r="C45" s="81" t="s">
        <v>229</v>
      </c>
      <c r="D45" s="81" t="s">
        <v>230</v>
      </c>
      <c r="E45" s="82" t="n">
        <v>36708</v>
      </c>
      <c r="F45" s="82" t="n">
        <v>36738</v>
      </c>
      <c r="G45" s="80" t="s">
        <v>238</v>
      </c>
      <c r="H45" s="80"/>
      <c r="I45" s="81" t="s">
        <v>239</v>
      </c>
      <c r="J45" s="83" t="n">
        <f aca="false">2.02/J1</f>
        <v>0.0651612903225806</v>
      </c>
      <c r="K45" s="84"/>
      <c r="L45" s="84"/>
      <c r="M45" s="84"/>
      <c r="N45" s="84"/>
      <c r="O45" s="85"/>
      <c r="P45" s="84"/>
      <c r="Q45" s="86" t="n">
        <v>34088</v>
      </c>
      <c r="R45" s="81" t="n">
        <v>1407</v>
      </c>
      <c r="S45" s="80"/>
      <c r="T45" s="87" t="n">
        <f aca="false">J45*J$1*R45</f>
        <v>2842.14</v>
      </c>
      <c r="U45" s="87"/>
      <c r="V45" s="88" t="n">
        <v>310553</v>
      </c>
      <c r="W45" s="80" t="s">
        <v>235</v>
      </c>
      <c r="X45" s="89"/>
      <c r="Y45" s="8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2.75" hidden="false" customHeight="false" outlineLevel="0" collapsed="false">
      <c r="A46" s="79"/>
      <c r="B46" s="80" t="s">
        <v>207</v>
      </c>
      <c r="C46" s="81" t="s">
        <v>229</v>
      </c>
      <c r="D46" s="81" t="s">
        <v>230</v>
      </c>
      <c r="E46" s="82" t="n">
        <v>36708</v>
      </c>
      <c r="F46" s="82" t="n">
        <v>36738</v>
      </c>
      <c r="G46" s="80" t="s">
        <v>240</v>
      </c>
      <c r="H46" s="80"/>
      <c r="I46" s="81" t="s">
        <v>241</v>
      </c>
      <c r="J46" s="83" t="n">
        <v>0.0187</v>
      </c>
      <c r="K46" s="84"/>
      <c r="L46" s="84"/>
      <c r="M46" s="84"/>
      <c r="N46" s="84"/>
      <c r="O46" s="85"/>
      <c r="P46" s="84"/>
      <c r="Q46" s="86" t="n">
        <v>34062</v>
      </c>
      <c r="R46" s="81" t="n">
        <v>75492</v>
      </c>
      <c r="S46" s="80"/>
      <c r="T46" s="87" t="n">
        <f aca="false">+R46*J46</f>
        <v>1411.7004</v>
      </c>
      <c r="U46" s="87"/>
      <c r="V46" s="88" t="n">
        <v>310557</v>
      </c>
      <c r="W46" s="80" t="s">
        <v>235</v>
      </c>
      <c r="X46" s="89"/>
      <c r="Y46" s="8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</row>
    <row r="47" customFormat="false" ht="12.75" hidden="false" customHeight="false" outlineLevel="0" collapsed="false">
      <c r="A47" s="79"/>
      <c r="B47" s="80" t="s">
        <v>207</v>
      </c>
      <c r="C47" s="81" t="s">
        <v>229</v>
      </c>
      <c r="D47" s="81" t="s">
        <v>230</v>
      </c>
      <c r="E47" s="82" t="n">
        <v>36708</v>
      </c>
      <c r="F47" s="82" t="n">
        <v>36738</v>
      </c>
      <c r="G47" s="80" t="s">
        <v>240</v>
      </c>
      <c r="H47" s="80"/>
      <c r="I47" s="81" t="s">
        <v>241</v>
      </c>
      <c r="J47" s="83" t="n">
        <v>1.17</v>
      </c>
      <c r="K47" s="84"/>
      <c r="L47" s="84"/>
      <c r="M47" s="84"/>
      <c r="N47" s="84"/>
      <c r="O47" s="85"/>
      <c r="P47" s="84"/>
      <c r="Q47" s="86" t="n">
        <v>34062</v>
      </c>
      <c r="R47" s="81" t="n">
        <v>559</v>
      </c>
      <c r="S47" s="80"/>
      <c r="T47" s="87" t="n">
        <f aca="false">+R47*J47</f>
        <v>654.03</v>
      </c>
      <c r="U47" s="87"/>
      <c r="V47" s="88" t="n">
        <v>310557</v>
      </c>
      <c r="W47" s="80" t="s">
        <v>235</v>
      </c>
      <c r="X47" s="89"/>
      <c r="Y47" s="8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</row>
    <row r="48" customFormat="false" ht="12.75" hidden="false" customHeight="false" outlineLevel="0" collapsed="false">
      <c r="B48" s="49"/>
      <c r="C48" s="47"/>
      <c r="D48" s="47"/>
      <c r="E48" s="48"/>
      <c r="F48" s="48"/>
      <c r="G48" s="49"/>
      <c r="H48" s="49"/>
      <c r="I48" s="47"/>
      <c r="J48" s="61"/>
      <c r="K48" s="52"/>
      <c r="L48" s="102"/>
      <c r="M48" s="52"/>
      <c r="N48" s="52"/>
      <c r="O48" s="53"/>
      <c r="P48" s="52"/>
      <c r="Q48" s="54"/>
      <c r="R48" s="55"/>
      <c r="S48" s="47"/>
      <c r="T48" s="77"/>
      <c r="U48" s="77"/>
      <c r="V48" s="78"/>
      <c r="W48" s="49"/>
      <c r="X48" s="75"/>
      <c r="Y48" s="75"/>
    </row>
    <row r="49" customFormat="false" ht="12.75" hidden="false" customHeight="false" outlineLevel="0" collapsed="false">
      <c r="B49" s="49"/>
      <c r="C49" s="47"/>
      <c r="D49" s="47"/>
      <c r="E49" s="48"/>
      <c r="F49" s="48"/>
      <c r="G49" s="49"/>
      <c r="H49" s="49"/>
      <c r="I49" s="47"/>
      <c r="J49" s="61"/>
      <c r="K49" s="52"/>
      <c r="L49" s="102"/>
      <c r="M49" s="52"/>
      <c r="N49" s="52"/>
      <c r="O49" s="103"/>
      <c r="P49" s="52"/>
      <c r="Q49" s="54"/>
      <c r="R49" s="47"/>
      <c r="S49" s="47"/>
      <c r="T49" s="104" t="n">
        <f aca="false">SUM(T42:T48)</f>
        <v>83410.7720666667</v>
      </c>
      <c r="W49" s="49"/>
      <c r="X49" s="105"/>
      <c r="Y49" s="105"/>
    </row>
    <row r="50" customFormat="false" ht="12.75" hidden="false" customHeight="false" outlineLevel="0" collapsed="false">
      <c r="B50" s="66" t="s">
        <v>187</v>
      </c>
      <c r="C50" s="67" t="s">
        <v>188</v>
      </c>
      <c r="D50" s="67" t="s">
        <v>189</v>
      </c>
      <c r="E50" s="68" t="s">
        <v>190</v>
      </c>
      <c r="F50" s="68"/>
      <c r="G50" s="66" t="s">
        <v>191</v>
      </c>
      <c r="H50" s="66" t="s">
        <v>192</v>
      </c>
      <c r="I50" s="67" t="s">
        <v>193</v>
      </c>
      <c r="J50" s="69" t="s">
        <v>194</v>
      </c>
      <c r="K50" s="67" t="s">
        <v>195</v>
      </c>
      <c r="L50" s="67" t="s">
        <v>196</v>
      </c>
      <c r="M50" s="67" t="s">
        <v>197</v>
      </c>
      <c r="N50" s="67" t="s">
        <v>198</v>
      </c>
      <c r="O50" s="70" t="s">
        <v>199</v>
      </c>
      <c r="P50" s="67" t="s">
        <v>200</v>
      </c>
      <c r="Q50" s="71" t="s">
        <v>201</v>
      </c>
      <c r="R50" s="67" t="s">
        <v>202</v>
      </c>
      <c r="S50" s="66" t="s">
        <v>203</v>
      </c>
      <c r="T50" s="72" t="s">
        <v>204</v>
      </c>
      <c r="U50" s="72" t="s">
        <v>205</v>
      </c>
      <c r="V50" s="73" t="s">
        <v>206</v>
      </c>
      <c r="W50" s="74" t="e">
        <f aca="false">+#REF!</f>
        <v>#REF!</v>
      </c>
      <c r="X50" s="75"/>
      <c r="Y50" s="75"/>
    </row>
    <row r="51" customFormat="false" ht="11.25" hidden="false" customHeight="true" outlineLevel="0" collapsed="false">
      <c r="B51" s="49"/>
      <c r="C51" s="47" t="s">
        <v>242</v>
      </c>
      <c r="D51" s="47"/>
      <c r="E51" s="48"/>
      <c r="F51" s="48" t="s">
        <v>243</v>
      </c>
      <c r="G51" s="49"/>
      <c r="H51" s="49"/>
      <c r="I51" s="47"/>
      <c r="J51" s="61"/>
      <c r="K51" s="52"/>
      <c r="L51" s="102"/>
      <c r="M51" s="52"/>
      <c r="N51" s="52"/>
      <c r="O51" s="53"/>
      <c r="P51" s="52"/>
      <c r="Q51" s="54"/>
      <c r="R51" s="55" t="e">
        <f aca="false">SUM(#REF!)</f>
        <v>#REF!</v>
      </c>
      <c r="S51" s="47"/>
      <c r="T51" s="77"/>
      <c r="U51" s="77"/>
      <c r="V51" s="78"/>
      <c r="W51" s="49"/>
      <c r="X51" s="75"/>
      <c r="Y51" s="75"/>
    </row>
    <row r="52" customFormat="false" ht="12.75" hidden="false" customHeight="false" outlineLevel="0" collapsed="false">
      <c r="B52" s="66" t="s">
        <v>187</v>
      </c>
      <c r="C52" s="67" t="s">
        <v>188</v>
      </c>
      <c r="D52" s="67" t="s">
        <v>189</v>
      </c>
      <c r="E52" s="68" t="s">
        <v>190</v>
      </c>
      <c r="F52" s="68"/>
      <c r="G52" s="66" t="s">
        <v>191</v>
      </c>
      <c r="H52" s="66" t="s">
        <v>192</v>
      </c>
      <c r="I52" s="67" t="s">
        <v>193</v>
      </c>
      <c r="J52" s="69" t="s">
        <v>194</v>
      </c>
      <c r="K52" s="67" t="s">
        <v>195</v>
      </c>
      <c r="L52" s="67" t="s">
        <v>196</v>
      </c>
      <c r="M52" s="67" t="s">
        <v>197</v>
      </c>
      <c r="N52" s="67" t="s">
        <v>198</v>
      </c>
      <c r="O52" s="70" t="s">
        <v>199</v>
      </c>
      <c r="P52" s="67" t="s">
        <v>200</v>
      </c>
      <c r="Q52" s="71" t="s">
        <v>201</v>
      </c>
      <c r="R52" s="67" t="s">
        <v>202</v>
      </c>
      <c r="S52" s="66" t="s">
        <v>203</v>
      </c>
      <c r="T52" s="72" t="s">
        <v>204</v>
      </c>
      <c r="U52" s="72" t="s">
        <v>205</v>
      </c>
      <c r="V52" s="73" t="s">
        <v>206</v>
      </c>
      <c r="W52" s="74" t="n">
        <f aca="false">+W12</f>
        <v>0</v>
      </c>
      <c r="X52" s="75"/>
      <c r="Y52" s="75"/>
    </row>
    <row r="53" customFormat="false" ht="12.75" hidden="false" customHeight="false" outlineLevel="0" collapsed="false">
      <c r="A53" s="91"/>
      <c r="B53" s="92" t="s">
        <v>207</v>
      </c>
      <c r="C53" s="93" t="s">
        <v>175</v>
      </c>
      <c r="D53" s="93" t="s">
        <v>244</v>
      </c>
      <c r="E53" s="94" t="n">
        <v>36220</v>
      </c>
      <c r="F53" s="94" t="n">
        <v>36707</v>
      </c>
      <c r="G53" s="92" t="s">
        <v>245</v>
      </c>
      <c r="H53" s="92" t="s">
        <v>246</v>
      </c>
      <c r="I53" s="93" t="s">
        <v>224</v>
      </c>
      <c r="J53" s="95" t="n">
        <v>0.3033</v>
      </c>
      <c r="K53" s="96" t="n">
        <v>0</v>
      </c>
      <c r="L53" s="96" t="n">
        <v>0.0022</v>
      </c>
      <c r="M53" s="96" t="n">
        <v>0</v>
      </c>
      <c r="N53" s="96" t="n">
        <v>0</v>
      </c>
      <c r="O53" s="97" t="n">
        <v>0</v>
      </c>
      <c r="P53" s="96" t="n">
        <f aca="false">SUM(J53:N53)</f>
        <v>0.3055</v>
      </c>
      <c r="Q53" s="98" t="s">
        <v>247</v>
      </c>
      <c r="R53" s="93" t="n">
        <v>0</v>
      </c>
      <c r="S53" s="92" t="s">
        <v>248</v>
      </c>
      <c r="T53" s="99" t="n">
        <f aca="false">J53*J$1*R53</f>
        <v>0</v>
      </c>
      <c r="U53" s="99"/>
      <c r="V53" s="100" t="n">
        <v>157260</v>
      </c>
      <c r="W53" s="92" t="s">
        <v>249</v>
      </c>
      <c r="X53" s="101"/>
      <c r="Y53" s="10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  <c r="IW53" s="91"/>
    </row>
    <row r="54" customFormat="false" ht="12.75" hidden="false" customHeight="false" outlineLevel="0" collapsed="false">
      <c r="A54" s="91"/>
      <c r="B54" s="92" t="s">
        <v>207</v>
      </c>
      <c r="C54" s="93" t="s">
        <v>175</v>
      </c>
      <c r="D54" s="93" t="s">
        <v>244</v>
      </c>
      <c r="E54" s="94" t="n">
        <v>36220</v>
      </c>
      <c r="F54" s="94" t="n">
        <v>36707</v>
      </c>
      <c r="G54" s="92" t="s">
        <v>250</v>
      </c>
      <c r="H54" s="92" t="s">
        <v>246</v>
      </c>
      <c r="I54" s="93" t="s">
        <v>224</v>
      </c>
      <c r="J54" s="95" t="n">
        <v>0.3033</v>
      </c>
      <c r="K54" s="96" t="n">
        <v>0</v>
      </c>
      <c r="L54" s="96" t="n">
        <v>0.0022</v>
      </c>
      <c r="M54" s="96" t="n">
        <v>0</v>
      </c>
      <c r="N54" s="96" t="n">
        <v>0</v>
      </c>
      <c r="O54" s="97" t="n">
        <v>0</v>
      </c>
      <c r="P54" s="96" t="n">
        <f aca="false">SUM(J54:N54)</f>
        <v>0.3055</v>
      </c>
      <c r="Q54" s="98" t="s">
        <v>247</v>
      </c>
      <c r="R54" s="93" t="n">
        <v>0</v>
      </c>
      <c r="S54" s="92" t="s">
        <v>248</v>
      </c>
      <c r="T54" s="99" t="n">
        <f aca="false">J54*J$1*R54</f>
        <v>0</v>
      </c>
      <c r="U54" s="99"/>
      <c r="V54" s="100" t="n">
        <v>157260</v>
      </c>
      <c r="W54" s="92" t="s">
        <v>249</v>
      </c>
      <c r="X54" s="101"/>
      <c r="Y54" s="10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  <c r="IW54" s="91"/>
    </row>
    <row r="55" customFormat="false" ht="12.75" hidden="false" customHeight="false" outlineLevel="0" collapsed="false">
      <c r="B55" s="49"/>
      <c r="C55" s="47"/>
      <c r="D55" s="47"/>
      <c r="E55" s="48" t="s">
        <v>113</v>
      </c>
      <c r="F55" s="48"/>
      <c r="G55" s="49"/>
      <c r="H55" s="49"/>
      <c r="I55" s="47"/>
      <c r="J55" s="61"/>
      <c r="K55" s="52"/>
      <c r="L55" s="102"/>
      <c r="M55" s="52"/>
      <c r="N55" s="52"/>
      <c r="O55" s="53"/>
      <c r="P55" s="52"/>
      <c r="Q55" s="106"/>
      <c r="R55" s="107" t="n">
        <f aca="false">SUM(R53:R54)</f>
        <v>0</v>
      </c>
      <c r="S55" s="108"/>
      <c r="T55" s="56" t="n">
        <f aca="false">SUM(T53:T54)</f>
        <v>0</v>
      </c>
      <c r="U55" s="56"/>
      <c r="V55" s="57"/>
      <c r="W55" s="58"/>
      <c r="X55" s="59"/>
      <c r="Y55" s="59"/>
    </row>
    <row r="56" customFormat="false" ht="12" hidden="false" customHeight="true" outlineLevel="0" collapsed="false">
      <c r="B56" s="66" t="s">
        <v>187</v>
      </c>
      <c r="C56" s="67" t="s">
        <v>188</v>
      </c>
      <c r="D56" s="67" t="s">
        <v>189</v>
      </c>
      <c r="E56" s="68" t="s">
        <v>190</v>
      </c>
      <c r="F56" s="68"/>
      <c r="G56" s="66" t="s">
        <v>191</v>
      </c>
      <c r="H56" s="66" t="s">
        <v>192</v>
      </c>
      <c r="I56" s="67" t="s">
        <v>193</v>
      </c>
      <c r="J56" s="69" t="s">
        <v>194</v>
      </c>
      <c r="K56" s="67" t="s">
        <v>195</v>
      </c>
      <c r="L56" s="67" t="s">
        <v>196</v>
      </c>
      <c r="M56" s="67" t="s">
        <v>197</v>
      </c>
      <c r="N56" s="67" t="s">
        <v>198</v>
      </c>
      <c r="O56" s="70" t="s">
        <v>199</v>
      </c>
      <c r="P56" s="67" t="s">
        <v>200</v>
      </c>
      <c r="Q56" s="71" t="s">
        <v>201</v>
      </c>
      <c r="R56" s="67" t="s">
        <v>202</v>
      </c>
      <c r="S56" s="66" t="s">
        <v>203</v>
      </c>
      <c r="T56" s="72" t="s">
        <v>204</v>
      </c>
      <c r="U56" s="72" t="s">
        <v>205</v>
      </c>
      <c r="V56" s="73" t="s">
        <v>206</v>
      </c>
      <c r="W56" s="74" t="e">
        <f aca="false">+#REF!</f>
        <v>#REF!</v>
      </c>
      <c r="X56" s="75"/>
      <c r="Y56" s="75"/>
    </row>
    <row r="57" customFormat="false" ht="12.75" hidden="false" customHeight="false" outlineLevel="0" collapsed="false">
      <c r="A57" s="91"/>
      <c r="B57" s="92" t="s">
        <v>207</v>
      </c>
      <c r="C57" s="93" t="s">
        <v>62</v>
      </c>
      <c r="D57" s="93" t="s">
        <v>230</v>
      </c>
      <c r="E57" s="94" t="n">
        <v>36708</v>
      </c>
      <c r="F57" s="94" t="n">
        <v>36738</v>
      </c>
      <c r="G57" s="92" t="s">
        <v>251</v>
      </c>
      <c r="H57" s="92" t="s">
        <v>252</v>
      </c>
      <c r="I57" s="93" t="s">
        <v>253</v>
      </c>
      <c r="J57" s="95" t="n">
        <f aca="false">7.5654/J$1</f>
        <v>0.244045161290323</v>
      </c>
      <c r="K57" s="96" t="n">
        <v>0</v>
      </c>
      <c r="L57" s="96" t="n">
        <v>0.0022</v>
      </c>
      <c r="M57" s="96" t="n">
        <v>0</v>
      </c>
      <c r="N57" s="96" t="n">
        <v>0</v>
      </c>
      <c r="O57" s="97" t="n">
        <v>0</v>
      </c>
      <c r="P57" s="96" t="n">
        <f aca="false">SUM(J57:N57)</f>
        <v>0.246245161290323</v>
      </c>
      <c r="Q57" s="98" t="s">
        <v>254</v>
      </c>
      <c r="R57" s="93" t="n">
        <v>1102</v>
      </c>
      <c r="S57" s="92" t="s">
        <v>255</v>
      </c>
      <c r="T57" s="109" t="n">
        <f aca="false">J57*J$1*R57</f>
        <v>8337.0708</v>
      </c>
      <c r="U57" s="99"/>
      <c r="V57" s="100" t="n">
        <v>314257</v>
      </c>
      <c r="W57" s="92"/>
      <c r="X57" s="101"/>
      <c r="Y57" s="10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  <c r="IW57" s="91"/>
    </row>
    <row r="58" customFormat="false" ht="12.75" hidden="false" customHeight="false" outlineLevel="0" collapsed="false">
      <c r="A58" s="91"/>
      <c r="B58" s="92" t="s">
        <v>207</v>
      </c>
      <c r="C58" s="93" t="s">
        <v>62</v>
      </c>
      <c r="D58" s="93" t="s">
        <v>230</v>
      </c>
      <c r="E58" s="94" t="n">
        <v>36708</v>
      </c>
      <c r="F58" s="94" t="n">
        <v>36738</v>
      </c>
      <c r="G58" s="92" t="s">
        <v>256</v>
      </c>
      <c r="H58" s="92" t="s">
        <v>252</v>
      </c>
      <c r="I58" s="93" t="s">
        <v>253</v>
      </c>
      <c r="J58" s="95" t="n">
        <f aca="false">+J57</f>
        <v>0.244045161290323</v>
      </c>
      <c r="K58" s="96" t="n">
        <v>0</v>
      </c>
      <c r="L58" s="96" t="n">
        <v>0.0022</v>
      </c>
      <c r="M58" s="96" t="n">
        <v>0</v>
      </c>
      <c r="N58" s="96" t="n">
        <v>0</v>
      </c>
      <c r="O58" s="97" t="n">
        <v>0</v>
      </c>
      <c r="P58" s="96" t="n">
        <f aca="false">SUM(J58:N58)</f>
        <v>0.246245161290323</v>
      </c>
      <c r="Q58" s="98" t="s">
        <v>254</v>
      </c>
      <c r="R58" s="93" t="n">
        <v>1620</v>
      </c>
      <c r="S58" s="92" t="str">
        <f aca="false">+S57</f>
        <v>#20461</v>
      </c>
      <c r="T58" s="109" t="n">
        <f aca="false">J58*J$1*R58</f>
        <v>12255.948</v>
      </c>
      <c r="U58" s="99"/>
      <c r="V58" s="100" t="n">
        <f aca="false">+V57</f>
        <v>314257</v>
      </c>
      <c r="W58" s="92"/>
      <c r="X58" s="101"/>
      <c r="Y58" s="10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</row>
    <row r="59" customFormat="false" ht="12.75" hidden="false" customHeight="false" outlineLevel="0" collapsed="false">
      <c r="A59" s="91"/>
      <c r="B59" s="92" t="s">
        <v>207</v>
      </c>
      <c r="C59" s="93" t="s">
        <v>62</v>
      </c>
      <c r="D59" s="93" t="s">
        <v>230</v>
      </c>
      <c r="E59" s="94" t="n">
        <v>36708</v>
      </c>
      <c r="F59" s="94" t="n">
        <v>36738</v>
      </c>
      <c r="G59" s="92" t="s">
        <v>257</v>
      </c>
      <c r="H59" s="92" t="s">
        <v>252</v>
      </c>
      <c r="I59" s="93" t="s">
        <v>253</v>
      </c>
      <c r="J59" s="95" t="n">
        <f aca="false">+J58</f>
        <v>0.244045161290323</v>
      </c>
      <c r="K59" s="96" t="n">
        <v>0</v>
      </c>
      <c r="L59" s="96" t="n">
        <v>0.0022</v>
      </c>
      <c r="M59" s="96" t="n">
        <v>0</v>
      </c>
      <c r="N59" s="96" t="n">
        <v>0</v>
      </c>
      <c r="O59" s="97" t="n">
        <v>0</v>
      </c>
      <c r="P59" s="96" t="n">
        <f aca="false">SUM(J59:N59)</f>
        <v>0.246245161290323</v>
      </c>
      <c r="Q59" s="98" t="s">
        <v>254</v>
      </c>
      <c r="R59" s="93" t="n">
        <f aca="false">1232+2528</f>
        <v>3760</v>
      </c>
      <c r="S59" s="92" t="str">
        <f aca="false">+S58</f>
        <v>#20461</v>
      </c>
      <c r="T59" s="109" t="n">
        <f aca="false">J59*J$1*R59</f>
        <v>28445.904</v>
      </c>
      <c r="U59" s="99"/>
      <c r="V59" s="100" t="n">
        <f aca="false">+V58</f>
        <v>314257</v>
      </c>
      <c r="W59" s="92"/>
      <c r="X59" s="101"/>
      <c r="Y59" s="10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</row>
    <row r="60" customFormat="false" ht="12.75" hidden="false" customHeight="false" outlineLevel="0" collapsed="false">
      <c r="A60" s="91"/>
      <c r="B60" s="92" t="s">
        <v>207</v>
      </c>
      <c r="C60" s="93" t="s">
        <v>62</v>
      </c>
      <c r="D60" s="93" t="s">
        <v>230</v>
      </c>
      <c r="E60" s="94" t="n">
        <v>36708</v>
      </c>
      <c r="F60" s="94" t="n">
        <v>36738</v>
      </c>
      <c r="G60" s="92" t="s">
        <v>251</v>
      </c>
      <c r="H60" s="92" t="s">
        <v>252</v>
      </c>
      <c r="I60" s="93" t="s">
        <v>253</v>
      </c>
      <c r="J60" s="95" t="n">
        <f aca="false">7.5654/J$1</f>
        <v>0.244045161290323</v>
      </c>
      <c r="K60" s="96" t="n">
        <v>0</v>
      </c>
      <c r="L60" s="96" t="n">
        <v>0.0022</v>
      </c>
      <c r="M60" s="96" t="n">
        <v>0</v>
      </c>
      <c r="N60" s="96" t="n">
        <v>0</v>
      </c>
      <c r="O60" s="97" t="n">
        <v>0</v>
      </c>
      <c r="P60" s="96" t="n">
        <f aca="false">SUM(J60:N60)</f>
        <v>0.246245161290323</v>
      </c>
      <c r="Q60" s="98" t="s">
        <v>258</v>
      </c>
      <c r="R60" s="110" t="n">
        <v>66</v>
      </c>
      <c r="S60" s="92" t="s">
        <v>259</v>
      </c>
      <c r="T60" s="109" t="n">
        <f aca="false">J60*J$1*R60</f>
        <v>499.3164</v>
      </c>
      <c r="U60" s="99"/>
      <c r="V60" s="100" t="n">
        <v>314242</v>
      </c>
      <c r="W60" s="92"/>
      <c r="X60" s="101"/>
      <c r="Y60" s="10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  <c r="IW60" s="91"/>
    </row>
    <row r="61" customFormat="false" ht="12.75" hidden="false" customHeight="false" outlineLevel="0" collapsed="false">
      <c r="A61" s="91"/>
      <c r="B61" s="92" t="s">
        <v>207</v>
      </c>
      <c r="C61" s="93" t="s">
        <v>62</v>
      </c>
      <c r="D61" s="93" t="s">
        <v>230</v>
      </c>
      <c r="E61" s="94" t="n">
        <v>36708</v>
      </c>
      <c r="F61" s="94" t="n">
        <v>36738</v>
      </c>
      <c r="G61" s="92" t="s">
        <v>256</v>
      </c>
      <c r="H61" s="92" t="s">
        <v>252</v>
      </c>
      <c r="I61" s="93" t="s">
        <v>253</v>
      </c>
      <c r="J61" s="95" t="n">
        <f aca="false">7.5654/J$1</f>
        <v>0.244045161290323</v>
      </c>
      <c r="K61" s="96" t="n">
        <v>0</v>
      </c>
      <c r="L61" s="96" t="n">
        <v>0.0022</v>
      </c>
      <c r="M61" s="96" t="n">
        <v>0</v>
      </c>
      <c r="N61" s="96" t="n">
        <v>0</v>
      </c>
      <c r="O61" s="97" t="n">
        <v>0</v>
      </c>
      <c r="P61" s="96" t="n">
        <f aca="false">SUM(J61:N61)</f>
        <v>0.246245161290323</v>
      </c>
      <c r="Q61" s="98" t="str">
        <f aca="false">+Q60</f>
        <v>3.5712/.7537</v>
      </c>
      <c r="R61" s="93" t="n">
        <v>98</v>
      </c>
      <c r="S61" s="92" t="str">
        <f aca="false">+S60</f>
        <v>#20460</v>
      </c>
      <c r="T61" s="109" t="n">
        <f aca="false">J61*J$1*R61</f>
        <v>741.4092</v>
      </c>
      <c r="U61" s="99"/>
      <c r="V61" s="100" t="n">
        <v>314242</v>
      </c>
      <c r="W61" s="92"/>
      <c r="X61" s="101"/>
      <c r="Y61" s="10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  <c r="IW61" s="91"/>
    </row>
    <row r="62" customFormat="false" ht="12.75" hidden="false" customHeight="false" outlineLevel="0" collapsed="false">
      <c r="A62" s="91"/>
      <c r="B62" s="92" t="s">
        <v>207</v>
      </c>
      <c r="C62" s="93" t="s">
        <v>62</v>
      </c>
      <c r="D62" s="93" t="s">
        <v>230</v>
      </c>
      <c r="E62" s="94" t="n">
        <v>36708</v>
      </c>
      <c r="F62" s="94" t="n">
        <v>36738</v>
      </c>
      <c r="G62" s="92" t="s">
        <v>257</v>
      </c>
      <c r="H62" s="92" t="s">
        <v>252</v>
      </c>
      <c r="I62" s="93" t="s">
        <v>253</v>
      </c>
      <c r="J62" s="95" t="n">
        <f aca="false">7.5654/J$1</f>
        <v>0.244045161290323</v>
      </c>
      <c r="K62" s="96" t="n">
        <v>0</v>
      </c>
      <c r="L62" s="96" t="n">
        <v>0.0022</v>
      </c>
      <c r="M62" s="96" t="n">
        <v>0</v>
      </c>
      <c r="N62" s="96" t="n">
        <v>0</v>
      </c>
      <c r="O62" s="97" t="n">
        <v>0</v>
      </c>
      <c r="P62" s="96" t="n">
        <f aca="false">SUM(J62:N62)</f>
        <v>0.246245161290323</v>
      </c>
      <c r="Q62" s="98" t="str">
        <f aca="false">+Q61</f>
        <v>3.5712/.7537</v>
      </c>
      <c r="R62" s="93" t="n">
        <f aca="false">74+152</f>
        <v>226</v>
      </c>
      <c r="S62" s="92" t="str">
        <f aca="false">+S61</f>
        <v>#20460</v>
      </c>
      <c r="T62" s="109" t="n">
        <f aca="false">J62*J$1*R62</f>
        <v>1709.7804</v>
      </c>
      <c r="U62" s="99"/>
      <c r="V62" s="100" t="n">
        <v>314242</v>
      </c>
      <c r="W62" s="92"/>
      <c r="X62" s="101"/>
      <c r="Y62" s="10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</row>
    <row r="63" customFormat="false" ht="12.75" hidden="false" customHeight="false" outlineLevel="0" collapsed="false">
      <c r="A63" s="79"/>
      <c r="B63" s="80" t="s">
        <v>207</v>
      </c>
      <c r="C63" s="81" t="s">
        <v>62</v>
      </c>
      <c r="D63" s="81" t="s">
        <v>230</v>
      </c>
      <c r="E63" s="82" t="n">
        <v>36708</v>
      </c>
      <c r="F63" s="82" t="n">
        <v>36738</v>
      </c>
      <c r="G63" s="80" t="s">
        <v>260</v>
      </c>
      <c r="H63" s="80" t="s">
        <v>252</v>
      </c>
      <c r="I63" s="81" t="s">
        <v>261</v>
      </c>
      <c r="J63" s="83" t="n">
        <f aca="false">14.18/30</f>
        <v>0.472666666666667</v>
      </c>
      <c r="K63" s="84" t="n">
        <v>0</v>
      </c>
      <c r="L63" s="84" t="n">
        <v>0.0022</v>
      </c>
      <c r="M63" s="84" t="n">
        <v>0</v>
      </c>
      <c r="N63" s="84" t="n">
        <v>0</v>
      </c>
      <c r="O63" s="85" t="n">
        <v>0</v>
      </c>
      <c r="P63" s="84" t="n">
        <f aca="false">SUM(J63:N63)</f>
        <v>0.474866666666667</v>
      </c>
      <c r="Q63" s="111" t="s">
        <v>262</v>
      </c>
      <c r="R63" s="81" t="n">
        <v>5148</v>
      </c>
      <c r="S63" s="80" t="s">
        <v>263</v>
      </c>
      <c r="T63" s="112" t="n">
        <f aca="false">J63*J$1*R63</f>
        <v>75431.928</v>
      </c>
      <c r="U63" s="87"/>
      <c r="V63" s="88" t="n">
        <v>310587</v>
      </c>
      <c r="W63" s="80"/>
      <c r="X63" s="89"/>
      <c r="Y63" s="8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91"/>
      <c r="B64" s="92" t="s">
        <v>207</v>
      </c>
      <c r="C64" s="93" t="s">
        <v>62</v>
      </c>
      <c r="D64" s="93" t="s">
        <v>230</v>
      </c>
      <c r="E64" s="94" t="n">
        <v>36708</v>
      </c>
      <c r="F64" s="94" t="n">
        <v>36738</v>
      </c>
      <c r="G64" s="92" t="s">
        <v>264</v>
      </c>
      <c r="H64" s="92"/>
      <c r="I64" s="93" t="s">
        <v>265</v>
      </c>
      <c r="J64" s="95" t="n">
        <v>0.0079</v>
      </c>
      <c r="K64" s="96" t="n">
        <v>0</v>
      </c>
      <c r="L64" s="96" t="n">
        <v>0.0022</v>
      </c>
      <c r="M64" s="96" t="n">
        <v>0</v>
      </c>
      <c r="N64" s="96" t="n">
        <v>0</v>
      </c>
      <c r="O64" s="97" t="n">
        <v>0</v>
      </c>
      <c r="P64" s="96" t="n">
        <f aca="false">SUM(J64:N64)</f>
        <v>0.0101</v>
      </c>
      <c r="Q64" s="91"/>
      <c r="R64" s="93" t="n">
        <v>376727</v>
      </c>
      <c r="S64" s="92" t="s">
        <v>266</v>
      </c>
      <c r="T64" s="113" t="n">
        <f aca="false">+R64*J64</f>
        <v>2976.1433</v>
      </c>
      <c r="U64" s="99"/>
      <c r="V64" s="100" t="n">
        <v>314291</v>
      </c>
      <c r="W64" s="92"/>
      <c r="X64" s="101"/>
      <c r="Y64" s="10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  <c r="IW64" s="91"/>
    </row>
    <row r="65" customFormat="false" ht="12.75" hidden="false" customHeight="false" outlineLevel="0" collapsed="false">
      <c r="A65" s="91"/>
      <c r="B65" s="92" t="s">
        <v>207</v>
      </c>
      <c r="C65" s="93" t="s">
        <v>62</v>
      </c>
      <c r="D65" s="93" t="s">
        <v>230</v>
      </c>
      <c r="E65" s="94" t="n">
        <v>36708</v>
      </c>
      <c r="F65" s="94" t="n">
        <v>36738</v>
      </c>
      <c r="G65" s="92" t="s">
        <v>267</v>
      </c>
      <c r="H65" s="92"/>
      <c r="I65" s="93" t="s">
        <v>265</v>
      </c>
      <c r="J65" s="95" t="n">
        <v>0.6673</v>
      </c>
      <c r="K65" s="96" t="n">
        <v>0</v>
      </c>
      <c r="L65" s="96" t="n">
        <v>0.0022</v>
      </c>
      <c r="M65" s="96" t="n">
        <v>0</v>
      </c>
      <c r="N65" s="96" t="n">
        <v>0</v>
      </c>
      <c r="O65" s="97" t="n">
        <v>0</v>
      </c>
      <c r="P65" s="96" t="n">
        <f aca="false">SUM(J65:N65)</f>
        <v>0.6695</v>
      </c>
      <c r="Q65" s="91"/>
      <c r="R65" s="93" t="n">
        <v>4432</v>
      </c>
      <c r="S65" s="92"/>
      <c r="T65" s="113" t="n">
        <f aca="false">+R65*J65</f>
        <v>2957.4736</v>
      </c>
      <c r="U65" s="99"/>
      <c r="V65" s="100" t="n">
        <v>314291</v>
      </c>
      <c r="W65" s="92"/>
      <c r="X65" s="101"/>
      <c r="Y65" s="10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  <c r="IW65" s="91"/>
    </row>
    <row r="66" customFormat="false" ht="12.75" hidden="false" customHeight="false" outlineLevel="0" collapsed="false">
      <c r="A66" s="91"/>
      <c r="B66" s="92" t="s">
        <v>207</v>
      </c>
      <c r="C66" s="93" t="s">
        <v>62</v>
      </c>
      <c r="D66" s="93" t="s">
        <v>230</v>
      </c>
      <c r="E66" s="94" t="n">
        <v>36708</v>
      </c>
      <c r="F66" s="94" t="n">
        <v>36738</v>
      </c>
      <c r="G66" s="92" t="s">
        <v>268</v>
      </c>
      <c r="H66" s="92"/>
      <c r="I66" s="93" t="s">
        <v>269</v>
      </c>
      <c r="J66" s="95" t="n">
        <v>0.0481</v>
      </c>
      <c r="K66" s="96" t="n">
        <v>0</v>
      </c>
      <c r="L66" s="96" t="n">
        <v>0.0022</v>
      </c>
      <c r="M66" s="96" t="n">
        <v>0</v>
      </c>
      <c r="N66" s="96" t="n">
        <v>0</v>
      </c>
      <c r="O66" s="97" t="n">
        <v>0</v>
      </c>
      <c r="P66" s="96" t="n">
        <f aca="false">SUM(J66:N66)</f>
        <v>0.0503</v>
      </c>
      <c r="Q66" s="91"/>
      <c r="R66" s="93" t="n">
        <v>19139</v>
      </c>
      <c r="S66" s="92" t="s">
        <v>270</v>
      </c>
      <c r="T66" s="113" t="n">
        <f aca="false">+J66*R66</f>
        <v>920.5859</v>
      </c>
      <c r="U66" s="99"/>
      <c r="V66" s="100" t="n">
        <v>314278</v>
      </c>
      <c r="W66" s="92"/>
      <c r="X66" s="101"/>
      <c r="Y66" s="10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  <c r="IW66" s="91"/>
    </row>
    <row r="67" customFormat="false" ht="12.75" hidden="false" customHeight="false" outlineLevel="0" collapsed="false">
      <c r="A67" s="91"/>
      <c r="B67" s="92" t="s">
        <v>207</v>
      </c>
      <c r="C67" s="93" t="s">
        <v>62</v>
      </c>
      <c r="D67" s="93" t="s">
        <v>230</v>
      </c>
      <c r="E67" s="94" t="n">
        <v>36708</v>
      </c>
      <c r="F67" s="94" t="n">
        <v>36738</v>
      </c>
      <c r="G67" s="92" t="s">
        <v>271</v>
      </c>
      <c r="H67" s="92"/>
      <c r="I67" s="93" t="s">
        <v>269</v>
      </c>
      <c r="J67" s="95" t="n">
        <v>0.484</v>
      </c>
      <c r="K67" s="96" t="n">
        <v>0</v>
      </c>
      <c r="L67" s="96" t="n">
        <v>0.0022</v>
      </c>
      <c r="M67" s="96" t="n">
        <v>0</v>
      </c>
      <c r="N67" s="96" t="n">
        <v>0</v>
      </c>
      <c r="O67" s="97" t="n">
        <v>0</v>
      </c>
      <c r="P67" s="96" t="n">
        <f aca="false">SUM(J67:N67)</f>
        <v>0.4862</v>
      </c>
      <c r="Q67" s="91"/>
      <c r="R67" s="93" t="n">
        <v>1902</v>
      </c>
      <c r="S67" s="92" t="s">
        <v>270</v>
      </c>
      <c r="T67" s="113" t="n">
        <f aca="false">+J67*R67</f>
        <v>920.568</v>
      </c>
      <c r="U67" s="99"/>
      <c r="V67" s="100" t="n">
        <v>314278</v>
      </c>
      <c r="W67" s="92"/>
      <c r="X67" s="101"/>
      <c r="Y67" s="10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  <c r="IW67" s="91"/>
    </row>
    <row r="68" customFormat="false" ht="12.75" hidden="false" customHeight="false" outlineLevel="0" collapsed="false">
      <c r="A68" s="76"/>
      <c r="B68" s="49" t="s">
        <v>272</v>
      </c>
      <c r="C68" s="47" t="s">
        <v>62</v>
      </c>
      <c r="D68" s="47" t="s">
        <v>244</v>
      </c>
      <c r="E68" s="48" t="n">
        <v>35977</v>
      </c>
      <c r="F68" s="48" t="n">
        <v>39599</v>
      </c>
      <c r="G68" s="49" t="s">
        <v>273</v>
      </c>
      <c r="H68" s="49" t="s">
        <v>274</v>
      </c>
      <c r="I68" s="47" t="s">
        <v>275</v>
      </c>
      <c r="J68" s="61" t="n">
        <f aca="false">4.7713/J$1</f>
        <v>0.153912903225806</v>
      </c>
      <c r="K68" s="52" t="n">
        <v>0</v>
      </c>
      <c r="L68" s="52" t="n">
        <v>0.0022</v>
      </c>
      <c r="M68" s="52" t="n">
        <v>0</v>
      </c>
      <c r="N68" s="52" t="n">
        <v>0</v>
      </c>
      <c r="O68" s="53" t="n">
        <v>0</v>
      </c>
      <c r="P68" s="52" t="n">
        <f aca="false">SUM(J68:N68)</f>
        <v>0.156112903225806</v>
      </c>
      <c r="Q68" s="54" t="s">
        <v>276</v>
      </c>
      <c r="R68" s="47" t="n">
        <v>15</v>
      </c>
      <c r="S68" s="49" t="s">
        <v>277</v>
      </c>
      <c r="T68" s="114" t="n">
        <f aca="false">J68*J$1*R68</f>
        <v>71.5695</v>
      </c>
      <c r="U68" s="77"/>
      <c r="V68" s="78" t="s">
        <v>278</v>
      </c>
      <c r="W68" s="49"/>
      <c r="X68" s="75"/>
      <c r="Y68" s="75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  <c r="IW68" s="76"/>
    </row>
    <row r="69" customFormat="false" ht="12.75" hidden="false" customHeight="false" outlineLevel="0" collapsed="false">
      <c r="A69" s="76"/>
      <c r="B69" s="49" t="s">
        <v>272</v>
      </c>
      <c r="C69" s="47" t="s">
        <v>62</v>
      </c>
      <c r="D69" s="47" t="s">
        <v>244</v>
      </c>
      <c r="E69" s="48" t="n">
        <v>36678</v>
      </c>
      <c r="F69" s="48" t="n">
        <v>39599</v>
      </c>
      <c r="G69" s="49" t="s">
        <v>273</v>
      </c>
      <c r="H69" s="49" t="s">
        <v>274</v>
      </c>
      <c r="I69" s="47" t="s">
        <v>275</v>
      </c>
      <c r="J69" s="61" t="n">
        <f aca="false">4.7713/J$1</f>
        <v>0.153912903225806</v>
      </c>
      <c r="K69" s="52" t="n">
        <v>0</v>
      </c>
      <c r="L69" s="52" t="n">
        <v>0.0022</v>
      </c>
      <c r="M69" s="52" t="n">
        <v>0</v>
      </c>
      <c r="N69" s="52" t="n">
        <v>0</v>
      </c>
      <c r="O69" s="53" t="n">
        <v>0</v>
      </c>
      <c r="P69" s="52" t="n">
        <f aca="false">SUM(J69:N69)</f>
        <v>0.156112903225806</v>
      </c>
      <c r="Q69" s="54" t="s">
        <v>279</v>
      </c>
      <c r="R69" s="47" t="n">
        <v>-15</v>
      </c>
      <c r="S69" s="49" t="s">
        <v>280</v>
      </c>
      <c r="T69" s="114" t="n">
        <f aca="false">J69*J$1*R69</f>
        <v>-71.5695</v>
      </c>
      <c r="U69" s="77"/>
      <c r="V69" s="78" t="n">
        <v>282820</v>
      </c>
      <c r="W69" s="49"/>
      <c r="X69" s="75"/>
      <c r="Y69" s="75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  <c r="IW69" s="76"/>
    </row>
    <row r="70" customFormat="false" ht="12.75" hidden="false" customHeight="false" outlineLevel="0" collapsed="false">
      <c r="A70" s="76"/>
      <c r="B70" s="49" t="s">
        <v>272</v>
      </c>
      <c r="C70" s="47" t="s">
        <v>62</v>
      </c>
      <c r="D70" s="47" t="s">
        <v>244</v>
      </c>
      <c r="E70" s="48" t="n">
        <v>36220</v>
      </c>
      <c r="F70" s="48" t="n">
        <v>39599</v>
      </c>
      <c r="G70" s="49" t="s">
        <v>273</v>
      </c>
      <c r="H70" s="49" t="s">
        <v>274</v>
      </c>
      <c r="I70" s="47" t="s">
        <v>275</v>
      </c>
      <c r="J70" s="61" t="n">
        <f aca="false">4.7713/J$1</f>
        <v>0.153912903225806</v>
      </c>
      <c r="K70" s="52" t="n">
        <v>0</v>
      </c>
      <c r="L70" s="52" t="n">
        <v>0.0022</v>
      </c>
      <c r="M70" s="52" t="n">
        <v>0</v>
      </c>
      <c r="N70" s="52" t="n">
        <v>0</v>
      </c>
      <c r="O70" s="53" t="n">
        <v>0</v>
      </c>
      <c r="P70" s="52" t="n">
        <f aca="false">SUM(J70:N70)</f>
        <v>0.156112903225806</v>
      </c>
      <c r="Q70" s="54" t="s">
        <v>281</v>
      </c>
      <c r="R70" s="47" t="n">
        <v>5</v>
      </c>
      <c r="S70" s="49" t="s">
        <v>282</v>
      </c>
      <c r="T70" s="114" t="n">
        <f aca="false">J70*J$1*R70</f>
        <v>23.8565</v>
      </c>
      <c r="U70" s="77"/>
      <c r="V70" s="78" t="s">
        <v>283</v>
      </c>
      <c r="W70" s="49"/>
      <c r="X70" s="75"/>
      <c r="Y70" s="75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</row>
    <row r="71" customFormat="false" ht="12.75" hidden="false" customHeight="false" outlineLevel="0" collapsed="false">
      <c r="A71" s="76"/>
      <c r="B71" s="49" t="s">
        <v>272</v>
      </c>
      <c r="C71" s="47" t="s">
        <v>62</v>
      </c>
      <c r="D71" s="47" t="s">
        <v>244</v>
      </c>
      <c r="E71" s="48" t="n">
        <v>36678</v>
      </c>
      <c r="F71" s="48" t="n">
        <v>39599</v>
      </c>
      <c r="G71" s="49" t="s">
        <v>273</v>
      </c>
      <c r="H71" s="49" t="s">
        <v>274</v>
      </c>
      <c r="I71" s="47" t="s">
        <v>275</v>
      </c>
      <c r="J71" s="61" t="n">
        <f aca="false">4.7713/J$1</f>
        <v>0.153912903225806</v>
      </c>
      <c r="K71" s="52" t="n">
        <v>0</v>
      </c>
      <c r="L71" s="52" t="n">
        <v>0.0022</v>
      </c>
      <c r="M71" s="52" t="n">
        <v>0</v>
      </c>
      <c r="N71" s="52" t="n">
        <v>0</v>
      </c>
      <c r="O71" s="53" t="n">
        <v>0</v>
      </c>
      <c r="P71" s="52" t="n">
        <f aca="false">SUM(J71:N71)</f>
        <v>0.156112903225806</v>
      </c>
      <c r="Q71" s="54" t="s">
        <v>284</v>
      </c>
      <c r="R71" s="47" t="n">
        <v>-5</v>
      </c>
      <c r="S71" s="49" t="s">
        <v>285</v>
      </c>
      <c r="T71" s="114" t="n">
        <f aca="false">J71*J$1*R71</f>
        <v>-23.8565</v>
      </c>
      <c r="U71" s="77"/>
      <c r="V71" s="78" t="n">
        <v>282832</v>
      </c>
      <c r="W71" s="49"/>
      <c r="X71" s="75"/>
      <c r="Y71" s="75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</row>
    <row r="72" customFormat="false" ht="12.7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61"/>
      <c r="K72" s="52"/>
      <c r="L72" s="52"/>
      <c r="M72" s="52"/>
      <c r="N72" s="52"/>
      <c r="O72" s="53"/>
      <c r="P72" s="52"/>
      <c r="Q72" s="106"/>
      <c r="R72" s="107"/>
      <c r="S72" s="56"/>
      <c r="T72" s="56" t="n">
        <f aca="false">SUM(T57:T71)</f>
        <v>135196.1276</v>
      </c>
      <c r="U72" s="56"/>
      <c r="V72" s="57"/>
      <c r="W72" s="58"/>
      <c r="X72" s="59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52"/>
      <c r="K73" s="52"/>
      <c r="L73" s="52"/>
      <c r="M73" s="52"/>
      <c r="N73" s="52"/>
      <c r="O73" s="53"/>
      <c r="P73" s="52"/>
      <c r="Q73" s="106"/>
      <c r="R73" s="107"/>
      <c r="S73" s="56"/>
      <c r="T73" s="56"/>
      <c r="U73" s="56"/>
      <c r="V73" s="57"/>
      <c r="W73" s="58"/>
      <c r="X73" s="59"/>
      <c r="Y73" s="59"/>
    </row>
    <row r="74" customFormat="false" ht="12.7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61"/>
      <c r="K74" s="52"/>
      <c r="L74" s="52"/>
      <c r="M74" s="52"/>
      <c r="N74" s="52"/>
      <c r="O74" s="53"/>
      <c r="P74" s="52"/>
      <c r="Q74" s="106"/>
      <c r="R74" s="107"/>
      <c r="S74" s="56"/>
      <c r="T74" s="56"/>
      <c r="U74" s="56"/>
      <c r="V74" s="57"/>
      <c r="W74" s="58"/>
      <c r="X74" s="59"/>
      <c r="Y74" s="59"/>
    </row>
    <row r="75" customFormat="false" ht="13.5" hidden="false" customHeight="false" outlineLevel="0" collapsed="false">
      <c r="B75" s="43"/>
      <c r="C75" s="47"/>
      <c r="D75" s="47"/>
      <c r="E75" s="48"/>
      <c r="F75" s="48"/>
      <c r="G75" s="49"/>
      <c r="H75" s="49"/>
      <c r="I75" s="47"/>
      <c r="J75" s="52"/>
      <c r="K75" s="52"/>
      <c r="L75" s="52"/>
      <c r="M75" s="52"/>
      <c r="N75" s="52"/>
      <c r="O75" s="53"/>
      <c r="P75" s="52"/>
      <c r="Q75" s="106"/>
      <c r="R75" s="107"/>
      <c r="S75" s="56"/>
      <c r="T75" s="115" t="n">
        <f aca="false">SUM(T72,T55,T51,T49,T40,T29)</f>
        <v>668963.918580215</v>
      </c>
      <c r="U75" s="56" t="s">
        <v>286</v>
      </c>
      <c r="V75" s="57"/>
      <c r="W75" s="58"/>
      <c r="X75" s="59"/>
      <c r="Y75" s="59"/>
    </row>
    <row r="76" customFormat="false" ht="13.5" hidden="false" customHeight="false" outlineLevel="0" collapsed="false">
      <c r="B76" s="43"/>
      <c r="C76" s="47"/>
      <c r="D76" s="47"/>
      <c r="E76" s="48"/>
      <c r="F76" s="48"/>
      <c r="G76" s="49"/>
      <c r="H76" s="49"/>
      <c r="I76" s="47"/>
      <c r="J76" s="52"/>
      <c r="K76" s="52"/>
      <c r="L76" s="52"/>
      <c r="M76" s="52"/>
      <c r="N76" s="52"/>
      <c r="O76" s="53"/>
      <c r="P76" s="52"/>
      <c r="Q76" s="106"/>
      <c r="R76" s="107"/>
      <c r="S76" s="56"/>
      <c r="T76" s="56"/>
      <c r="U76" s="58" t="s">
        <v>287</v>
      </c>
      <c r="V76" s="57"/>
      <c r="W76" s="58"/>
      <c r="X76" s="108"/>
      <c r="Y76" s="59"/>
    </row>
    <row r="77" customFormat="false" ht="12.75" hidden="false" customHeight="false" outlineLevel="0" collapsed="false">
      <c r="B77" s="43"/>
      <c r="C77" s="47"/>
      <c r="D77" s="47"/>
      <c r="E77" s="48"/>
      <c r="F77" s="48"/>
      <c r="G77" s="49"/>
      <c r="H77" s="49"/>
      <c r="I77" s="47"/>
      <c r="J77" s="52"/>
      <c r="K77" s="52"/>
      <c r="L77" s="52"/>
      <c r="M77" s="52"/>
      <c r="N77" s="52"/>
      <c r="O77" s="53"/>
      <c r="P77" s="52"/>
      <c r="Q77" s="106"/>
      <c r="R77" s="107"/>
      <c r="S77" s="56"/>
      <c r="T77" s="56"/>
      <c r="U77" s="56"/>
      <c r="V77" s="57"/>
      <c r="W77" s="58"/>
      <c r="X77" s="59"/>
      <c r="Y77" s="59"/>
    </row>
    <row r="78" customFormat="false" ht="12.75" hidden="false" customHeight="false" outlineLevel="0" collapsed="false">
      <c r="B78" s="43"/>
      <c r="C78" s="47"/>
      <c r="D78" s="47"/>
      <c r="E78" s="48"/>
      <c r="F78" s="48"/>
      <c r="G78" s="49"/>
      <c r="H78" s="49"/>
      <c r="I78" s="47"/>
      <c r="J78" s="52"/>
      <c r="K78" s="52"/>
      <c r="L78" s="52"/>
      <c r="M78" s="52"/>
      <c r="N78" s="52"/>
      <c r="O78" s="53"/>
      <c r="P78" s="52"/>
      <c r="Q78" s="106"/>
      <c r="R78" s="107"/>
      <c r="S78" s="56"/>
      <c r="T78" s="56"/>
      <c r="U78" s="56"/>
      <c r="V78" s="57"/>
      <c r="W78" s="58"/>
      <c r="X78" s="59"/>
      <c r="Y78" s="59"/>
    </row>
    <row r="79" customFormat="false" ht="12.75" hidden="false" customHeight="false" outlineLevel="0" collapsed="false">
      <c r="B79" s="43"/>
      <c r="C79" s="47"/>
      <c r="D79" s="47"/>
      <c r="E79" s="75"/>
      <c r="F79" s="48"/>
      <c r="G79" s="49"/>
      <c r="H79" s="49"/>
      <c r="I79" s="47"/>
      <c r="J79" s="61"/>
      <c r="K79" s="52"/>
      <c r="L79" s="52"/>
      <c r="M79" s="52"/>
      <c r="N79" s="52"/>
      <c r="O79" s="53"/>
      <c r="P79" s="52"/>
      <c r="Q79" s="106"/>
      <c r="R79" s="107"/>
      <c r="S79" s="108"/>
      <c r="T79" s="56"/>
      <c r="U79" s="56"/>
      <c r="V79" s="57"/>
      <c r="W79" s="58"/>
      <c r="X79" s="59"/>
      <c r="Y79" s="59"/>
    </row>
    <row r="80" customFormat="false" ht="12.75" hidden="false" customHeight="false" outlineLevel="0" collapsed="false">
      <c r="B80" s="43"/>
      <c r="C80" s="47"/>
      <c r="D80" s="47"/>
      <c r="E80" s="75"/>
      <c r="F80" s="48"/>
      <c r="G80" s="49"/>
      <c r="H80" s="49"/>
      <c r="I80" s="47"/>
      <c r="J80" s="61"/>
      <c r="K80" s="52"/>
      <c r="L80" s="52"/>
      <c r="M80" s="52"/>
      <c r="N80" s="52"/>
      <c r="O80" s="53"/>
      <c r="P80" s="52"/>
      <c r="Q80" s="106"/>
      <c r="R80" s="107"/>
      <c r="S80" s="108"/>
      <c r="T80" s="56"/>
      <c r="U80" s="56"/>
      <c r="V80" s="57"/>
      <c r="W80" s="58"/>
      <c r="X80" s="59"/>
      <c r="Y80" s="59"/>
    </row>
    <row r="81" customFormat="false" ht="12.75" hidden="false" customHeight="false" outlineLevel="0" collapsed="false">
      <c r="E81" s="45"/>
      <c r="Q81" s="38"/>
      <c r="R81" s="38"/>
      <c r="S81" s="38"/>
      <c r="T81" s="38"/>
      <c r="U81" s="38"/>
      <c r="V81" s="116"/>
      <c r="W81" s="117"/>
      <c r="X81" s="116"/>
    </row>
    <row r="82" customFormat="false" ht="12.75" hidden="false" customHeight="false" outlineLevel="0" collapsed="false">
      <c r="E82" s="45"/>
      <c r="Q82" s="38"/>
      <c r="R82" s="38"/>
      <c r="S82" s="38"/>
      <c r="T82" s="38"/>
      <c r="U82" s="38"/>
      <c r="V82" s="116"/>
      <c r="W82" s="117"/>
      <c r="X82" s="116"/>
    </row>
    <row r="83" customFormat="false" ht="12.75" hidden="false" customHeight="false" outlineLevel="0" collapsed="false">
      <c r="E83" s="45"/>
    </row>
    <row r="84" customFormat="false" ht="12.75" hidden="false" customHeight="false" outlineLevel="0" collapsed="false">
      <c r="E84" s="45"/>
    </row>
    <row r="85" customFormat="false" ht="12.75" hidden="false" customHeight="false" outlineLevel="0" collapsed="false">
      <c r="E8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F70" activeCellId="0" sqref="F7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6.42"/>
    <col collapsed="false" customWidth="true" hidden="false" outlineLevel="0" max="9" min="9" style="36" width="16.56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4.28"/>
    <col collapsed="false" customWidth="true" hidden="false" outlineLevel="0" max="18" min="18" style="36" width="10.85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288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s">
        <v>289</v>
      </c>
      <c r="X11" s="75"/>
      <c r="Y11" s="75"/>
    </row>
    <row r="12" customFormat="false" ht="12.75" hidden="false" customHeight="false" outlineLevel="0" collapsed="false">
      <c r="B12" s="66" t="s">
        <v>187</v>
      </c>
      <c r="C12" s="67" t="s">
        <v>188</v>
      </c>
      <c r="D12" s="67" t="s">
        <v>288</v>
      </c>
      <c r="E12" s="68" t="s">
        <v>190</v>
      </c>
      <c r="F12" s="68"/>
      <c r="G12" s="66" t="s">
        <v>191</v>
      </c>
      <c r="H12" s="66" t="s">
        <v>192</v>
      </c>
      <c r="I12" s="67" t="s">
        <v>193</v>
      </c>
      <c r="J12" s="69" t="s">
        <v>194</v>
      </c>
      <c r="K12" s="67" t="s">
        <v>195</v>
      </c>
      <c r="L12" s="67" t="s">
        <v>196</v>
      </c>
      <c r="M12" s="67" t="s">
        <v>197</v>
      </c>
      <c r="N12" s="67" t="s">
        <v>198</v>
      </c>
      <c r="O12" s="70" t="s">
        <v>199</v>
      </c>
      <c r="P12" s="67" t="s">
        <v>200</v>
      </c>
      <c r="Q12" s="71" t="s">
        <v>201</v>
      </c>
      <c r="R12" s="67" t="s">
        <v>202</v>
      </c>
      <c r="S12" s="66" t="s">
        <v>203</v>
      </c>
      <c r="T12" s="72" t="s">
        <v>204</v>
      </c>
      <c r="U12" s="72" t="s">
        <v>205</v>
      </c>
      <c r="V12" s="73" t="s">
        <v>206</v>
      </c>
      <c r="W12" s="74" t="s">
        <v>289</v>
      </c>
      <c r="X12" s="75"/>
      <c r="Y12" s="75"/>
    </row>
    <row r="13" customFormat="false" ht="12.75" hidden="false" customHeight="false" outlineLevel="0" collapsed="false">
      <c r="A13" s="79"/>
      <c r="B13" s="80" t="s">
        <v>207</v>
      </c>
      <c r="C13" s="81" t="s">
        <v>131</v>
      </c>
      <c r="D13" s="81" t="s">
        <v>230</v>
      </c>
      <c r="E13" s="82" t="n">
        <v>36708</v>
      </c>
      <c r="F13" s="82" t="n">
        <v>36738</v>
      </c>
      <c r="G13" s="118" t="n">
        <v>10001</v>
      </c>
      <c r="H13" s="118" t="n">
        <v>10001</v>
      </c>
      <c r="I13" s="81" t="s">
        <v>290</v>
      </c>
      <c r="J13" s="83" t="n">
        <v>0.0137</v>
      </c>
      <c r="K13" s="84"/>
      <c r="L13" s="84"/>
      <c r="M13" s="84"/>
      <c r="N13" s="84"/>
      <c r="O13" s="85"/>
      <c r="P13" s="84"/>
      <c r="Q13" s="86" t="n">
        <v>530696</v>
      </c>
      <c r="R13" s="81" t="n">
        <v>13461</v>
      </c>
      <c r="S13" s="80" t="s">
        <v>291</v>
      </c>
      <c r="T13" s="87" t="n">
        <f aca="false">J13*1*R13</f>
        <v>184.4157</v>
      </c>
      <c r="U13" s="87"/>
      <c r="V13" s="88" t="n">
        <v>310744</v>
      </c>
      <c r="W13" s="80"/>
      <c r="X13" s="89"/>
      <c r="Y13" s="8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customFormat="false" ht="12.75" hidden="false" customHeight="false" outlineLevel="0" collapsed="false">
      <c r="A14" s="79"/>
      <c r="B14" s="80" t="s">
        <v>207</v>
      </c>
      <c r="C14" s="81" t="s">
        <v>131</v>
      </c>
      <c r="D14" s="81" t="s">
        <v>230</v>
      </c>
      <c r="E14" s="82" t="n">
        <v>36708</v>
      </c>
      <c r="F14" s="82" t="n">
        <v>36738</v>
      </c>
      <c r="G14" s="118" t="n">
        <v>10001</v>
      </c>
      <c r="H14" s="118" t="n">
        <v>10001</v>
      </c>
      <c r="I14" s="81" t="s">
        <v>290</v>
      </c>
      <c r="J14" s="83" t="n">
        <v>1.8373</v>
      </c>
      <c r="K14" s="84"/>
      <c r="L14" s="84"/>
      <c r="M14" s="84"/>
      <c r="N14" s="84"/>
      <c r="O14" s="85"/>
      <c r="P14" s="84"/>
      <c r="Q14" s="86" t="n">
        <v>530696</v>
      </c>
      <c r="R14" s="81" t="n">
        <v>220</v>
      </c>
      <c r="S14" s="80" t="s">
        <v>291</v>
      </c>
      <c r="T14" s="87" t="n">
        <f aca="false">J14*1*R14</f>
        <v>404.206</v>
      </c>
      <c r="U14" s="87"/>
      <c r="V14" s="88" t="n">
        <v>310744</v>
      </c>
      <c r="W14" s="80"/>
      <c r="X14" s="89"/>
      <c r="Y14" s="8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2.75" hidden="false" customHeight="false" outlineLevel="0" collapsed="false">
      <c r="B15" s="119" t="s">
        <v>113</v>
      </c>
      <c r="C15" s="120" t="s">
        <v>113</v>
      </c>
      <c r="D15" s="121" t="s">
        <v>113</v>
      </c>
      <c r="E15" s="122" t="s">
        <v>113</v>
      </c>
      <c r="F15" s="122"/>
      <c r="G15" s="119" t="s">
        <v>113</v>
      </c>
      <c r="H15" s="123" t="s">
        <v>113</v>
      </c>
      <c r="I15" s="120" t="s">
        <v>113</v>
      </c>
      <c r="J15" s="124"/>
      <c r="K15" s="125"/>
      <c r="L15" s="125"/>
      <c r="M15" s="125"/>
      <c r="N15" s="125"/>
      <c r="O15" s="126"/>
      <c r="P15" s="125"/>
      <c r="Q15" s="127" t="s">
        <v>113</v>
      </c>
      <c r="R15" s="120" t="e">
        <f aca="false">SUM(#REF!)</f>
        <v>#REF!</v>
      </c>
      <c r="S15" s="119" t="s">
        <v>113</v>
      </c>
      <c r="T15" s="128" t="n">
        <f aca="false">SUM(T13:T14)</f>
        <v>588.6217</v>
      </c>
      <c r="U15" s="128" t="e">
        <f aca="false">SUM(#REF!)</f>
        <v>#REF!</v>
      </c>
      <c r="V15" s="129"/>
      <c r="W15" s="119"/>
      <c r="X15" s="75"/>
      <c r="Y15" s="75"/>
    </row>
    <row r="16" customFormat="false" ht="12.75" hidden="false" customHeight="false" outlineLevel="0" collapsed="false">
      <c r="B16" s="66" t="s">
        <v>187</v>
      </c>
      <c r="C16" s="67" t="s">
        <v>188</v>
      </c>
      <c r="D16" s="67" t="s">
        <v>189</v>
      </c>
      <c r="E16" s="68" t="s">
        <v>190</v>
      </c>
      <c r="F16" s="68"/>
      <c r="G16" s="66" t="s">
        <v>191</v>
      </c>
      <c r="H16" s="66" t="s">
        <v>192</v>
      </c>
      <c r="I16" s="67" t="s">
        <v>193</v>
      </c>
      <c r="J16" s="69" t="s">
        <v>194</v>
      </c>
      <c r="K16" s="67" t="s">
        <v>195</v>
      </c>
      <c r="L16" s="67" t="s">
        <v>196</v>
      </c>
      <c r="M16" s="67" t="s">
        <v>197</v>
      </c>
      <c r="N16" s="67" t="s">
        <v>198</v>
      </c>
      <c r="O16" s="70" t="s">
        <v>199</v>
      </c>
      <c r="P16" s="67" t="s">
        <v>200</v>
      </c>
      <c r="Q16" s="71" t="s">
        <v>201</v>
      </c>
      <c r="R16" s="67" t="s">
        <v>202</v>
      </c>
      <c r="S16" s="66" t="s">
        <v>203</v>
      </c>
      <c r="T16" s="72" t="s">
        <v>204</v>
      </c>
      <c r="U16" s="72" t="s">
        <v>205</v>
      </c>
      <c r="V16" s="73" t="s">
        <v>206</v>
      </c>
      <c r="W16" s="74" t="str">
        <f aca="false">+W12</f>
        <v>Questions</v>
      </c>
      <c r="X16" s="75"/>
      <c r="Y16" s="75"/>
    </row>
    <row r="17" customFormat="false" ht="12.75" hidden="false" customHeight="false" outlineLevel="0" collapsed="false">
      <c r="A17" s="76"/>
      <c r="B17" s="49" t="s">
        <v>207</v>
      </c>
      <c r="C17" s="47" t="s">
        <v>292</v>
      </c>
      <c r="D17" s="47" t="s">
        <v>293</v>
      </c>
      <c r="E17" s="48" t="n">
        <v>36617</v>
      </c>
      <c r="F17" s="48" t="n">
        <v>36830</v>
      </c>
      <c r="G17" s="49" t="s">
        <v>294</v>
      </c>
      <c r="H17" s="49" t="s">
        <v>295</v>
      </c>
      <c r="I17" s="47" t="s">
        <v>296</v>
      </c>
      <c r="J17" s="61" t="n">
        <f aca="false">6.238/J1</f>
        <v>0.201225806451613</v>
      </c>
      <c r="K17" s="52" t="n">
        <v>0</v>
      </c>
      <c r="L17" s="52" t="n">
        <v>0</v>
      </c>
      <c r="M17" s="52" t="n">
        <v>0</v>
      </c>
      <c r="N17" s="52" t="n">
        <v>0</v>
      </c>
      <c r="O17" s="53" t="n">
        <v>0</v>
      </c>
      <c r="P17" s="52" t="n">
        <f aca="false">SUM(J17:N17)</f>
        <v>0.201225806451613</v>
      </c>
      <c r="Q17" s="54" t="n">
        <v>51407</v>
      </c>
      <c r="R17" s="47" t="n">
        <v>73754</v>
      </c>
      <c r="S17" s="49" t="s">
        <v>297</v>
      </c>
      <c r="T17" s="77"/>
      <c r="U17" s="77"/>
      <c r="V17" s="78" t="n">
        <v>156569</v>
      </c>
      <c r="W17" s="49"/>
      <c r="X17" s="75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49" t="s">
        <v>207</v>
      </c>
      <c r="C18" s="47" t="s">
        <v>292</v>
      </c>
      <c r="D18" s="47" t="s">
        <v>293</v>
      </c>
      <c r="E18" s="48" t="n">
        <v>36617</v>
      </c>
      <c r="F18" s="48" t="n">
        <v>36830</v>
      </c>
      <c r="G18" s="49" t="s">
        <v>294</v>
      </c>
      <c r="H18" s="49" t="s">
        <v>298</v>
      </c>
      <c r="I18" s="47" t="s">
        <v>296</v>
      </c>
      <c r="J18" s="61" t="n">
        <f aca="false">1.512/J1</f>
        <v>0.0487741935483871</v>
      </c>
      <c r="K18" s="52" t="n">
        <v>0</v>
      </c>
      <c r="L18" s="52" t="n">
        <v>0</v>
      </c>
      <c r="M18" s="52" t="n">
        <v>0</v>
      </c>
      <c r="N18" s="52" t="n">
        <v>0</v>
      </c>
      <c r="O18" s="53" t="n">
        <v>0</v>
      </c>
      <c r="P18" s="52" t="n">
        <f aca="false">SUM(J18:N18)</f>
        <v>0.0487741935483871</v>
      </c>
      <c r="Q18" s="54" t="n">
        <v>51407</v>
      </c>
      <c r="R18" s="47" t="n">
        <v>73754</v>
      </c>
      <c r="S18" s="49" t="s">
        <v>297</v>
      </c>
      <c r="T18" s="77"/>
      <c r="U18" s="77"/>
      <c r="V18" s="78" t="n">
        <v>156569</v>
      </c>
      <c r="W18" s="49"/>
      <c r="X18" s="75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49" t="s">
        <v>207</v>
      </c>
      <c r="C19" s="47" t="s">
        <v>292</v>
      </c>
      <c r="D19" s="47"/>
      <c r="E19" s="48" t="n">
        <v>36100</v>
      </c>
      <c r="F19" s="48" t="n">
        <v>36830</v>
      </c>
      <c r="G19" s="49" t="s">
        <v>299</v>
      </c>
      <c r="H19" s="49" t="s">
        <v>300</v>
      </c>
      <c r="I19" s="47" t="s">
        <v>115</v>
      </c>
      <c r="J19" s="61" t="n">
        <f aca="false">4.56/J$1</f>
        <v>0.147096774193548</v>
      </c>
      <c r="K19" s="52" t="n">
        <v>0.0132</v>
      </c>
      <c r="L19" s="52" t="n">
        <v>0.0022</v>
      </c>
      <c r="M19" s="52" t="n">
        <v>0.0072</v>
      </c>
      <c r="N19" s="52" t="n">
        <v>0</v>
      </c>
      <c r="O19" s="53" t="n">
        <v>0.02116</v>
      </c>
      <c r="P19" s="52" t="n">
        <f aca="false">SUM(J19:N19)</f>
        <v>0.169696774193548</v>
      </c>
      <c r="Q19" s="54" t="n">
        <v>61822</v>
      </c>
      <c r="R19" s="47" t="n">
        <v>4000</v>
      </c>
      <c r="S19" s="49" t="s">
        <v>301</v>
      </c>
      <c r="T19" s="77" t="n">
        <f aca="false">J19*J$1*R19</f>
        <v>18240</v>
      </c>
      <c r="U19" s="77"/>
      <c r="V19" s="78" t="n">
        <v>162284</v>
      </c>
      <c r="W19" s="49"/>
      <c r="X19" s="75"/>
      <c r="Y19" s="75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49" t="s">
        <v>207</v>
      </c>
      <c r="C20" s="47" t="s">
        <v>292</v>
      </c>
      <c r="D20" s="47" t="s">
        <v>302</v>
      </c>
      <c r="E20" s="48" t="n">
        <v>36526</v>
      </c>
      <c r="F20" s="48" t="n">
        <v>36830</v>
      </c>
      <c r="G20" s="49" t="s">
        <v>303</v>
      </c>
      <c r="H20" s="49" t="s">
        <v>304</v>
      </c>
      <c r="I20" s="47" t="s">
        <v>115</v>
      </c>
      <c r="J20" s="61" t="n">
        <f aca="false">4.56/J$1</f>
        <v>0.147096774193548</v>
      </c>
      <c r="K20" s="52" t="n">
        <v>0.0132</v>
      </c>
      <c r="L20" s="52" t="n">
        <v>0.0022</v>
      </c>
      <c r="M20" s="52" t="n">
        <v>0.0075</v>
      </c>
      <c r="N20" s="52" t="n">
        <v>0</v>
      </c>
      <c r="O20" s="53" t="n">
        <v>0.02116</v>
      </c>
      <c r="P20" s="52" t="n">
        <f aca="false">SUM(J20:N20)</f>
        <v>0.169996774193548</v>
      </c>
      <c r="Q20" s="54" t="n">
        <v>61825</v>
      </c>
      <c r="R20" s="47" t="n">
        <v>2000</v>
      </c>
      <c r="S20" s="49" t="s">
        <v>305</v>
      </c>
      <c r="T20" s="77" t="n">
        <f aca="false">J20*J$1*R20</f>
        <v>9120</v>
      </c>
      <c r="U20" s="77"/>
      <c r="V20" s="78" t="n">
        <v>156570</v>
      </c>
      <c r="W20" s="77"/>
      <c r="X20" s="75"/>
      <c r="Y20" s="75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49" t="s">
        <v>207</v>
      </c>
      <c r="C21" s="47" t="s">
        <v>292</v>
      </c>
      <c r="D21" s="47" t="s">
        <v>302</v>
      </c>
      <c r="E21" s="48" t="n">
        <v>36526</v>
      </c>
      <c r="F21" s="48" t="n">
        <v>36830</v>
      </c>
      <c r="G21" s="49" t="s">
        <v>306</v>
      </c>
      <c r="H21" s="49" t="s">
        <v>304</v>
      </c>
      <c r="I21" s="47" t="s">
        <v>115</v>
      </c>
      <c r="J21" s="61" t="n">
        <f aca="false">4.56/J$1</f>
        <v>0.147096774193548</v>
      </c>
      <c r="K21" s="52" t="n">
        <v>0.0132</v>
      </c>
      <c r="L21" s="52" t="n">
        <v>0.0022</v>
      </c>
      <c r="M21" s="52" t="n">
        <v>0.0075</v>
      </c>
      <c r="N21" s="52" t="n">
        <v>0</v>
      </c>
      <c r="O21" s="53" t="n">
        <v>0.02116</v>
      </c>
      <c r="P21" s="52" t="n">
        <f aca="false">SUM(J21:N21)</f>
        <v>0.169996774193548</v>
      </c>
      <c r="Q21" s="54" t="n">
        <v>61825</v>
      </c>
      <c r="R21" s="47" t="n">
        <v>5000</v>
      </c>
      <c r="S21" s="49" t="s">
        <v>305</v>
      </c>
      <c r="T21" s="77" t="n">
        <f aca="false">J21*J$1*R21</f>
        <v>22800</v>
      </c>
      <c r="U21" s="77"/>
      <c r="V21" s="78" t="n">
        <v>156570</v>
      </c>
      <c r="W21" s="77"/>
      <c r="X21" s="75"/>
      <c r="Y21" s="75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49" t="s">
        <v>207</v>
      </c>
      <c r="C22" s="47" t="s">
        <v>292</v>
      </c>
      <c r="D22" s="47" t="s">
        <v>302</v>
      </c>
      <c r="E22" s="48" t="n">
        <v>36526</v>
      </c>
      <c r="F22" s="48" t="n">
        <v>36830</v>
      </c>
      <c r="G22" s="49" t="s">
        <v>307</v>
      </c>
      <c r="H22" s="49" t="s">
        <v>304</v>
      </c>
      <c r="I22" s="47" t="s">
        <v>115</v>
      </c>
      <c r="J22" s="61" t="n">
        <f aca="false">4.56/J$1</f>
        <v>0.147096774193548</v>
      </c>
      <c r="K22" s="52" t="n">
        <v>0.0132</v>
      </c>
      <c r="L22" s="52" t="n">
        <v>0.0022</v>
      </c>
      <c r="M22" s="52" t="n">
        <v>0.0075</v>
      </c>
      <c r="N22" s="52" t="n">
        <v>0</v>
      </c>
      <c r="O22" s="53" t="n">
        <v>0.02116</v>
      </c>
      <c r="P22" s="52" t="n">
        <f aca="false">SUM(J22:N22)</f>
        <v>0.169996774193548</v>
      </c>
      <c r="Q22" s="54" t="n">
        <v>61825</v>
      </c>
      <c r="R22" s="47" t="n">
        <v>1000</v>
      </c>
      <c r="S22" s="49" t="s">
        <v>305</v>
      </c>
      <c r="T22" s="77" t="n">
        <f aca="false">J22*J$1*R22</f>
        <v>4560</v>
      </c>
      <c r="U22" s="77"/>
      <c r="V22" s="78" t="n">
        <v>156570</v>
      </c>
      <c r="W22" s="77"/>
      <c r="X22" s="75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49" t="s">
        <v>207</v>
      </c>
      <c r="C23" s="47" t="s">
        <v>292</v>
      </c>
      <c r="D23" s="47"/>
      <c r="E23" s="48" t="n">
        <v>36100</v>
      </c>
      <c r="F23" s="48" t="n">
        <v>36830</v>
      </c>
      <c r="G23" s="49" t="s">
        <v>303</v>
      </c>
      <c r="H23" s="49" t="s">
        <v>308</v>
      </c>
      <c r="I23" s="47" t="s">
        <v>115</v>
      </c>
      <c r="J23" s="61" t="n">
        <f aca="false">4.56/J$1</f>
        <v>0.147096774193548</v>
      </c>
      <c r="K23" s="52" t="n">
        <v>0.0132</v>
      </c>
      <c r="L23" s="52" t="n">
        <v>0.0022</v>
      </c>
      <c r="M23" s="52" t="n">
        <v>0.0072</v>
      </c>
      <c r="N23" s="52" t="n">
        <v>0</v>
      </c>
      <c r="O23" s="53" t="n">
        <v>0.02116</v>
      </c>
      <c r="P23" s="52" t="n">
        <f aca="false">SUM(J23:N23)</f>
        <v>0.169696774193548</v>
      </c>
      <c r="Q23" s="54" t="n">
        <v>61838</v>
      </c>
      <c r="R23" s="47" t="n">
        <v>1000</v>
      </c>
      <c r="S23" s="49" t="s">
        <v>309</v>
      </c>
      <c r="T23" s="77" t="n">
        <f aca="false">J23*J$1*R23</f>
        <v>4560</v>
      </c>
      <c r="U23" s="77"/>
      <c r="V23" s="78" t="n">
        <v>156571</v>
      </c>
      <c r="W23" s="49"/>
      <c r="X23" s="75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49" t="s">
        <v>207</v>
      </c>
      <c r="C24" s="47" t="s">
        <v>292</v>
      </c>
      <c r="D24" s="47" t="s">
        <v>302</v>
      </c>
      <c r="E24" s="48" t="n">
        <v>36526</v>
      </c>
      <c r="F24" s="48" t="n">
        <v>36830</v>
      </c>
      <c r="G24" s="49" t="s">
        <v>303</v>
      </c>
      <c r="H24" s="49" t="s">
        <v>310</v>
      </c>
      <c r="I24" s="47" t="s">
        <v>115</v>
      </c>
      <c r="J24" s="61" t="n">
        <f aca="false">4.56/J$1</f>
        <v>0.147096774193548</v>
      </c>
      <c r="K24" s="52" t="n">
        <v>0.0132</v>
      </c>
      <c r="L24" s="52" t="n">
        <v>0.0022</v>
      </c>
      <c r="M24" s="52" t="n">
        <v>0.0075</v>
      </c>
      <c r="N24" s="52" t="n">
        <v>0</v>
      </c>
      <c r="O24" s="53" t="n">
        <v>0.02116</v>
      </c>
      <c r="P24" s="52" t="n">
        <f aca="false">SUM(J24:N24)</f>
        <v>0.169996774193548</v>
      </c>
      <c r="Q24" s="54" t="n">
        <v>61990</v>
      </c>
      <c r="R24" s="47" t="n">
        <v>2000</v>
      </c>
      <c r="S24" s="49" t="s">
        <v>311</v>
      </c>
      <c r="T24" s="77" t="n">
        <f aca="false">J24*J$1*R24</f>
        <v>9120</v>
      </c>
      <c r="U24" s="77"/>
      <c r="V24" s="78" t="n">
        <v>156573</v>
      </c>
      <c r="W24" s="77"/>
      <c r="X24" s="75"/>
      <c r="Y24" s="75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76"/>
      <c r="B25" s="49" t="s">
        <v>207</v>
      </c>
      <c r="C25" s="47" t="s">
        <v>292</v>
      </c>
      <c r="D25" s="47" t="s">
        <v>302</v>
      </c>
      <c r="E25" s="48" t="n">
        <v>36465</v>
      </c>
      <c r="F25" s="48" t="n">
        <v>36891</v>
      </c>
      <c r="G25" s="49"/>
      <c r="H25" s="49" t="s">
        <v>312</v>
      </c>
      <c r="I25" s="47" t="s">
        <v>115</v>
      </c>
      <c r="J25" s="61" t="n">
        <f aca="false">3.0417/30.417</f>
        <v>0.1</v>
      </c>
      <c r="K25" s="52" t="n">
        <v>0.0132</v>
      </c>
      <c r="L25" s="52" t="n">
        <v>0.0022</v>
      </c>
      <c r="M25" s="52" t="n">
        <v>0.0075</v>
      </c>
      <c r="N25" s="52" t="n">
        <v>0</v>
      </c>
      <c r="O25" s="53" t="n">
        <v>0.02116</v>
      </c>
      <c r="P25" s="52" t="n">
        <f aca="false">SUM(J25:N25)</f>
        <v>0.1229</v>
      </c>
      <c r="Q25" s="54" t="n">
        <v>62164</v>
      </c>
      <c r="R25" s="47" t="n">
        <v>2000</v>
      </c>
      <c r="S25" s="49" t="s">
        <v>313</v>
      </c>
      <c r="T25" s="77" t="n">
        <f aca="false">J25*J$1*R25</f>
        <v>6200</v>
      </c>
      <c r="U25" s="78"/>
      <c r="V25" s="75" t="s">
        <v>314</v>
      </c>
      <c r="W25" s="75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</row>
    <row r="26" customFormat="false" ht="12.75" hidden="false" customHeight="false" outlineLevel="0" collapsed="false">
      <c r="A26" s="76"/>
      <c r="B26" s="49" t="s">
        <v>207</v>
      </c>
      <c r="C26" s="47" t="s">
        <v>292</v>
      </c>
      <c r="D26" s="47" t="s">
        <v>293</v>
      </c>
      <c r="E26" s="48" t="n">
        <v>36617</v>
      </c>
      <c r="F26" s="48" t="n">
        <v>36799</v>
      </c>
      <c r="G26" s="49" t="s">
        <v>294</v>
      </c>
      <c r="H26" s="49" t="s">
        <v>315</v>
      </c>
      <c r="I26" s="47" t="s">
        <v>316</v>
      </c>
      <c r="J26" s="61" t="n">
        <f aca="false">6.029/J$1</f>
        <v>0.194483870967742</v>
      </c>
      <c r="K26" s="52" t="n">
        <v>0.013</v>
      </c>
      <c r="L26" s="52" t="n">
        <v>0.0022</v>
      </c>
      <c r="M26" s="52" t="n">
        <v>0.0072</v>
      </c>
      <c r="N26" s="52" t="n">
        <v>0</v>
      </c>
      <c r="O26" s="53" t="n">
        <v>0.02116</v>
      </c>
      <c r="P26" s="52" t="n">
        <f aca="false">SUM(J26:N26)</f>
        <v>0.216883870967742</v>
      </c>
      <c r="Q26" s="54" t="n">
        <v>67693</v>
      </c>
      <c r="R26" s="47" t="n">
        <v>54327</v>
      </c>
      <c r="S26" s="49" t="s">
        <v>317</v>
      </c>
      <c r="T26" s="77" t="n">
        <f aca="false">J26*J$1*R26</f>
        <v>327537.483</v>
      </c>
      <c r="U26" s="77"/>
      <c r="V26" s="78" t="n">
        <v>231378</v>
      </c>
      <c r="W26" s="49"/>
      <c r="X26" s="75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7" customFormat="false" ht="12.75" hidden="false" customHeight="false" outlineLevel="0" collapsed="false">
      <c r="A27" s="76"/>
      <c r="B27" s="49" t="s">
        <v>207</v>
      </c>
      <c r="C27" s="47" t="s">
        <v>292</v>
      </c>
      <c r="D27" s="47" t="s">
        <v>293</v>
      </c>
      <c r="E27" s="48" t="n">
        <v>36617</v>
      </c>
      <c r="F27" s="48" t="n">
        <v>36981</v>
      </c>
      <c r="G27" s="49" t="s">
        <v>294</v>
      </c>
      <c r="H27" s="49" t="s">
        <v>295</v>
      </c>
      <c r="I27" s="47" t="s">
        <v>296</v>
      </c>
      <c r="J27" s="61" t="n">
        <v>0.0293</v>
      </c>
      <c r="K27" s="52" t="n">
        <v>0</v>
      </c>
      <c r="L27" s="52" t="n">
        <v>0</v>
      </c>
      <c r="M27" s="52" t="n">
        <v>0</v>
      </c>
      <c r="N27" s="52" t="n">
        <v>0</v>
      </c>
      <c r="O27" s="53" t="n">
        <v>0</v>
      </c>
      <c r="P27" s="52" t="n">
        <f aca="false">SUM(J27:N27)</f>
        <v>0.0293</v>
      </c>
      <c r="Q27" s="54" t="n">
        <v>67712</v>
      </c>
      <c r="R27" s="47" t="n">
        <v>6050607</v>
      </c>
      <c r="S27" s="49" t="s">
        <v>318</v>
      </c>
      <c r="T27" s="77" t="n">
        <f aca="false">J27*R27</f>
        <v>177282.7851</v>
      </c>
      <c r="U27" s="77"/>
      <c r="V27" s="78" t="n">
        <v>235876</v>
      </c>
      <c r="W27" s="49" t="n">
        <v>231698</v>
      </c>
      <c r="X27" s="75"/>
      <c r="Y27" s="75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12.75" hidden="false" customHeight="false" outlineLevel="0" collapsed="false">
      <c r="A28" s="76"/>
      <c r="B28" s="49" t="s">
        <v>207</v>
      </c>
      <c r="C28" s="47" t="s">
        <v>292</v>
      </c>
      <c r="D28" s="47" t="s">
        <v>293</v>
      </c>
      <c r="E28" s="48" t="n">
        <v>36617</v>
      </c>
      <c r="F28" s="48" t="n">
        <v>36981</v>
      </c>
      <c r="G28" s="49" t="s">
        <v>294</v>
      </c>
      <c r="H28" s="49" t="s">
        <v>298</v>
      </c>
      <c r="I28" s="47" t="s">
        <v>296</v>
      </c>
      <c r="J28" s="61" t="n">
        <v>1.524</v>
      </c>
      <c r="K28" s="52" t="n">
        <v>0</v>
      </c>
      <c r="L28" s="52" t="n">
        <v>0</v>
      </c>
      <c r="M28" s="52" t="n">
        <v>0</v>
      </c>
      <c r="N28" s="52" t="n">
        <v>0</v>
      </c>
      <c r="O28" s="53" t="n">
        <v>0</v>
      </c>
      <c r="P28" s="52" t="n">
        <f aca="false">SUM(J28:N28)</f>
        <v>1.524</v>
      </c>
      <c r="Q28" s="54" t="n">
        <v>67712</v>
      </c>
      <c r="R28" s="47" t="n">
        <v>108648</v>
      </c>
      <c r="S28" s="49" t="s">
        <v>318</v>
      </c>
      <c r="T28" s="77" t="n">
        <f aca="false">J28*R28</f>
        <v>165579.552</v>
      </c>
      <c r="U28" s="77"/>
      <c r="V28" s="78" t="n">
        <v>235876</v>
      </c>
      <c r="W28" s="49" t="n">
        <v>231698</v>
      </c>
      <c r="X28" s="75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false" outlineLevel="0" collapsed="false">
      <c r="A29" s="76"/>
      <c r="B29" s="49" t="s">
        <v>207</v>
      </c>
      <c r="C29" s="47" t="s">
        <v>292</v>
      </c>
      <c r="D29" s="47" t="s">
        <v>293</v>
      </c>
      <c r="E29" s="48" t="n">
        <v>36617</v>
      </c>
      <c r="F29" s="48" t="n">
        <v>36981</v>
      </c>
      <c r="G29" s="49" t="s">
        <v>294</v>
      </c>
      <c r="H29" s="49" t="s">
        <v>295</v>
      </c>
      <c r="I29" s="47" t="s">
        <v>296</v>
      </c>
      <c r="J29" s="61" t="n">
        <v>0</v>
      </c>
      <c r="K29" s="52" t="n">
        <v>0</v>
      </c>
      <c r="L29" s="52" t="n">
        <v>0</v>
      </c>
      <c r="M29" s="52" t="n">
        <v>0</v>
      </c>
      <c r="N29" s="52" t="n">
        <v>0</v>
      </c>
      <c r="O29" s="53" t="n">
        <v>0</v>
      </c>
      <c r="P29" s="52" t="n">
        <f aca="false">SUM(J29:N29)</f>
        <v>0</v>
      </c>
      <c r="Q29" s="54" t="n">
        <v>67713</v>
      </c>
      <c r="R29" s="47" t="n">
        <v>0</v>
      </c>
      <c r="S29" s="49" t="s">
        <v>319</v>
      </c>
      <c r="T29" s="77" t="n">
        <f aca="false">J29*R29</f>
        <v>0</v>
      </c>
      <c r="U29" s="77"/>
      <c r="V29" s="78" t="n">
        <v>235876</v>
      </c>
      <c r="W29" s="49"/>
      <c r="X29" s="75"/>
      <c r="Y29" s="75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12.75" hidden="false" customHeight="false" outlineLevel="0" collapsed="false">
      <c r="A30" s="76"/>
      <c r="B30" s="49" t="s">
        <v>207</v>
      </c>
      <c r="C30" s="47" t="s">
        <v>292</v>
      </c>
      <c r="D30" s="47" t="s">
        <v>293</v>
      </c>
      <c r="E30" s="48" t="n">
        <v>36617</v>
      </c>
      <c r="F30" s="48" t="n">
        <v>36981</v>
      </c>
      <c r="G30" s="49" t="s">
        <v>294</v>
      </c>
      <c r="H30" s="49" t="s">
        <v>298</v>
      </c>
      <c r="I30" s="47" t="s">
        <v>296</v>
      </c>
      <c r="J30" s="61" t="n">
        <v>0</v>
      </c>
      <c r="K30" s="52" t="n">
        <v>0</v>
      </c>
      <c r="L30" s="52" t="n">
        <v>0</v>
      </c>
      <c r="M30" s="52" t="n">
        <v>0</v>
      </c>
      <c r="N30" s="52" t="n">
        <v>0</v>
      </c>
      <c r="O30" s="53" t="n">
        <v>0</v>
      </c>
      <c r="P30" s="52" t="n">
        <f aca="false">SUM(J30:N30)</f>
        <v>0</v>
      </c>
      <c r="Q30" s="54" t="n">
        <v>67713</v>
      </c>
      <c r="R30" s="47" t="n">
        <v>0</v>
      </c>
      <c r="S30" s="49" t="s">
        <v>319</v>
      </c>
      <c r="T30" s="77" t="n">
        <f aca="false">J30*R30</f>
        <v>0</v>
      </c>
      <c r="U30" s="77"/>
      <c r="V30" s="78" t="n">
        <v>235876</v>
      </c>
      <c r="W30" s="49"/>
      <c r="X30" s="75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  <c r="IW30" s="76"/>
    </row>
    <row r="31" customFormat="false" ht="12.75" hidden="false" customHeight="false" outlineLevel="0" collapsed="false">
      <c r="A31" s="76"/>
      <c r="B31" s="49" t="s">
        <v>207</v>
      </c>
      <c r="C31" s="47" t="s">
        <v>292</v>
      </c>
      <c r="D31" s="47" t="s">
        <v>320</v>
      </c>
      <c r="E31" s="48" t="n">
        <v>36678</v>
      </c>
      <c r="F31" s="48" t="n">
        <v>37042</v>
      </c>
      <c r="G31" s="49" t="s">
        <v>321</v>
      </c>
      <c r="H31" s="49" t="s">
        <v>322</v>
      </c>
      <c r="I31" s="47" t="s">
        <v>115</v>
      </c>
      <c r="J31" s="61" t="n">
        <f aca="false">6.401/J$1</f>
        <v>0.206483870967742</v>
      </c>
      <c r="K31" s="52" t="n">
        <v>0.0132</v>
      </c>
      <c r="L31" s="52" t="n">
        <v>0.0022</v>
      </c>
      <c r="M31" s="52" t="n">
        <v>0.0072</v>
      </c>
      <c r="N31" s="52" t="n">
        <v>0</v>
      </c>
      <c r="O31" s="53" t="n">
        <v>0.02116</v>
      </c>
      <c r="P31" s="52" t="n">
        <f aca="false">SUM(J31:N31)</f>
        <v>0.229083870967742</v>
      </c>
      <c r="Q31" s="54" t="n">
        <v>68359</v>
      </c>
      <c r="R31" s="47" t="n">
        <v>285</v>
      </c>
      <c r="S31" s="49" t="s">
        <v>323</v>
      </c>
      <c r="T31" s="77" t="n">
        <f aca="false">J31*J$1*R31</f>
        <v>1824.285</v>
      </c>
      <c r="U31" s="77"/>
      <c r="V31" s="78" t="n">
        <v>271307</v>
      </c>
      <c r="W31" s="49"/>
      <c r="X31" s="75"/>
      <c r="Y31" s="75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2.75" hidden="false" customHeight="false" outlineLevel="0" collapsed="false">
      <c r="A32" s="76"/>
      <c r="B32" s="49" t="s">
        <v>207</v>
      </c>
      <c r="C32" s="47" t="s">
        <v>292</v>
      </c>
      <c r="D32" s="47" t="s">
        <v>324</v>
      </c>
      <c r="E32" s="48" t="n">
        <v>36678</v>
      </c>
      <c r="F32" s="48" t="n">
        <v>37042</v>
      </c>
      <c r="G32" s="49" t="s">
        <v>321</v>
      </c>
      <c r="H32" s="49" t="s">
        <v>325</v>
      </c>
      <c r="I32" s="47" t="s">
        <v>115</v>
      </c>
      <c r="J32" s="61" t="n">
        <f aca="false">6.401/J$1</f>
        <v>0.206483870967742</v>
      </c>
      <c r="K32" s="52" t="n">
        <v>0.0132</v>
      </c>
      <c r="L32" s="52" t="n">
        <v>0.0022</v>
      </c>
      <c r="M32" s="52" t="n">
        <v>0.0072</v>
      </c>
      <c r="N32" s="52" t="n">
        <v>0</v>
      </c>
      <c r="O32" s="53" t="n">
        <v>0.02116</v>
      </c>
      <c r="P32" s="52" t="n">
        <f aca="false">SUM(J32:N32)</f>
        <v>0.229083870967742</v>
      </c>
      <c r="Q32" s="54" t="n">
        <v>68384</v>
      </c>
      <c r="R32" s="47" t="n">
        <v>218</v>
      </c>
      <c r="S32" s="49" t="s">
        <v>326</v>
      </c>
      <c r="T32" s="77" t="n">
        <f aca="false">J32*J$1*R32</f>
        <v>1395.418</v>
      </c>
      <c r="U32" s="77"/>
      <c r="V32" s="78" t="n">
        <v>280570</v>
      </c>
      <c r="W32" s="49"/>
      <c r="X32" s="75"/>
      <c r="Y32" s="75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2.75" hidden="false" customHeight="false" outlineLevel="0" collapsed="false">
      <c r="A33" s="79"/>
      <c r="B33" s="80" t="s">
        <v>207</v>
      </c>
      <c r="C33" s="81" t="s">
        <v>292</v>
      </c>
      <c r="D33" s="81" t="s">
        <v>320</v>
      </c>
      <c r="E33" s="82" t="n">
        <v>36708</v>
      </c>
      <c r="F33" s="82" t="n">
        <v>37072</v>
      </c>
      <c r="G33" s="80" t="s">
        <v>321</v>
      </c>
      <c r="H33" s="80" t="s">
        <v>322</v>
      </c>
      <c r="I33" s="81" t="s">
        <v>115</v>
      </c>
      <c r="J33" s="83" t="n">
        <f aca="false">6.449/J$1</f>
        <v>0.208032258064516</v>
      </c>
      <c r="K33" s="84" t="n">
        <v>0.0132</v>
      </c>
      <c r="L33" s="84" t="n">
        <v>0.0022</v>
      </c>
      <c r="M33" s="84" t="n">
        <v>0.0072</v>
      </c>
      <c r="N33" s="84" t="n">
        <v>0</v>
      </c>
      <c r="O33" s="85" t="n">
        <v>0.02116</v>
      </c>
      <c r="P33" s="84" t="n">
        <f aca="false">SUM(J33:N33)</f>
        <v>0.230632258064516</v>
      </c>
      <c r="Q33" s="86" t="n">
        <v>68616</v>
      </c>
      <c r="R33" s="81" t="n">
        <v>900</v>
      </c>
      <c r="S33" s="80" t="s">
        <v>327</v>
      </c>
      <c r="T33" s="87" t="n">
        <f aca="false">J33*J$1*R33</f>
        <v>5804.1</v>
      </c>
      <c r="U33" s="87"/>
      <c r="V33" s="88" t="n">
        <v>309723</v>
      </c>
      <c r="W33" s="80" t="s">
        <v>328</v>
      </c>
      <c r="X33" s="89"/>
      <c r="Y33" s="8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customFormat="false" ht="12.75" hidden="false" customHeight="false" outlineLevel="0" collapsed="false">
      <c r="A34" s="79"/>
      <c r="B34" s="80" t="s">
        <v>207</v>
      </c>
      <c r="C34" s="81" t="s">
        <v>292</v>
      </c>
      <c r="D34" s="81" t="s">
        <v>324</v>
      </c>
      <c r="E34" s="82" t="n">
        <v>36708</v>
      </c>
      <c r="F34" s="82" t="n">
        <v>37072</v>
      </c>
      <c r="G34" s="80" t="s">
        <v>321</v>
      </c>
      <c r="H34" s="80" t="s">
        <v>329</v>
      </c>
      <c r="I34" s="81" t="s">
        <v>115</v>
      </c>
      <c r="J34" s="83" t="n">
        <f aca="false">6.449/J$1</f>
        <v>0.208032258064516</v>
      </c>
      <c r="K34" s="84" t="n">
        <v>0.0132</v>
      </c>
      <c r="L34" s="84" t="n">
        <v>0.0022</v>
      </c>
      <c r="M34" s="84" t="n">
        <v>0.0072</v>
      </c>
      <c r="N34" s="84" t="n">
        <v>0</v>
      </c>
      <c r="O34" s="85" t="n">
        <v>0.02116</v>
      </c>
      <c r="P34" s="84" t="n">
        <f aca="false">SUM(J34:N34)</f>
        <v>0.230632258064516</v>
      </c>
      <c r="Q34" s="86" t="n">
        <v>68635</v>
      </c>
      <c r="R34" s="81" t="n">
        <v>1</v>
      </c>
      <c r="S34" s="80" t="s">
        <v>330</v>
      </c>
      <c r="T34" s="87" t="n">
        <f aca="false">J34*J$1*R34</f>
        <v>6.449</v>
      </c>
      <c r="U34" s="87"/>
      <c r="V34" s="88" t="n">
        <v>312333</v>
      </c>
      <c r="W34" s="80"/>
      <c r="X34" s="89"/>
      <c r="Y34" s="8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customFormat="false" ht="12.75" hidden="false" customHeight="false" outlineLevel="0" collapsed="false">
      <c r="A35" s="76"/>
      <c r="B35" s="49" t="s">
        <v>207</v>
      </c>
      <c r="C35" s="47" t="s">
        <v>292</v>
      </c>
      <c r="D35" s="47" t="s">
        <v>320</v>
      </c>
      <c r="E35" s="48" t="n">
        <v>36373</v>
      </c>
      <c r="F35" s="48" t="n">
        <v>36738</v>
      </c>
      <c r="G35" s="49" t="s">
        <v>321</v>
      </c>
      <c r="H35" s="49" t="s">
        <v>322</v>
      </c>
      <c r="I35" s="47" t="s">
        <v>115</v>
      </c>
      <c r="J35" s="61" t="n">
        <f aca="false">6.449/J$1</f>
        <v>0.208032258064516</v>
      </c>
      <c r="K35" s="52" t="n">
        <v>0.0132</v>
      </c>
      <c r="L35" s="52" t="n">
        <v>0.0022</v>
      </c>
      <c r="M35" s="52" t="n">
        <v>0.0072</v>
      </c>
      <c r="N35" s="52" t="n">
        <v>0</v>
      </c>
      <c r="O35" s="53" t="n">
        <v>0.02116</v>
      </c>
      <c r="P35" s="52" t="n">
        <f aca="false">SUM(J35:N35)</f>
        <v>0.230632258064516</v>
      </c>
      <c r="Q35" s="54" t="n">
        <v>64328</v>
      </c>
      <c r="R35" s="47" t="n">
        <v>51</v>
      </c>
      <c r="S35" s="49" t="s">
        <v>331</v>
      </c>
      <c r="T35" s="77" t="n">
        <f aca="false">J35*J$1*R35</f>
        <v>328.899</v>
      </c>
      <c r="U35" s="77"/>
      <c r="V35" s="78" t="n">
        <v>156588</v>
      </c>
      <c r="W35" s="49"/>
      <c r="X35" s="75"/>
      <c r="Y35" s="75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.75" hidden="false" customHeight="false" outlineLevel="0" collapsed="false">
      <c r="A36" s="76"/>
      <c r="B36" s="49" t="s">
        <v>207</v>
      </c>
      <c r="C36" s="47" t="s">
        <v>292</v>
      </c>
      <c r="D36" s="47" t="s">
        <v>324</v>
      </c>
      <c r="E36" s="48" t="n">
        <v>36373</v>
      </c>
      <c r="F36" s="48" t="n">
        <v>36738</v>
      </c>
      <c r="G36" s="49" t="s">
        <v>321</v>
      </c>
      <c r="H36" s="49" t="s">
        <v>325</v>
      </c>
      <c r="I36" s="47" t="s">
        <v>115</v>
      </c>
      <c r="J36" s="61" t="n">
        <f aca="false">6.449/J$1</f>
        <v>0.208032258064516</v>
      </c>
      <c r="K36" s="52" t="n">
        <v>0.0132</v>
      </c>
      <c r="L36" s="52" t="n">
        <v>0.0022</v>
      </c>
      <c r="M36" s="52" t="n">
        <v>0.0072</v>
      </c>
      <c r="N36" s="52" t="n">
        <v>0</v>
      </c>
      <c r="O36" s="53" t="n">
        <v>0.02116</v>
      </c>
      <c r="P36" s="52" t="n">
        <f aca="false">SUM(J36:N36)</f>
        <v>0.230632258064516</v>
      </c>
      <c r="Q36" s="54" t="n">
        <v>64329</v>
      </c>
      <c r="R36" s="47" t="n">
        <v>12</v>
      </c>
      <c r="S36" s="49" t="s">
        <v>332</v>
      </c>
      <c r="T36" s="77" t="n">
        <f aca="false">J36*J$1*R36</f>
        <v>77.388</v>
      </c>
      <c r="U36" s="77"/>
      <c r="V36" s="78" t="n">
        <v>156590</v>
      </c>
      <c r="W36" s="49"/>
      <c r="X36" s="75"/>
      <c r="Y36" s="75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.75" hidden="false" customHeight="false" outlineLevel="0" collapsed="false">
      <c r="A37" s="76"/>
      <c r="B37" s="49" t="s">
        <v>207</v>
      </c>
      <c r="C37" s="47" t="s">
        <v>292</v>
      </c>
      <c r="D37" s="47" t="s">
        <v>324</v>
      </c>
      <c r="E37" s="48" t="n">
        <v>36404</v>
      </c>
      <c r="F37" s="48" t="n">
        <v>36769</v>
      </c>
      <c r="G37" s="49" t="s">
        <v>321</v>
      </c>
      <c r="H37" s="49" t="s">
        <v>325</v>
      </c>
      <c r="I37" s="47" t="s">
        <v>115</v>
      </c>
      <c r="J37" s="61" t="n">
        <f aca="false">6.449/J$1</f>
        <v>0.208032258064516</v>
      </c>
      <c r="K37" s="52" t="n">
        <v>0.0132</v>
      </c>
      <c r="L37" s="52" t="n">
        <v>0.0022</v>
      </c>
      <c r="M37" s="52" t="n">
        <v>0.0072</v>
      </c>
      <c r="N37" s="52" t="n">
        <v>0</v>
      </c>
      <c r="O37" s="53" t="n">
        <v>0.02116</v>
      </c>
      <c r="P37" s="52" t="n">
        <f aca="false">SUM(J37:N37)</f>
        <v>0.230632258064516</v>
      </c>
      <c r="Q37" s="54" t="n">
        <v>64651</v>
      </c>
      <c r="R37" s="47" t="n">
        <v>64</v>
      </c>
      <c r="S37" s="49" t="s">
        <v>333</v>
      </c>
      <c r="T37" s="77" t="n">
        <f aca="false">J37*J$1*R37</f>
        <v>412.736</v>
      </c>
      <c r="U37" s="77"/>
      <c r="V37" s="78" t="n">
        <v>156591</v>
      </c>
      <c r="W37" s="49"/>
      <c r="X37" s="75"/>
      <c r="Y37" s="75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.75" hidden="false" customHeight="false" outlineLevel="0" collapsed="false">
      <c r="A38" s="76"/>
      <c r="B38" s="49" t="s">
        <v>207</v>
      </c>
      <c r="C38" s="47" t="s">
        <v>292</v>
      </c>
      <c r="D38" s="47" t="s">
        <v>324</v>
      </c>
      <c r="E38" s="48" t="n">
        <v>36434</v>
      </c>
      <c r="F38" s="48" t="n">
        <v>36799</v>
      </c>
      <c r="G38" s="49" t="s">
        <v>321</v>
      </c>
      <c r="H38" s="49" t="s">
        <v>329</v>
      </c>
      <c r="I38" s="47" t="s">
        <v>115</v>
      </c>
      <c r="J38" s="61" t="n">
        <f aca="false">6.449/J$1</f>
        <v>0.208032258064516</v>
      </c>
      <c r="K38" s="52" t="n">
        <v>0.0132</v>
      </c>
      <c r="L38" s="52" t="n">
        <v>0.0022</v>
      </c>
      <c r="M38" s="52" t="n">
        <v>0.0072</v>
      </c>
      <c r="N38" s="52" t="n">
        <v>0</v>
      </c>
      <c r="O38" s="53" t="n">
        <v>0.02116</v>
      </c>
      <c r="P38" s="52" t="n">
        <f aca="false">SUM(J38:N38)</f>
        <v>0.230632258064516</v>
      </c>
      <c r="Q38" s="54" t="n">
        <v>64862</v>
      </c>
      <c r="R38" s="47" t="n">
        <v>13</v>
      </c>
      <c r="S38" s="49" t="s">
        <v>334</v>
      </c>
      <c r="T38" s="77" t="n">
        <f aca="false">J38*J$1*R38</f>
        <v>83.837</v>
      </c>
      <c r="U38" s="77"/>
      <c r="V38" s="78" t="n">
        <v>156592</v>
      </c>
      <c r="W38" s="49"/>
      <c r="X38" s="75"/>
      <c r="Y38" s="75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.75" hidden="false" customHeight="false" outlineLevel="0" collapsed="false">
      <c r="A39" s="91"/>
      <c r="B39" s="92" t="s">
        <v>207</v>
      </c>
      <c r="C39" s="93" t="s">
        <v>292</v>
      </c>
      <c r="D39" s="93" t="s">
        <v>293</v>
      </c>
      <c r="E39" s="94" t="n">
        <v>36434</v>
      </c>
      <c r="F39" s="94" t="n">
        <v>36799</v>
      </c>
      <c r="G39" s="92" t="s">
        <v>321</v>
      </c>
      <c r="H39" s="92" t="s">
        <v>335</v>
      </c>
      <c r="I39" s="93" t="s">
        <v>115</v>
      </c>
      <c r="J39" s="95" t="n">
        <f aca="false">6.372/J$1</f>
        <v>0.205548387096774</v>
      </c>
      <c r="K39" s="96" t="n">
        <v>0.0132</v>
      </c>
      <c r="L39" s="96" t="n">
        <v>0.0022</v>
      </c>
      <c r="M39" s="96" t="n">
        <v>0.0072</v>
      </c>
      <c r="N39" s="96" t="n">
        <v>0</v>
      </c>
      <c r="O39" s="97" t="n">
        <v>0.02116</v>
      </c>
      <c r="P39" s="96" t="n">
        <f aca="false">SUM(J39:N39)</f>
        <v>0.228148387096774</v>
      </c>
      <c r="Q39" s="98" t="n">
        <v>64939</v>
      </c>
      <c r="R39" s="93" t="n">
        <v>2300</v>
      </c>
      <c r="S39" s="92" t="s">
        <v>336</v>
      </c>
      <c r="T39" s="99" t="n">
        <f aca="false">J39*J$1*R39</f>
        <v>14655.6</v>
      </c>
      <c r="U39" s="99"/>
      <c r="V39" s="100" t="n">
        <v>156593</v>
      </c>
      <c r="W39" s="92"/>
      <c r="X39" s="101"/>
      <c r="Y39" s="10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</row>
    <row r="40" customFormat="false" ht="12.75" hidden="false" customHeight="false" outlineLevel="0" collapsed="false">
      <c r="A40" s="91"/>
      <c r="B40" s="92" t="s">
        <v>207</v>
      </c>
      <c r="C40" s="93" t="s">
        <v>292</v>
      </c>
      <c r="D40" s="93" t="s">
        <v>293</v>
      </c>
      <c r="E40" s="94" t="n">
        <v>36708</v>
      </c>
      <c r="F40" s="94" t="n">
        <v>36799</v>
      </c>
      <c r="G40" s="92" t="s">
        <v>321</v>
      </c>
      <c r="H40" s="92" t="s">
        <v>335</v>
      </c>
      <c r="I40" s="93" t="s">
        <v>115</v>
      </c>
      <c r="J40" s="95" t="n">
        <f aca="false">6.372/J$1</f>
        <v>0.205548387096774</v>
      </c>
      <c r="K40" s="96" t="n">
        <v>0.0132</v>
      </c>
      <c r="L40" s="96" t="n">
        <v>0.0022</v>
      </c>
      <c r="M40" s="96" t="n">
        <v>0.0072</v>
      </c>
      <c r="N40" s="96" t="n">
        <v>0</v>
      </c>
      <c r="O40" s="97" t="n">
        <v>0.02116</v>
      </c>
      <c r="P40" s="96" t="n">
        <f aca="false">SUM(J40:N40)</f>
        <v>0.228148387096774</v>
      </c>
      <c r="Q40" s="98" t="n">
        <v>64939</v>
      </c>
      <c r="R40" s="93" t="n">
        <v>-2300</v>
      </c>
      <c r="S40" s="92" t="s">
        <v>337</v>
      </c>
      <c r="T40" s="99" t="n">
        <f aca="false">J40*J$1*R40</f>
        <v>-14655.6</v>
      </c>
      <c r="U40" s="99"/>
      <c r="V40" s="100" t="n">
        <v>319306</v>
      </c>
      <c r="W40" s="92" t="s">
        <v>338</v>
      </c>
      <c r="X40" s="101"/>
      <c r="Y40" s="10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</row>
    <row r="41" customFormat="false" ht="12.75" hidden="false" customHeight="false" outlineLevel="0" collapsed="false">
      <c r="A41" s="76"/>
      <c r="B41" s="49" t="s">
        <v>207</v>
      </c>
      <c r="C41" s="47" t="s">
        <v>292</v>
      </c>
      <c r="D41" s="47" t="s">
        <v>324</v>
      </c>
      <c r="E41" s="48" t="n">
        <v>36465</v>
      </c>
      <c r="F41" s="48" t="n">
        <v>36830</v>
      </c>
      <c r="G41" s="49" t="s">
        <v>321</v>
      </c>
      <c r="H41" s="49" t="s">
        <v>325</v>
      </c>
      <c r="I41" s="47" t="s">
        <v>115</v>
      </c>
      <c r="J41" s="61" t="n">
        <f aca="false">6.449/J$1</f>
        <v>0.208032258064516</v>
      </c>
      <c r="K41" s="52" t="n">
        <v>0.0132</v>
      </c>
      <c r="L41" s="52" t="n">
        <v>0.0022</v>
      </c>
      <c r="M41" s="52" t="n">
        <v>0.0072</v>
      </c>
      <c r="N41" s="52" t="n">
        <v>0</v>
      </c>
      <c r="O41" s="53" t="n">
        <v>0.02116</v>
      </c>
      <c r="P41" s="52" t="n">
        <f aca="false">SUM(J41:N41)</f>
        <v>0.230632258064516</v>
      </c>
      <c r="Q41" s="54" t="n">
        <v>65026</v>
      </c>
      <c r="R41" s="47" t="n">
        <v>128</v>
      </c>
      <c r="S41" s="49" t="s">
        <v>339</v>
      </c>
      <c r="T41" s="77" t="n">
        <f aca="false">J41*J$1*R41</f>
        <v>825.472</v>
      </c>
      <c r="U41" s="77"/>
      <c r="V41" s="78" t="n">
        <v>162286</v>
      </c>
      <c r="W41" s="49"/>
      <c r="X41" s="75"/>
      <c r="Y41" s="75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false" outlineLevel="0" collapsed="false">
      <c r="A42" s="76"/>
      <c r="B42" s="49" t="s">
        <v>207</v>
      </c>
      <c r="C42" s="47" t="s">
        <v>292</v>
      </c>
      <c r="D42" s="47" t="s">
        <v>340</v>
      </c>
      <c r="E42" s="48" t="n">
        <v>36465</v>
      </c>
      <c r="F42" s="48" t="n">
        <v>36830</v>
      </c>
      <c r="G42" s="49" t="s">
        <v>321</v>
      </c>
      <c r="H42" s="49" t="s">
        <v>341</v>
      </c>
      <c r="I42" s="47" t="s">
        <v>115</v>
      </c>
      <c r="J42" s="61" t="n">
        <f aca="false">6.449/J$1</f>
        <v>0.208032258064516</v>
      </c>
      <c r="K42" s="52" t="n">
        <v>0.0132</v>
      </c>
      <c r="L42" s="52" t="n">
        <v>0.0022</v>
      </c>
      <c r="M42" s="52" t="n">
        <v>0.0072</v>
      </c>
      <c r="N42" s="52" t="n">
        <v>0</v>
      </c>
      <c r="O42" s="53" t="n">
        <v>0.02116</v>
      </c>
      <c r="P42" s="52" t="n">
        <f aca="false">SUM(J42:N42)</f>
        <v>0.230632258064516</v>
      </c>
      <c r="Q42" s="54" t="n">
        <v>65041</v>
      </c>
      <c r="R42" s="47" t="n">
        <v>9619</v>
      </c>
      <c r="S42" s="49" t="s">
        <v>342</v>
      </c>
      <c r="T42" s="77" t="n">
        <f aca="false">J42*J$1*R42</f>
        <v>62032.931</v>
      </c>
      <c r="U42" s="77"/>
      <c r="V42" s="78" t="n">
        <v>162285</v>
      </c>
      <c r="W42" s="49"/>
      <c r="X42" s="75"/>
      <c r="Y42" s="75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false" outlineLevel="0" collapsed="false">
      <c r="A43" s="76"/>
      <c r="B43" s="49" t="s">
        <v>207</v>
      </c>
      <c r="C43" s="47" t="s">
        <v>292</v>
      </c>
      <c r="D43" s="47" t="s">
        <v>340</v>
      </c>
      <c r="E43" s="48" t="n">
        <v>36465</v>
      </c>
      <c r="F43" s="48" t="n">
        <v>36830</v>
      </c>
      <c r="G43" s="49" t="s">
        <v>321</v>
      </c>
      <c r="H43" s="49" t="s">
        <v>343</v>
      </c>
      <c r="I43" s="47" t="s">
        <v>115</v>
      </c>
      <c r="J43" s="61" t="n">
        <f aca="false">6.449/J$1</f>
        <v>0.208032258064516</v>
      </c>
      <c r="K43" s="52" t="n">
        <v>0.0132</v>
      </c>
      <c r="L43" s="52" t="n">
        <v>0.0022</v>
      </c>
      <c r="M43" s="52" t="n">
        <v>0.0072</v>
      </c>
      <c r="N43" s="52" t="n">
        <v>0</v>
      </c>
      <c r="O43" s="53" t="n">
        <v>0.02116</v>
      </c>
      <c r="P43" s="52" t="n">
        <f aca="false">SUM(J43:N43)</f>
        <v>0.230632258064516</v>
      </c>
      <c r="Q43" s="54" t="n">
        <v>65042</v>
      </c>
      <c r="R43" s="47" t="n">
        <v>4427</v>
      </c>
      <c r="S43" s="49" t="s">
        <v>344</v>
      </c>
      <c r="T43" s="77" t="n">
        <f aca="false">J43*J$1*R43</f>
        <v>28549.723</v>
      </c>
      <c r="U43" s="77"/>
      <c r="V43" s="78" t="n">
        <v>162287</v>
      </c>
      <c r="W43" s="49"/>
      <c r="X43" s="75"/>
      <c r="Y43" s="75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false" outlineLevel="0" collapsed="false">
      <c r="A44" s="76"/>
      <c r="B44" s="49" t="s">
        <v>207</v>
      </c>
      <c r="C44" s="47" t="s">
        <v>292</v>
      </c>
      <c r="D44" s="47" t="s">
        <v>345</v>
      </c>
      <c r="E44" s="48" t="n">
        <v>36465</v>
      </c>
      <c r="F44" s="48" t="n">
        <v>37011</v>
      </c>
      <c r="G44" s="49" t="s">
        <v>321</v>
      </c>
      <c r="H44" s="49" t="s">
        <v>346</v>
      </c>
      <c r="I44" s="47" t="s">
        <v>115</v>
      </c>
      <c r="J44" s="61" t="n">
        <f aca="false">6.449/J$1</f>
        <v>0.208032258064516</v>
      </c>
      <c r="K44" s="52" t="n">
        <v>0.0132</v>
      </c>
      <c r="L44" s="52" t="n">
        <v>0.0022</v>
      </c>
      <c r="M44" s="52" t="n">
        <v>0.0072</v>
      </c>
      <c r="N44" s="52" t="n">
        <v>0</v>
      </c>
      <c r="O44" s="53" t="n">
        <v>0.02116</v>
      </c>
      <c r="P44" s="52" t="n">
        <f aca="false">SUM(J44:N44)</f>
        <v>0.230632258064516</v>
      </c>
      <c r="Q44" s="54" t="n">
        <v>65108</v>
      </c>
      <c r="R44" s="47" t="n">
        <v>5000</v>
      </c>
      <c r="S44" s="49" t="s">
        <v>347</v>
      </c>
      <c r="T44" s="77" t="n">
        <f aca="false">J44*J$1*R44</f>
        <v>32245</v>
      </c>
      <c r="U44" s="77"/>
      <c r="V44" s="78" t="n">
        <v>163001</v>
      </c>
      <c r="W44" s="49"/>
      <c r="X44" s="75"/>
      <c r="Y44" s="75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</row>
    <row r="49" customFormat="false" ht="12.75" hidden="false" customHeight="false" outlineLevel="0" collapsed="false">
      <c r="A49" s="76"/>
      <c r="B49" s="49" t="s">
        <v>207</v>
      </c>
      <c r="C49" s="47" t="s">
        <v>292</v>
      </c>
      <c r="D49" s="47"/>
      <c r="E49" s="48" t="n">
        <v>36557</v>
      </c>
      <c r="F49" s="48" t="n">
        <v>36830</v>
      </c>
      <c r="G49" s="49" t="s">
        <v>306</v>
      </c>
      <c r="H49" s="49" t="s">
        <v>300</v>
      </c>
      <c r="I49" s="47" t="s">
        <v>115</v>
      </c>
      <c r="J49" s="61" t="n">
        <f aca="false">4.563/J$1</f>
        <v>0.147193548387097</v>
      </c>
      <c r="K49" s="52" t="n">
        <v>0.0132</v>
      </c>
      <c r="L49" s="52" t="n">
        <v>0.0022</v>
      </c>
      <c r="M49" s="52" t="n">
        <v>0.0072</v>
      </c>
      <c r="N49" s="52" t="n">
        <v>0</v>
      </c>
      <c r="O49" s="53" t="n">
        <v>0.02116</v>
      </c>
      <c r="P49" s="52" t="n">
        <f aca="false">SUM(J49:N49)</f>
        <v>0.169793548387097</v>
      </c>
      <c r="Q49" s="54" t="n">
        <v>65418</v>
      </c>
      <c r="R49" s="47" t="n">
        <v>500</v>
      </c>
      <c r="S49" s="49" t="s">
        <v>348</v>
      </c>
      <c r="T49" s="77" t="n">
        <f aca="false">J49*J$1*R49</f>
        <v>2281.5</v>
      </c>
      <c r="U49" s="77"/>
      <c r="V49" s="78" t="n">
        <v>156599</v>
      </c>
      <c r="W49" s="49"/>
      <c r="X49" s="75"/>
      <c r="Y49" s="75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false" outlineLevel="0" collapsed="false">
      <c r="A50" s="76"/>
      <c r="B50" s="49" t="s">
        <v>207</v>
      </c>
      <c r="C50" s="47" t="s">
        <v>292</v>
      </c>
      <c r="D50" s="47" t="s">
        <v>324</v>
      </c>
      <c r="E50" s="48" t="n">
        <v>36557</v>
      </c>
      <c r="F50" s="48" t="n">
        <v>36860</v>
      </c>
      <c r="G50" s="49" t="s">
        <v>321</v>
      </c>
      <c r="H50" s="49" t="s">
        <v>325</v>
      </c>
      <c r="I50" s="47" t="s">
        <v>115</v>
      </c>
      <c r="J50" s="61" t="n">
        <f aca="false">6.449/J$1</f>
        <v>0.208032258064516</v>
      </c>
      <c r="K50" s="52" t="n">
        <v>0.0132</v>
      </c>
      <c r="L50" s="52" t="n">
        <v>0.0022</v>
      </c>
      <c r="M50" s="52" t="n">
        <v>0.0072</v>
      </c>
      <c r="N50" s="52" t="n">
        <v>0</v>
      </c>
      <c r="O50" s="53" t="n">
        <v>0.02116</v>
      </c>
      <c r="P50" s="52" t="n">
        <f aca="false">SUM(J50:N50)</f>
        <v>0.230632258064516</v>
      </c>
      <c r="Q50" s="54" t="n">
        <v>65556</v>
      </c>
      <c r="R50" s="47" t="n">
        <v>3</v>
      </c>
      <c r="S50" s="49" t="s">
        <v>349</v>
      </c>
      <c r="T50" s="77" t="n">
        <f aca="false">J50*J$1*R50</f>
        <v>19.347</v>
      </c>
      <c r="U50" s="77"/>
      <c r="V50" s="78" t="n">
        <v>156602</v>
      </c>
      <c r="W50" s="49"/>
      <c r="X50" s="75"/>
      <c r="Y50" s="75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false" outlineLevel="0" collapsed="false">
      <c r="A51" s="76"/>
      <c r="B51" s="49" t="s">
        <v>207</v>
      </c>
      <c r="C51" s="47" t="s">
        <v>292</v>
      </c>
      <c r="D51" s="47" t="s">
        <v>213</v>
      </c>
      <c r="E51" s="48" t="n">
        <v>36557</v>
      </c>
      <c r="F51" s="48" t="n">
        <v>36922</v>
      </c>
      <c r="G51" s="49" t="s">
        <v>350</v>
      </c>
      <c r="H51" s="49" t="s">
        <v>351</v>
      </c>
      <c r="I51" s="47" t="s">
        <v>115</v>
      </c>
      <c r="J51" s="61" t="n">
        <f aca="false">6.449/J$1</f>
        <v>0.208032258064516</v>
      </c>
      <c r="K51" s="52"/>
      <c r="L51" s="52"/>
      <c r="M51" s="52"/>
      <c r="N51" s="52"/>
      <c r="O51" s="53"/>
      <c r="P51" s="52"/>
      <c r="Q51" s="54" t="n">
        <v>66280</v>
      </c>
      <c r="R51" s="47" t="n">
        <v>1</v>
      </c>
      <c r="S51" s="49" t="s">
        <v>352</v>
      </c>
      <c r="T51" s="77" t="n">
        <f aca="false">J51*J$1*R51</f>
        <v>6.449</v>
      </c>
      <c r="U51" s="77"/>
      <c r="V51" s="78" t="n">
        <v>156606</v>
      </c>
      <c r="W51" s="49"/>
      <c r="X51" s="75"/>
      <c r="Y51" s="75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false" outlineLevel="0" collapsed="false">
      <c r="A52" s="76"/>
      <c r="B52" s="49" t="s">
        <v>207</v>
      </c>
      <c r="C52" s="47" t="s">
        <v>292</v>
      </c>
      <c r="D52" s="47" t="s">
        <v>213</v>
      </c>
      <c r="E52" s="48" t="n">
        <v>36557</v>
      </c>
      <c r="F52" s="48" t="n">
        <v>36922</v>
      </c>
      <c r="G52" s="49" t="s">
        <v>350</v>
      </c>
      <c r="H52" s="49" t="s">
        <v>353</v>
      </c>
      <c r="I52" s="47" t="s">
        <v>115</v>
      </c>
      <c r="J52" s="61" t="n">
        <f aca="false">6.449/J$1</f>
        <v>0.208032258064516</v>
      </c>
      <c r="K52" s="52"/>
      <c r="L52" s="52"/>
      <c r="M52" s="52"/>
      <c r="N52" s="52"/>
      <c r="O52" s="53"/>
      <c r="P52" s="52"/>
      <c r="Q52" s="54" t="n">
        <v>66280</v>
      </c>
      <c r="R52" s="47" t="n">
        <v>4</v>
      </c>
      <c r="S52" s="49" t="s">
        <v>352</v>
      </c>
      <c r="T52" s="77" t="n">
        <f aca="false">J52*J$1*R52</f>
        <v>25.796</v>
      </c>
      <c r="U52" s="77"/>
      <c r="V52" s="78" t="n">
        <v>156606</v>
      </c>
      <c r="W52" s="49"/>
      <c r="X52" s="75"/>
      <c r="Y52" s="75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false" outlineLevel="0" collapsed="false">
      <c r="A53" s="76"/>
      <c r="B53" s="49" t="s">
        <v>207</v>
      </c>
      <c r="C53" s="47" t="s">
        <v>292</v>
      </c>
      <c r="D53" s="47" t="s">
        <v>213</v>
      </c>
      <c r="E53" s="48" t="n">
        <v>36656</v>
      </c>
      <c r="F53" s="48" t="n">
        <v>36950</v>
      </c>
      <c r="G53" s="49" t="s">
        <v>350</v>
      </c>
      <c r="H53" s="49" t="s">
        <v>351</v>
      </c>
      <c r="I53" s="47" t="s">
        <v>115</v>
      </c>
      <c r="J53" s="61" t="n">
        <v>6.449</v>
      </c>
      <c r="K53" s="52"/>
      <c r="L53" s="52"/>
      <c r="M53" s="52"/>
      <c r="N53" s="52"/>
      <c r="O53" s="53"/>
      <c r="P53" s="52"/>
      <c r="Q53" s="54" t="n">
        <v>68308</v>
      </c>
      <c r="R53" s="47" t="n">
        <v>5</v>
      </c>
      <c r="S53" s="49" t="s">
        <v>354</v>
      </c>
      <c r="T53" s="77" t="n">
        <f aca="false">+R53*J53</f>
        <v>32.245</v>
      </c>
      <c r="U53" s="77"/>
      <c r="V53" s="78" t="n">
        <v>262094</v>
      </c>
      <c r="W53" s="49"/>
      <c r="X53" s="75"/>
      <c r="Y53" s="75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false" outlineLevel="0" collapsed="false">
      <c r="A54" s="76"/>
      <c r="B54" s="49" t="s">
        <v>207</v>
      </c>
      <c r="C54" s="47" t="s">
        <v>292</v>
      </c>
      <c r="D54" s="47" t="s">
        <v>213</v>
      </c>
      <c r="E54" s="48" t="n">
        <v>36656</v>
      </c>
      <c r="F54" s="48" t="n">
        <v>36950</v>
      </c>
      <c r="G54" s="49" t="s">
        <v>350</v>
      </c>
      <c r="H54" s="49" t="s">
        <v>353</v>
      </c>
      <c r="I54" s="47" t="s">
        <v>115</v>
      </c>
      <c r="J54" s="61" t="n">
        <v>6.449</v>
      </c>
      <c r="K54" s="52"/>
      <c r="L54" s="52"/>
      <c r="M54" s="52"/>
      <c r="N54" s="52"/>
      <c r="O54" s="53"/>
      <c r="P54" s="52"/>
      <c r="Q54" s="54" t="n">
        <v>68308</v>
      </c>
      <c r="R54" s="47" t="n">
        <v>4</v>
      </c>
      <c r="S54" s="49" t="s">
        <v>354</v>
      </c>
      <c r="T54" s="77" t="n">
        <f aca="false">+R54*J54</f>
        <v>25.796</v>
      </c>
      <c r="U54" s="77"/>
      <c r="V54" s="78" t="n">
        <v>262094</v>
      </c>
      <c r="W54" s="49"/>
      <c r="X54" s="75"/>
      <c r="Y54" s="75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false" outlineLevel="0" collapsed="false">
      <c r="A55" s="76"/>
      <c r="B55" s="49" t="s">
        <v>207</v>
      </c>
      <c r="C55" s="47" t="s">
        <v>292</v>
      </c>
      <c r="D55" s="47" t="s">
        <v>355</v>
      </c>
      <c r="E55" s="48" t="n">
        <v>36617</v>
      </c>
      <c r="F55" s="48" t="s">
        <v>356</v>
      </c>
      <c r="G55" s="49" t="s">
        <v>357</v>
      </c>
      <c r="H55" s="49"/>
      <c r="I55" s="47" t="s">
        <v>358</v>
      </c>
      <c r="J55" s="61"/>
      <c r="K55" s="52"/>
      <c r="L55" s="52"/>
      <c r="M55" s="52"/>
      <c r="N55" s="52"/>
      <c r="O55" s="53"/>
      <c r="P55" s="52"/>
      <c r="Q55" s="54" t="n">
        <v>66917</v>
      </c>
      <c r="R55" s="47"/>
      <c r="S55" s="49"/>
      <c r="T55" s="77"/>
      <c r="U55" s="77"/>
      <c r="V55" s="78" t="n">
        <v>228085</v>
      </c>
      <c r="W55" s="49"/>
      <c r="X55" s="75"/>
      <c r="Y55" s="75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</row>
    <row r="56" customFormat="false" ht="12.75" hidden="false" customHeight="false" outlineLevel="0" collapsed="false">
      <c r="A56" s="76"/>
      <c r="B56" s="49" t="s">
        <v>207</v>
      </c>
      <c r="C56" s="47" t="s">
        <v>292</v>
      </c>
      <c r="D56" s="47" t="s">
        <v>213</v>
      </c>
      <c r="E56" s="48" t="n">
        <v>36617</v>
      </c>
      <c r="F56" s="48" t="n">
        <v>36981</v>
      </c>
      <c r="G56" s="49" t="s">
        <v>350</v>
      </c>
      <c r="H56" s="49" t="s">
        <v>351</v>
      </c>
      <c r="I56" s="47" t="s">
        <v>115</v>
      </c>
      <c r="J56" s="61" t="n">
        <v>6.401</v>
      </c>
      <c r="K56" s="52"/>
      <c r="L56" s="52"/>
      <c r="M56" s="52"/>
      <c r="N56" s="52"/>
      <c r="O56" s="53"/>
      <c r="P56" s="52"/>
      <c r="Q56" s="54" t="n">
        <v>66939</v>
      </c>
      <c r="R56" s="47" t="n">
        <v>5</v>
      </c>
      <c r="S56" s="49" t="s">
        <v>359</v>
      </c>
      <c r="T56" s="77" t="n">
        <f aca="false">+R56*J56</f>
        <v>32.005</v>
      </c>
      <c r="U56" s="77"/>
      <c r="V56" s="78"/>
      <c r="W56" s="49"/>
      <c r="X56" s="75"/>
      <c r="Y56" s="75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</row>
    <row r="57" customFormat="false" ht="12.75" hidden="false" customHeight="false" outlineLevel="0" collapsed="false">
      <c r="A57" s="76"/>
      <c r="B57" s="49" t="s">
        <v>207</v>
      </c>
      <c r="C57" s="47" t="s">
        <v>292</v>
      </c>
      <c r="D57" s="47" t="s">
        <v>213</v>
      </c>
      <c r="E57" s="48" t="n">
        <v>36617</v>
      </c>
      <c r="F57" s="48" t="n">
        <v>36981</v>
      </c>
      <c r="G57" s="49" t="s">
        <v>350</v>
      </c>
      <c r="H57" s="49" t="s">
        <v>353</v>
      </c>
      <c r="I57" s="47" t="s">
        <v>115</v>
      </c>
      <c r="J57" s="61" t="n">
        <v>6.401</v>
      </c>
      <c r="K57" s="52"/>
      <c r="L57" s="52"/>
      <c r="M57" s="52"/>
      <c r="N57" s="52"/>
      <c r="O57" s="53"/>
      <c r="P57" s="52"/>
      <c r="Q57" s="54" t="n">
        <v>66939</v>
      </c>
      <c r="R57" s="47" t="n">
        <v>27</v>
      </c>
      <c r="S57" s="49" t="s">
        <v>359</v>
      </c>
      <c r="T57" s="77" t="n">
        <f aca="false">+R57*J57</f>
        <v>172.827</v>
      </c>
      <c r="U57" s="77"/>
      <c r="V57" s="78"/>
      <c r="W57" s="49"/>
      <c r="X57" s="75"/>
      <c r="Y57" s="75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12.75" hidden="false" customHeight="false" outlineLevel="0" collapsed="false">
      <c r="A58" s="76"/>
      <c r="B58" s="49" t="s">
        <v>207</v>
      </c>
      <c r="C58" s="47" t="s">
        <v>292</v>
      </c>
      <c r="D58" s="47" t="s">
        <v>213</v>
      </c>
      <c r="E58" s="48" t="n">
        <v>36617</v>
      </c>
      <c r="F58" s="48" t="n">
        <v>36981</v>
      </c>
      <c r="G58" s="49" t="s">
        <v>350</v>
      </c>
      <c r="H58" s="49" t="s">
        <v>360</v>
      </c>
      <c r="I58" s="47" t="s">
        <v>115</v>
      </c>
      <c r="J58" s="61" t="n">
        <v>6.401</v>
      </c>
      <c r="K58" s="52"/>
      <c r="L58" s="52"/>
      <c r="M58" s="52"/>
      <c r="N58" s="52"/>
      <c r="O58" s="53"/>
      <c r="P58" s="52"/>
      <c r="Q58" s="54" t="n">
        <v>66939</v>
      </c>
      <c r="R58" s="47" t="n">
        <v>3</v>
      </c>
      <c r="S58" s="49" t="s">
        <v>359</v>
      </c>
      <c r="T58" s="77" t="n">
        <f aca="false">+R58*J58</f>
        <v>19.203</v>
      </c>
      <c r="U58" s="77"/>
      <c r="V58" s="78"/>
      <c r="W58" s="49"/>
      <c r="X58" s="75"/>
      <c r="Y58" s="75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</row>
    <row r="59" customFormat="false" ht="12.75" hidden="false" customHeight="false" outlineLevel="0" collapsed="false">
      <c r="A59" s="76"/>
      <c r="B59" s="49" t="s">
        <v>207</v>
      </c>
      <c r="C59" s="47" t="s">
        <v>292</v>
      </c>
      <c r="D59" s="47" t="s">
        <v>213</v>
      </c>
      <c r="E59" s="48" t="n">
        <v>36617</v>
      </c>
      <c r="F59" s="48" t="n">
        <v>36981</v>
      </c>
      <c r="G59" s="49" t="s">
        <v>350</v>
      </c>
      <c r="H59" s="49" t="s">
        <v>361</v>
      </c>
      <c r="I59" s="47" t="s">
        <v>115</v>
      </c>
      <c r="J59" s="61" t="n">
        <v>6.401</v>
      </c>
      <c r="K59" s="52"/>
      <c r="L59" s="52"/>
      <c r="M59" s="52"/>
      <c r="N59" s="52"/>
      <c r="O59" s="53"/>
      <c r="P59" s="52"/>
      <c r="Q59" s="54" t="n">
        <v>66939</v>
      </c>
      <c r="R59" s="47" t="n">
        <v>17</v>
      </c>
      <c r="S59" s="49" t="s">
        <v>359</v>
      </c>
      <c r="T59" s="77" t="n">
        <f aca="false">+R59*J59</f>
        <v>108.817</v>
      </c>
      <c r="U59" s="77"/>
      <c r="V59" s="78"/>
      <c r="W59" s="49"/>
      <c r="X59" s="75"/>
      <c r="Y59" s="75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customFormat="false" ht="12.75" hidden="false" customHeight="false" outlineLevel="0" collapsed="false">
      <c r="A60" s="76"/>
      <c r="B60" s="49" t="s">
        <v>207</v>
      </c>
      <c r="C60" s="47" t="s">
        <v>292</v>
      </c>
      <c r="D60" s="47" t="s">
        <v>362</v>
      </c>
      <c r="E60" s="48" t="n">
        <v>36617</v>
      </c>
      <c r="F60" s="48" t="n">
        <v>36981</v>
      </c>
      <c r="G60" s="49" t="s">
        <v>350</v>
      </c>
      <c r="H60" s="49" t="s">
        <v>363</v>
      </c>
      <c r="I60" s="47" t="s">
        <v>115</v>
      </c>
      <c r="J60" s="61" t="n">
        <v>6.401</v>
      </c>
      <c r="K60" s="52"/>
      <c r="L60" s="52"/>
      <c r="M60" s="52"/>
      <c r="N60" s="52"/>
      <c r="O60" s="53"/>
      <c r="P60" s="52"/>
      <c r="Q60" s="54" t="n">
        <v>66940</v>
      </c>
      <c r="R60" s="47" t="n">
        <v>1</v>
      </c>
      <c r="S60" s="49" t="s">
        <v>364</v>
      </c>
      <c r="T60" s="77" t="n">
        <f aca="false">+R60*J60</f>
        <v>6.401</v>
      </c>
      <c r="U60" s="77"/>
      <c r="V60" s="78" t="n">
        <v>228134</v>
      </c>
      <c r="W60" s="49"/>
      <c r="X60" s="75"/>
      <c r="Y60" s="75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customFormat="false" ht="12.75" hidden="false" customHeight="false" outlineLevel="0" collapsed="false">
      <c r="A61" s="76"/>
      <c r="B61" s="49" t="s">
        <v>207</v>
      </c>
      <c r="C61" s="47" t="s">
        <v>292</v>
      </c>
      <c r="D61" s="47" t="s">
        <v>362</v>
      </c>
      <c r="E61" s="48" t="n">
        <v>36617</v>
      </c>
      <c r="F61" s="48" t="n">
        <v>36981</v>
      </c>
      <c r="G61" s="49" t="s">
        <v>350</v>
      </c>
      <c r="H61" s="49" t="s">
        <v>365</v>
      </c>
      <c r="I61" s="47" t="s">
        <v>115</v>
      </c>
      <c r="J61" s="61" t="n">
        <v>6.401</v>
      </c>
      <c r="K61" s="52"/>
      <c r="L61" s="52"/>
      <c r="M61" s="52"/>
      <c r="N61" s="52"/>
      <c r="O61" s="53"/>
      <c r="P61" s="52"/>
      <c r="Q61" s="54" t="n">
        <v>66940</v>
      </c>
      <c r="R61" s="47" t="n">
        <v>1</v>
      </c>
      <c r="S61" s="49" t="s">
        <v>364</v>
      </c>
      <c r="T61" s="77" t="n">
        <f aca="false">+R61*J61</f>
        <v>6.401</v>
      </c>
      <c r="U61" s="77"/>
      <c r="V61" s="78" t="n">
        <v>228134</v>
      </c>
      <c r="W61" s="49"/>
      <c r="X61" s="75"/>
      <c r="Y61" s="75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</row>
    <row r="62" customFormat="false" ht="12.75" hidden="false" customHeight="false" outlineLevel="0" collapsed="false">
      <c r="A62" s="76"/>
      <c r="B62" s="49" t="s">
        <v>207</v>
      </c>
      <c r="C62" s="47" t="s">
        <v>292</v>
      </c>
      <c r="D62" s="47" t="s">
        <v>362</v>
      </c>
      <c r="E62" s="48" t="n">
        <v>36647</v>
      </c>
      <c r="F62" s="48" t="n">
        <v>37011</v>
      </c>
      <c r="G62" s="49" t="s">
        <v>366</v>
      </c>
      <c r="H62" s="49" t="s">
        <v>367</v>
      </c>
      <c r="I62" s="47" t="s">
        <v>115</v>
      </c>
      <c r="J62" s="61" t="n">
        <f aca="false">6.401/J1</f>
        <v>0.206483870967742</v>
      </c>
      <c r="K62" s="52"/>
      <c r="L62" s="52"/>
      <c r="M62" s="52"/>
      <c r="N62" s="52"/>
      <c r="O62" s="53"/>
      <c r="P62" s="52"/>
      <c r="Q62" s="54" t="n">
        <v>68188</v>
      </c>
      <c r="R62" s="47" t="n">
        <v>1</v>
      </c>
      <c r="S62" s="49" t="s">
        <v>368</v>
      </c>
      <c r="T62" s="77" t="n">
        <f aca="false">+J62*R62*13</f>
        <v>2.68429032258065</v>
      </c>
      <c r="U62" s="77"/>
      <c r="V62" s="78" t="n">
        <v>253195</v>
      </c>
      <c r="W62" s="49"/>
      <c r="X62" s="75"/>
      <c r="Y62" s="75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63" customFormat="false" ht="12.75" hidden="false" customHeight="false" outlineLevel="0" collapsed="false">
      <c r="A63" s="79"/>
      <c r="B63" s="80" t="s">
        <v>207</v>
      </c>
      <c r="C63" s="81" t="s">
        <v>208</v>
      </c>
      <c r="D63" s="81" t="s">
        <v>213</v>
      </c>
      <c r="E63" s="82" t="n">
        <v>36656</v>
      </c>
      <c r="F63" s="82" t="n">
        <v>36950</v>
      </c>
      <c r="G63" s="80" t="s">
        <v>210</v>
      </c>
      <c r="H63" s="80" t="s">
        <v>211</v>
      </c>
      <c r="I63" s="81" t="s">
        <v>212</v>
      </c>
      <c r="J63" s="83" t="n">
        <v>3.145</v>
      </c>
      <c r="K63" s="84"/>
      <c r="L63" s="84"/>
      <c r="M63" s="84"/>
      <c r="N63" s="84"/>
      <c r="O63" s="85"/>
      <c r="P63" s="84"/>
      <c r="Q63" s="86" t="n">
        <v>68308</v>
      </c>
      <c r="R63" s="81" t="n">
        <v>9</v>
      </c>
      <c r="S63" s="80"/>
      <c r="T63" s="87" t="n">
        <f aca="false">+R63*J63/31*21</f>
        <v>19.1743548387097</v>
      </c>
      <c r="U63" s="87"/>
      <c r="V63" s="88" t="n">
        <v>262094</v>
      </c>
      <c r="W63" s="80"/>
      <c r="X63" s="89"/>
      <c r="Y63" s="8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130"/>
      <c r="B64" s="131" t="s">
        <v>207</v>
      </c>
      <c r="C64" s="132" t="s">
        <v>292</v>
      </c>
      <c r="D64" s="132" t="s">
        <v>37</v>
      </c>
      <c r="E64" s="133" t="n">
        <v>36678</v>
      </c>
      <c r="F64" s="133" t="n">
        <v>36830</v>
      </c>
      <c r="G64" s="131" t="s">
        <v>303</v>
      </c>
      <c r="H64" s="131" t="s">
        <v>369</v>
      </c>
      <c r="I64" s="132" t="s">
        <v>115</v>
      </c>
      <c r="J64" s="134"/>
      <c r="K64" s="135" t="n">
        <v>0.0132</v>
      </c>
      <c r="L64" s="135" t="n">
        <v>0.0022</v>
      </c>
      <c r="M64" s="135" t="n">
        <v>0.0075</v>
      </c>
      <c r="N64" s="135" t="n">
        <v>0</v>
      </c>
      <c r="O64" s="136" t="n">
        <v>0.02116</v>
      </c>
      <c r="P64" s="135" t="n">
        <f aca="false">SUM(J64:N64)</f>
        <v>0.0229</v>
      </c>
      <c r="Q64" s="137" t="n">
        <v>65402</v>
      </c>
      <c r="R64" s="132"/>
      <c r="S64" s="131" t="s">
        <v>370</v>
      </c>
      <c r="T64" s="138" t="n">
        <f aca="false">J64*J$1*R64</f>
        <v>0</v>
      </c>
      <c r="U64" s="138"/>
      <c r="V64" s="139" t="s">
        <v>371</v>
      </c>
      <c r="W64" s="131" t="s">
        <v>372</v>
      </c>
      <c r="X64" s="140"/>
      <c r="Y64" s="140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  <c r="IW64" s="141"/>
    </row>
    <row r="65" customFormat="false" ht="13.5" hidden="false" customHeight="false" outlineLevel="0" collapsed="false">
      <c r="A65" s="142"/>
      <c r="B65" s="143" t="s">
        <v>207</v>
      </c>
      <c r="C65" s="144" t="s">
        <v>292</v>
      </c>
      <c r="D65" s="144" t="s">
        <v>37</v>
      </c>
      <c r="E65" s="145" t="n">
        <v>36312</v>
      </c>
      <c r="F65" s="145" t="n">
        <v>37011</v>
      </c>
      <c r="G65" s="143" t="s">
        <v>321</v>
      </c>
      <c r="H65" s="143" t="s">
        <v>373</v>
      </c>
      <c r="I65" s="144" t="s">
        <v>115</v>
      </c>
      <c r="J65" s="146"/>
      <c r="K65" s="147"/>
      <c r="L65" s="147"/>
      <c r="M65" s="147"/>
      <c r="N65" s="147"/>
      <c r="O65" s="148"/>
      <c r="P65" s="147"/>
      <c r="Q65" s="149" t="n">
        <v>65403</v>
      </c>
      <c r="R65" s="144"/>
      <c r="S65" s="143" t="s">
        <v>374</v>
      </c>
      <c r="T65" s="150"/>
      <c r="U65" s="150"/>
      <c r="V65" s="151"/>
      <c r="W65" s="143" t="s">
        <v>375</v>
      </c>
      <c r="X65" s="152"/>
      <c r="Y65" s="152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  <c r="GM65" s="153"/>
      <c r="GN65" s="153"/>
      <c r="GO65" s="153"/>
      <c r="GP65" s="153"/>
      <c r="GQ65" s="153"/>
      <c r="GR65" s="153"/>
      <c r="GS65" s="153"/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3"/>
      <c r="HM65" s="153"/>
      <c r="HN65" s="153"/>
      <c r="HO65" s="153"/>
      <c r="HP65" s="153"/>
      <c r="HQ65" s="153"/>
      <c r="HR65" s="153"/>
      <c r="HS65" s="153"/>
      <c r="HT65" s="153"/>
      <c r="HU65" s="153"/>
      <c r="HV65" s="153"/>
      <c r="HW65" s="153"/>
      <c r="HX65" s="153"/>
      <c r="HY65" s="153"/>
      <c r="HZ65" s="153"/>
      <c r="IA65" s="153"/>
      <c r="IB65" s="153"/>
      <c r="IC65" s="153"/>
      <c r="ID65" s="153"/>
      <c r="IE65" s="153"/>
      <c r="IF65" s="153"/>
      <c r="IG65" s="153"/>
      <c r="IH65" s="153"/>
      <c r="II65" s="153"/>
      <c r="IJ65" s="153"/>
      <c r="IK65" s="153"/>
      <c r="IL65" s="153"/>
      <c r="IM65" s="153"/>
      <c r="IN65" s="153"/>
      <c r="IO65" s="153"/>
      <c r="IP65" s="153"/>
      <c r="IQ65" s="153"/>
      <c r="IR65" s="153"/>
      <c r="IS65" s="153"/>
      <c r="IT65" s="153"/>
      <c r="IU65" s="153"/>
      <c r="IV65" s="153"/>
      <c r="IW65" s="153"/>
    </row>
    <row r="66" customFormat="false" ht="12.75" hidden="false" customHeight="false" outlineLevel="0" collapsed="false">
      <c r="A66" s="76"/>
      <c r="B66" s="49" t="s">
        <v>207</v>
      </c>
      <c r="C66" s="47" t="s">
        <v>292</v>
      </c>
      <c r="D66" s="47" t="s">
        <v>209</v>
      </c>
      <c r="E66" s="48" t="n">
        <v>36647</v>
      </c>
      <c r="F66" s="48" t="n">
        <v>37011</v>
      </c>
      <c r="G66" s="49" t="s">
        <v>350</v>
      </c>
      <c r="H66" s="49" t="s">
        <v>376</v>
      </c>
      <c r="I66" s="47" t="s">
        <v>115</v>
      </c>
      <c r="J66" s="61" t="n">
        <v>6.401</v>
      </c>
      <c r="K66" s="52"/>
      <c r="L66" s="52"/>
      <c r="M66" s="52"/>
      <c r="N66" s="52"/>
      <c r="O66" s="53"/>
      <c r="P66" s="52"/>
      <c r="Q66" s="54" t="n">
        <v>68257</v>
      </c>
      <c r="R66" s="47" t="n">
        <v>21</v>
      </c>
      <c r="S66" s="49" t="s">
        <v>377</v>
      </c>
      <c r="T66" s="77" t="n">
        <f aca="false">+R66*J66</f>
        <v>134.421</v>
      </c>
      <c r="U66" s="77"/>
      <c r="V66" s="78" t="n">
        <v>254718</v>
      </c>
      <c r="W66" s="49"/>
      <c r="X66" s="75"/>
      <c r="Y66" s="75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  <c r="IW66" s="76"/>
    </row>
    <row r="67" customFormat="false" ht="12.75" hidden="false" customHeight="false" outlineLevel="0" collapsed="false">
      <c r="T67" s="77" t="n">
        <f aca="false">+R67*J67</f>
        <v>0</v>
      </c>
    </row>
    <row r="68" customFormat="false" ht="12.75" hidden="false" customHeight="false" outlineLevel="0" collapsed="false">
      <c r="B68" s="119" t="s">
        <v>113</v>
      </c>
      <c r="C68" s="120" t="s">
        <v>113</v>
      </c>
      <c r="D68" s="120" t="s">
        <v>113</v>
      </c>
      <c r="E68" s="122" t="s">
        <v>113</v>
      </c>
      <c r="F68" s="122" t="s">
        <v>113</v>
      </c>
      <c r="G68" s="119" t="s">
        <v>113</v>
      </c>
      <c r="H68" s="123" t="s">
        <v>113</v>
      </c>
      <c r="I68" s="120" t="s">
        <v>113</v>
      </c>
      <c r="J68" s="124"/>
      <c r="K68" s="125"/>
      <c r="L68" s="125"/>
      <c r="M68" s="125"/>
      <c r="N68" s="125"/>
      <c r="O68" s="126"/>
      <c r="P68" s="125"/>
      <c r="Q68" s="127" t="s">
        <v>113</v>
      </c>
      <c r="R68" s="120" t="n">
        <f aca="false">SUM(R29:R66)</f>
        <v>21320</v>
      </c>
      <c r="S68" s="119" t="s">
        <v>113</v>
      </c>
      <c r="T68" s="128" t="n">
        <f aca="false">SUM(T17:T66)</f>
        <v>881479.124745161</v>
      </c>
      <c r="U68" s="128" t="e">
        <f aca="false">SUM(#REF!)</f>
        <v>#REF!</v>
      </c>
      <c r="V68" s="129"/>
      <c r="W68" s="123"/>
      <c r="X68" s="75"/>
      <c r="Y68" s="75"/>
    </row>
    <row r="69" customFormat="false" ht="12.75" hidden="false" customHeight="false" outlineLevel="0" collapsed="false">
      <c r="B69" s="66" t="s">
        <v>187</v>
      </c>
      <c r="C69" s="67" t="s">
        <v>188</v>
      </c>
      <c r="D69" s="67" t="s">
        <v>189</v>
      </c>
      <c r="E69" s="68" t="s">
        <v>190</v>
      </c>
      <c r="F69" s="68"/>
      <c r="G69" s="66" t="s">
        <v>191</v>
      </c>
      <c r="H69" s="66" t="s">
        <v>192</v>
      </c>
      <c r="I69" s="67" t="s">
        <v>193</v>
      </c>
      <c r="J69" s="69" t="s">
        <v>194</v>
      </c>
      <c r="K69" s="67" t="s">
        <v>195</v>
      </c>
      <c r="L69" s="67" t="s">
        <v>196</v>
      </c>
      <c r="M69" s="67" t="s">
        <v>197</v>
      </c>
      <c r="N69" s="67" t="s">
        <v>198</v>
      </c>
      <c r="O69" s="70" t="s">
        <v>199</v>
      </c>
      <c r="P69" s="67" t="s">
        <v>200</v>
      </c>
      <c r="Q69" s="71" t="s">
        <v>201</v>
      </c>
      <c r="R69" s="67" t="s">
        <v>202</v>
      </c>
      <c r="S69" s="66" t="s">
        <v>203</v>
      </c>
      <c r="T69" s="72" t="s">
        <v>204</v>
      </c>
      <c r="U69" s="72" t="s">
        <v>205</v>
      </c>
      <c r="V69" s="73" t="s">
        <v>206</v>
      </c>
      <c r="W69" s="74" t="n">
        <f aca="false">+W36</f>
        <v>0</v>
      </c>
      <c r="X69" s="75"/>
      <c r="Y69" s="75"/>
    </row>
    <row r="70" customFormat="false" ht="12" hidden="false" customHeight="true" outlineLevel="0" collapsed="false">
      <c r="A70" s="76"/>
      <c r="B70" s="49" t="s">
        <v>207</v>
      </c>
      <c r="C70" s="47" t="s">
        <v>378</v>
      </c>
      <c r="D70" s="47" t="s">
        <v>379</v>
      </c>
      <c r="E70" s="48" t="n">
        <v>35612</v>
      </c>
      <c r="F70" s="48" t="n">
        <v>37437</v>
      </c>
      <c r="G70" s="49" t="s">
        <v>380</v>
      </c>
      <c r="H70" s="49" t="s">
        <v>381</v>
      </c>
      <c r="I70" s="47" t="s">
        <v>115</v>
      </c>
      <c r="J70" s="61" t="n">
        <f aca="false">+(5.6195+1.3875+0.2)/J$1</f>
        <v>0.232483870967742</v>
      </c>
      <c r="K70" s="52" t="n">
        <v>0</v>
      </c>
      <c r="L70" s="52" t="n">
        <v>0.0022</v>
      </c>
      <c r="M70" s="52" t="n">
        <v>0.0072</v>
      </c>
      <c r="N70" s="52" t="n">
        <v>0</v>
      </c>
      <c r="O70" s="53" t="n">
        <v>0</v>
      </c>
      <c r="P70" s="52" t="n">
        <f aca="false">SUM(J70:N70)</f>
        <v>0.241883870967742</v>
      </c>
      <c r="Q70" s="54" t="n">
        <v>270</v>
      </c>
      <c r="R70" s="47" t="n">
        <v>1000</v>
      </c>
      <c r="S70" s="49"/>
      <c r="T70" s="77" t="n">
        <f aca="false">J70*J$1*R70</f>
        <v>7207</v>
      </c>
      <c r="U70" s="77"/>
      <c r="V70" s="78" t="n">
        <v>149901</v>
      </c>
      <c r="W70" s="49" t="s">
        <v>382</v>
      </c>
      <c r="X70" s="75"/>
      <c r="Y70" s="75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</row>
    <row r="71" customFormat="false" ht="12" hidden="false" customHeight="true" outlineLevel="0" collapsed="false">
      <c r="A71" s="76"/>
      <c r="B71" s="49"/>
      <c r="C71" s="47"/>
      <c r="D71" s="47"/>
      <c r="E71" s="48"/>
      <c r="F71" s="48"/>
      <c r="G71" s="49"/>
      <c r="H71" s="49"/>
      <c r="I71" s="47"/>
      <c r="J71" s="61"/>
      <c r="K71" s="52"/>
      <c r="L71" s="52"/>
      <c r="M71" s="52"/>
      <c r="N71" s="52"/>
      <c r="O71" s="53"/>
      <c r="P71" s="52"/>
      <c r="Q71" s="54"/>
      <c r="R71" s="47"/>
      <c r="S71" s="49"/>
      <c r="T71" s="77" t="n">
        <f aca="false">SUM(T70)</f>
        <v>7207</v>
      </c>
      <c r="U71" s="77"/>
      <c r="V71" s="78"/>
      <c r="W71" s="49"/>
      <c r="X71" s="75"/>
      <c r="Y71" s="75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</row>
    <row r="72" customFormat="false" ht="12.7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52"/>
      <c r="K72" s="52"/>
      <c r="L72" s="52"/>
      <c r="M72" s="52"/>
      <c r="N72" s="52"/>
      <c r="O72" s="53"/>
      <c r="P72" s="52"/>
      <c r="Q72" s="106"/>
      <c r="R72" s="107"/>
      <c r="S72" s="56"/>
      <c r="T72" s="56"/>
      <c r="U72" s="56"/>
      <c r="V72" s="57"/>
      <c r="W72" s="58"/>
      <c r="X72" s="59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61"/>
      <c r="K73" s="52"/>
      <c r="L73" s="52"/>
      <c r="M73" s="52"/>
      <c r="N73" s="52"/>
      <c r="O73" s="53"/>
      <c r="P73" s="52"/>
      <c r="Q73" s="106"/>
      <c r="R73" s="107"/>
      <c r="S73" s="56"/>
      <c r="T73" s="56"/>
      <c r="U73" s="56"/>
      <c r="V73" s="57"/>
      <c r="W73" s="58"/>
      <c r="X73" s="59"/>
      <c r="Y73" s="59"/>
    </row>
    <row r="74" customFormat="false" ht="13.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52"/>
      <c r="K74" s="52"/>
      <c r="L74" s="52"/>
      <c r="M74" s="52"/>
      <c r="N74" s="52"/>
      <c r="O74" s="53"/>
      <c r="P74" s="52"/>
      <c r="Q74" s="106"/>
      <c r="R74" s="107"/>
      <c r="S74" s="56"/>
      <c r="T74" s="154" t="n">
        <f aca="false">SUM(T71,T68,T15,)</f>
        <v>889274.746445161</v>
      </c>
      <c r="U74" s="56" t="s">
        <v>286</v>
      </c>
      <c r="V74" s="57"/>
      <c r="W74" s="58"/>
      <c r="X74" s="59"/>
      <c r="Y74" s="59"/>
    </row>
    <row r="75" customFormat="false" ht="13.5" hidden="false" customHeight="false" outlineLevel="0" collapsed="false">
      <c r="B75" s="43"/>
      <c r="C75" s="47"/>
      <c r="D75" s="47"/>
      <c r="E75" s="48"/>
      <c r="F75" s="48"/>
      <c r="G75" s="49"/>
      <c r="H75" s="49"/>
      <c r="I75" s="47"/>
      <c r="J75" s="52"/>
      <c r="K75" s="52"/>
      <c r="L75" s="52"/>
      <c r="M75" s="52"/>
      <c r="N75" s="52"/>
      <c r="O75" s="53"/>
      <c r="P75" s="52"/>
      <c r="Q75" s="106"/>
      <c r="R75" s="107"/>
      <c r="S75" s="56"/>
      <c r="T75" s="56"/>
      <c r="U75" s="58" t="s">
        <v>287</v>
      </c>
      <c r="V75" s="57"/>
      <c r="W75" s="58"/>
      <c r="X75" s="108"/>
      <c r="Y75" s="59"/>
    </row>
    <row r="76" customFormat="false" ht="12.75" hidden="false" customHeight="false" outlineLevel="0" collapsed="false">
      <c r="B76" s="43"/>
      <c r="C76" s="47"/>
      <c r="D76" s="47"/>
      <c r="E76" s="48"/>
      <c r="F76" s="48"/>
      <c r="G76" s="49"/>
      <c r="H76" s="49"/>
      <c r="I76" s="47"/>
      <c r="J76" s="52"/>
      <c r="K76" s="52"/>
      <c r="L76" s="52"/>
      <c r="M76" s="52"/>
      <c r="N76" s="52"/>
      <c r="O76" s="53"/>
      <c r="P76" s="52"/>
      <c r="Q76" s="106"/>
      <c r="R76" s="107"/>
      <c r="S76" s="56"/>
      <c r="T76" s="56"/>
      <c r="U76" s="56"/>
      <c r="V76" s="57"/>
      <c r="W76" s="58"/>
      <c r="X76" s="59"/>
      <c r="Y76" s="59"/>
    </row>
    <row r="77" customFormat="false" ht="12.75" hidden="false" customHeight="false" outlineLevel="0" collapsed="false">
      <c r="B77" s="43"/>
      <c r="C77" s="47"/>
      <c r="D77" s="47"/>
      <c r="E77" s="48"/>
      <c r="F77" s="48"/>
      <c r="G77" s="49"/>
      <c r="H77" s="49"/>
      <c r="I77" s="47"/>
      <c r="J77" s="52"/>
      <c r="K77" s="52"/>
      <c r="L77" s="52"/>
      <c r="M77" s="52"/>
      <c r="N77" s="52"/>
      <c r="O77" s="53"/>
      <c r="P77" s="52"/>
      <c r="Q77" s="106"/>
      <c r="R77" s="107"/>
      <c r="S77" s="56"/>
      <c r="T77" s="56"/>
      <c r="U77" s="56"/>
      <c r="V77" s="57"/>
      <c r="W77" s="58"/>
      <c r="X77" s="59"/>
      <c r="Y77" s="59"/>
    </row>
    <row r="78" customFormat="false" ht="12.75" hidden="false" customHeight="false" outlineLevel="0" collapsed="false">
      <c r="B78" s="43"/>
      <c r="C78" s="47"/>
      <c r="D78" s="47"/>
      <c r="E78" s="48"/>
      <c r="F78" s="48"/>
      <c r="G78" s="49"/>
      <c r="H78" s="49"/>
      <c r="I78" s="47"/>
      <c r="J78" s="61"/>
      <c r="K78" s="52"/>
      <c r="L78" s="52"/>
      <c r="M78" s="52"/>
      <c r="N78" s="52"/>
      <c r="O78" s="53"/>
      <c r="P78" s="52"/>
      <c r="Q78" s="106"/>
      <c r="R78" s="107"/>
      <c r="S78" s="108"/>
      <c r="T78" s="56"/>
      <c r="U78" s="56"/>
      <c r="V78" s="57"/>
      <c r="W78" s="58"/>
      <c r="X78" s="59"/>
      <c r="Y78" s="59"/>
    </row>
    <row r="79" customFormat="false" ht="12.75" hidden="false" customHeight="false" outlineLevel="0" collapsed="false">
      <c r="B79" s="43"/>
      <c r="C79" s="47"/>
      <c r="D79" s="47"/>
      <c r="E79" s="48"/>
      <c r="F79" s="48"/>
      <c r="G79" s="49"/>
      <c r="H79" s="49"/>
      <c r="I79" s="47"/>
      <c r="J79" s="61"/>
      <c r="K79" s="52"/>
      <c r="L79" s="52"/>
      <c r="M79" s="52"/>
      <c r="N79" s="52"/>
      <c r="O79" s="53"/>
      <c r="P79" s="52"/>
      <c r="Q79" s="106"/>
      <c r="R79" s="107"/>
      <c r="S79" s="108"/>
      <c r="T79" s="56"/>
      <c r="U79" s="56"/>
      <c r="V79" s="57"/>
      <c r="W79" s="58"/>
      <c r="X79" s="59"/>
      <c r="Y79" s="59"/>
    </row>
    <row r="80" customFormat="false" ht="12.75" hidden="false" customHeight="false" outlineLevel="0" collapsed="false">
      <c r="Q80" s="38"/>
      <c r="R80" s="38"/>
      <c r="S80" s="38"/>
      <c r="T80" s="38"/>
      <c r="U80" s="38"/>
      <c r="V80" s="116"/>
      <c r="W80" s="117"/>
      <c r="X80" s="116"/>
    </row>
    <row r="81" customFormat="false" ht="12.75" hidden="false" customHeight="false" outlineLevel="0" collapsed="false">
      <c r="Q81" s="38"/>
      <c r="R81" s="38"/>
      <c r="S81" s="38"/>
      <c r="T81" s="38"/>
      <c r="U81" s="38"/>
      <c r="V81" s="116"/>
      <c r="W81" s="117"/>
      <c r="X81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383</v>
      </c>
      <c r="D1" s="0" t="s">
        <v>384</v>
      </c>
      <c r="E1" s="0" t="s">
        <v>385</v>
      </c>
      <c r="F1" s="0" t="s">
        <v>386</v>
      </c>
      <c r="G1" s="0" t="s">
        <v>387</v>
      </c>
      <c r="H1" s="0" t="s">
        <v>388</v>
      </c>
      <c r="I1" s="0" t="s">
        <v>389</v>
      </c>
      <c r="J1" s="0" t="s">
        <v>390</v>
      </c>
      <c r="K1" s="0" t="s">
        <v>391</v>
      </c>
      <c r="L1" s="0" t="s">
        <v>392</v>
      </c>
      <c r="M1" s="0" t="s">
        <v>393</v>
      </c>
      <c r="N1" s="0" t="s">
        <v>394</v>
      </c>
      <c r="O1" s="0" t="s">
        <v>395</v>
      </c>
    </row>
    <row r="2" customFormat="false" ht="12.75" hidden="false" customHeight="false" outlineLevel="0" collapsed="false">
      <c r="B2" s="155"/>
      <c r="C2" s="155" t="s">
        <v>396</v>
      </c>
      <c r="D2" s="155" t="n">
        <v>37147</v>
      </c>
      <c r="E2" s="155" t="s">
        <v>397</v>
      </c>
      <c r="F2" s="155" t="s">
        <v>398</v>
      </c>
      <c r="G2" s="155" t="s">
        <v>398</v>
      </c>
      <c r="H2" s="156" t="n">
        <v>35582</v>
      </c>
      <c r="I2" s="155" t="s">
        <v>398</v>
      </c>
      <c r="J2" s="155" t="s">
        <v>398</v>
      </c>
      <c r="K2" s="155" t="n">
        <v>0</v>
      </c>
      <c r="L2" s="155" t="n">
        <v>0</v>
      </c>
      <c r="M2" s="155" t="n">
        <v>0</v>
      </c>
      <c r="N2" s="155" t="n">
        <v>0</v>
      </c>
      <c r="O2" s="155" t="n">
        <v>0</v>
      </c>
      <c r="P2" s="155" t="n">
        <v>0</v>
      </c>
      <c r="Q2" s="155" t="s">
        <v>398</v>
      </c>
    </row>
    <row r="3" customFormat="false" ht="12.75" hidden="false" customHeight="false" outlineLevel="0" collapsed="false">
      <c r="B3" s="157"/>
      <c r="C3" s="157" t="s">
        <v>396</v>
      </c>
      <c r="D3" s="157" t="n">
        <v>39149</v>
      </c>
      <c r="E3" s="157" t="s">
        <v>358</v>
      </c>
      <c r="F3" s="157" t="s">
        <v>398</v>
      </c>
      <c r="G3" s="157" t="s">
        <v>398</v>
      </c>
      <c r="H3" s="158" t="n">
        <v>35582</v>
      </c>
      <c r="I3" s="157" t="s">
        <v>398</v>
      </c>
      <c r="J3" s="157" t="s">
        <v>398</v>
      </c>
      <c r="K3" s="159" t="n">
        <v>500000</v>
      </c>
      <c r="L3" s="157" t="n">
        <v>0</v>
      </c>
      <c r="M3" s="159" t="n">
        <v>500000</v>
      </c>
      <c r="N3" s="157" t="n">
        <v>0</v>
      </c>
      <c r="O3" s="157" t="n">
        <v>0</v>
      </c>
      <c r="P3" s="157" t="n">
        <v>0</v>
      </c>
      <c r="Q3" s="157" t="s">
        <v>398</v>
      </c>
    </row>
    <row r="4" customFormat="false" ht="12.75" hidden="false" customHeight="false" outlineLevel="0" collapsed="false">
      <c r="B4" s="155"/>
      <c r="C4" s="155" t="s">
        <v>396</v>
      </c>
      <c r="D4" s="155" t="n">
        <v>39607</v>
      </c>
      <c r="E4" s="155" t="s">
        <v>399</v>
      </c>
      <c r="F4" s="155" t="s">
        <v>398</v>
      </c>
      <c r="G4" s="155" t="s">
        <v>398</v>
      </c>
      <c r="H4" s="156" t="n">
        <v>35582</v>
      </c>
      <c r="I4" s="155" t="s">
        <v>398</v>
      </c>
      <c r="J4" s="155" t="s">
        <v>398</v>
      </c>
      <c r="K4" s="160" t="n">
        <v>10000000</v>
      </c>
      <c r="L4" s="155" t="n">
        <v>0</v>
      </c>
      <c r="M4" s="160" t="n">
        <v>10000000</v>
      </c>
      <c r="N4" s="155" t="n">
        <v>0</v>
      </c>
      <c r="O4" s="155" t="n">
        <v>0</v>
      </c>
      <c r="P4" s="155" t="n">
        <v>0</v>
      </c>
      <c r="Q4" s="155" t="s">
        <v>398</v>
      </c>
    </row>
    <row r="5" customFormat="false" ht="12.75" hidden="false" customHeight="false" outlineLevel="0" collapsed="false">
      <c r="B5" s="157"/>
      <c r="C5" s="157" t="s">
        <v>396</v>
      </c>
      <c r="D5" s="157" t="n">
        <v>39764</v>
      </c>
      <c r="E5" s="157" t="s">
        <v>400</v>
      </c>
      <c r="F5" s="157" t="s">
        <v>398</v>
      </c>
      <c r="G5" s="157" t="s">
        <v>398</v>
      </c>
      <c r="H5" s="158" t="n">
        <v>35582</v>
      </c>
      <c r="I5" s="157" t="s">
        <v>398</v>
      </c>
      <c r="J5" s="157" t="s">
        <v>398</v>
      </c>
      <c r="K5" s="159" t="n">
        <v>60000</v>
      </c>
      <c r="L5" s="157" t="n">
        <v>0</v>
      </c>
      <c r="M5" s="159" t="n">
        <v>60000</v>
      </c>
      <c r="N5" s="157" t="n">
        <v>0</v>
      </c>
      <c r="O5" s="157" t="n">
        <v>0</v>
      </c>
      <c r="P5" s="157" t="n">
        <v>0</v>
      </c>
      <c r="Q5" s="157" t="s">
        <v>398</v>
      </c>
    </row>
    <row r="6" customFormat="false" ht="12.75" hidden="false" customHeight="false" outlineLevel="0" collapsed="false">
      <c r="B6" s="155"/>
      <c r="C6" s="155" t="s">
        <v>396</v>
      </c>
      <c r="D6" s="155" t="n">
        <v>40998</v>
      </c>
      <c r="E6" s="155" t="s">
        <v>401</v>
      </c>
      <c r="F6" s="155" t="s">
        <v>398</v>
      </c>
      <c r="G6" s="155" t="s">
        <v>398</v>
      </c>
      <c r="H6" s="156" t="n">
        <v>34393</v>
      </c>
      <c r="I6" s="155" t="s">
        <v>398</v>
      </c>
      <c r="J6" s="155" t="s">
        <v>398</v>
      </c>
      <c r="K6" s="160" t="n">
        <v>250000</v>
      </c>
      <c r="L6" s="155" t="n">
        <v>0</v>
      </c>
      <c r="M6" s="160" t="n">
        <v>250000</v>
      </c>
      <c r="N6" s="155" t="n">
        <v>0</v>
      </c>
      <c r="O6" s="155" t="n">
        <v>0</v>
      </c>
      <c r="P6" s="155" t="n">
        <v>0</v>
      </c>
      <c r="Q6" s="155" t="s">
        <v>398</v>
      </c>
    </row>
    <row r="7" customFormat="false" ht="12.75" hidden="false" customHeight="false" outlineLevel="0" collapsed="false">
      <c r="B7" s="157"/>
      <c r="C7" s="157" t="s">
        <v>396</v>
      </c>
      <c r="D7" s="157" t="n">
        <v>60094</v>
      </c>
      <c r="E7" s="157" t="s">
        <v>402</v>
      </c>
      <c r="F7" s="157" t="s">
        <v>398</v>
      </c>
      <c r="G7" s="157" t="s">
        <v>398</v>
      </c>
      <c r="H7" s="158" t="n">
        <v>35916</v>
      </c>
      <c r="I7" s="157" t="s">
        <v>398</v>
      </c>
      <c r="J7" s="157" t="s">
        <v>398</v>
      </c>
      <c r="K7" s="157" t="n">
        <v>0</v>
      </c>
      <c r="L7" s="157" t="n">
        <v>0</v>
      </c>
      <c r="M7" s="157" t="n">
        <v>0</v>
      </c>
      <c r="N7" s="157" t="n">
        <v>0</v>
      </c>
      <c r="O7" s="157" t="n">
        <v>0</v>
      </c>
      <c r="P7" s="157" t="n">
        <v>0</v>
      </c>
      <c r="Q7" s="157" t="s">
        <v>398</v>
      </c>
    </row>
    <row r="8" customFormat="false" ht="12.75" hidden="false" customHeight="false" outlineLevel="0" collapsed="false">
      <c r="B8" s="155"/>
      <c r="C8" s="155" t="s">
        <v>396</v>
      </c>
      <c r="D8" s="155" t="n">
        <v>61822</v>
      </c>
      <c r="E8" s="155" t="s">
        <v>115</v>
      </c>
      <c r="F8" s="155" t="s">
        <v>398</v>
      </c>
      <c r="G8" s="155" t="s">
        <v>398</v>
      </c>
      <c r="H8" s="156" t="n">
        <v>36557</v>
      </c>
      <c r="I8" s="155" t="s">
        <v>398</v>
      </c>
      <c r="J8" s="155" t="n">
        <v>22429</v>
      </c>
      <c r="K8" s="160" t="n">
        <v>4000</v>
      </c>
      <c r="L8" s="155" t="n">
        <v>0</v>
      </c>
      <c r="M8" s="160" t="n">
        <v>4000</v>
      </c>
      <c r="N8" s="155" t="n">
        <v>0</v>
      </c>
      <c r="O8" s="155" t="n">
        <v>0</v>
      </c>
      <c r="P8" s="155" t="n">
        <v>0</v>
      </c>
      <c r="Q8" s="155" t="s">
        <v>398</v>
      </c>
    </row>
    <row r="9" customFormat="false" ht="12.75" hidden="false" customHeight="false" outlineLevel="0" collapsed="false">
      <c r="B9" s="157"/>
      <c r="C9" s="157" t="s">
        <v>396</v>
      </c>
      <c r="D9" s="157" t="n">
        <v>61825</v>
      </c>
      <c r="E9" s="157" t="s">
        <v>115</v>
      </c>
      <c r="F9" s="157" t="s">
        <v>398</v>
      </c>
      <c r="G9" s="157" t="s">
        <v>398</v>
      </c>
      <c r="H9" s="158" t="n">
        <v>36557</v>
      </c>
      <c r="I9" s="158" t="n">
        <v>36830</v>
      </c>
      <c r="J9" s="157" t="n">
        <v>22428</v>
      </c>
      <c r="K9" s="159" t="n">
        <v>8000</v>
      </c>
      <c r="L9" s="157" t="n">
        <v>0</v>
      </c>
      <c r="M9" s="159" t="n">
        <v>8000</v>
      </c>
      <c r="N9" s="157" t="n">
        <v>0</v>
      </c>
      <c r="O9" s="157" t="n">
        <v>0</v>
      </c>
      <c r="P9" s="157" t="n">
        <v>0</v>
      </c>
      <c r="Q9" s="157" t="s">
        <v>398</v>
      </c>
    </row>
    <row r="10" customFormat="false" ht="12.75" hidden="false" customHeight="false" outlineLevel="0" collapsed="false">
      <c r="B10" s="155"/>
      <c r="C10" s="155" t="s">
        <v>396</v>
      </c>
      <c r="D10" s="155" t="n">
        <v>61838</v>
      </c>
      <c r="E10" s="155" t="s">
        <v>115</v>
      </c>
      <c r="F10" s="155" t="s">
        <v>398</v>
      </c>
      <c r="G10" s="155" t="s">
        <v>398</v>
      </c>
      <c r="H10" s="156" t="n">
        <v>36557</v>
      </c>
      <c r="I10" s="155" t="s">
        <v>398</v>
      </c>
      <c r="J10" s="155" t="n">
        <v>22422</v>
      </c>
      <c r="K10" s="160" t="n">
        <v>1000</v>
      </c>
      <c r="L10" s="155" t="n">
        <v>0</v>
      </c>
      <c r="M10" s="160" t="n">
        <v>1000</v>
      </c>
      <c r="N10" s="155" t="n">
        <v>0</v>
      </c>
      <c r="O10" s="155" t="n">
        <v>0</v>
      </c>
      <c r="P10" s="155" t="n">
        <v>0</v>
      </c>
      <c r="Q10" s="155" t="s">
        <v>398</v>
      </c>
    </row>
    <row r="11" customFormat="false" ht="12.75" hidden="false" customHeight="false" outlineLevel="0" collapsed="false">
      <c r="B11" s="157"/>
      <c r="C11" s="157" t="s">
        <v>396</v>
      </c>
      <c r="D11" s="157" t="n">
        <v>61990</v>
      </c>
      <c r="E11" s="157" t="s">
        <v>115</v>
      </c>
      <c r="F11" s="157" t="s">
        <v>398</v>
      </c>
      <c r="G11" s="157" t="s">
        <v>398</v>
      </c>
      <c r="H11" s="158" t="n">
        <v>36557</v>
      </c>
      <c r="I11" s="157" t="s">
        <v>398</v>
      </c>
      <c r="J11" s="157" t="n">
        <v>22747</v>
      </c>
      <c r="K11" s="159" t="n">
        <v>2000</v>
      </c>
      <c r="L11" s="157" t="n">
        <v>0</v>
      </c>
      <c r="M11" s="159" t="n">
        <v>2000</v>
      </c>
      <c r="N11" s="157" t="n">
        <v>0</v>
      </c>
      <c r="O11" s="157" t="n">
        <v>0</v>
      </c>
      <c r="P11" s="157" t="n">
        <v>0</v>
      </c>
      <c r="Q11" s="157" t="s">
        <v>398</v>
      </c>
    </row>
    <row r="12" customFormat="false" ht="12.75" hidden="false" customHeight="false" outlineLevel="0" collapsed="false">
      <c r="B12" s="155"/>
      <c r="C12" s="155" t="s">
        <v>396</v>
      </c>
      <c r="D12" s="155" t="n">
        <v>62164</v>
      </c>
      <c r="E12" s="155" t="s">
        <v>115</v>
      </c>
      <c r="F12" s="155" t="s">
        <v>398</v>
      </c>
      <c r="G12" s="155" t="s">
        <v>398</v>
      </c>
      <c r="H12" s="156" t="n">
        <v>36557</v>
      </c>
      <c r="I12" s="156" t="n">
        <v>36891</v>
      </c>
      <c r="J12" s="155" t="n">
        <v>23652</v>
      </c>
      <c r="K12" s="160" t="n">
        <v>2000</v>
      </c>
      <c r="L12" s="155" t="n">
        <v>0</v>
      </c>
      <c r="M12" s="160" t="n">
        <v>2000</v>
      </c>
      <c r="N12" s="155" t="n">
        <v>0</v>
      </c>
      <c r="O12" s="155" t="n">
        <v>0</v>
      </c>
      <c r="P12" s="155" t="n">
        <v>0</v>
      </c>
      <c r="Q12" s="155" t="s">
        <v>398</v>
      </c>
    </row>
    <row r="13" customFormat="false" ht="12.75" hidden="false" customHeight="false" outlineLevel="0" collapsed="false">
      <c r="B13" s="157"/>
      <c r="C13" s="157" t="s">
        <v>396</v>
      </c>
      <c r="D13" s="157" t="n">
        <v>64034</v>
      </c>
      <c r="E13" s="157" t="s">
        <v>115</v>
      </c>
      <c r="F13" s="157" t="s">
        <v>398</v>
      </c>
      <c r="G13" s="157" t="s">
        <v>398</v>
      </c>
      <c r="H13" s="158" t="n">
        <v>36557</v>
      </c>
      <c r="I13" s="158" t="n">
        <v>36707</v>
      </c>
      <c r="J13" s="157" t="n">
        <v>25699</v>
      </c>
      <c r="K13" s="157" t="n">
        <v>911</v>
      </c>
      <c r="L13" s="157" t="n">
        <v>0</v>
      </c>
      <c r="M13" s="157" t="n">
        <v>911</v>
      </c>
      <c r="N13" s="157" t="n">
        <v>0</v>
      </c>
      <c r="O13" s="157" t="n">
        <v>0</v>
      </c>
      <c r="P13" s="157" t="n">
        <v>0</v>
      </c>
      <c r="Q13" s="157" t="s">
        <v>398</v>
      </c>
    </row>
    <row r="14" customFormat="false" ht="12.75" hidden="false" customHeight="false" outlineLevel="0" collapsed="false">
      <c r="B14" s="155"/>
      <c r="C14" s="155" t="s">
        <v>396</v>
      </c>
      <c r="D14" s="155" t="n">
        <v>64036</v>
      </c>
      <c r="E14" s="155" t="s">
        <v>115</v>
      </c>
      <c r="F14" s="155" t="s">
        <v>398</v>
      </c>
      <c r="G14" s="155" t="s">
        <v>398</v>
      </c>
      <c r="H14" s="156" t="n">
        <v>36557</v>
      </c>
      <c r="I14" s="156" t="n">
        <v>36707</v>
      </c>
      <c r="J14" s="155" t="n">
        <v>25712</v>
      </c>
      <c r="K14" s="155" t="n">
        <v>1</v>
      </c>
      <c r="L14" s="155" t="n">
        <v>0</v>
      </c>
      <c r="M14" s="155" t="n">
        <v>1</v>
      </c>
      <c r="N14" s="155" t="n">
        <v>0</v>
      </c>
      <c r="O14" s="155" t="n">
        <v>0</v>
      </c>
      <c r="P14" s="155" t="n">
        <v>0</v>
      </c>
      <c r="Q14" s="155" t="s">
        <v>398</v>
      </c>
    </row>
    <row r="15" customFormat="false" ht="12.75" hidden="false" customHeight="false" outlineLevel="0" collapsed="false">
      <c r="B15" s="157"/>
      <c r="C15" s="157" t="s">
        <v>396</v>
      </c>
      <c r="D15" s="157" t="n">
        <v>64328</v>
      </c>
      <c r="E15" s="157" t="s">
        <v>115</v>
      </c>
      <c r="F15" s="157" t="s">
        <v>398</v>
      </c>
      <c r="G15" s="157" t="s">
        <v>398</v>
      </c>
      <c r="H15" s="158" t="n">
        <v>36557</v>
      </c>
      <c r="I15" s="158" t="n">
        <v>36738</v>
      </c>
      <c r="J15" s="157" t="n">
        <v>25955</v>
      </c>
      <c r="K15" s="157" t="n">
        <v>51</v>
      </c>
      <c r="L15" s="157" t="n">
        <v>0</v>
      </c>
      <c r="M15" s="157" t="n">
        <v>51</v>
      </c>
      <c r="N15" s="157" t="n">
        <v>0</v>
      </c>
      <c r="O15" s="157" t="n">
        <v>0</v>
      </c>
      <c r="P15" s="157" t="n">
        <v>0</v>
      </c>
      <c r="Q15" s="157" t="s">
        <v>398</v>
      </c>
    </row>
    <row r="16" customFormat="false" ht="12.75" hidden="false" customHeight="false" outlineLevel="0" collapsed="false">
      <c r="B16" s="155"/>
      <c r="C16" s="155" t="s">
        <v>396</v>
      </c>
      <c r="D16" s="155" t="n">
        <v>64329</v>
      </c>
      <c r="E16" s="155" t="s">
        <v>115</v>
      </c>
      <c r="F16" s="155" t="s">
        <v>398</v>
      </c>
      <c r="G16" s="155" t="s">
        <v>398</v>
      </c>
      <c r="H16" s="156" t="n">
        <v>36557</v>
      </c>
      <c r="I16" s="156" t="n">
        <v>36738</v>
      </c>
      <c r="J16" s="155" t="n">
        <v>25965</v>
      </c>
      <c r="K16" s="155" t="n">
        <v>12</v>
      </c>
      <c r="L16" s="155" t="n">
        <v>0</v>
      </c>
      <c r="M16" s="155" t="n">
        <v>12</v>
      </c>
      <c r="N16" s="155" t="n">
        <v>0</v>
      </c>
      <c r="O16" s="155" t="n">
        <v>0</v>
      </c>
      <c r="P16" s="155" t="n">
        <v>0</v>
      </c>
      <c r="Q16" s="155" t="s">
        <v>398</v>
      </c>
    </row>
    <row r="17" customFormat="false" ht="12.75" hidden="false" customHeight="false" outlineLevel="0" collapsed="false">
      <c r="B17" s="157"/>
      <c r="C17" s="157" t="s">
        <v>396</v>
      </c>
      <c r="D17" s="157" t="n">
        <v>64356</v>
      </c>
      <c r="E17" s="157" t="s">
        <v>403</v>
      </c>
      <c r="F17" s="157" t="s">
        <v>404</v>
      </c>
      <c r="G17" s="157" t="s">
        <v>398</v>
      </c>
      <c r="H17" s="158" t="n">
        <v>36526</v>
      </c>
      <c r="I17" s="158" t="n">
        <v>36707</v>
      </c>
      <c r="J17" s="157" t="s">
        <v>398</v>
      </c>
      <c r="K17" s="159" t="n">
        <v>310000</v>
      </c>
      <c r="L17" s="157" t="n">
        <v>0</v>
      </c>
      <c r="M17" s="159" t="n">
        <v>310000</v>
      </c>
      <c r="N17" s="157" t="n">
        <v>0</v>
      </c>
      <c r="O17" s="157" t="n">
        <v>0</v>
      </c>
      <c r="P17" s="157" t="n">
        <v>0</v>
      </c>
      <c r="Q17" s="157"/>
    </row>
    <row r="18" customFormat="false" ht="12.75" hidden="false" customHeight="false" outlineLevel="0" collapsed="false">
      <c r="B18" s="155"/>
      <c r="C18" s="155" t="s">
        <v>396</v>
      </c>
      <c r="D18" s="155" t="n">
        <v>64651</v>
      </c>
      <c r="E18" s="155" t="s">
        <v>115</v>
      </c>
      <c r="F18" s="155" t="s">
        <v>398</v>
      </c>
      <c r="G18" s="155" t="s">
        <v>398</v>
      </c>
      <c r="H18" s="156" t="n">
        <v>36557</v>
      </c>
      <c r="I18" s="156" t="n">
        <v>36769</v>
      </c>
      <c r="J18" s="155" t="n">
        <v>26150</v>
      </c>
      <c r="K18" s="155" t="n">
        <v>64</v>
      </c>
      <c r="L18" s="155" t="n">
        <v>0</v>
      </c>
      <c r="M18" s="155" t="n">
        <v>64</v>
      </c>
      <c r="N18" s="155" t="n">
        <v>0</v>
      </c>
      <c r="O18" s="155" t="n">
        <v>0</v>
      </c>
      <c r="P18" s="155" t="n">
        <v>0</v>
      </c>
      <c r="Q18" s="155" t="s">
        <v>398</v>
      </c>
    </row>
    <row r="19" customFormat="false" ht="12.75" hidden="false" customHeight="false" outlineLevel="0" collapsed="false">
      <c r="B19" s="157"/>
      <c r="C19" s="157" t="s">
        <v>396</v>
      </c>
      <c r="D19" s="157" t="n">
        <v>64862</v>
      </c>
      <c r="E19" s="157" t="s">
        <v>115</v>
      </c>
      <c r="F19" s="157" t="s">
        <v>398</v>
      </c>
      <c r="G19" s="157" t="s">
        <v>398</v>
      </c>
      <c r="H19" s="158" t="n">
        <v>36557</v>
      </c>
      <c r="I19" s="158" t="n">
        <v>36799</v>
      </c>
      <c r="J19" s="157" t="n">
        <v>26503</v>
      </c>
      <c r="K19" s="157" t="n">
        <v>13</v>
      </c>
      <c r="L19" s="157" t="n">
        <v>0</v>
      </c>
      <c r="M19" s="157" t="n">
        <v>13</v>
      </c>
      <c r="N19" s="157" t="n">
        <v>0</v>
      </c>
      <c r="O19" s="157" t="n">
        <v>0</v>
      </c>
      <c r="P19" s="157" t="n">
        <v>0</v>
      </c>
      <c r="Q19" s="157" t="s">
        <v>398</v>
      </c>
    </row>
    <row r="20" customFormat="false" ht="12.75" hidden="false" customHeight="false" outlineLevel="0" collapsed="false">
      <c r="B20" s="155"/>
      <c r="C20" s="155" t="s">
        <v>396</v>
      </c>
      <c r="D20" s="155" t="n">
        <v>64939</v>
      </c>
      <c r="E20" s="155" t="s">
        <v>115</v>
      </c>
      <c r="F20" s="155" t="s">
        <v>398</v>
      </c>
      <c r="G20" s="155" t="s">
        <v>398</v>
      </c>
      <c r="H20" s="156" t="n">
        <v>36557</v>
      </c>
      <c r="I20" s="156" t="n">
        <v>36799</v>
      </c>
      <c r="J20" s="155" t="n">
        <v>26577</v>
      </c>
      <c r="K20" s="160" t="n">
        <v>2300</v>
      </c>
      <c r="L20" s="155" t="n">
        <v>0</v>
      </c>
      <c r="M20" s="160" t="n">
        <v>2300</v>
      </c>
      <c r="N20" s="155" t="n">
        <v>0</v>
      </c>
      <c r="O20" s="155" t="n">
        <v>0</v>
      </c>
      <c r="P20" s="155" t="n">
        <v>0</v>
      </c>
      <c r="Q20" s="155" t="s">
        <v>398</v>
      </c>
    </row>
    <row r="21" customFormat="false" ht="12.75" hidden="false" customHeight="false" outlineLevel="0" collapsed="false">
      <c r="B21" s="157"/>
      <c r="C21" s="157" t="s">
        <v>396</v>
      </c>
      <c r="D21" s="157" t="n">
        <v>65026</v>
      </c>
      <c r="E21" s="157" t="s">
        <v>115</v>
      </c>
      <c r="F21" s="157" t="s">
        <v>398</v>
      </c>
      <c r="G21" s="157" t="s">
        <v>398</v>
      </c>
      <c r="H21" s="158" t="n">
        <v>36557</v>
      </c>
      <c r="I21" s="158" t="n">
        <v>36830</v>
      </c>
      <c r="J21" s="157" t="n">
        <v>26726</v>
      </c>
      <c r="K21" s="157" t="n">
        <v>128</v>
      </c>
      <c r="L21" s="157" t="n">
        <v>0</v>
      </c>
      <c r="M21" s="157" t="n">
        <v>128</v>
      </c>
      <c r="N21" s="157" t="n">
        <v>0</v>
      </c>
      <c r="O21" s="157" t="n">
        <v>0</v>
      </c>
      <c r="P21" s="157" t="n">
        <v>0</v>
      </c>
      <c r="Q21" s="157" t="s">
        <v>398</v>
      </c>
    </row>
    <row r="22" customFormat="false" ht="12.75" hidden="false" customHeight="false" outlineLevel="0" collapsed="false">
      <c r="B22" s="155"/>
      <c r="C22" s="155" t="s">
        <v>396</v>
      </c>
      <c r="D22" s="155" t="n">
        <v>65041</v>
      </c>
      <c r="E22" s="155" t="s">
        <v>115</v>
      </c>
      <c r="F22" s="155" t="s">
        <v>398</v>
      </c>
      <c r="G22" s="155" t="s">
        <v>398</v>
      </c>
      <c r="H22" s="156" t="n">
        <v>36557</v>
      </c>
      <c r="I22" s="156" t="n">
        <v>36830</v>
      </c>
      <c r="J22" s="155" t="n">
        <v>26754</v>
      </c>
      <c r="K22" s="160" t="n">
        <v>9619</v>
      </c>
      <c r="L22" s="155" t="n">
        <v>0</v>
      </c>
      <c r="M22" s="160" t="n">
        <v>9619</v>
      </c>
      <c r="N22" s="155" t="n">
        <v>0</v>
      </c>
      <c r="O22" s="155" t="n">
        <v>0</v>
      </c>
      <c r="P22" s="155" t="n">
        <v>0</v>
      </c>
      <c r="Q22" s="155" t="s">
        <v>398</v>
      </c>
    </row>
    <row r="23" customFormat="false" ht="12.75" hidden="false" customHeight="false" outlineLevel="0" collapsed="false">
      <c r="B23" s="157"/>
      <c r="C23" s="157" t="s">
        <v>396</v>
      </c>
      <c r="D23" s="157" t="n">
        <v>65042</v>
      </c>
      <c r="E23" s="157" t="s">
        <v>115</v>
      </c>
      <c r="F23" s="157" t="s">
        <v>398</v>
      </c>
      <c r="G23" s="157" t="s">
        <v>398</v>
      </c>
      <c r="H23" s="158" t="n">
        <v>36557</v>
      </c>
      <c r="I23" s="158" t="n">
        <v>36830</v>
      </c>
      <c r="J23" s="157" t="n">
        <v>26753</v>
      </c>
      <c r="K23" s="159" t="n">
        <v>4427</v>
      </c>
      <c r="L23" s="157" t="n">
        <v>0</v>
      </c>
      <c r="M23" s="159" t="n">
        <v>4427</v>
      </c>
      <c r="N23" s="157" t="n">
        <v>0</v>
      </c>
      <c r="O23" s="157" t="n">
        <v>0</v>
      </c>
      <c r="P23" s="157" t="n">
        <v>0</v>
      </c>
      <c r="Q23" s="157" t="s">
        <v>398</v>
      </c>
    </row>
    <row r="24" customFormat="false" ht="12.75" hidden="false" customHeight="false" outlineLevel="0" collapsed="false">
      <c r="B24" s="155"/>
      <c r="C24" s="155" t="s">
        <v>396</v>
      </c>
      <c r="D24" s="155" t="n">
        <v>65071</v>
      </c>
      <c r="E24" s="155" t="s">
        <v>115</v>
      </c>
      <c r="F24" s="155" t="s">
        <v>398</v>
      </c>
      <c r="G24" s="155" t="s">
        <v>398</v>
      </c>
      <c r="H24" s="156" t="n">
        <v>36557</v>
      </c>
      <c r="I24" s="156" t="n">
        <v>36830</v>
      </c>
      <c r="J24" s="155" t="n">
        <v>26782</v>
      </c>
      <c r="K24" s="160" t="n">
        <v>7429</v>
      </c>
      <c r="L24" s="155" t="n">
        <v>0</v>
      </c>
      <c r="M24" s="160" t="n">
        <v>7035</v>
      </c>
      <c r="N24" s="155" t="n">
        <v>394</v>
      </c>
      <c r="O24" s="155" t="n">
        <v>0</v>
      </c>
      <c r="P24" s="155" t="n">
        <v>0</v>
      </c>
      <c r="Q24" s="155" t="s">
        <v>398</v>
      </c>
    </row>
    <row r="25" customFormat="false" ht="12.75" hidden="false" customHeight="false" outlineLevel="0" collapsed="false">
      <c r="B25" s="157"/>
      <c r="C25" s="157" t="s">
        <v>396</v>
      </c>
      <c r="D25" s="157" t="n">
        <v>65108</v>
      </c>
      <c r="E25" s="157" t="s">
        <v>115</v>
      </c>
      <c r="F25" s="157" t="s">
        <v>398</v>
      </c>
      <c r="G25" s="157" t="s">
        <v>398</v>
      </c>
      <c r="H25" s="158" t="n">
        <v>36557</v>
      </c>
      <c r="I25" s="158" t="n">
        <v>37011</v>
      </c>
      <c r="J25" s="157" t="s">
        <v>398</v>
      </c>
      <c r="K25" s="159" t="n">
        <v>5000</v>
      </c>
      <c r="L25" s="157" t="n">
        <v>0</v>
      </c>
      <c r="M25" s="159" t="n">
        <v>5000</v>
      </c>
      <c r="N25" s="157" t="n">
        <v>0</v>
      </c>
      <c r="O25" s="157" t="n">
        <v>0</v>
      </c>
      <c r="P25" s="157" t="n">
        <v>0</v>
      </c>
      <c r="Q25" s="157" t="s">
        <v>398</v>
      </c>
    </row>
    <row r="26" customFormat="false" ht="12.75" hidden="false" customHeight="false" outlineLevel="0" collapsed="false">
      <c r="B26" s="155"/>
      <c r="C26" s="155" t="s">
        <v>396</v>
      </c>
      <c r="D26" s="155" t="n">
        <v>65402</v>
      </c>
      <c r="E26" s="155" t="s">
        <v>115</v>
      </c>
      <c r="F26" s="155" t="s">
        <v>398</v>
      </c>
      <c r="G26" s="155" t="s">
        <v>398</v>
      </c>
      <c r="H26" s="156" t="n">
        <v>36557</v>
      </c>
      <c r="I26" s="156" t="n">
        <v>36830</v>
      </c>
      <c r="J26" s="155" t="n">
        <v>26694</v>
      </c>
      <c r="K26" s="160" t="n">
        <v>20000</v>
      </c>
      <c r="L26" s="155" t="n">
        <v>0</v>
      </c>
      <c r="M26" s="155" t="n">
        <v>0</v>
      </c>
      <c r="N26" s="160" t="n">
        <v>20000</v>
      </c>
      <c r="O26" s="155" t="n">
        <v>0</v>
      </c>
      <c r="P26" s="155" t="n">
        <v>0</v>
      </c>
      <c r="Q26" s="155" t="s">
        <v>398</v>
      </c>
    </row>
    <row r="27" customFormat="false" ht="12.75" hidden="false" customHeight="false" outlineLevel="0" collapsed="false">
      <c r="B27" s="157"/>
      <c r="C27" s="157" t="s">
        <v>396</v>
      </c>
      <c r="D27" s="157" t="n">
        <v>65403</v>
      </c>
      <c r="E27" s="157" t="s">
        <v>115</v>
      </c>
      <c r="F27" s="157" t="s">
        <v>398</v>
      </c>
      <c r="G27" s="157" t="s">
        <v>398</v>
      </c>
      <c r="H27" s="158" t="n">
        <v>36557</v>
      </c>
      <c r="I27" s="158" t="n">
        <v>37011</v>
      </c>
      <c r="J27" s="157" t="n">
        <v>26714</v>
      </c>
      <c r="K27" s="159" t="n">
        <v>19293</v>
      </c>
      <c r="L27" s="157" t="n">
        <v>0</v>
      </c>
      <c r="M27" s="159" t="n">
        <v>19293</v>
      </c>
      <c r="N27" s="157" t="n">
        <v>0</v>
      </c>
      <c r="O27" s="157" t="n">
        <v>0</v>
      </c>
      <c r="P27" s="157" t="n">
        <v>0</v>
      </c>
      <c r="Q27" s="157" t="s">
        <v>398</v>
      </c>
    </row>
    <row r="28" customFormat="false" ht="12.75" hidden="false" customHeight="false" outlineLevel="0" collapsed="false">
      <c r="B28" s="155"/>
      <c r="C28" s="155" t="s">
        <v>396</v>
      </c>
      <c r="D28" s="155" t="n">
        <v>65418</v>
      </c>
      <c r="E28" s="155" t="s">
        <v>115</v>
      </c>
      <c r="F28" s="155" t="s">
        <v>398</v>
      </c>
      <c r="G28" s="155" t="s">
        <v>398</v>
      </c>
      <c r="H28" s="156" t="n">
        <v>36557</v>
      </c>
      <c r="I28" s="155" t="s">
        <v>398</v>
      </c>
      <c r="J28" s="155" t="n">
        <v>26722</v>
      </c>
      <c r="K28" s="155" t="n">
        <v>500</v>
      </c>
      <c r="L28" s="155" t="n">
        <v>0</v>
      </c>
      <c r="M28" s="155" t="n">
        <v>500</v>
      </c>
      <c r="N28" s="155" t="n">
        <v>0</v>
      </c>
      <c r="O28" s="155" t="n">
        <v>0</v>
      </c>
      <c r="P28" s="155" t="n">
        <v>0</v>
      </c>
      <c r="Q28" s="155" t="s">
        <v>398</v>
      </c>
    </row>
    <row r="29" customFormat="false" ht="12.75" hidden="false" customHeight="false" outlineLevel="0" collapsed="false">
      <c r="B29" s="157"/>
      <c r="C29" s="157" t="s">
        <v>396</v>
      </c>
      <c r="D29" s="157" t="n">
        <v>65556</v>
      </c>
      <c r="E29" s="157" t="s">
        <v>115</v>
      </c>
      <c r="F29" s="157" t="s">
        <v>398</v>
      </c>
      <c r="G29" s="157" t="s">
        <v>398</v>
      </c>
      <c r="H29" s="158" t="n">
        <v>36557</v>
      </c>
      <c r="I29" s="158" t="n">
        <v>36860</v>
      </c>
      <c r="J29" s="157" t="n">
        <v>27127</v>
      </c>
      <c r="K29" s="157" t="n">
        <v>3</v>
      </c>
      <c r="L29" s="157" t="n">
        <v>0</v>
      </c>
      <c r="M29" s="157" t="n">
        <v>3</v>
      </c>
      <c r="N29" s="157" t="n">
        <v>0</v>
      </c>
      <c r="O29" s="157" t="n">
        <v>0</v>
      </c>
      <c r="P29" s="157" t="n">
        <v>0</v>
      </c>
      <c r="Q29" s="157" t="s">
        <v>398</v>
      </c>
    </row>
    <row r="30" customFormat="false" ht="12.75" hidden="false" customHeight="false" outlineLevel="0" collapsed="false">
      <c r="B30" s="155"/>
      <c r="C30" s="155" t="s">
        <v>396</v>
      </c>
      <c r="D30" s="155" t="n">
        <v>66280</v>
      </c>
      <c r="E30" s="155" t="s">
        <v>115</v>
      </c>
      <c r="F30" s="155" t="s">
        <v>398</v>
      </c>
      <c r="G30" s="155" t="s">
        <v>398</v>
      </c>
      <c r="H30" s="156" t="n">
        <v>36557</v>
      </c>
      <c r="I30" s="156" t="n">
        <v>36922</v>
      </c>
      <c r="J30" s="155" t="n">
        <v>27772</v>
      </c>
      <c r="K30" s="155" t="n">
        <v>5</v>
      </c>
      <c r="L30" s="155" t="n">
        <v>0</v>
      </c>
      <c r="M30" s="155" t="n">
        <v>5</v>
      </c>
      <c r="N30" s="155" t="n">
        <v>0</v>
      </c>
      <c r="O30" s="155" t="n">
        <v>0</v>
      </c>
      <c r="P30" s="155" t="n">
        <v>0</v>
      </c>
      <c r="Q30" s="155" t="s">
        <v>398</v>
      </c>
    </row>
    <row r="31" customFormat="false" ht="12.75" hidden="false" customHeight="false" outlineLevel="0" collapsed="false">
      <c r="B31" s="157"/>
      <c r="C31" s="157" t="s">
        <v>396</v>
      </c>
      <c r="D31" s="157" t="n">
        <v>66917</v>
      </c>
      <c r="E31" s="157" t="s">
        <v>358</v>
      </c>
      <c r="F31" s="157" t="s">
        <v>398</v>
      </c>
      <c r="G31" s="157" t="s">
        <v>398</v>
      </c>
      <c r="H31" s="158" t="n">
        <v>36617</v>
      </c>
      <c r="I31" s="157" t="s">
        <v>398</v>
      </c>
      <c r="J31" s="157" t="s">
        <v>398</v>
      </c>
      <c r="K31" s="159" t="n">
        <v>50000</v>
      </c>
      <c r="L31" s="157" t="n">
        <v>0</v>
      </c>
      <c r="M31" s="159" t="n">
        <v>50000</v>
      </c>
      <c r="N31" s="157" t="n">
        <v>0</v>
      </c>
      <c r="O31" s="157" t="n">
        <v>0</v>
      </c>
      <c r="P31" s="157" t="n">
        <v>0</v>
      </c>
      <c r="Q31" s="157" t="s">
        <v>398</v>
      </c>
    </row>
    <row r="32" customFormat="false" ht="12.75" hidden="false" customHeight="false" outlineLevel="0" collapsed="false">
      <c r="B32" s="155"/>
      <c r="C32" s="155" t="s">
        <v>396</v>
      </c>
      <c r="D32" s="155" t="n">
        <v>66930</v>
      </c>
      <c r="E32" s="155" t="s">
        <v>115</v>
      </c>
      <c r="F32" s="155" t="s">
        <v>398</v>
      </c>
      <c r="G32" s="155" t="s">
        <v>398</v>
      </c>
      <c r="H32" s="156" t="n">
        <v>36617</v>
      </c>
      <c r="I32" s="156" t="n">
        <v>36981</v>
      </c>
      <c r="J32" s="155" t="n">
        <v>28188</v>
      </c>
      <c r="K32" s="160" t="n">
        <v>4000</v>
      </c>
      <c r="L32" s="155" t="n">
        <v>0</v>
      </c>
      <c r="M32" s="160" t="n">
        <v>4000</v>
      </c>
      <c r="N32" s="155" t="n">
        <v>0</v>
      </c>
      <c r="O32" s="155" t="n">
        <v>0</v>
      </c>
      <c r="P32" s="155" t="n">
        <v>0</v>
      </c>
      <c r="Q32" s="155" t="s">
        <v>398</v>
      </c>
    </row>
    <row r="33" customFormat="false" ht="12.75" hidden="false" customHeight="false" outlineLevel="0" collapsed="false">
      <c r="B33" s="157"/>
      <c r="C33" s="157" t="s">
        <v>396</v>
      </c>
      <c r="D33" s="157" t="n">
        <v>66931</v>
      </c>
      <c r="E33" s="157" t="s">
        <v>115</v>
      </c>
      <c r="F33" s="157" t="s">
        <v>398</v>
      </c>
      <c r="G33" s="157" t="s">
        <v>398</v>
      </c>
      <c r="H33" s="158" t="n">
        <v>36617</v>
      </c>
      <c r="I33" s="158" t="n">
        <v>36981</v>
      </c>
      <c r="J33" s="157" t="n">
        <v>28189</v>
      </c>
      <c r="K33" s="159" t="n">
        <v>4000</v>
      </c>
      <c r="L33" s="157" t="n">
        <v>0</v>
      </c>
      <c r="M33" s="159" t="n">
        <v>4000</v>
      </c>
      <c r="N33" s="157" t="n">
        <v>0</v>
      </c>
      <c r="O33" s="157" t="n">
        <v>0</v>
      </c>
      <c r="P33" s="157" t="n">
        <v>0</v>
      </c>
      <c r="Q33" s="157" t="s">
        <v>398</v>
      </c>
    </row>
    <row r="34" customFormat="false" ht="12.75" hidden="false" customHeight="false" outlineLevel="0" collapsed="false">
      <c r="B34" s="155"/>
      <c r="C34" s="155" t="s">
        <v>396</v>
      </c>
      <c r="D34" s="155" t="n">
        <v>66932</v>
      </c>
      <c r="E34" s="155" t="s">
        <v>115</v>
      </c>
      <c r="F34" s="155" t="s">
        <v>398</v>
      </c>
      <c r="G34" s="155" t="s">
        <v>398</v>
      </c>
      <c r="H34" s="156" t="n">
        <v>36617</v>
      </c>
      <c r="I34" s="156" t="n">
        <v>36981</v>
      </c>
      <c r="J34" s="155" t="n">
        <v>28176</v>
      </c>
      <c r="K34" s="160" t="n">
        <v>4000</v>
      </c>
      <c r="L34" s="155" t="n">
        <v>0</v>
      </c>
      <c r="M34" s="160" t="n">
        <v>4000</v>
      </c>
      <c r="N34" s="155" t="n">
        <v>0</v>
      </c>
      <c r="O34" s="155" t="n">
        <v>0</v>
      </c>
      <c r="P34" s="155" t="n">
        <v>0</v>
      </c>
      <c r="Q34" s="155" t="s">
        <v>398</v>
      </c>
    </row>
    <row r="35" customFormat="false" ht="12.75" hidden="false" customHeight="false" outlineLevel="0" collapsed="false">
      <c r="B35" s="157"/>
      <c r="C35" s="157" t="s">
        <v>396</v>
      </c>
      <c r="D35" s="157" t="n">
        <v>66939</v>
      </c>
      <c r="E35" s="157" t="s">
        <v>115</v>
      </c>
      <c r="F35" s="157" t="s">
        <v>398</v>
      </c>
      <c r="G35" s="157" t="s">
        <v>398</v>
      </c>
      <c r="H35" s="158" t="n">
        <v>36617</v>
      </c>
      <c r="I35" s="158" t="n">
        <v>36981</v>
      </c>
      <c r="J35" s="157" t="n">
        <v>28332</v>
      </c>
      <c r="K35" s="157" t="n">
        <v>52</v>
      </c>
      <c r="L35" s="157" t="n">
        <v>0</v>
      </c>
      <c r="M35" s="157" t="n">
        <v>52</v>
      </c>
      <c r="N35" s="157" t="n">
        <v>0</v>
      </c>
      <c r="O35" s="157" t="n">
        <v>0</v>
      </c>
      <c r="P35" s="157" t="n">
        <v>0</v>
      </c>
      <c r="Q35" s="157" t="s">
        <v>398</v>
      </c>
    </row>
    <row r="36" customFormat="false" ht="12.75" hidden="false" customHeight="false" outlineLevel="0" collapsed="false">
      <c r="B36" s="155"/>
      <c r="C36" s="155" t="s">
        <v>396</v>
      </c>
      <c r="D36" s="155" t="n">
        <v>66940</v>
      </c>
      <c r="E36" s="155" t="s">
        <v>115</v>
      </c>
      <c r="F36" s="155" t="s">
        <v>398</v>
      </c>
      <c r="G36" s="155" t="s">
        <v>398</v>
      </c>
      <c r="H36" s="156" t="n">
        <v>36617</v>
      </c>
      <c r="I36" s="156" t="n">
        <v>36981</v>
      </c>
      <c r="J36" s="155" t="n">
        <v>28331</v>
      </c>
      <c r="K36" s="155" t="n">
        <v>2</v>
      </c>
      <c r="L36" s="155" t="n">
        <v>0</v>
      </c>
      <c r="M36" s="155" t="n">
        <v>2</v>
      </c>
      <c r="N36" s="155" t="n">
        <v>0</v>
      </c>
      <c r="O36" s="155" t="n">
        <v>0</v>
      </c>
      <c r="P36" s="155" t="n">
        <v>0</v>
      </c>
      <c r="Q36" s="155" t="s">
        <v>398</v>
      </c>
    </row>
    <row r="37" customFormat="false" ht="12.75" hidden="false" customHeight="false" outlineLevel="0" collapsed="false">
      <c r="B37" s="157"/>
      <c r="C37" s="157" t="s">
        <v>396</v>
      </c>
      <c r="D37" s="157" t="n">
        <v>66965</v>
      </c>
      <c r="E37" s="157" t="s">
        <v>316</v>
      </c>
      <c r="F37" s="157" t="s">
        <v>398</v>
      </c>
      <c r="G37" s="157" t="s">
        <v>398</v>
      </c>
      <c r="H37" s="158" t="n">
        <v>36617</v>
      </c>
      <c r="I37" s="158" t="n">
        <v>36830</v>
      </c>
      <c r="J37" s="157" t="n">
        <v>28226</v>
      </c>
      <c r="K37" s="159" t="n">
        <v>20000</v>
      </c>
      <c r="L37" s="157" t="n">
        <v>0</v>
      </c>
      <c r="M37" s="159" t="n">
        <v>20000</v>
      </c>
      <c r="N37" s="157" t="n">
        <v>0</v>
      </c>
      <c r="O37" s="157" t="n">
        <v>0</v>
      </c>
      <c r="P37" s="157" t="n">
        <v>0</v>
      </c>
      <c r="Q37" s="157" t="s">
        <v>398</v>
      </c>
    </row>
    <row r="38" customFormat="false" ht="12.75" hidden="false" customHeight="false" outlineLevel="0" collapsed="false">
      <c r="B38" s="155"/>
      <c r="C38" s="155" t="s">
        <v>396</v>
      </c>
      <c r="D38" s="155" t="n">
        <v>67693</v>
      </c>
      <c r="E38" s="155" t="s">
        <v>316</v>
      </c>
      <c r="F38" s="155" t="s">
        <v>398</v>
      </c>
      <c r="G38" s="155" t="s">
        <v>398</v>
      </c>
      <c r="H38" s="156" t="n">
        <v>36617</v>
      </c>
      <c r="I38" s="156" t="n">
        <v>36799</v>
      </c>
      <c r="J38" s="155" t="n">
        <v>28390</v>
      </c>
      <c r="K38" s="160" t="n">
        <v>54327</v>
      </c>
      <c r="L38" s="155" t="n">
        <v>0</v>
      </c>
      <c r="M38" s="160" t="n">
        <v>29827</v>
      </c>
      <c r="N38" s="160" t="n">
        <v>24500</v>
      </c>
      <c r="O38" s="155" t="n">
        <v>0</v>
      </c>
      <c r="P38" s="155" t="n">
        <v>0</v>
      </c>
      <c r="Q38" s="155" t="s">
        <v>398</v>
      </c>
    </row>
    <row r="39" customFormat="false" ht="12.75" hidden="false" customHeight="false" outlineLevel="0" collapsed="false">
      <c r="B39" s="157"/>
      <c r="C39" s="157" t="s">
        <v>396</v>
      </c>
      <c r="D39" s="157" t="n">
        <v>67712</v>
      </c>
      <c r="E39" s="157" t="s">
        <v>296</v>
      </c>
      <c r="F39" s="157" t="s">
        <v>398</v>
      </c>
      <c r="G39" s="157" t="s">
        <v>398</v>
      </c>
      <c r="H39" s="158" t="n">
        <v>36617</v>
      </c>
      <c r="I39" s="158" t="n">
        <v>36981</v>
      </c>
      <c r="J39" s="157" t="n">
        <v>28389</v>
      </c>
      <c r="K39" s="159" t="n">
        <v>108648</v>
      </c>
      <c r="L39" s="159" t="n">
        <v>6050607</v>
      </c>
      <c r="M39" s="159" t="n">
        <v>108648</v>
      </c>
      <c r="N39" s="157" t="n">
        <v>0</v>
      </c>
      <c r="O39" s="157" t="n">
        <v>0</v>
      </c>
      <c r="P39" s="157" t="n">
        <v>0</v>
      </c>
      <c r="Q39" s="157" t="n">
        <v>67713</v>
      </c>
    </row>
    <row r="40" customFormat="false" ht="12.75" hidden="false" customHeight="false" outlineLevel="0" collapsed="false">
      <c r="B40" s="155"/>
      <c r="C40" s="155" t="s">
        <v>396</v>
      </c>
      <c r="D40" s="155" t="n">
        <v>67713</v>
      </c>
      <c r="E40" s="155" t="s">
        <v>296</v>
      </c>
      <c r="F40" s="155" t="s">
        <v>398</v>
      </c>
      <c r="G40" s="155" t="s">
        <v>398</v>
      </c>
      <c r="H40" s="156" t="n">
        <v>36617</v>
      </c>
      <c r="I40" s="156" t="n">
        <v>36981</v>
      </c>
      <c r="J40" s="155" t="n">
        <v>28389</v>
      </c>
      <c r="K40" s="160" t="n">
        <v>108648</v>
      </c>
      <c r="L40" s="160" t="n">
        <v>6050607</v>
      </c>
      <c r="M40" s="160" t="n">
        <v>108648</v>
      </c>
      <c r="N40" s="155" t="n">
        <v>0</v>
      </c>
      <c r="O40" s="155" t="n">
        <v>0</v>
      </c>
      <c r="P40" s="155" t="n">
        <v>0</v>
      </c>
      <c r="Q40" s="155" t="n">
        <v>67713</v>
      </c>
    </row>
    <row r="41" customFormat="false" ht="12.75" hidden="false" customHeight="false" outlineLevel="0" collapsed="false">
      <c r="B41" s="157"/>
      <c r="C41" s="157" t="s">
        <v>396</v>
      </c>
      <c r="D41" s="157" t="n">
        <v>68188</v>
      </c>
      <c r="E41" s="157" t="s">
        <v>115</v>
      </c>
      <c r="F41" s="157" t="s">
        <v>398</v>
      </c>
      <c r="G41" s="157" t="s">
        <v>398</v>
      </c>
      <c r="H41" s="158" t="n">
        <v>36647</v>
      </c>
      <c r="I41" s="158" t="n">
        <v>37011</v>
      </c>
      <c r="J41" s="157" t="n">
        <v>28742</v>
      </c>
      <c r="K41" s="157" t="n">
        <v>1</v>
      </c>
      <c r="L41" s="157" t="n">
        <v>0</v>
      </c>
      <c r="M41" s="157" t="n">
        <v>1</v>
      </c>
      <c r="N41" s="157" t="n">
        <v>0</v>
      </c>
      <c r="O41" s="157" t="n">
        <v>0</v>
      </c>
      <c r="P41" s="157" t="n">
        <v>0</v>
      </c>
      <c r="Q41" s="157" t="s">
        <v>398</v>
      </c>
    </row>
    <row r="42" customFormat="false" ht="12.75" hidden="false" customHeight="false" outlineLevel="0" collapsed="false">
      <c r="B42" s="155"/>
      <c r="C42" s="155" t="s">
        <v>396</v>
      </c>
      <c r="D42" s="155" t="n">
        <v>68257</v>
      </c>
      <c r="E42" s="155" t="s">
        <v>115</v>
      </c>
      <c r="F42" s="155" t="s">
        <v>398</v>
      </c>
      <c r="G42" s="155" t="s">
        <v>398</v>
      </c>
      <c r="H42" s="156" t="n">
        <v>36647</v>
      </c>
      <c r="I42" s="156" t="n">
        <v>37011</v>
      </c>
      <c r="J42" s="155" t="n">
        <v>28631</v>
      </c>
      <c r="K42" s="155" t="n">
        <v>21</v>
      </c>
      <c r="L42" s="155" t="n">
        <v>0</v>
      </c>
      <c r="M42" s="155" t="n">
        <v>21</v>
      </c>
      <c r="N42" s="155" t="n">
        <v>0</v>
      </c>
      <c r="O42" s="155" t="n">
        <v>0</v>
      </c>
      <c r="P42" s="155" t="n">
        <v>0</v>
      </c>
      <c r="Q42" s="155"/>
    </row>
    <row r="43" customFormat="false" ht="12.75" hidden="false" customHeight="false" outlineLevel="0" collapsed="false">
      <c r="B43" s="157"/>
      <c r="C43" s="157" t="s">
        <v>396</v>
      </c>
      <c r="D43" s="157" t="n">
        <v>68308</v>
      </c>
      <c r="E43" s="157" t="s">
        <v>115</v>
      </c>
      <c r="F43" s="157" t="s">
        <v>398</v>
      </c>
      <c r="G43" s="157" t="s">
        <v>398</v>
      </c>
      <c r="H43" s="158" t="n">
        <v>36656</v>
      </c>
      <c r="I43" s="158" t="n">
        <v>36950</v>
      </c>
      <c r="J43" s="157" t="n">
        <v>28864</v>
      </c>
      <c r="K43" s="157" t="n">
        <v>9</v>
      </c>
      <c r="L43" s="157" t="n">
        <v>0</v>
      </c>
      <c r="M43" s="157" t="n">
        <v>9</v>
      </c>
      <c r="N43" s="157" t="n">
        <v>0</v>
      </c>
      <c r="O43" s="157" t="n">
        <v>0</v>
      </c>
      <c r="P43" s="157" t="n">
        <v>0</v>
      </c>
      <c r="Q43" s="157" t="s">
        <v>398</v>
      </c>
    </row>
    <row r="44" customFormat="false" ht="12.75" hidden="false" customHeight="false" outlineLevel="0" collapsed="false">
      <c r="B44" s="155"/>
      <c r="C44" s="155" t="s">
        <v>396</v>
      </c>
      <c r="D44" s="155" t="n">
        <v>68359</v>
      </c>
      <c r="E44" s="155" t="s">
        <v>115</v>
      </c>
      <c r="F44" s="155" t="s">
        <v>398</v>
      </c>
      <c r="G44" s="155" t="s">
        <v>398</v>
      </c>
      <c r="H44" s="156" t="n">
        <v>36678</v>
      </c>
      <c r="I44" s="156" t="n">
        <v>37042</v>
      </c>
      <c r="J44" s="155" t="n">
        <v>28933</v>
      </c>
      <c r="K44" s="155" t="n">
        <v>285</v>
      </c>
      <c r="L44" s="155" t="n">
        <v>0</v>
      </c>
      <c r="M44" s="155" t="n">
        <v>285</v>
      </c>
      <c r="N44" s="155" t="n">
        <v>0</v>
      </c>
      <c r="O44" s="155" t="n">
        <v>0</v>
      </c>
      <c r="P44" s="155" t="n">
        <v>0</v>
      </c>
      <c r="Q44" s="155" t="s">
        <v>398</v>
      </c>
    </row>
    <row r="45" customFormat="false" ht="12.75" hidden="false" customHeight="false" outlineLevel="0" collapsed="false">
      <c r="B45" s="157"/>
      <c r="C45" s="157" t="s">
        <v>396</v>
      </c>
      <c r="D45" s="157" t="n">
        <v>68384</v>
      </c>
      <c r="E45" s="157" t="s">
        <v>115</v>
      </c>
      <c r="F45" s="157" t="s">
        <v>398</v>
      </c>
      <c r="G45" s="157" t="s">
        <v>398</v>
      </c>
      <c r="H45" s="158" t="n">
        <v>36678</v>
      </c>
      <c r="I45" s="158" t="n">
        <v>37042</v>
      </c>
      <c r="J45" s="157" t="n">
        <v>28962</v>
      </c>
      <c r="K45" s="157" t="n">
        <v>218</v>
      </c>
      <c r="L45" s="157" t="n">
        <v>0</v>
      </c>
      <c r="M45" s="157" t="n">
        <v>218</v>
      </c>
      <c r="N45" s="157" t="n">
        <v>0</v>
      </c>
      <c r="O45" s="157" t="n">
        <v>0</v>
      </c>
      <c r="P45" s="157" t="n">
        <v>0</v>
      </c>
      <c r="Q45" s="157" t="s">
        <v>398</v>
      </c>
    </row>
    <row r="46" customFormat="false" ht="12.75" hidden="false" customHeight="false" outlineLevel="0" collapsed="false">
      <c r="B46" s="155"/>
      <c r="C46" s="155" t="s">
        <v>396</v>
      </c>
      <c r="D46" s="155" t="n">
        <v>68443</v>
      </c>
      <c r="E46" s="155" t="s">
        <v>316</v>
      </c>
      <c r="F46" s="155" t="s">
        <v>398</v>
      </c>
      <c r="G46" s="155" t="s">
        <v>398</v>
      </c>
      <c r="H46" s="156" t="n">
        <v>36678</v>
      </c>
      <c r="I46" s="156" t="n">
        <v>36707</v>
      </c>
      <c r="J46" s="155" t="n">
        <v>29005</v>
      </c>
      <c r="K46" s="160" t="n">
        <v>10000</v>
      </c>
      <c r="L46" s="155" t="n">
        <v>0</v>
      </c>
      <c r="M46" s="160" t="n">
        <v>10000</v>
      </c>
      <c r="N46" s="155" t="n">
        <v>0</v>
      </c>
      <c r="O46" s="155" t="n">
        <v>0</v>
      </c>
      <c r="P46" s="155" t="n">
        <v>0</v>
      </c>
      <c r="Q46" s="155" t="s">
        <v>398</v>
      </c>
    </row>
    <row r="47" customFormat="false" ht="12.75" hidden="false" customHeight="false" outlineLevel="0" collapsed="false">
      <c r="B47" s="157"/>
      <c r="C47" s="157" t="s">
        <v>396</v>
      </c>
      <c r="D47" s="157" t="n">
        <v>68447</v>
      </c>
      <c r="E47" s="157" t="s">
        <v>115</v>
      </c>
      <c r="F47" s="157" t="s">
        <v>398</v>
      </c>
      <c r="G47" s="157" t="s">
        <v>398</v>
      </c>
      <c r="H47" s="158" t="n">
        <v>36678</v>
      </c>
      <c r="I47" s="158" t="n">
        <v>36707</v>
      </c>
      <c r="J47" s="157" t="n">
        <v>29095</v>
      </c>
      <c r="K47" s="159" t="n">
        <v>7500</v>
      </c>
      <c r="L47" s="157" t="n">
        <v>0</v>
      </c>
      <c r="M47" s="159" t="n">
        <v>7500</v>
      </c>
      <c r="N47" s="157" t="n">
        <v>0</v>
      </c>
      <c r="O47" s="157" t="n">
        <v>0</v>
      </c>
      <c r="P47" s="157" t="n">
        <v>0</v>
      </c>
      <c r="Q47" s="157" t="s">
        <v>398</v>
      </c>
    </row>
    <row r="48" customFormat="false" ht="38.25" hidden="false" customHeight="false" outlineLevel="0" collapsed="false">
      <c r="B48" s="155"/>
      <c r="C48" s="155" t="s">
        <v>405</v>
      </c>
      <c r="D48" s="155" t="n">
        <v>37393</v>
      </c>
      <c r="E48" s="155" t="s">
        <v>406</v>
      </c>
      <c r="F48" s="155" t="s">
        <v>398</v>
      </c>
      <c r="G48" s="155" t="s">
        <v>398</v>
      </c>
      <c r="H48" s="156" t="n">
        <v>34274</v>
      </c>
      <c r="I48" s="155" t="s">
        <v>398</v>
      </c>
      <c r="J48" s="155" t="s">
        <v>398</v>
      </c>
      <c r="K48" s="160" t="n">
        <v>20000</v>
      </c>
      <c r="L48" s="155" t="n">
        <v>0</v>
      </c>
      <c r="M48" s="160" t="n">
        <v>20000</v>
      </c>
      <c r="N48" s="155" t="n">
        <v>0</v>
      </c>
      <c r="O48" s="155" t="n">
        <v>0</v>
      </c>
      <c r="P48" s="155" t="n">
        <v>0</v>
      </c>
      <c r="Q48" s="155" t="s">
        <v>398</v>
      </c>
    </row>
    <row r="49" customFormat="false" ht="38.25" hidden="false" customHeight="false" outlineLevel="0" collapsed="false">
      <c r="B49" s="157"/>
      <c r="C49" s="157" t="s">
        <v>405</v>
      </c>
      <c r="D49" s="157" t="n">
        <v>37556</v>
      </c>
      <c r="E49" s="157" t="s">
        <v>407</v>
      </c>
      <c r="F49" s="157" t="s">
        <v>398</v>
      </c>
      <c r="G49" s="157" t="s">
        <v>398</v>
      </c>
      <c r="H49" s="158" t="n">
        <v>34274</v>
      </c>
      <c r="I49" s="157" t="s">
        <v>398</v>
      </c>
      <c r="J49" s="157" t="s">
        <v>398</v>
      </c>
      <c r="K49" s="159" t="n">
        <v>300000</v>
      </c>
      <c r="L49" s="157" t="n">
        <v>0</v>
      </c>
      <c r="M49" s="159" t="n">
        <v>300000</v>
      </c>
      <c r="N49" s="157" t="n">
        <v>0</v>
      </c>
      <c r="O49" s="157" t="n">
        <v>0</v>
      </c>
      <c r="P49" s="157" t="n">
        <v>0</v>
      </c>
      <c r="Q49" s="157" t="s">
        <v>398</v>
      </c>
    </row>
    <row r="50" customFormat="false" ht="38.25" hidden="false" customHeight="false" outlineLevel="0" collapsed="false">
      <c r="B50" s="155"/>
      <c r="C50" s="155" t="s">
        <v>405</v>
      </c>
      <c r="D50" s="155" t="n">
        <v>37861</v>
      </c>
      <c r="E50" s="155" t="s">
        <v>408</v>
      </c>
      <c r="F50" s="155" t="s">
        <v>398</v>
      </c>
      <c r="G50" s="155" t="s">
        <v>398</v>
      </c>
      <c r="H50" s="156" t="n">
        <v>35582</v>
      </c>
      <c r="I50" s="155" t="s">
        <v>398</v>
      </c>
      <c r="J50" s="155" t="s">
        <v>398</v>
      </c>
      <c r="K50" s="160" t="n">
        <v>15000</v>
      </c>
      <c r="L50" s="155" t="n">
        <v>0</v>
      </c>
      <c r="M50" s="160" t="n">
        <v>15000</v>
      </c>
      <c r="N50" s="155" t="n">
        <v>0</v>
      </c>
      <c r="O50" s="155" t="n">
        <v>0</v>
      </c>
      <c r="P50" s="155" t="n">
        <v>0</v>
      </c>
      <c r="Q50" s="155" t="s">
        <v>398</v>
      </c>
    </row>
    <row r="51" customFormat="false" ht="38.25" hidden="false" customHeight="false" outlineLevel="0" collapsed="false">
      <c r="B51" s="157"/>
      <c r="C51" s="157" t="s">
        <v>405</v>
      </c>
      <c r="D51" s="157" t="n">
        <v>38641</v>
      </c>
      <c r="E51" s="157" t="s">
        <v>409</v>
      </c>
      <c r="F51" s="157" t="s">
        <v>398</v>
      </c>
      <c r="G51" s="157" t="s">
        <v>398</v>
      </c>
      <c r="H51" s="158" t="n">
        <v>34274</v>
      </c>
      <c r="I51" s="157" t="s">
        <v>398</v>
      </c>
      <c r="J51" s="157" t="s">
        <v>398</v>
      </c>
      <c r="K51" s="159" t="n">
        <v>450000</v>
      </c>
      <c r="L51" s="157" t="n">
        <v>0</v>
      </c>
      <c r="M51" s="159" t="n">
        <v>450000</v>
      </c>
      <c r="N51" s="157" t="n">
        <v>0</v>
      </c>
      <c r="O51" s="157" t="n">
        <v>0</v>
      </c>
      <c r="P51" s="157" t="n">
        <v>0</v>
      </c>
      <c r="Q51" s="157" t="s">
        <v>398</v>
      </c>
    </row>
    <row r="52" customFormat="false" ht="38.25" hidden="false" customHeight="false" outlineLevel="0" collapsed="false">
      <c r="B52" s="155"/>
      <c r="C52" s="155" t="s">
        <v>405</v>
      </c>
      <c r="D52" s="155" t="n">
        <v>39229</v>
      </c>
      <c r="E52" s="155" t="s">
        <v>397</v>
      </c>
      <c r="F52" s="155" t="s">
        <v>398</v>
      </c>
      <c r="G52" s="155" t="s">
        <v>398</v>
      </c>
      <c r="H52" s="156" t="n">
        <v>34274</v>
      </c>
      <c r="I52" s="155" t="s">
        <v>398</v>
      </c>
      <c r="J52" s="155" t="s">
        <v>398</v>
      </c>
      <c r="K52" s="155" t="n">
        <v>0</v>
      </c>
      <c r="L52" s="155" t="n">
        <v>0</v>
      </c>
      <c r="M52" s="155" t="n">
        <v>0</v>
      </c>
      <c r="N52" s="155" t="n">
        <v>0</v>
      </c>
      <c r="O52" s="155" t="n">
        <v>0</v>
      </c>
      <c r="P52" s="155" t="n">
        <v>0</v>
      </c>
      <c r="Q52" s="155" t="s">
        <v>398</v>
      </c>
    </row>
    <row r="53" customFormat="false" ht="38.25" hidden="false" customHeight="false" outlineLevel="0" collapsed="false">
      <c r="B53" s="157"/>
      <c r="C53" s="157" t="s">
        <v>405</v>
      </c>
      <c r="D53" s="157" t="n">
        <v>39266</v>
      </c>
      <c r="E53" s="157" t="s">
        <v>358</v>
      </c>
      <c r="F53" s="157" t="s">
        <v>398</v>
      </c>
      <c r="G53" s="157" t="s">
        <v>398</v>
      </c>
      <c r="H53" s="158" t="n">
        <v>34274</v>
      </c>
      <c r="I53" s="157" t="s">
        <v>398</v>
      </c>
      <c r="J53" s="157" t="s">
        <v>398</v>
      </c>
      <c r="K53" s="159" t="n">
        <v>300000</v>
      </c>
      <c r="L53" s="157" t="n">
        <v>0</v>
      </c>
      <c r="M53" s="159" t="n">
        <v>300000</v>
      </c>
      <c r="N53" s="157" t="n">
        <v>0</v>
      </c>
      <c r="O53" s="157" t="n">
        <v>0</v>
      </c>
      <c r="P53" s="157" t="n">
        <v>0</v>
      </c>
      <c r="Q53" s="157" t="s">
        <v>398</v>
      </c>
    </row>
    <row r="54" customFormat="false" ht="38.25" hidden="false" customHeight="false" outlineLevel="0" collapsed="false">
      <c r="B54" s="155"/>
      <c r="C54" s="155" t="s">
        <v>405</v>
      </c>
      <c r="D54" s="155" t="n">
        <v>42789</v>
      </c>
      <c r="E54" s="155" t="s">
        <v>406</v>
      </c>
      <c r="F54" s="155" t="s">
        <v>398</v>
      </c>
      <c r="G54" s="155" t="s">
        <v>398</v>
      </c>
      <c r="H54" s="156" t="n">
        <v>36557</v>
      </c>
      <c r="I54" s="155" t="s">
        <v>398</v>
      </c>
      <c r="J54" s="155" t="s">
        <v>398</v>
      </c>
      <c r="K54" s="160" t="n">
        <v>30000</v>
      </c>
      <c r="L54" s="155" t="n">
        <v>0</v>
      </c>
      <c r="M54" s="160" t="n">
        <v>30000</v>
      </c>
      <c r="N54" s="155" t="n">
        <v>0</v>
      </c>
      <c r="O54" s="155" t="n">
        <v>0</v>
      </c>
      <c r="P54" s="155" t="n">
        <v>0</v>
      </c>
      <c r="Q54" s="155" t="s">
        <v>398</v>
      </c>
    </row>
    <row r="55" customFormat="false" ht="38.25" hidden="false" customHeight="false" outlineLevel="0" collapsed="false">
      <c r="B55" s="157"/>
      <c r="C55" s="157" t="s">
        <v>405</v>
      </c>
      <c r="D55" s="157" t="n">
        <v>50250</v>
      </c>
      <c r="E55" s="157" t="s">
        <v>406</v>
      </c>
      <c r="F55" s="157" t="s">
        <v>398</v>
      </c>
      <c r="G55" s="157" t="s">
        <v>398</v>
      </c>
      <c r="H55" s="158" t="n">
        <v>36557</v>
      </c>
      <c r="I55" s="157" t="s">
        <v>398</v>
      </c>
      <c r="J55" s="157" t="s">
        <v>398</v>
      </c>
      <c r="K55" s="159" t="n">
        <v>20000</v>
      </c>
      <c r="L55" s="157" t="n">
        <v>0</v>
      </c>
      <c r="M55" s="159" t="n">
        <v>20000</v>
      </c>
      <c r="N55" s="157" t="n">
        <v>0</v>
      </c>
      <c r="O55" s="157" t="n">
        <v>0</v>
      </c>
      <c r="P55" s="157" t="n">
        <v>0</v>
      </c>
      <c r="Q55" s="157" t="s">
        <v>398</v>
      </c>
    </row>
    <row r="56" customFormat="false" ht="38.25" hidden="false" customHeight="false" outlineLevel="0" collapsed="false">
      <c r="B56" s="155"/>
      <c r="C56" s="155" t="s">
        <v>405</v>
      </c>
      <c r="D56" s="155" t="n">
        <v>58654</v>
      </c>
      <c r="E56" s="155" t="s">
        <v>408</v>
      </c>
      <c r="F56" s="155" t="s">
        <v>398</v>
      </c>
      <c r="G56" s="155" t="s">
        <v>398</v>
      </c>
      <c r="H56" s="156" t="n">
        <v>36557</v>
      </c>
      <c r="I56" s="155" t="s">
        <v>398</v>
      </c>
      <c r="J56" s="155" t="s">
        <v>398</v>
      </c>
      <c r="K56" s="160" t="n">
        <v>15000</v>
      </c>
      <c r="L56" s="155" t="n">
        <v>0</v>
      </c>
      <c r="M56" s="160" t="n">
        <v>15000</v>
      </c>
      <c r="N56" s="155" t="n">
        <v>0</v>
      </c>
      <c r="O56" s="155" t="n">
        <v>0</v>
      </c>
      <c r="P56" s="155" t="n">
        <v>0</v>
      </c>
      <c r="Q56" s="155" t="s">
        <v>398</v>
      </c>
    </row>
    <row r="57" customFormat="false" ht="38.25" hidden="false" customHeight="false" outlineLevel="0" collapsed="false">
      <c r="B57" s="157"/>
      <c r="C57" s="157" t="s">
        <v>405</v>
      </c>
      <c r="D57" s="157" t="n">
        <v>62408</v>
      </c>
      <c r="E57" s="157" t="s">
        <v>406</v>
      </c>
      <c r="F57" s="157" t="s">
        <v>398</v>
      </c>
      <c r="G57" s="157" t="s">
        <v>398</v>
      </c>
      <c r="H57" s="158" t="n">
        <v>36557</v>
      </c>
      <c r="I57" s="157" t="s">
        <v>398</v>
      </c>
      <c r="J57" s="157" t="s">
        <v>398</v>
      </c>
      <c r="K57" s="159" t="n">
        <v>40000</v>
      </c>
      <c r="L57" s="157" t="n">
        <v>0</v>
      </c>
      <c r="M57" s="159" t="n">
        <v>40000</v>
      </c>
      <c r="N57" s="157" t="n">
        <v>0</v>
      </c>
      <c r="O57" s="157" t="n">
        <v>0</v>
      </c>
      <c r="P57" s="157" t="n">
        <v>0</v>
      </c>
      <c r="Q57" s="157" t="s">
        <v>398</v>
      </c>
    </row>
    <row r="58" customFormat="false" ht="38.25" hidden="false" customHeight="false" outlineLevel="0" collapsed="false">
      <c r="B58" s="155"/>
      <c r="C58" s="155" t="s">
        <v>405</v>
      </c>
      <c r="D58" s="155" t="n">
        <v>63115</v>
      </c>
      <c r="E58" s="155" t="s">
        <v>408</v>
      </c>
      <c r="F58" s="155" t="s">
        <v>398</v>
      </c>
      <c r="G58" s="155" t="s">
        <v>398</v>
      </c>
      <c r="H58" s="156" t="n">
        <v>36557</v>
      </c>
      <c r="I58" s="156" t="n">
        <v>37346</v>
      </c>
      <c r="J58" s="155" t="n">
        <v>24770</v>
      </c>
      <c r="K58" s="160" t="n">
        <v>30000</v>
      </c>
      <c r="L58" s="155" t="n">
        <v>0</v>
      </c>
      <c r="M58" s="160" t="n">
        <v>30000</v>
      </c>
      <c r="N58" s="155" t="n">
        <v>0</v>
      </c>
      <c r="O58" s="155" t="n">
        <v>0</v>
      </c>
      <c r="P58" s="155" t="n">
        <v>0</v>
      </c>
      <c r="Q58" s="155" t="s">
        <v>398</v>
      </c>
    </row>
    <row r="59" customFormat="false" ht="38.25" hidden="false" customHeight="false" outlineLevel="0" collapsed="false">
      <c r="B59" s="157"/>
      <c r="C59" s="157" t="s">
        <v>405</v>
      </c>
      <c r="D59" s="157" t="n">
        <v>63922</v>
      </c>
      <c r="E59" s="157" t="s">
        <v>406</v>
      </c>
      <c r="F59" s="157" t="s">
        <v>398</v>
      </c>
      <c r="G59" s="157" t="s">
        <v>398</v>
      </c>
      <c r="H59" s="158" t="n">
        <v>36557</v>
      </c>
      <c r="I59" s="158" t="n">
        <v>38291</v>
      </c>
      <c r="J59" s="157" t="n">
        <v>25471</v>
      </c>
      <c r="K59" s="159" t="n">
        <v>25654</v>
      </c>
      <c r="L59" s="157" t="n">
        <v>0</v>
      </c>
      <c r="M59" s="159" t="n">
        <v>25654</v>
      </c>
      <c r="N59" s="157" t="n">
        <v>0</v>
      </c>
      <c r="O59" s="157" t="n">
        <v>0</v>
      </c>
      <c r="P59" s="157" t="n">
        <v>0</v>
      </c>
      <c r="Q59" s="157" t="s">
        <v>398</v>
      </c>
    </row>
    <row r="60" customFormat="false" ht="38.25" hidden="false" customHeight="false" outlineLevel="0" collapsed="false">
      <c r="B60" s="155"/>
      <c r="C60" s="155" t="s">
        <v>405</v>
      </c>
      <c r="D60" s="155" t="n">
        <v>64033</v>
      </c>
      <c r="E60" s="155" t="s">
        <v>408</v>
      </c>
      <c r="F60" s="155" t="s">
        <v>398</v>
      </c>
      <c r="G60" s="155" t="s">
        <v>398</v>
      </c>
      <c r="H60" s="156" t="n">
        <v>36557</v>
      </c>
      <c r="I60" s="156" t="n">
        <v>36707</v>
      </c>
      <c r="J60" s="155" t="n">
        <v>25713</v>
      </c>
      <c r="K60" s="155" t="n">
        <v>1</v>
      </c>
      <c r="L60" s="155" t="n">
        <v>0</v>
      </c>
      <c r="M60" s="155" t="n">
        <v>1</v>
      </c>
      <c r="N60" s="155" t="n">
        <v>0</v>
      </c>
      <c r="O60" s="155" t="n">
        <v>0</v>
      </c>
      <c r="P60" s="155" t="n">
        <v>0</v>
      </c>
      <c r="Q60" s="155" t="s">
        <v>398</v>
      </c>
    </row>
    <row r="61" customFormat="false" ht="38.25" hidden="false" customHeight="false" outlineLevel="0" collapsed="false">
      <c r="B61" s="157"/>
      <c r="C61" s="157" t="s">
        <v>405</v>
      </c>
      <c r="D61" s="157" t="n">
        <v>64035</v>
      </c>
      <c r="E61" s="157" t="s">
        <v>408</v>
      </c>
      <c r="F61" s="157" t="s">
        <v>398</v>
      </c>
      <c r="G61" s="157" t="s">
        <v>398</v>
      </c>
      <c r="H61" s="158" t="n">
        <v>36557</v>
      </c>
      <c r="I61" s="158" t="n">
        <v>36707</v>
      </c>
      <c r="J61" s="157" t="n">
        <v>25700</v>
      </c>
      <c r="K61" s="157" t="n">
        <v>931</v>
      </c>
      <c r="L61" s="157" t="n">
        <v>0</v>
      </c>
      <c r="M61" s="157" t="n">
        <v>931</v>
      </c>
      <c r="N61" s="157" t="n">
        <v>0</v>
      </c>
      <c r="O61" s="157" t="n">
        <v>0</v>
      </c>
      <c r="P61" s="157" t="n">
        <v>0</v>
      </c>
      <c r="Q61" s="157" t="s">
        <v>398</v>
      </c>
    </row>
    <row r="62" customFormat="false" ht="38.25" hidden="false" customHeight="false" outlineLevel="0" collapsed="false">
      <c r="B62" s="155"/>
      <c r="C62" s="155" t="s">
        <v>405</v>
      </c>
      <c r="D62" s="155" t="n">
        <v>64332</v>
      </c>
      <c r="E62" s="155" t="s">
        <v>408</v>
      </c>
      <c r="F62" s="155" t="s">
        <v>398</v>
      </c>
      <c r="G62" s="155" t="s">
        <v>398</v>
      </c>
      <c r="H62" s="156" t="n">
        <v>36557</v>
      </c>
      <c r="I62" s="156" t="n">
        <v>36738</v>
      </c>
      <c r="J62" s="155" t="n">
        <v>25966</v>
      </c>
      <c r="K62" s="155" t="n">
        <v>12</v>
      </c>
      <c r="L62" s="155" t="n">
        <v>0</v>
      </c>
      <c r="M62" s="155" t="n">
        <v>12</v>
      </c>
      <c r="N62" s="155" t="n">
        <v>0</v>
      </c>
      <c r="O62" s="155" t="n">
        <v>0</v>
      </c>
      <c r="P62" s="155" t="n">
        <v>0</v>
      </c>
      <c r="Q62" s="155" t="s">
        <v>398</v>
      </c>
    </row>
    <row r="63" customFormat="false" ht="38.25" hidden="false" customHeight="false" outlineLevel="0" collapsed="false">
      <c r="B63" s="157"/>
      <c r="C63" s="157" t="s">
        <v>405</v>
      </c>
      <c r="D63" s="157" t="n">
        <v>64334</v>
      </c>
      <c r="E63" s="157" t="s">
        <v>408</v>
      </c>
      <c r="F63" s="157" t="s">
        <v>398</v>
      </c>
      <c r="G63" s="157" t="s">
        <v>398</v>
      </c>
      <c r="H63" s="158" t="n">
        <v>36557</v>
      </c>
      <c r="I63" s="158" t="n">
        <v>36738</v>
      </c>
      <c r="J63" s="157" t="n">
        <v>25956</v>
      </c>
      <c r="K63" s="157" t="n">
        <v>52</v>
      </c>
      <c r="L63" s="157" t="n">
        <v>0</v>
      </c>
      <c r="M63" s="157" t="n">
        <v>52</v>
      </c>
      <c r="N63" s="157" t="n">
        <v>0</v>
      </c>
      <c r="O63" s="157" t="n">
        <v>0</v>
      </c>
      <c r="P63" s="157" t="n">
        <v>0</v>
      </c>
      <c r="Q63" s="157" t="s">
        <v>398</v>
      </c>
    </row>
    <row r="64" customFormat="false" ht="38.25" hidden="false" customHeight="false" outlineLevel="0" collapsed="false">
      <c r="B64" s="155"/>
      <c r="C64" s="155" t="s">
        <v>405</v>
      </c>
      <c r="D64" s="155" t="n">
        <v>64446</v>
      </c>
      <c r="E64" s="155" t="s">
        <v>408</v>
      </c>
      <c r="F64" s="155" t="s">
        <v>398</v>
      </c>
      <c r="G64" s="155" t="s">
        <v>398</v>
      </c>
      <c r="H64" s="156" t="n">
        <v>36557</v>
      </c>
      <c r="I64" s="156" t="n">
        <v>36738</v>
      </c>
      <c r="J64" s="155" t="n">
        <v>26081</v>
      </c>
      <c r="K64" s="155" t="n">
        <v>142</v>
      </c>
      <c r="L64" s="155" t="n">
        <v>0</v>
      </c>
      <c r="M64" s="155" t="n">
        <v>142</v>
      </c>
      <c r="N64" s="155" t="n">
        <v>0</v>
      </c>
      <c r="O64" s="155" t="n">
        <v>0</v>
      </c>
      <c r="P64" s="155" t="n">
        <v>0</v>
      </c>
      <c r="Q64" s="155" t="s">
        <v>398</v>
      </c>
    </row>
    <row r="65" customFormat="false" ht="38.25" hidden="false" customHeight="false" outlineLevel="0" collapsed="false">
      <c r="B65" s="157"/>
      <c r="C65" s="157" t="s">
        <v>405</v>
      </c>
      <c r="D65" s="157" t="n">
        <v>64502</v>
      </c>
      <c r="E65" s="157" t="s">
        <v>406</v>
      </c>
      <c r="F65" s="157" t="s">
        <v>398</v>
      </c>
      <c r="G65" s="157" t="s">
        <v>398</v>
      </c>
      <c r="H65" s="158" t="n">
        <v>36557</v>
      </c>
      <c r="I65" s="157" t="s">
        <v>398</v>
      </c>
      <c r="J65" s="157" t="s">
        <v>398</v>
      </c>
      <c r="K65" s="159" t="n">
        <v>29000</v>
      </c>
      <c r="L65" s="157" t="n">
        <v>0</v>
      </c>
      <c r="M65" s="159" t="n">
        <v>29000</v>
      </c>
      <c r="N65" s="157" t="n">
        <v>0</v>
      </c>
      <c r="O65" s="157" t="n">
        <v>0</v>
      </c>
      <c r="P65" s="157" t="n">
        <v>0</v>
      </c>
      <c r="Q65" s="157"/>
    </row>
    <row r="66" customFormat="false" ht="38.25" hidden="false" customHeight="false" outlineLevel="0" collapsed="false">
      <c r="B66" s="155"/>
      <c r="C66" s="155" t="s">
        <v>405</v>
      </c>
      <c r="D66" s="155" t="n">
        <v>64652</v>
      </c>
      <c r="E66" s="155" t="s">
        <v>408</v>
      </c>
      <c r="F66" s="155" t="s">
        <v>398</v>
      </c>
      <c r="G66" s="155" t="s">
        <v>398</v>
      </c>
      <c r="H66" s="156" t="n">
        <v>36557</v>
      </c>
      <c r="I66" s="156" t="n">
        <v>36769</v>
      </c>
      <c r="J66" s="155" t="n">
        <v>26151</v>
      </c>
      <c r="K66" s="155" t="n">
        <v>65</v>
      </c>
      <c r="L66" s="155" t="n">
        <v>0</v>
      </c>
      <c r="M66" s="155" t="n">
        <v>65</v>
      </c>
      <c r="N66" s="155" t="n">
        <v>0</v>
      </c>
      <c r="O66" s="155" t="n">
        <v>0</v>
      </c>
      <c r="P66" s="155" t="n">
        <v>0</v>
      </c>
      <c r="Q66" s="155" t="s">
        <v>398</v>
      </c>
    </row>
    <row r="67" customFormat="false" ht="38.25" hidden="false" customHeight="false" outlineLevel="0" collapsed="false">
      <c r="B67" s="157"/>
      <c r="C67" s="157" t="s">
        <v>405</v>
      </c>
      <c r="D67" s="157" t="n">
        <v>64863</v>
      </c>
      <c r="E67" s="157" t="s">
        <v>408</v>
      </c>
      <c r="F67" s="157" t="s">
        <v>398</v>
      </c>
      <c r="G67" s="157" t="s">
        <v>398</v>
      </c>
      <c r="H67" s="158" t="n">
        <v>36557</v>
      </c>
      <c r="I67" s="158" t="n">
        <v>36799</v>
      </c>
      <c r="J67" s="157" t="n">
        <v>26504</v>
      </c>
      <c r="K67" s="157" t="n">
        <v>13</v>
      </c>
      <c r="L67" s="157" t="n">
        <v>0</v>
      </c>
      <c r="M67" s="157" t="n">
        <v>13</v>
      </c>
      <c r="N67" s="157" t="n">
        <v>0</v>
      </c>
      <c r="O67" s="157" t="n">
        <v>0</v>
      </c>
      <c r="P67" s="157" t="n">
        <v>0</v>
      </c>
      <c r="Q67" s="157" t="s">
        <v>398</v>
      </c>
    </row>
    <row r="68" customFormat="false" ht="38.25" hidden="false" customHeight="false" outlineLevel="0" collapsed="false">
      <c r="B68" s="155"/>
      <c r="C68" s="155" t="s">
        <v>405</v>
      </c>
      <c r="D68" s="155" t="n">
        <v>64937</v>
      </c>
      <c r="E68" s="155" t="s">
        <v>406</v>
      </c>
      <c r="F68" s="155" t="s">
        <v>398</v>
      </c>
      <c r="G68" s="155" t="s">
        <v>398</v>
      </c>
      <c r="H68" s="156" t="n">
        <v>36434</v>
      </c>
      <c r="I68" s="155" t="s">
        <v>398</v>
      </c>
      <c r="J68" s="155" t="s">
        <v>398</v>
      </c>
      <c r="K68" s="160" t="n">
        <v>10000</v>
      </c>
      <c r="L68" s="155" t="n">
        <v>0</v>
      </c>
      <c r="M68" s="160" t="n">
        <v>10000</v>
      </c>
      <c r="N68" s="155" t="n">
        <v>0</v>
      </c>
      <c r="O68" s="155" t="n">
        <v>0</v>
      </c>
      <c r="P68" s="155" t="n">
        <v>0</v>
      </c>
      <c r="Q68" s="155" t="s">
        <v>398</v>
      </c>
    </row>
    <row r="69" customFormat="false" ht="38.25" hidden="false" customHeight="false" outlineLevel="0" collapsed="false">
      <c r="B69" s="157"/>
      <c r="C69" s="157" t="s">
        <v>405</v>
      </c>
      <c r="D69" s="157" t="n">
        <v>65027</v>
      </c>
      <c r="E69" s="157" t="s">
        <v>408</v>
      </c>
      <c r="F69" s="157" t="s">
        <v>398</v>
      </c>
      <c r="G69" s="157" t="s">
        <v>398</v>
      </c>
      <c r="H69" s="158" t="n">
        <v>36557</v>
      </c>
      <c r="I69" s="158" t="n">
        <v>36830</v>
      </c>
      <c r="J69" s="157" t="n">
        <v>26727</v>
      </c>
      <c r="K69" s="157" t="n">
        <v>131</v>
      </c>
      <c r="L69" s="157" t="n">
        <v>0</v>
      </c>
      <c r="M69" s="157" t="n">
        <v>131</v>
      </c>
      <c r="N69" s="157" t="n">
        <v>0</v>
      </c>
      <c r="O69" s="157" t="n">
        <v>0</v>
      </c>
      <c r="P69" s="157" t="n">
        <v>0</v>
      </c>
      <c r="Q69" s="157" t="s">
        <v>398</v>
      </c>
    </row>
    <row r="70" customFormat="false" ht="38.25" hidden="false" customHeight="false" outlineLevel="0" collapsed="false">
      <c r="B70" s="155"/>
      <c r="C70" s="155" t="s">
        <v>405</v>
      </c>
      <c r="D70" s="155" t="n">
        <v>65072</v>
      </c>
      <c r="E70" s="155" t="s">
        <v>408</v>
      </c>
      <c r="F70" s="155" t="s">
        <v>398</v>
      </c>
      <c r="G70" s="155" t="s">
        <v>398</v>
      </c>
      <c r="H70" s="156" t="n">
        <v>36617</v>
      </c>
      <c r="I70" s="156" t="n">
        <v>36830</v>
      </c>
      <c r="J70" s="155" t="n">
        <v>26785</v>
      </c>
      <c r="K70" s="160" t="n">
        <v>7391</v>
      </c>
      <c r="L70" s="155" t="n">
        <v>0</v>
      </c>
      <c r="M70" s="160" t="n">
        <v>6987</v>
      </c>
      <c r="N70" s="155" t="n">
        <v>404</v>
      </c>
      <c r="O70" s="155" t="n">
        <v>0</v>
      </c>
      <c r="P70" s="155" t="n">
        <v>0</v>
      </c>
      <c r="Q70" s="155" t="s">
        <v>398</v>
      </c>
    </row>
    <row r="71" customFormat="false" ht="38.25" hidden="false" customHeight="false" outlineLevel="0" collapsed="false">
      <c r="B71" s="157"/>
      <c r="C71" s="157" t="s">
        <v>405</v>
      </c>
      <c r="D71" s="157" t="n">
        <v>65557</v>
      </c>
      <c r="E71" s="157" t="s">
        <v>408</v>
      </c>
      <c r="F71" s="157" t="s">
        <v>398</v>
      </c>
      <c r="G71" s="157" t="s">
        <v>398</v>
      </c>
      <c r="H71" s="158" t="n">
        <v>36557</v>
      </c>
      <c r="I71" s="158" t="n">
        <v>36860</v>
      </c>
      <c r="J71" s="157" t="n">
        <v>27128</v>
      </c>
      <c r="K71" s="157" t="n">
        <v>3</v>
      </c>
      <c r="L71" s="157" t="n">
        <v>0</v>
      </c>
      <c r="M71" s="157" t="n">
        <v>3</v>
      </c>
      <c r="N71" s="157" t="n">
        <v>0</v>
      </c>
      <c r="O71" s="157" t="n">
        <v>0</v>
      </c>
      <c r="P71" s="157" t="n">
        <v>0</v>
      </c>
      <c r="Q71" s="157" t="s">
        <v>398</v>
      </c>
    </row>
    <row r="72" customFormat="false" ht="38.25" hidden="false" customHeight="false" outlineLevel="0" collapsed="false">
      <c r="B72" s="155"/>
      <c r="C72" s="155" t="s">
        <v>405</v>
      </c>
      <c r="D72" s="155" t="n">
        <v>66283</v>
      </c>
      <c r="E72" s="155" t="s">
        <v>408</v>
      </c>
      <c r="F72" s="155" t="s">
        <v>398</v>
      </c>
      <c r="G72" s="155" t="s">
        <v>398</v>
      </c>
      <c r="H72" s="156" t="n">
        <v>36557</v>
      </c>
      <c r="I72" s="156" t="n">
        <v>36922</v>
      </c>
      <c r="J72" s="155" t="n">
        <v>27775</v>
      </c>
      <c r="K72" s="155" t="n">
        <v>5</v>
      </c>
      <c r="L72" s="155" t="n">
        <v>0</v>
      </c>
      <c r="M72" s="155" t="n">
        <v>5</v>
      </c>
      <c r="N72" s="155" t="n">
        <v>0</v>
      </c>
      <c r="O72" s="155" t="n">
        <v>0</v>
      </c>
      <c r="P72" s="155" t="n">
        <v>0</v>
      </c>
      <c r="Q72" s="155" t="s">
        <v>398</v>
      </c>
    </row>
    <row r="73" customFormat="false" ht="38.25" hidden="false" customHeight="false" outlineLevel="0" collapsed="false">
      <c r="B73" s="157"/>
      <c r="C73" s="157" t="s">
        <v>405</v>
      </c>
      <c r="D73" s="157" t="n">
        <v>66941</v>
      </c>
      <c r="E73" s="157" t="s">
        <v>408</v>
      </c>
      <c r="F73" s="157" t="s">
        <v>398</v>
      </c>
      <c r="G73" s="157" t="s">
        <v>398</v>
      </c>
      <c r="H73" s="158" t="n">
        <v>36617</v>
      </c>
      <c r="I73" s="158" t="n">
        <v>36981</v>
      </c>
      <c r="J73" s="157" t="n">
        <v>28330</v>
      </c>
      <c r="K73" s="157" t="n">
        <v>53</v>
      </c>
      <c r="L73" s="157" t="n">
        <v>0</v>
      </c>
      <c r="M73" s="157" t="n">
        <v>53</v>
      </c>
      <c r="N73" s="157" t="n">
        <v>0</v>
      </c>
      <c r="O73" s="157" t="n">
        <v>0</v>
      </c>
      <c r="P73" s="157" t="n">
        <v>0</v>
      </c>
      <c r="Q73" s="157" t="s">
        <v>398</v>
      </c>
    </row>
    <row r="74" customFormat="false" ht="38.25" hidden="false" customHeight="false" outlineLevel="0" collapsed="false">
      <c r="B74" s="155"/>
      <c r="C74" s="155" t="s">
        <v>405</v>
      </c>
      <c r="D74" s="155" t="n">
        <v>66973</v>
      </c>
      <c r="E74" s="155" t="s">
        <v>406</v>
      </c>
      <c r="F74" s="155" t="s">
        <v>398</v>
      </c>
      <c r="G74" s="155" t="s">
        <v>398</v>
      </c>
      <c r="H74" s="156" t="n">
        <v>36678</v>
      </c>
      <c r="I74" s="156" t="n">
        <v>36981</v>
      </c>
      <c r="J74" s="155" t="s">
        <v>398</v>
      </c>
      <c r="K74" s="160" t="n">
        <v>10000</v>
      </c>
      <c r="L74" s="155" t="n">
        <v>0</v>
      </c>
      <c r="M74" s="160" t="n">
        <v>10000</v>
      </c>
      <c r="N74" s="155" t="n">
        <v>0</v>
      </c>
      <c r="O74" s="155" t="n">
        <v>0</v>
      </c>
      <c r="P74" s="155" t="n">
        <v>0</v>
      </c>
      <c r="Q74" s="155" t="s">
        <v>398</v>
      </c>
    </row>
    <row r="75" customFormat="false" ht="38.25" hidden="false" customHeight="false" outlineLevel="0" collapsed="false">
      <c r="B75" s="157"/>
      <c r="C75" s="157" t="s">
        <v>405</v>
      </c>
      <c r="D75" s="157" t="n">
        <v>68281</v>
      </c>
      <c r="E75" s="157" t="s">
        <v>408</v>
      </c>
      <c r="F75" s="157" t="s">
        <v>398</v>
      </c>
      <c r="G75" s="157" t="s">
        <v>398</v>
      </c>
      <c r="H75" s="158" t="n">
        <v>36647</v>
      </c>
      <c r="I75" s="158" t="n">
        <v>37011</v>
      </c>
      <c r="J75" s="157" t="n">
        <v>28632</v>
      </c>
      <c r="K75" s="157" t="n">
        <v>21</v>
      </c>
      <c r="L75" s="157" t="n">
        <v>0</v>
      </c>
      <c r="M75" s="157" t="n">
        <v>21</v>
      </c>
      <c r="N75" s="157" t="n">
        <v>0</v>
      </c>
      <c r="O75" s="157" t="n">
        <v>0</v>
      </c>
      <c r="P75" s="157" t="n">
        <v>0</v>
      </c>
      <c r="Q75" s="157"/>
    </row>
    <row r="76" customFormat="false" ht="38.25" hidden="false" customHeight="false" outlineLevel="0" collapsed="false">
      <c r="B76" s="155"/>
      <c r="C76" s="155" t="s">
        <v>405</v>
      </c>
      <c r="D76" s="155" t="n">
        <v>68309</v>
      </c>
      <c r="E76" s="155" t="s">
        <v>408</v>
      </c>
      <c r="F76" s="155" t="s">
        <v>398</v>
      </c>
      <c r="G76" s="155" t="s">
        <v>398</v>
      </c>
      <c r="H76" s="156" t="n">
        <v>36656</v>
      </c>
      <c r="I76" s="156" t="n">
        <v>36950</v>
      </c>
      <c r="J76" s="155" t="n">
        <v>28865</v>
      </c>
      <c r="K76" s="155" t="n">
        <v>9</v>
      </c>
      <c r="L76" s="155" t="n">
        <v>0</v>
      </c>
      <c r="M76" s="155" t="n">
        <v>9</v>
      </c>
      <c r="N76" s="155" t="n">
        <v>0</v>
      </c>
      <c r="O76" s="155" t="n">
        <v>0</v>
      </c>
      <c r="P76" s="155" t="n">
        <v>0</v>
      </c>
      <c r="Q76" s="155" t="s">
        <v>398</v>
      </c>
    </row>
    <row r="77" customFormat="false" ht="38.25" hidden="false" customHeight="false" outlineLevel="0" collapsed="false">
      <c r="B77" s="157"/>
      <c r="C77" s="157" t="s">
        <v>405</v>
      </c>
      <c r="D77" s="157" t="n">
        <v>68360</v>
      </c>
      <c r="E77" s="157" t="s">
        <v>408</v>
      </c>
      <c r="F77" s="157" t="s">
        <v>398</v>
      </c>
      <c r="G77" s="157" t="s">
        <v>398</v>
      </c>
      <c r="H77" s="158" t="n">
        <v>36678</v>
      </c>
      <c r="I77" s="158" t="n">
        <v>37042</v>
      </c>
      <c r="J77" s="157" t="n">
        <v>28934</v>
      </c>
      <c r="K77" s="157" t="n">
        <v>291</v>
      </c>
      <c r="L77" s="157" t="n">
        <v>0</v>
      </c>
      <c r="M77" s="157" t="n">
        <v>291</v>
      </c>
      <c r="N77" s="157" t="n">
        <v>0</v>
      </c>
      <c r="O77" s="157" t="n">
        <v>0</v>
      </c>
      <c r="P77" s="157" t="n">
        <v>0</v>
      </c>
      <c r="Q77" s="157" t="s">
        <v>398</v>
      </c>
    </row>
    <row r="78" customFormat="false" ht="38.25" hidden="false" customHeight="false" outlineLevel="0" collapsed="false">
      <c r="B78" s="155"/>
      <c r="C78" s="155" t="s">
        <v>405</v>
      </c>
      <c r="D78" s="155" t="n">
        <v>68385</v>
      </c>
      <c r="E78" s="155" t="s">
        <v>408</v>
      </c>
      <c r="F78" s="155" t="s">
        <v>398</v>
      </c>
      <c r="G78" s="155" t="s">
        <v>398</v>
      </c>
      <c r="H78" s="156" t="n">
        <v>36678</v>
      </c>
      <c r="I78" s="156" t="n">
        <v>37042</v>
      </c>
      <c r="J78" s="155" t="n">
        <v>28963</v>
      </c>
      <c r="K78" s="155" t="n">
        <v>223</v>
      </c>
      <c r="L78" s="155" t="n">
        <v>0</v>
      </c>
      <c r="M78" s="155" t="n">
        <v>223</v>
      </c>
      <c r="N78" s="155" t="n">
        <v>0</v>
      </c>
      <c r="O78" s="155" t="n">
        <v>0</v>
      </c>
      <c r="P78" s="155" t="n">
        <v>0</v>
      </c>
      <c r="Q78" s="155" t="s">
        <v>398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2000-07-10T16:05:53Z</cp:lastPrinted>
  <cp:revision>0</cp:revision>
  <dc:subject/>
  <dc:title/>
</cp:coreProperties>
</file>