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MetroMedia" sheetId="6" state="visible" r:id="rId8"/>
    <sheet name="Original" sheetId="7" state="visible" r:id="rId9"/>
  </sheets>
  <definedNames>
    <definedName function="false" hidden="false" localSheetId="0" name="_xlnm.Print_Area" vbProcedure="false">'Pricing Notes'!$A$1:$N$72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<sst xmlns="http://schemas.openxmlformats.org/spreadsheetml/2006/main" count="3099" uniqueCount="542">
  <si>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</si>
  <si>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</si>
  <si>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</si>
  <si>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</si>
  <si>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</si>
  <si>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</si>
  <si>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</si>
  <si>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</si>
  <si>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</si>
  <si>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</si>
  <si>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</si>
  <si>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</si>
  <si>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</si>
  <si>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</si>
  <si>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</si>
  <si>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</si>
  <si>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</si>
  <si>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</si>
  <si>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</si>
  <si>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</si>
  <si>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</si>
  <si>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</si>
  <si>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</si>
  <si>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</si>
  <si>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</si>
  <si>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</si>
  <si>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</si>
  <si>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</si>
  <si>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</si>
  <si>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</si>
  <si>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</si>
  <si>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</si>
  <si>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</si>
  <si>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</si>
  <si>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</si>
  <si>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</si>
  <si>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</si>
  <si>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</si>
  <si>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</si>
  <si>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</si>
  <si>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</si>
  <si>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</si>
  <si>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</si>
  <si>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</si>
  <si>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</si>
  <si>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</si>
  <si>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</si>
  <si>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</si>
  <si>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</si>
  <si>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</si>
  <si>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</si>
  <si>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</si>
  <si>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</si>
  <si>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</si>
  <si>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</si>
  <si>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</si>
  <si>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</si>
  <si>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</si>
  <si>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</si>
  <si>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</si>
  <si>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</si>
  <si>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</si>
  <si>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</si>
  <si>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</si>
  <si>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</si>
  <si>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</si>
  <si>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</si>
  <si>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</si>
  <si>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</si>
  <si>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</si>
  <si>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</si>
  <si>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</si>
  <si>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</si>
  <si>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</si>
  <si>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</si>
  <si>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</si>
  <si>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</si>
  <si>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</si>
  <si>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</si>
  <si>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</si>
  <si>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</si>
  <si>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</si>
  <si>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</si>
  <si>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</si>
  <si>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</si>
  <si>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</si>
  <si>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</si>
  <si>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</si>
  <si>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</si>
  <si>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</si>
  <si>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</si>
  <si>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</si>
  <si>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</si>
  <si>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</si>
  <si>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</si>
  <si>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</si>
  <si>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</si>
  <si>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</si>
  <si>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</si>
  <si>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</si>
  <si>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</si>
  <si>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</si>
  <si>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</si>
  <si>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</si>
  <si>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</si>
  <si>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</si>
  <si>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</si>
  <si>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</si>
  <si>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</si>
  <si>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</si>
  <si>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</si>
  <si>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</si>
  <si>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</si>
  <si>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 </t>
  </si>
  <si>
    <t xml:space="preserve">Deal 228293</t>
  </si>
  <si>
    <t xml:space="preserve">CES has 634 dth of Algonquin capacity on Deal #228293 priced at $3.0137, all volume</t>
  </si>
  <si>
    <t xml:space="preserve">greater than 634 will be priced at $3.1037.</t>
  </si>
  <si>
    <t xml:space="preserve">FTS</t>
  </si>
  <si>
    <t xml:space="preserve">ENA Trsp</t>
  </si>
  <si>
    <t xml:space="preserve">Storage Injection:</t>
  </si>
  <si>
    <t xml:space="preserve">Comm</t>
  </si>
  <si>
    <t xml:space="preserve">Inj Comm</t>
  </si>
  <si>
    <t xml:space="preserve">Transport</t>
  </si>
  <si>
    <t xml:space="preserve">Deal 227081, 227113</t>
  </si>
  <si>
    <t xml:space="preserve">Deal 235398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</si>
  <si>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</si>
  <si>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</si>
  <si>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</si>
  <si>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</si>
  <si>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</si>
  <si>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</si>
  <si>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1,239 dt/day of South to North Space.</t>
  </si>
  <si>
    <t xml:space="preserve">Deal # 228246 for North and tiered rate.  Deal # 228234 for South all at one rate.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</si>
  <si>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</si>
  <si>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</si>
  <si>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</si>
  <si>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</si>
  <si>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</si>
  <si>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</si>
  <si>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</si>
  <si>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231743</t>
  </si>
  <si>
    <t xml:space="preserve">IT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</si>
  <si>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</si>
  <si>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</si>
  <si>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</si>
  <si>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</si>
  <si>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</si>
  <si>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</si>
  <si>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</si>
  <si>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</si>
  <si>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</si>
  <si>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</si>
  <si>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</si>
  <si>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</si>
  <si>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</si>
  <si>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</si>
  <si>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</si>
  <si>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</si>
  <si>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</si>
  <si>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</si>
  <si>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</si>
  <si>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</si>
  <si>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</si>
  <si>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</si>
  <si>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</si>
  <si>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</si>
  <si>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</si>
  <si>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</si>
  <si>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</si>
  <si>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</si>
  <si>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</si>
  <si>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La</t>
  </si>
  <si>
    <t xml:space="preserve">Deal 231744</t>
  </si>
  <si>
    <t xml:space="preserve">CES East Desk Transportation Capacity for May,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</si>
  <si>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</si>
  <si>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</si>
  <si>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</si>
  <si>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</si>
  <si>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</si>
  <si>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</si>
  <si>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</si>
  <si>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</si>
  <si>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</si>
  <si>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</si>
  <si>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</si>
  <si>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</si>
  <si>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</si>
  <si>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</si>
  <si>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</si>
  <si>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</si>
  <si>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</si>
  <si>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</si>
  <si>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</si>
  <si>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</si>
  <si>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</si>
  <si>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</si>
  <si>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</si>
  <si>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</si>
  <si>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</si>
  <si>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</si>
  <si>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</si>
  <si>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</si>
  <si>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</si>
  <si>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</si>
  <si>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</si>
  <si>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</si>
  <si>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</si>
  <si>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</si>
  <si>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</si>
  <si>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</si>
  <si>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</si>
  <si>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O&amp;R</t>
  </si>
  <si>
    <t xml:space="preserve">Offshore</t>
  </si>
  <si>
    <t xml:space="preserve">Onshore</t>
  </si>
  <si>
    <t xml:space="preserve">FTS-2</t>
  </si>
  <si>
    <t xml:space="preserve">CMd</t>
  </si>
  <si>
    <t xml:space="preserve">From CES #66615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</si>
  <si>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</si>
  <si>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</si>
  <si>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</si>
  <si>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</si>
  <si>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</si>
  <si>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REL 965</t>
  </si>
  <si>
    <t xml:space="preserve">REL 972</t>
  </si>
  <si>
    <t xml:space="preserve">FT</t>
  </si>
  <si>
    <t xml:space="preserve">FSNG101</t>
  </si>
  <si>
    <t xml:space="preserve">REL 944</t>
  </si>
  <si>
    <t xml:space="preserve">REL 951</t>
  </si>
  <si>
    <t xml:space="preserve">SGA</t>
  </si>
  <si>
    <t xml:space="preserve">FSGA25</t>
  </si>
  <si>
    <t xml:space="preserve">REL 788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</si>
  <si>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</si>
  <si>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</si>
  <si>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</si>
  <si>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</si>
  <si>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</si>
  <si>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NYSEG</t>
  </si>
  <si>
    <t xml:space="preserve">001366 UTOS Exchange</t>
  </si>
  <si>
    <t xml:space="preserve">020221 NYSEG</t>
  </si>
  <si>
    <t xml:space="preserve">Atlanta</t>
  </si>
  <si>
    <t xml:space="preserve">Various</t>
  </si>
  <si>
    <t xml:space="preserve">020042 East Lobelville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</si>
  <si>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</si>
  <si>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</si>
  <si>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</si>
  <si>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</si>
  <si>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</si>
  <si>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</si>
  <si>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</si>
  <si>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CES/Agency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</si>
  <si>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</si>
  <si>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</si>
  <si>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</si>
  <si>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</si>
  <si>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</si>
  <si>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Terminated- 74/d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</si>
  <si>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</si>
  <si>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</si>
  <si>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</si>
  <si>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</si>
  <si>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</si>
  <si>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</si>
  <si>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Terminated-139/d</t>
  </si>
  <si>
    <t xml:space="preserve">M2</t>
  </si>
  <si>
    <t xml:space="preserve">CDS</t>
  </si>
  <si>
    <t xml:space="preserve">#015839</t>
  </si>
  <si>
    <t xml:space="preserve">Terminated-11/d</t>
  </si>
  <si>
    <t xml:space="preserve">#15841</t>
  </si>
  <si>
    <t xml:space="preserve">Terminated-18/d</t>
  </si>
  <si>
    <t xml:space="preserve">#15843</t>
  </si>
  <si>
    <t xml:space="preserve">Terminated-167</t>
  </si>
  <si>
    <t xml:space="preserve">#16008</t>
  </si>
  <si>
    <t xml:space="preserve">Terminated-114</t>
  </si>
  <si>
    <t xml:space="preserve">Con Ed</t>
  </si>
  <si>
    <t xml:space="preserve">WLA</t>
  </si>
  <si>
    <t xml:space="preserve">#14726</t>
  </si>
  <si>
    <t xml:space="preserve">STX</t>
  </si>
  <si>
    <t xml:space="preserve">m2</t>
  </si>
  <si>
    <t xml:space="preserve">#016432</t>
  </si>
  <si>
    <t xml:space="preserve">#16431</t>
  </si>
  <si>
    <t xml:space="preserve">#016430</t>
  </si>
  <si>
    <t xml:space="preserve">#016352</t>
  </si>
  <si>
    <t xml:space="preserve">stow</t>
  </si>
  <si>
    <t xml:space="preserve">SS-1</t>
  </si>
  <si>
    <t xml:space="preserve">#016332</t>
  </si>
  <si>
    <t xml:space="preserve">#016433</t>
  </si>
  <si>
    <t xml:space="preserve">#16429</t>
  </si>
  <si>
    <t xml:space="preserve">BUG</t>
  </si>
  <si>
    <t xml:space="preserve">#16646</t>
  </si>
  <si>
    <t xml:space="preserve">250069 / 250120</t>
  </si>
  <si>
    <t xml:space="preserve">LLFT</t>
  </si>
  <si>
    <t xml:space="preserve">#016761</t>
  </si>
  <si>
    <t xml:space="preserve">M1</t>
  </si>
  <si>
    <t xml:space="preserve">#016759</t>
  </si>
  <si>
    <t xml:space="preserve">#16162</t>
  </si>
  <si>
    <t xml:space="preserve">Rereleased to ENA k#893068</t>
  </si>
  <si>
    <t xml:space="preserve">#16154</t>
  </si>
  <si>
    <t xml:space="preserve">#16432 - rereleased to ENA</t>
  </si>
  <si>
    <t xml:space="preserve">#16108, rereleased to ENA</t>
  </si>
  <si>
    <t xml:space="preserve">#16352</t>
  </si>
  <si>
    <t xml:space="preserve">#16116 - rereleased to ENA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</si>
  <si>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</si>
  <si>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</si>
  <si>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</si>
  <si>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</si>
  <si>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Zone 1</t>
  </si>
  <si>
    <t xml:space="preserve">T016303</t>
  </si>
  <si>
    <t xml:space="preserve">#200002000092</t>
  </si>
  <si>
    <t xml:space="preserve">Lilco</t>
  </si>
  <si>
    <t xml:space="preserve">St 30</t>
  </si>
  <si>
    <t xml:space="preserve">FT -R</t>
  </si>
  <si>
    <t xml:space="preserve">3.4685 / 1.1703</t>
  </si>
  <si>
    <t xml:space="preserve">#19405</t>
  </si>
  <si>
    <t xml:space="preserve">St 45</t>
  </si>
  <si>
    <t xml:space="preserve">Z3</t>
  </si>
  <si>
    <t xml:space="preserve">6484 Atlanta</t>
  </si>
  <si>
    <t xml:space="preserve">3.5161/.7537</t>
  </si>
  <si>
    <t xml:space="preserve">#19827</t>
  </si>
  <si>
    <t xml:space="preserve">3.5163/.7537</t>
  </si>
  <si>
    <t xml:space="preserve">#19825</t>
  </si>
  <si>
    <t xml:space="preserve">6971 St 85</t>
  </si>
  <si>
    <t xml:space="preserve">FTCHR</t>
  </si>
  <si>
    <t xml:space="preserve">3.5162/2.7055</t>
  </si>
  <si>
    <t xml:space="preserve">#19826</t>
  </si>
  <si>
    <t xml:space="preserve">WSR Capacity</t>
  </si>
  <si>
    <t xml:space="preserve">WSR</t>
  </si>
  <si>
    <t xml:space="preserve">#19862</t>
  </si>
  <si>
    <t xml:space="preserve">WSR Demand</t>
  </si>
  <si>
    <t xml:space="preserve">ESR Capacity</t>
  </si>
  <si>
    <t xml:space="preserve">ESR</t>
  </si>
  <si>
    <t xml:space="preserve">ESR Demand</t>
  </si>
  <si>
    <t xml:space="preserve">#19739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</si>
  <si>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</si>
  <si>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</si>
  <si>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</si>
  <si>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</si>
  <si>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</si>
  <si>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</si>
  <si>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2.4899 </t>
  </si>
  <si>
    <t xml:space="preserve">#20100</t>
  </si>
  <si>
    <t xml:space="preserve">2.8607 / 2.1439</t>
  </si>
  <si>
    <t xml:space="preserve">#13683</t>
  </si>
  <si>
    <t xml:space="preserve">143931 / 143928</t>
  </si>
  <si>
    <t xml:space="preserve">2.8607 </t>
  </si>
  <si>
    <t xml:space="preserve">#20101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</si>
  <si>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</si>
  <si>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</si>
  <si>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</si>
  <si>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</si>
  <si>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Boston Gas</t>
  </si>
  <si>
    <t xml:space="preserve">00205-Mendon</t>
  </si>
  <si>
    <t xml:space="preserve">0021-Norwood</t>
  </si>
  <si>
    <t xml:space="preserve">AFT1FT2</t>
  </si>
  <si>
    <t xml:space="preserve">00211-Hanover</t>
  </si>
  <si>
    <t xml:space="preserve">00032-Waltham</t>
  </si>
  <si>
    <t xml:space="preserve">AFT1</t>
  </si>
  <si>
    <t xml:space="preserve">FS 120, PK 139, SM 82, SS 120</t>
  </si>
  <si>
    <t xml:space="preserve">27-Everett</t>
  </si>
  <si>
    <t xml:space="preserve">210-Lambertville</t>
  </si>
  <si>
    <t xml:space="preserve">AFT-E1</t>
  </si>
  <si>
    <t xml:space="preserve">FS 210, PK 235, SM 160, SS210</t>
  </si>
  <si>
    <t xml:space="preserve">AFT-13</t>
  </si>
  <si>
    <t xml:space="preserve">89-Medford</t>
  </si>
  <si>
    <t xml:space="preserve">AFT-1F</t>
  </si>
  <si>
    <t xml:space="preserve">52-Ponkapoag</t>
  </si>
  <si>
    <t xml:space="preserve">AFT-1B</t>
  </si>
  <si>
    <t xml:space="preserve">FS62, pk 93, ss 62, no summer</t>
  </si>
  <si>
    <t xml:space="preserve">5/31/000</t>
  </si>
  <si>
    <t xml:space="preserve">00251 Brookfield</t>
  </si>
  <si>
    <t xml:space="preserve">00084 NYSEG-Southeast</t>
  </si>
  <si>
    <t xml:space="preserve">AFT-1 FT-2</t>
  </si>
  <si>
    <t xml:space="preserve">NIMO</t>
  </si>
  <si>
    <t xml:space="preserve">40208 Oakford</t>
  </si>
  <si>
    <t xml:space="preserve">20500 NIMO</t>
  </si>
  <si>
    <t xml:space="preserve">FTNN</t>
  </si>
  <si>
    <t xml:space="preserve">5A2602</t>
  </si>
  <si>
    <t xml:space="preserve">#13616,  This capacity was released to CES on offer #13580, we rereleased to ENA.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</si>
  <si>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</si>
  <si>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</si>
  <si>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</si>
  <si>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</si>
  <si>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#13296</t>
  </si>
  <si>
    <t xml:space="preserve">40208-Oakford</t>
  </si>
  <si>
    <t xml:space="preserve">5A2529</t>
  </si>
  <si>
    <t xml:space="preserve">#013489</t>
  </si>
  <si>
    <t xml:space="preserve">60001-Lebanon</t>
  </si>
  <si>
    <t xml:space="preserve">60003-Cornwell</t>
  </si>
  <si>
    <t xml:space="preserve">20700 NYSEG</t>
  </si>
  <si>
    <t xml:space="preserve">5A2276</t>
  </si>
  <si>
    <t xml:space="preserve">#12954</t>
  </si>
  <si>
    <t xml:space="preserve">#13697</t>
  </si>
  <si>
    <t xml:space="preserve">Col Gas</t>
  </si>
  <si>
    <t xml:space="preserve">CES / COH</t>
  </si>
  <si>
    <t xml:space="preserve">STOW</t>
  </si>
  <si>
    <t xml:space="preserve">MSQ</t>
  </si>
  <si>
    <t xml:space="preserve">FSS</t>
  </si>
  <si>
    <t xml:space="preserve">#24855</t>
  </si>
  <si>
    <t xml:space="preserve">MDWQ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</si>
  <si>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</si>
  <si>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</si>
  <si>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</si>
  <si>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</si>
  <si>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</si>
  <si>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</si>
  <si>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</si>
  <si>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</si>
  <si>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</si>
  <si>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</si>
  <si>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</si>
  <si>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</si>
  <si>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</si>
  <si>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</si>
  <si>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</si>
  <si>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</si>
  <si>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</si>
  <si>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</si>
  <si>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23-1</t>
  </si>
  <si>
    <t xml:space="preserve">#28389, Sheet No 29</t>
  </si>
  <si>
    <t xml:space="preserve">CES / CVA</t>
  </si>
  <si>
    <t xml:space="preserve">801 - Leach</t>
  </si>
  <si>
    <t xml:space="preserve">CGV-30</t>
  </si>
  <si>
    <t xml:space="preserve">#25201</t>
  </si>
  <si>
    <t xml:space="preserve">#28933</t>
  </si>
  <si>
    <t xml:space="preserve">CES / CMD</t>
  </si>
  <si>
    <t xml:space="preserve">CMD-08, CMD-04</t>
  </si>
  <si>
    <t xml:space="preserve">#28962</t>
  </si>
  <si>
    <t xml:space="preserve">#25699</t>
  </si>
  <si>
    <t xml:space="preserve">CMD-08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</si>
  <si>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</si>
  <si>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</si>
  <si>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</si>
  <si>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</si>
  <si>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</si>
  <si>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</si>
  <si>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</si>
  <si>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</si>
  <si>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</si>
  <si>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</si>
  <si>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</si>
  <si>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</si>
  <si>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</si>
  <si>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</si>
  <si>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</si>
  <si>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</si>
  <si>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</si>
  <si>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</si>
  <si>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#29000</t>
  </si>
  <si>
    <t xml:space="preserve">Release to equitable</t>
  </si>
  <si>
    <t xml:space="preserve">4 BG&amp;E</t>
  </si>
  <si>
    <t xml:space="preserve">#26714</t>
  </si>
  <si>
    <t xml:space="preserve">149346/ change to 214854 on 4/1/2000</t>
  </si>
  <si>
    <t xml:space="preserve">ENA purchased from CES</t>
  </si>
  <si>
    <t xml:space="preserve">C-16 Delmont</t>
  </si>
  <si>
    <t xml:space="preserve">21 NYSEG-02</t>
  </si>
  <si>
    <t xml:space="preserve">#26995</t>
  </si>
  <si>
    <t xml:space="preserve">#26722</t>
  </si>
  <si>
    <t xml:space="preserve">#27098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</si>
  <si>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</si>
  <si>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</si>
  <si>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</si>
  <si>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</si>
  <si>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</si>
  <si>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</si>
  <si>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TCO</t>
  </si>
  <si>
    <t xml:space="preserve">evergreen</t>
  </si>
  <si>
    <t xml:space="preserve">AS Pooling Agreement</t>
  </si>
  <si>
    <t xml:space="preserve">AS</t>
  </si>
  <si>
    <t xml:space="preserve">#66939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</si>
  <si>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</si>
  <si>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</si>
  <si>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</si>
  <si>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</si>
  <si>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</si>
  <si>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</si>
  <si>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Aristech</t>
  </si>
  <si>
    <t xml:space="preserve">a05-Delmont</t>
  </si>
  <si>
    <t xml:space="preserve">25-26</t>
  </si>
  <si>
    <t xml:space="preserve">#28742</t>
  </si>
  <si>
    <t xml:space="preserve">AO-6 - mcclelland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</si>
  <si>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</si>
  <si>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</si>
  <si>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</si>
  <si>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</si>
  <si>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</si>
  <si>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</si>
  <si>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Month to Month</t>
  </si>
  <si>
    <t xml:space="preserve">TERM: 6/1/00 - 6/30/00 </t>
  </si>
  <si>
    <t xml:space="preserve">Gas Requierments for sale toMME</t>
  </si>
  <si>
    <t xml:space="preserve">Point of Delivery- COH</t>
  </si>
  <si>
    <t xml:space="preserve">Sitara Deal 282945</t>
  </si>
  <si>
    <t xml:space="preserve">Projected</t>
  </si>
  <si>
    <t xml:space="preserve">Daily</t>
  </si>
  <si>
    <t xml:space="preserve">Monthly</t>
  </si>
  <si>
    <t xml:space="preserve">TCO -OP</t>
  </si>
  <si>
    <t xml:space="preserve">Market</t>
  </si>
  <si>
    <t xml:space="preserve">Burn</t>
  </si>
  <si>
    <t xml:space="preserve">Bank</t>
  </si>
  <si>
    <t xml:space="preserve">Delivery</t>
  </si>
  <si>
    <t xml:space="preserve">Zone</t>
  </si>
  <si>
    <t xml:space="preserve">Area</t>
  </si>
  <si>
    <t xml:space="preserve">Meter</t>
  </si>
  <si>
    <t xml:space="preserve">Dth/Day</t>
  </si>
  <si>
    <t xml:space="preserve">Dth/Month</t>
  </si>
  <si>
    <t xml:space="preserve">Withdrawal</t>
  </si>
  <si>
    <t xml:space="preserve">Requirements</t>
  </si>
  <si>
    <t xml:space="preserve">23N-2</t>
  </si>
  <si>
    <t xml:space="preserve">23N-7</t>
  </si>
  <si>
    <t xml:space="preserve">23-3</t>
  </si>
  <si>
    <t xml:space="preserve">23-4</t>
  </si>
  <si>
    <t xml:space="preserve">23-5</t>
  </si>
  <si>
    <t xml:space="preserve">23-6</t>
  </si>
  <si>
    <t xml:space="preserve">23-8</t>
  </si>
  <si>
    <t xml:space="preserve">23-9</t>
  </si>
  <si>
    <t xml:space="preserve">24-35</t>
  </si>
  <si>
    <t xml:space="preserve">Includes 1430/day delivered to Titanium Metals at zone 8-35.</t>
  </si>
  <si>
    <t xml:space="preserve">CES East Desk Transportation Capacity for June, 2000</t>
  </si>
  <si>
    <t xml:space="preserve">60003 Cornwell</t>
  </si>
  <si>
    <t xml:space="preserve">60002 Leidy</t>
  </si>
  <si>
    <t xml:space="preserve">5A2308</t>
  </si>
  <si>
    <t xml:space="preserve">#13011</t>
  </si>
  <si>
    <t xml:space="preserve">60001 Lebanon</t>
  </si>
  <si>
    <t xml:space="preserve">#13303</t>
  </si>
  <si>
    <t xml:space="preserve">#25501</t>
  </si>
  <si>
    <t xml:space="preserve">#25527</t>
  </si>
  <si>
    <t xml:space="preserve">REL 760</t>
  </si>
  <si>
    <t xml:space="preserve">REL 773</t>
  </si>
  <si>
    <t xml:space="preserve">REL 800</t>
  </si>
  <si>
    <t xml:space="preserve">REL 813</t>
  </si>
  <si>
    <t xml:space="preserve">REL 837</t>
  </si>
  <si>
    <t xml:space="preserve">Release to Infinate Energy.</t>
  </si>
  <si>
    <t xml:space="preserve">3.4684/.7537</t>
  </si>
  <si>
    <t xml:space="preserve">#019351</t>
  </si>
  <si>
    <t xml:space="preserve">3.4633/.7537</t>
  </si>
  <si>
    <t xml:space="preserve">#19349</t>
  </si>
  <si>
    <t xml:space="preserve">3.4188/2.7055</t>
  </si>
  <si>
    <t xml:space="preserve">#19350</t>
  </si>
  <si>
    <t xml:space="preserve">#019386</t>
  </si>
  <si>
    <t xml:space="preserve">2.7160 / 2.1439</t>
  </si>
  <si>
    <t xml:space="preserve">#12633</t>
  </si>
  <si>
    <t xml:space="preserve">143930 / 143928</t>
  </si>
  <si>
    <t xml:space="preserve">East</t>
  </si>
  <si>
    <t xml:space="preserve">Market East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</si>
</sst>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[$-409]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  <font>
      <b val="true"/>
      <i val="true"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7"/>
  <sheetViews>
    <sheetView showFormulas="false" showGridLines="true" showRowColHeaders="true" showZeros="true" rightToLeft="false" tabSelected="false" showOutlineSymbols="true" defaultGridColor="true" view="normal" topLeftCell="A162" colorId="64" zoomScale="100" zoomScaleNormal="100" zoomScalePageLayoutView="100" workbookViewId="0">
      <selection pane="topLeft" activeCell="D176" activeCellId="0" sqref="D17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false" hidden="false" outlineLevel="0" max="4" min="4" style="15" width="9.14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 t="s">
        <v>21</v>
      </c>
      <c r="M1" s="17"/>
      <c r="N1" s="17"/>
    </row>
    <row r="2" customFormat="false" ht="12.75" hidden="false" customHeight="fals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5" t="s">
        <v>106</v>
      </c>
      <c r="B3" s="15" t="s">
        <v>107</v>
      </c>
      <c r="C3" s="18" t="n">
        <v>3.38</v>
      </c>
      <c r="E3" s="18" t="n">
        <v>3.38</v>
      </c>
      <c r="M3" s="17"/>
      <c r="N3" s="17"/>
    </row>
    <row r="4" customFormat="false" ht="12.75" hidden="false" customHeight="false" outlineLevel="0" collapsed="false">
      <c r="A4" s="15" t="s">
        <v>108</v>
      </c>
      <c r="C4" s="18" t="n">
        <v>0.01</v>
      </c>
      <c r="E4" s="18" t="n">
        <v>0.1</v>
      </c>
      <c r="M4" s="17"/>
      <c r="N4" s="17"/>
    </row>
    <row r="5" customFormat="false" ht="12.75" hidden="false" customHeight="false" outlineLevel="0" collapsed="false">
      <c r="A5" s="15" t="s">
        <v>109</v>
      </c>
      <c r="C5" s="18" t="n">
        <v>0.0112</v>
      </c>
      <c r="E5" s="18" t="n">
        <v>0.0112</v>
      </c>
      <c r="M5" s="17"/>
      <c r="N5" s="17"/>
    </row>
    <row r="6" customFormat="false" ht="12.75" hidden="false" customHeight="false" outlineLevel="0" collapsed="false">
      <c r="A6" s="15" t="s">
        <v>110</v>
      </c>
      <c r="C6" s="18" t="n">
        <v>0.0094</v>
      </c>
      <c r="E6" s="18" t="n">
        <v>0.0094</v>
      </c>
      <c r="M6" s="17"/>
      <c r="N6" s="17"/>
    </row>
    <row r="7" customFormat="false" ht="12.75" hidden="false" customHeight="false" outlineLevel="0" collapsed="false">
      <c r="A7" s="15" t="s">
        <v>111</v>
      </c>
      <c r="C7" s="19" t="n">
        <v>0.0111</v>
      </c>
      <c r="E7" s="19" t="n">
        <v>0.0111</v>
      </c>
      <c r="M7" s="17"/>
      <c r="N7" s="17"/>
    </row>
    <row r="8" customFormat="false" ht="12.75" hidden="false" customHeight="false" outlineLevel="0" collapsed="false">
      <c r="A8" s="15" t="s">
        <v>112</v>
      </c>
      <c r="C8" s="20" t="n">
        <f aca="false">ROUND(+C3/(1-C7)+(C5+C6),4)-C3</f>
        <v>0.0585</v>
      </c>
      <c r="E8" s="20" t="n">
        <f aca="false">ROUND(+E3/(1-E7)+(E5+E6),4)-E3</f>
        <v>0.0585</v>
      </c>
      <c r="M8" s="17"/>
      <c r="N8" s="17"/>
    </row>
    <row r="9" customFormat="false" ht="13.5" hidden="false" customHeight="false" outlineLevel="0" collapsed="false">
      <c r="C9" s="21" t="n">
        <f aca="false">SUM(C3,C4,C8)</f>
        <v>3.4485</v>
      </c>
      <c r="D9" s="15" t="s">
        <v>113</v>
      </c>
      <c r="E9" s="21" t="n">
        <f aca="false">SUM(E3,E4,E8)</f>
        <v>3.5385</v>
      </c>
      <c r="F9" s="17"/>
      <c r="G9" s="17"/>
      <c r="H9" s="17"/>
      <c r="I9" s="17"/>
      <c r="J9" s="17"/>
      <c r="K9" s="17"/>
      <c r="L9" s="17"/>
      <c r="M9" s="17"/>
      <c r="N9" s="17"/>
    </row>
    <row r="10" customFormat="false" ht="13.5" hidden="false" customHeight="false" outlineLevel="0" collapsed="false">
      <c r="F10" s="17"/>
      <c r="G10" s="17"/>
      <c r="H10" s="17"/>
      <c r="I10" s="17"/>
      <c r="J10" s="17"/>
      <c r="K10" s="17"/>
      <c r="L10" s="17"/>
      <c r="M10" s="17"/>
      <c r="N10" s="17"/>
    </row>
    <row r="11" customFormat="false" ht="12.75" hidden="false" customHeight="false" outlineLevel="0" collapsed="false">
      <c r="A11" s="15" t="s">
        <v>114</v>
      </c>
      <c r="B11" s="15" t="s">
        <v>115</v>
      </c>
      <c r="F11" s="17"/>
      <c r="G11" s="17"/>
      <c r="H11" s="17"/>
      <c r="I11" s="17"/>
      <c r="J11" s="17"/>
      <c r="K11" s="17"/>
      <c r="L11" s="17"/>
      <c r="M11" s="17"/>
      <c r="N11" s="17"/>
    </row>
    <row r="12" customFormat="false" ht="12.75" hidden="false" customHeight="false" outlineLevel="0" collapsed="false">
      <c r="B12" s="15" t="s">
        <v>116</v>
      </c>
      <c r="F12" s="17"/>
      <c r="G12" s="17"/>
      <c r="H12" s="17"/>
      <c r="I12" s="17"/>
      <c r="J12" s="17"/>
      <c r="K12" s="17"/>
      <c r="L12" s="17"/>
      <c r="M12" s="17"/>
      <c r="N12" s="17"/>
    </row>
    <row r="13" customFormat="false" ht="12.75" hidden="false" customHeight="false" outlineLevel="0" collapsed="false">
      <c r="B13" s="15" t="s">
        <v>113</v>
      </c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12.75" hidden="false" customHeight="false" outlineLevel="0" collapsed="false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customFormat="false" ht="12.7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customFormat="false" ht="12.75" hidden="false" customHeight="false" outlineLevel="0" collapsed="false">
      <c r="A17" s="16" t="s">
        <v>37</v>
      </c>
      <c r="C17" s="15" t="s">
        <v>117</v>
      </c>
      <c r="D17" s="15" t="s">
        <v>118</v>
      </c>
      <c r="E17" s="15" t="s">
        <v>113</v>
      </c>
      <c r="F17" s="17"/>
      <c r="G17" s="17"/>
      <c r="H17" s="17"/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15" t="s">
        <v>106</v>
      </c>
      <c r="B18" s="15" t="s">
        <v>37</v>
      </c>
      <c r="C18" s="18" t="n">
        <v>3.25</v>
      </c>
      <c r="E18" s="18" t="n">
        <v>3.25</v>
      </c>
      <c r="F18" s="17"/>
      <c r="G18" s="17" t="s">
        <v>119</v>
      </c>
      <c r="H18" s="17"/>
      <c r="I18" s="18" t="n">
        <f aca="false">+C24</f>
        <v>3.3528</v>
      </c>
      <c r="J18" s="17"/>
      <c r="K18" s="17"/>
      <c r="L18" s="17"/>
      <c r="M18" s="17"/>
      <c r="N18" s="17"/>
    </row>
    <row r="19" customFormat="false" ht="12.75" hidden="false" customHeight="false" outlineLevel="0" collapsed="false">
      <c r="A19" s="15" t="s">
        <v>108</v>
      </c>
      <c r="C19" s="18" t="n">
        <v>0.0075</v>
      </c>
      <c r="E19" s="18" t="n">
        <v>0.0075</v>
      </c>
      <c r="F19" s="17"/>
      <c r="G19" s="17"/>
      <c r="H19" s="17"/>
      <c r="I19" s="18" t="n">
        <v>0</v>
      </c>
      <c r="J19" s="17"/>
      <c r="K19" s="17"/>
      <c r="L19" s="17"/>
      <c r="M19" s="17"/>
      <c r="N19" s="17"/>
    </row>
    <row r="20" customFormat="false" ht="12.75" hidden="false" customHeight="false" outlineLevel="0" collapsed="false">
      <c r="A20" s="15" t="s">
        <v>120</v>
      </c>
      <c r="C20" s="18" t="n">
        <v>0.0133</v>
      </c>
      <c r="E20" s="18" t="n">
        <v>0.0133</v>
      </c>
      <c r="F20" s="17"/>
      <c r="G20" s="17" t="s">
        <v>121</v>
      </c>
      <c r="H20" s="17"/>
      <c r="I20" s="18" t="n">
        <v>0.0153</v>
      </c>
      <c r="J20" s="17"/>
      <c r="K20" s="17"/>
      <c r="L20" s="17"/>
      <c r="M20" s="17"/>
      <c r="N20" s="17"/>
    </row>
    <row r="21" customFormat="false" ht="12.75" hidden="false" customHeight="false" outlineLevel="0" collapsed="false">
      <c r="A21" s="15" t="s">
        <v>110</v>
      </c>
      <c r="C21" s="18" t="n">
        <v>0.0094</v>
      </c>
      <c r="E21" s="18" t="n">
        <v>0.0094</v>
      </c>
      <c r="F21" s="17"/>
      <c r="G21" s="17" t="s">
        <v>111</v>
      </c>
      <c r="H21" s="17"/>
      <c r="I21" s="22" t="n">
        <v>0.0017</v>
      </c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15" t="s">
        <v>111</v>
      </c>
      <c r="C22" s="22" t="n">
        <v>0.02184</v>
      </c>
      <c r="E22" s="22" t="n">
        <v>0.02184</v>
      </c>
      <c r="F22" s="17"/>
      <c r="G22" s="17"/>
      <c r="H22" s="17"/>
      <c r="I22" s="20" t="n">
        <f aca="false">ROUND(+I18/(1-I21)+I20,4)-I18</f>
        <v>0.0210000000000004</v>
      </c>
      <c r="J22" s="17"/>
      <c r="K22" s="17"/>
      <c r="L22" s="17"/>
      <c r="M22" s="17"/>
      <c r="N22" s="17"/>
    </row>
    <row r="23" customFormat="false" ht="13.5" hidden="false" customHeight="false" outlineLevel="0" collapsed="false">
      <c r="A23" s="15" t="s">
        <v>122</v>
      </c>
      <c r="C23" s="20" t="n">
        <f aca="false">ROUND(+C18/(1-C22)+(C20+C21),4)-C18</f>
        <v>0.0952999999999999</v>
      </c>
      <c r="E23" s="20" t="n">
        <f aca="false">ROUND(+E18/(1-E22)+(E20+E21),4)-E18</f>
        <v>0.0952999999999999</v>
      </c>
      <c r="F23" s="17"/>
      <c r="G23" s="17"/>
      <c r="H23" s="17"/>
      <c r="I23" s="21" t="n">
        <f aca="false">I18+I22</f>
        <v>3.3738</v>
      </c>
      <c r="J23" s="17"/>
      <c r="K23" s="17"/>
      <c r="L23" s="23"/>
      <c r="M23" s="17"/>
      <c r="N23" s="17"/>
    </row>
    <row r="24" customFormat="false" ht="14.25" hidden="false" customHeight="false" outlineLevel="0" collapsed="false">
      <c r="C24" s="21" t="n">
        <f aca="false">SUM(C18,C19,C23)</f>
        <v>3.3528</v>
      </c>
      <c r="E24" s="20" t="n">
        <v>0.02</v>
      </c>
      <c r="F24" s="17"/>
      <c r="G24" s="17"/>
      <c r="H24" s="17"/>
      <c r="I24" s="24" t="s">
        <v>113</v>
      </c>
      <c r="J24" s="17"/>
      <c r="K24" s="17"/>
      <c r="L24" s="23"/>
      <c r="M24" s="17"/>
      <c r="N24" s="17"/>
    </row>
    <row r="25" customFormat="false" ht="14.25" hidden="false" customHeight="false" outlineLevel="0" collapsed="false">
      <c r="A25" s="15" t="s">
        <v>123</v>
      </c>
      <c r="E25" s="21" t="n">
        <f aca="false">+E24+E23+E18</f>
        <v>3.3653</v>
      </c>
      <c r="F25" s="15" t="s">
        <v>124</v>
      </c>
      <c r="H25" s="17"/>
      <c r="I25" s="17"/>
      <c r="J25" s="17"/>
      <c r="K25" s="17"/>
      <c r="L25" s="23"/>
      <c r="M25" s="17"/>
      <c r="N25" s="17"/>
    </row>
    <row r="26" customFormat="false" ht="13.5" hidden="false" customHeight="false" outlineLevel="0" collapsed="false">
      <c r="C26" s="25"/>
      <c r="E26" s="25"/>
      <c r="H26" s="17"/>
      <c r="I26" s="17"/>
      <c r="J26" s="17"/>
      <c r="K26" s="17"/>
      <c r="L26" s="23"/>
      <c r="M26" s="17"/>
      <c r="N26" s="17"/>
    </row>
    <row r="27" customFormat="false" ht="12.75" hidden="false" customHeight="false" outlineLevel="0" collapsed="false">
      <c r="C27" s="26"/>
      <c r="E27" s="26"/>
      <c r="H27" s="17"/>
      <c r="I27" s="17"/>
      <c r="J27" s="17"/>
      <c r="K27" s="17"/>
      <c r="L27" s="23"/>
      <c r="M27" s="17"/>
      <c r="N27" s="17"/>
    </row>
    <row r="28" customFormat="false" ht="12.75" hidden="false" customHeight="false" outlineLevel="0" collapsed="false">
      <c r="C28" s="27"/>
      <c r="H28" s="17"/>
      <c r="I28" s="17"/>
      <c r="J28" s="17"/>
      <c r="K28" s="17"/>
      <c r="L28" s="23"/>
      <c r="M28" s="17"/>
      <c r="N28" s="17"/>
    </row>
    <row r="29" customFormat="false" ht="12.75" hidden="false" customHeight="false" outlineLevel="0" collapsed="false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customFormat="false" ht="12.75" hidden="false" customHeight="false" outlineLevel="0" collapsed="false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customFormat="false" ht="12.75" hidden="false" customHeight="false" outlineLevel="0" collapsed="false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customFormat="false" ht="12.75" hidden="false" customHeight="false" outlineLevel="0" collapsed="false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customFormat="false" ht="12.75" hidden="false" customHeight="false" outlineLevel="0" collapsed="false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customFormat="false" ht="12.75" hidden="false" customHeight="false" outlineLevel="0" collapsed="false">
      <c r="A35" s="16" t="s">
        <v>125</v>
      </c>
      <c r="C35" s="15" t="s">
        <v>126</v>
      </c>
      <c r="E35" s="15" t="s">
        <v>127</v>
      </c>
      <c r="G35" s="15" t="s">
        <v>128</v>
      </c>
      <c r="H35" s="17"/>
      <c r="I35" s="17"/>
      <c r="J35" s="17"/>
      <c r="K35" s="17"/>
      <c r="L35" s="17"/>
      <c r="M35" s="17"/>
      <c r="N35" s="17"/>
    </row>
    <row r="36" customFormat="false" ht="12.75" hidden="false" customHeight="false" outlineLevel="0" collapsed="false">
      <c r="A36" s="15" t="s">
        <v>106</v>
      </c>
      <c r="B36" s="15" t="s">
        <v>125</v>
      </c>
      <c r="C36" s="18" t="n">
        <v>3.28</v>
      </c>
      <c r="E36" s="18" t="n">
        <v>3.28</v>
      </c>
      <c r="G36" s="18" t="n">
        <v>3.28</v>
      </c>
      <c r="H36" s="17"/>
      <c r="I36" s="17"/>
      <c r="J36" s="17"/>
      <c r="K36" s="17"/>
      <c r="L36" s="17"/>
      <c r="M36" s="17"/>
      <c r="N36" s="17"/>
    </row>
    <row r="37" customFormat="false" ht="12.75" hidden="false" customHeight="false" outlineLevel="0" collapsed="false">
      <c r="A37" s="15" t="s">
        <v>108</v>
      </c>
      <c r="C37" s="18" t="n">
        <v>0.0075</v>
      </c>
      <c r="E37" s="18" t="n">
        <v>0.0075</v>
      </c>
      <c r="G37" s="18" t="n">
        <v>0.0075</v>
      </c>
      <c r="H37" s="17"/>
      <c r="I37" s="17"/>
      <c r="J37" s="17"/>
      <c r="K37" s="17"/>
      <c r="L37" s="17"/>
      <c r="M37" s="17"/>
      <c r="N37" s="17"/>
    </row>
    <row r="38" customFormat="false" ht="12.75" hidden="false" customHeight="false" outlineLevel="0" collapsed="false">
      <c r="A38" s="15" t="s">
        <v>120</v>
      </c>
      <c r="C38" s="18" t="n">
        <v>0.0395</v>
      </c>
      <c r="E38" s="18" t="n">
        <v>0.0395</v>
      </c>
      <c r="G38" s="18" t="n">
        <v>0.0395</v>
      </c>
      <c r="H38" s="17"/>
      <c r="I38" s="17"/>
      <c r="J38" s="17"/>
      <c r="K38" s="17"/>
      <c r="L38" s="17"/>
      <c r="M38" s="17"/>
      <c r="N38" s="17"/>
    </row>
    <row r="39" customFormat="false" ht="12.75" hidden="false" customHeight="false" outlineLevel="0" collapsed="false">
      <c r="A39" s="15" t="s">
        <v>110</v>
      </c>
      <c r="C39" s="18" t="n">
        <v>0.0022</v>
      </c>
      <c r="E39" s="18" t="n">
        <v>0.0022</v>
      </c>
      <c r="G39" s="18" t="n">
        <v>0.0022</v>
      </c>
      <c r="H39" s="17"/>
      <c r="I39" s="17"/>
      <c r="J39" s="17"/>
      <c r="K39" s="17"/>
      <c r="L39" s="17"/>
      <c r="M39" s="17"/>
      <c r="N39" s="17"/>
    </row>
    <row r="40" customFormat="false" ht="12.75" hidden="false" customHeight="false" outlineLevel="0" collapsed="false">
      <c r="A40" s="15" t="s">
        <v>111</v>
      </c>
      <c r="C40" s="19" t="n">
        <v>0.0228</v>
      </c>
      <c r="E40" s="19" t="n">
        <v>0.0228</v>
      </c>
      <c r="G40" s="19" t="n">
        <v>0.0228</v>
      </c>
      <c r="H40" s="17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15" t="s">
        <v>122</v>
      </c>
      <c r="C41" s="20" t="n">
        <f aca="false">ROUND(+C36/(1-C40)+(C38+C39),4)-C36</f>
        <v>0.1182</v>
      </c>
      <c r="E41" s="20" t="n">
        <f aca="false">ROUND(+E36/(1-E40)+(E38+E39),4)-E36</f>
        <v>0.1182</v>
      </c>
      <c r="F41" s="28"/>
      <c r="G41" s="20" t="n">
        <f aca="false">ROUND(+G36/(1-G40)+(G38+G39),4)-G36</f>
        <v>0.1182</v>
      </c>
      <c r="H41" s="17"/>
      <c r="I41" s="17"/>
      <c r="J41" s="17"/>
      <c r="K41" s="17"/>
      <c r="L41" s="17"/>
      <c r="M41" s="17"/>
      <c r="N41" s="17"/>
    </row>
    <row r="42" customFormat="false" ht="12.75" hidden="false" customHeight="false" outlineLevel="0" collapsed="false">
      <c r="A42" s="15" t="s">
        <v>129</v>
      </c>
      <c r="C42" s="20" t="n">
        <v>0</v>
      </c>
      <c r="E42" s="20" t="n">
        <v>0.02</v>
      </c>
      <c r="F42" s="28"/>
      <c r="G42" s="20" t="n">
        <v>0.02</v>
      </c>
      <c r="H42" s="17"/>
      <c r="I42" s="17"/>
      <c r="J42" s="17"/>
      <c r="K42" s="17"/>
      <c r="L42" s="17"/>
      <c r="M42" s="17"/>
      <c r="N42" s="17"/>
    </row>
    <row r="43" customFormat="false" ht="13.5" hidden="false" customHeight="false" outlineLevel="0" collapsed="false">
      <c r="A43" s="15" t="s">
        <v>130</v>
      </c>
      <c r="C43" s="29" t="n">
        <f aca="false">SUM(C41,C36:C37,C42)</f>
        <v>3.4057</v>
      </c>
      <c r="E43" s="29" t="n">
        <f aca="false">SUM(E41,E36:E37,E42)</f>
        <v>3.4257</v>
      </c>
      <c r="F43" s="28"/>
      <c r="G43" s="29" t="n">
        <f aca="false">SUM(G41,G36:G37,G42)</f>
        <v>3.4257</v>
      </c>
      <c r="H43" s="17"/>
      <c r="I43" s="17"/>
      <c r="J43" s="17"/>
      <c r="K43" s="17"/>
      <c r="L43" s="17"/>
      <c r="M43" s="17"/>
      <c r="N43" s="17"/>
    </row>
    <row r="44" customFormat="false" ht="13.5" hidden="false" customHeight="false" outlineLevel="0" collapsed="false">
      <c r="A44" s="15" t="s">
        <v>113</v>
      </c>
      <c r="B44" s="15" t="s">
        <v>113</v>
      </c>
      <c r="C44" s="30" t="n">
        <v>37170</v>
      </c>
      <c r="E44" s="30" t="n">
        <v>54450</v>
      </c>
      <c r="F44" s="28"/>
      <c r="G44" s="30" t="n">
        <v>118800</v>
      </c>
      <c r="H44" s="17"/>
      <c r="I44" s="17"/>
      <c r="J44" s="17"/>
      <c r="K44" s="17"/>
      <c r="L44" s="17"/>
      <c r="M44" s="17"/>
      <c r="N44" s="17"/>
    </row>
    <row r="45" customFormat="false" ht="12.75" hidden="false" customHeight="false" outlineLevel="0" collapsed="false">
      <c r="A45" s="15" t="s">
        <v>131</v>
      </c>
      <c r="C45" s="24"/>
      <c r="E45" s="28"/>
      <c r="F45" s="28"/>
      <c r="G45" s="28"/>
      <c r="H45" s="17"/>
      <c r="I45" s="17"/>
      <c r="J45" s="17"/>
      <c r="K45" s="17"/>
      <c r="L45" s="17"/>
      <c r="M45" s="17"/>
      <c r="N45" s="17"/>
    </row>
    <row r="46" customFormat="false" ht="12.75" hidden="false" customHeight="false" outlineLevel="0" collapsed="false">
      <c r="A46" s="15" t="s">
        <v>132</v>
      </c>
      <c r="C46" s="24"/>
      <c r="H46" s="17"/>
      <c r="I46" s="17"/>
      <c r="J46" s="17"/>
      <c r="K46" s="17"/>
      <c r="L46" s="17"/>
      <c r="M46" s="17"/>
      <c r="N46" s="17"/>
    </row>
    <row r="47" customFormat="false" ht="12.75" hidden="false" customHeight="false" outlineLevel="0" collapsed="false">
      <c r="A47" s="15" t="s">
        <v>133</v>
      </c>
      <c r="C47" s="24"/>
      <c r="H47" s="17"/>
      <c r="I47" s="17"/>
      <c r="J47" s="17"/>
      <c r="K47" s="17"/>
      <c r="L47" s="17"/>
      <c r="M47" s="17"/>
      <c r="N47" s="17"/>
    </row>
    <row r="48" customFormat="false" ht="12.75" hidden="false" customHeight="false" outlineLevel="0" collapsed="false">
      <c r="A48" s="15" t="s">
        <v>134</v>
      </c>
      <c r="C48" s="24"/>
      <c r="H48" s="17"/>
      <c r="I48" s="17"/>
      <c r="J48" s="17"/>
      <c r="K48" s="17"/>
      <c r="L48" s="17"/>
      <c r="M48" s="17"/>
      <c r="N48" s="17"/>
    </row>
    <row r="49" customFormat="false" ht="12.75" hidden="false" customHeight="false" outlineLevel="0" collapsed="false">
      <c r="C49" s="24"/>
      <c r="H49" s="17"/>
      <c r="I49" s="17" t="s">
        <v>113</v>
      </c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5" t="s">
        <v>113</v>
      </c>
      <c r="C50" s="24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5" t="s">
        <v>113</v>
      </c>
      <c r="B51" s="15" t="s">
        <v>113</v>
      </c>
      <c r="C51" s="24"/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15" t="s">
        <v>113</v>
      </c>
      <c r="B52" s="15" t="s">
        <v>113</v>
      </c>
      <c r="C52" s="24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C53" s="24"/>
      <c r="H53" s="17"/>
      <c r="I53" s="17"/>
      <c r="J53" s="17"/>
      <c r="K53" s="17"/>
      <c r="L53" s="17"/>
      <c r="M53" s="17"/>
      <c r="N53" s="17"/>
    </row>
    <row r="54" customFormat="false" ht="12.75" hidden="false" customHeight="false" outlineLevel="0" collapsed="false">
      <c r="C54" s="24"/>
      <c r="H54" s="17"/>
      <c r="I54" s="17"/>
      <c r="J54" s="17"/>
      <c r="K54" s="17"/>
      <c r="L54" s="17"/>
      <c r="M54" s="17"/>
      <c r="N54" s="17"/>
    </row>
    <row r="55" customFormat="false" ht="12.75" hidden="false" customHeight="false" outlineLevel="0" collapsed="false">
      <c r="C55" s="24"/>
      <c r="H55" s="17"/>
      <c r="I55" s="17"/>
      <c r="J55" s="17"/>
      <c r="K55" s="17"/>
      <c r="L55" s="17"/>
      <c r="M55" s="17"/>
      <c r="N55" s="17"/>
    </row>
    <row r="56" customFormat="false" ht="12.75" hidden="false" customHeight="false" outlineLevel="0" collapsed="false">
      <c r="C56" s="24"/>
      <c r="H56" s="17"/>
      <c r="I56" s="17"/>
      <c r="J56" s="17"/>
      <c r="K56" s="17"/>
      <c r="L56" s="17"/>
      <c r="M56" s="17"/>
      <c r="N56" s="17"/>
    </row>
    <row r="57" customFormat="false" ht="12.75" hidden="false" customHeight="false" outlineLevel="0" collapsed="false">
      <c r="A57" s="16" t="s">
        <v>135</v>
      </c>
      <c r="C57" s="31" t="s">
        <v>136</v>
      </c>
      <c r="E57" s="31" t="s">
        <v>137</v>
      </c>
      <c r="G57" s="17"/>
      <c r="H57" s="17"/>
      <c r="I57" s="17"/>
      <c r="J57" s="17"/>
      <c r="K57" s="17"/>
      <c r="L57" s="17"/>
      <c r="M57" s="17"/>
      <c r="N57" s="17"/>
    </row>
    <row r="58" customFormat="false" ht="12.75" hidden="false" customHeight="false" outlineLevel="0" collapsed="false">
      <c r="A58" s="15" t="s">
        <v>106</v>
      </c>
      <c r="B58" s="15" t="s">
        <v>138</v>
      </c>
      <c r="C58" s="18" t="n">
        <v>3.03</v>
      </c>
      <c r="E58" s="18" t="n">
        <f aca="false">+C64</f>
        <v>3.1817</v>
      </c>
      <c r="G58" s="17"/>
      <c r="H58" s="17"/>
      <c r="I58" s="17"/>
      <c r="J58" s="17"/>
      <c r="K58" s="17"/>
      <c r="L58" s="17"/>
      <c r="M58" s="17"/>
      <c r="N58" s="17"/>
    </row>
    <row r="59" customFormat="false" ht="12.75" hidden="false" customHeight="false" outlineLevel="0" collapsed="false">
      <c r="A59" s="15" t="s">
        <v>108</v>
      </c>
      <c r="C59" s="18" t="n">
        <v>0.01</v>
      </c>
      <c r="E59" s="18" t="n">
        <v>0</v>
      </c>
      <c r="G59" s="17"/>
      <c r="H59" s="17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A60" s="15" t="s">
        <v>120</v>
      </c>
      <c r="C60" s="18" t="n">
        <v>0.0572</v>
      </c>
      <c r="E60" s="18" t="n">
        <v>0.0011</v>
      </c>
      <c r="G60" s="17"/>
      <c r="H60" s="17"/>
      <c r="I60" s="17"/>
      <c r="J60" s="17"/>
      <c r="K60" s="17"/>
      <c r="L60" s="17"/>
      <c r="M60" s="17"/>
      <c r="N60" s="17"/>
    </row>
    <row r="61" customFormat="false" ht="12.75" hidden="false" customHeight="false" outlineLevel="0" collapsed="false">
      <c r="A61" s="15" t="s">
        <v>110</v>
      </c>
      <c r="C61" s="18" t="n">
        <v>0.0319</v>
      </c>
      <c r="E61" s="18" t="n">
        <v>0.0094</v>
      </c>
      <c r="F61" s="15" t="s">
        <v>139</v>
      </c>
      <c r="G61" s="17"/>
      <c r="H61" s="17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15" t="s">
        <v>111</v>
      </c>
      <c r="C62" s="19" t="n">
        <v>0.017</v>
      </c>
      <c r="E62" s="19" t="n">
        <v>0.022</v>
      </c>
      <c r="G62" s="17"/>
      <c r="H62" s="17"/>
      <c r="I62" s="17"/>
      <c r="J62" s="17"/>
      <c r="K62" s="17"/>
      <c r="L62" s="17"/>
      <c r="M62" s="17"/>
      <c r="N62" s="17"/>
    </row>
    <row r="63" customFormat="false" ht="12.75" hidden="false" customHeight="false" outlineLevel="0" collapsed="false">
      <c r="A63" s="15" t="s">
        <v>122</v>
      </c>
      <c r="C63" s="20" t="n">
        <f aca="false">ROUND((+C58+C59)/(1-C62)-(C58+C59)+C60+C61,4)</f>
        <v>0.1417</v>
      </c>
      <c r="E63" s="20" t="n">
        <f aca="false">ROUND((+E58+E59)/(1-E62)-(E58+E59)+E60+E61,4)</f>
        <v>0.0821</v>
      </c>
      <c r="G63" s="17"/>
      <c r="H63" s="17"/>
      <c r="I63" s="17"/>
      <c r="J63" s="17"/>
      <c r="K63" s="17"/>
      <c r="L63" s="17"/>
      <c r="M63" s="17"/>
      <c r="N63" s="17"/>
    </row>
    <row r="64" customFormat="false" ht="13.5" hidden="false" customHeight="false" outlineLevel="0" collapsed="false">
      <c r="A64" s="15" t="s">
        <v>130</v>
      </c>
      <c r="C64" s="21" t="n">
        <f aca="false">SUM(C63,C58:C59)</f>
        <v>3.1817</v>
      </c>
      <c r="E64" s="21" t="n">
        <f aca="false">SUM(E63,E58:E59)</f>
        <v>3.2638</v>
      </c>
      <c r="F64" s="15" t="s">
        <v>140</v>
      </c>
      <c r="G64" s="17"/>
      <c r="H64" s="17"/>
      <c r="I64" s="17"/>
      <c r="J64" s="17"/>
      <c r="K64" s="17"/>
      <c r="L64" s="17"/>
      <c r="M64" s="17"/>
      <c r="N64" s="17"/>
    </row>
    <row r="65" customFormat="false" ht="13.5" hidden="false" customHeight="false" outlineLevel="0" collapsed="false">
      <c r="G65" s="17"/>
      <c r="H65" s="17"/>
      <c r="I65" s="17"/>
      <c r="J65" s="17"/>
      <c r="K65" s="17"/>
      <c r="L65" s="17"/>
      <c r="M65" s="17"/>
      <c r="N65" s="17"/>
    </row>
    <row r="66" customFormat="false" ht="12.75" hidden="false" customHeight="false" outlineLevel="0" collapsed="false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customFormat="false" ht="12.75" hidden="false" customHeight="false" outlineLevel="0" collapsed="false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customFormat="false" ht="12.75" hidden="false" customHeight="false" outlineLevel="0" collapsed="false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customFormat="false" ht="12.75" hidden="false" customHeight="false" outlineLevel="0" collapsed="false">
      <c r="A69" s="16" t="s">
        <v>60</v>
      </c>
      <c r="C69" s="31" t="s">
        <v>117</v>
      </c>
      <c r="E69" s="31" t="s">
        <v>141</v>
      </c>
      <c r="G69" s="17"/>
      <c r="H69" s="17"/>
      <c r="I69" s="17"/>
      <c r="J69" s="17"/>
      <c r="K69" s="17"/>
      <c r="L69" s="17"/>
      <c r="M69" s="17"/>
      <c r="N69" s="17"/>
    </row>
    <row r="70" customFormat="false" ht="12.75" hidden="false" customHeight="false" outlineLevel="0" collapsed="false">
      <c r="A70" s="15" t="s">
        <v>106</v>
      </c>
      <c r="B70" s="15" t="s">
        <v>125</v>
      </c>
      <c r="C70" s="18" t="n">
        <v>3.28</v>
      </c>
      <c r="E70" s="18" t="n">
        <v>3.28</v>
      </c>
      <c r="G70" s="17"/>
      <c r="H70" s="17"/>
      <c r="I70" s="17"/>
      <c r="J70" s="17"/>
      <c r="K70" s="17"/>
      <c r="L70" s="17"/>
      <c r="M70" s="17"/>
      <c r="N70" s="17"/>
    </row>
    <row r="71" customFormat="false" ht="12.75" hidden="false" customHeight="false" outlineLevel="0" collapsed="false">
      <c r="A71" s="15" t="s">
        <v>108</v>
      </c>
      <c r="C71" s="18" t="n">
        <v>0.0275</v>
      </c>
      <c r="E71" s="18" t="n">
        <v>0.0275</v>
      </c>
      <c r="G71" s="17"/>
      <c r="H71" s="17"/>
      <c r="I71" s="17"/>
      <c r="J71" s="17"/>
      <c r="K71" s="17"/>
      <c r="L71" s="17"/>
      <c r="M71" s="17"/>
      <c r="N71" s="17"/>
    </row>
    <row r="72" customFormat="false" ht="12.75" hidden="false" customHeight="false" outlineLevel="0" collapsed="false">
      <c r="A72" s="15" t="s">
        <v>120</v>
      </c>
      <c r="C72" s="18" t="n">
        <v>0.0092</v>
      </c>
      <c r="E72" s="18" t="n">
        <v>0.2127</v>
      </c>
      <c r="G72" s="17"/>
      <c r="H72" s="17"/>
      <c r="I72" s="17"/>
      <c r="J72" s="17"/>
      <c r="K72" s="17"/>
      <c r="L72" s="17"/>
      <c r="M72" s="17"/>
      <c r="N72" s="17"/>
    </row>
    <row r="73" customFormat="false" ht="12.75" hidden="false" customHeight="false" outlineLevel="0" collapsed="false">
      <c r="A73" s="15" t="s">
        <v>110</v>
      </c>
      <c r="C73" s="18" t="n">
        <v>0.0094</v>
      </c>
      <c r="E73" s="18" t="n">
        <v>0.0094</v>
      </c>
      <c r="F73" s="17"/>
      <c r="G73" s="17"/>
      <c r="H73" s="17"/>
      <c r="I73" s="17"/>
      <c r="J73" s="17"/>
      <c r="K73" s="17"/>
      <c r="L73" s="17"/>
      <c r="M73" s="17"/>
      <c r="N73" s="17"/>
    </row>
    <row r="74" customFormat="false" ht="12.75" hidden="false" customHeight="false" outlineLevel="0" collapsed="false">
      <c r="A74" s="15" t="s">
        <v>111</v>
      </c>
      <c r="C74" s="19" t="n">
        <v>0.03</v>
      </c>
      <c r="E74" s="19" t="n">
        <v>0.03</v>
      </c>
      <c r="F74" s="17"/>
      <c r="G74" s="17"/>
      <c r="H74" s="17"/>
      <c r="I74" s="17"/>
      <c r="J74" s="17"/>
      <c r="K74" s="17"/>
      <c r="L74" s="17"/>
      <c r="M74" s="17"/>
      <c r="N74" s="17"/>
    </row>
    <row r="75" customFormat="false" ht="12.75" hidden="false" customHeight="false" outlineLevel="0" collapsed="false">
      <c r="A75" s="15" t="s">
        <v>122</v>
      </c>
      <c r="C75" s="20" t="n">
        <f aca="false">ROUND((+C70+C71)/(1-C74)-(C70+C71)+C72+C73,4)</f>
        <v>0.1209</v>
      </c>
      <c r="E75" s="20" t="n">
        <f aca="false">ROUND((+E70+E71)/(1-E74)-(E70+E71)+E72+E73,4)</f>
        <v>0.3244</v>
      </c>
      <c r="F75" s="17"/>
      <c r="G75" s="17"/>
      <c r="H75" s="17"/>
      <c r="I75" s="17"/>
      <c r="J75" s="17"/>
      <c r="K75" s="17"/>
      <c r="L75" s="17"/>
      <c r="M75" s="17"/>
      <c r="N75" s="17"/>
    </row>
    <row r="76" customFormat="false" ht="13.5" hidden="false" customHeight="false" outlineLevel="0" collapsed="false">
      <c r="A76" s="15" t="s">
        <v>130</v>
      </c>
      <c r="C76" s="21" t="n">
        <f aca="false">SUM(C75,C70:C71)</f>
        <v>3.4284</v>
      </c>
      <c r="E76" s="21" t="n">
        <f aca="false">SUM(E75,E70:E71)</f>
        <v>3.6319</v>
      </c>
      <c r="F76" s="17"/>
      <c r="G76" s="17"/>
      <c r="H76" s="17"/>
      <c r="I76" s="17"/>
      <c r="J76" s="17"/>
      <c r="K76" s="17"/>
      <c r="L76" s="17"/>
      <c r="M76" s="17"/>
      <c r="N76" s="17"/>
    </row>
    <row r="77" customFormat="false" ht="13.5" hidden="false" customHeight="false" outlineLevel="0" collapsed="false">
      <c r="F77" s="17"/>
      <c r="G77" s="17"/>
      <c r="H77" s="17"/>
      <c r="I77" s="17"/>
      <c r="J77" s="17"/>
      <c r="K77" s="17"/>
      <c r="L77" s="17"/>
      <c r="M77" s="17"/>
      <c r="N77" s="17"/>
    </row>
    <row r="78" customFormat="false" ht="12.75" hidden="false" customHeight="false" outlineLevel="0" collapsed="false">
      <c r="A78" s="15" t="s">
        <v>142</v>
      </c>
      <c r="F78" s="17"/>
      <c r="G78" s="17"/>
      <c r="H78" s="17"/>
      <c r="I78" s="17"/>
      <c r="J78" s="17"/>
      <c r="K78" s="17"/>
      <c r="L78" s="17"/>
      <c r="M78" s="17"/>
      <c r="N78" s="17"/>
    </row>
    <row r="79" customFormat="false" ht="12.75" hidden="false" customHeight="false" outlineLevel="0" collapsed="false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customFormat="false" ht="12.75" hidden="false" customHeight="false" outlineLevel="0" collapsed="false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customFormat="false" ht="12.75" hidden="false" customHeight="false" outlineLevel="0" collapsed="false">
      <c r="A81" s="16" t="s">
        <v>143</v>
      </c>
      <c r="F81" s="17"/>
      <c r="G81" s="17"/>
      <c r="H81" s="17"/>
      <c r="I81" s="17"/>
      <c r="J81" s="17"/>
      <c r="K81" s="17"/>
      <c r="L81" s="17"/>
      <c r="M81" s="17"/>
      <c r="N81" s="17"/>
    </row>
    <row r="82" customFormat="false" ht="12.75" hidden="false" customHeight="false" outlineLevel="0" collapsed="false">
      <c r="A82" s="15" t="s">
        <v>106</v>
      </c>
      <c r="B82" s="15" t="s">
        <v>144</v>
      </c>
      <c r="C82" s="18" t="n">
        <v>3.03</v>
      </c>
      <c r="F82" s="17"/>
      <c r="G82" s="17"/>
      <c r="H82" s="17"/>
      <c r="I82" s="17"/>
      <c r="J82" s="17"/>
      <c r="K82" s="17"/>
      <c r="L82" s="17"/>
      <c r="M82" s="17"/>
      <c r="N82" s="17"/>
    </row>
    <row r="83" customFormat="false" ht="12.75" hidden="false" customHeight="false" outlineLevel="0" collapsed="false">
      <c r="A83" s="15" t="s">
        <v>108</v>
      </c>
      <c r="C83" s="18" t="n">
        <v>0.01</v>
      </c>
      <c r="F83" s="17"/>
      <c r="G83" s="17"/>
      <c r="H83" s="17"/>
      <c r="I83" s="17"/>
      <c r="J83" s="17"/>
      <c r="K83" s="17"/>
      <c r="L83" s="17"/>
      <c r="M83" s="17"/>
      <c r="N83" s="17"/>
    </row>
    <row r="84" customFormat="false" ht="12.75" hidden="false" customHeight="false" outlineLevel="0" collapsed="false">
      <c r="A84" s="15" t="s">
        <v>120</v>
      </c>
      <c r="C84" s="18" t="n">
        <v>0.1126</v>
      </c>
      <c r="F84" s="17"/>
      <c r="G84" s="17"/>
      <c r="H84" s="17"/>
      <c r="I84" s="17"/>
      <c r="J84" s="17"/>
      <c r="K84" s="17"/>
      <c r="L84" s="17"/>
      <c r="M84" s="17"/>
      <c r="N84" s="17"/>
    </row>
    <row r="85" customFormat="false" ht="12.75" hidden="false" customHeight="false" outlineLevel="0" collapsed="false">
      <c r="A85" s="15" t="s">
        <v>110</v>
      </c>
      <c r="C85" s="18" t="n">
        <v>0.0094</v>
      </c>
      <c r="F85" s="17"/>
      <c r="G85" s="17"/>
      <c r="H85" s="17"/>
      <c r="I85" s="17"/>
      <c r="J85" s="17"/>
      <c r="K85" s="17"/>
      <c r="L85" s="17"/>
      <c r="M85" s="17"/>
      <c r="N85" s="17"/>
    </row>
    <row r="86" customFormat="false" ht="12.75" hidden="false" customHeight="false" outlineLevel="0" collapsed="false">
      <c r="A86" s="15" t="s">
        <v>111</v>
      </c>
      <c r="C86" s="19" t="n">
        <v>0.0597</v>
      </c>
      <c r="F86" s="17"/>
      <c r="G86" s="17"/>
      <c r="H86" s="17"/>
      <c r="I86" s="17"/>
      <c r="J86" s="17"/>
      <c r="K86" s="17"/>
      <c r="L86" s="17"/>
      <c r="M86" s="17"/>
      <c r="N86" s="17"/>
    </row>
    <row r="87" customFormat="false" ht="12.75" hidden="false" customHeight="false" outlineLevel="0" collapsed="false">
      <c r="A87" s="15" t="s">
        <v>122</v>
      </c>
      <c r="C87" s="20" t="n">
        <f aca="false">ROUND((+C82+C83)/(1-C86)-(C82+C83)+C84+C85,4)</f>
        <v>0.315</v>
      </c>
      <c r="F87" s="17"/>
      <c r="G87" s="17"/>
      <c r="H87" s="17"/>
      <c r="I87" s="17"/>
      <c r="J87" s="17"/>
      <c r="K87" s="17"/>
      <c r="L87" s="17"/>
      <c r="M87" s="17"/>
      <c r="N87" s="17"/>
    </row>
    <row r="88" customFormat="false" ht="13.5" hidden="false" customHeight="false" outlineLevel="0" collapsed="false">
      <c r="C88" s="21" t="n">
        <f aca="false">SUM(C87,C82:C83)</f>
        <v>3.355</v>
      </c>
      <c r="D88" s="15" t="s">
        <v>145</v>
      </c>
      <c r="F88" s="17"/>
      <c r="G88" s="17"/>
      <c r="H88" s="17"/>
      <c r="I88" s="17"/>
      <c r="J88" s="17"/>
      <c r="K88" s="17"/>
      <c r="L88" s="17"/>
      <c r="M88" s="17"/>
      <c r="N88" s="17"/>
    </row>
    <row r="89" customFormat="false" ht="13.5" hidden="false" customHeight="false" outlineLevel="0" collapsed="false"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customFormat="false" ht="12.75" hidden="false" customHeight="false" outlineLevel="0" collapsed="false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customFormat="false" ht="12.75" hidden="false" customHeight="false" outlineLevel="0" collapsed="false">
      <c r="A91" s="16" t="s">
        <v>44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customFormat="false" ht="12.75" hidden="false" customHeight="false" outlineLevel="0" collapsed="false">
      <c r="A92" s="15" t="s">
        <v>106</v>
      </c>
      <c r="B92" s="15" t="s">
        <v>146</v>
      </c>
      <c r="C92" s="18" t="n">
        <v>3.03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customFormat="false" ht="12.75" hidden="false" customHeight="false" outlineLevel="0" collapsed="false">
      <c r="A93" s="15" t="s">
        <v>108</v>
      </c>
      <c r="C93" s="18" t="n">
        <v>0.01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customFormat="false" ht="12.75" hidden="false" customHeight="false" outlineLevel="0" collapsed="false">
      <c r="A94" s="15" t="s">
        <v>120</v>
      </c>
      <c r="C94" s="18" t="n">
        <v>0.1012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customFormat="false" ht="12.75" hidden="false" customHeight="false" outlineLevel="0" collapsed="false">
      <c r="A95" s="15" t="s">
        <v>110</v>
      </c>
      <c r="C95" s="18" t="n">
        <v>0.0094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customFormat="false" ht="12.75" hidden="false" customHeight="false" outlineLevel="0" collapsed="false">
      <c r="A96" s="15" t="s">
        <v>111</v>
      </c>
      <c r="C96" s="19" t="n">
        <v>0.0705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customFormat="false" ht="12.75" hidden="false" customHeight="false" outlineLevel="0" collapsed="false">
      <c r="A97" s="15" t="s">
        <v>122</v>
      </c>
      <c r="C97" s="20" t="n">
        <f aca="false">ROUND((+C92+C93)/(1-C96)-(C92+C93)+C94+C95,4)</f>
        <v>0.3412</v>
      </c>
      <c r="D97" s="15" t="s">
        <v>147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customFormat="false" ht="13.5" hidden="false" customHeight="false" outlineLevel="0" collapsed="false">
      <c r="C98" s="21" t="n">
        <f aca="false">SUM(C97,C92:C93)</f>
        <v>3.3812</v>
      </c>
      <c r="D98" s="15" t="s">
        <v>148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customFormat="false" ht="13.5" hidden="false" customHeight="false" outlineLevel="0" collapsed="false"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customFormat="false" ht="12.75" hidden="false" customHeight="false" outlineLevel="0" collapsed="false">
      <c r="A100" s="15" t="s">
        <v>149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customFormat="false" ht="12.75" hidden="false" customHeight="false" outlineLevel="0" collapsed="false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customFormat="false" ht="12.75" hidden="false" customHeight="false" outlineLevel="0" collapsed="false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customFormat="false" ht="12.75" hidden="false" customHeight="false" outlineLevel="0" collapsed="false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customFormat="false" ht="12.75" hidden="false" customHeight="false" outlineLevel="0" collapsed="false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customFormat="false" ht="12.75" hidden="false" customHeight="false" outlineLevel="0" collapsed="false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customFormat="false" ht="12.75" hidden="false" customHeight="false" outlineLevel="0" collapsed="false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customFormat="false" ht="12.75" hidden="false" customHeight="false" outlineLevel="0" collapsed="false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customFormat="false" ht="12.75" hidden="false" customHeight="false" outlineLevel="0" collapsed="false">
      <c r="A108" s="32" t="s">
        <v>62</v>
      </c>
      <c r="G108" s="33"/>
      <c r="H108" s="33"/>
    </row>
    <row r="109" customFormat="false" ht="12.75" hidden="false" customHeight="false" outlineLevel="0" collapsed="false">
      <c r="D109" s="34"/>
      <c r="F109" s="30"/>
      <c r="G109" s="33"/>
    </row>
    <row r="110" customFormat="false" ht="12" hidden="false" customHeight="false" outlineLevel="0" collapsed="false">
      <c r="A110" s="15" t="s">
        <v>150</v>
      </c>
      <c r="E110" s="28"/>
      <c r="F110" s="28"/>
      <c r="G110" s="28"/>
      <c r="H110" s="28"/>
      <c r="I110" s="28"/>
      <c r="J110" s="28"/>
      <c r="K110" s="28"/>
      <c r="L110" s="28"/>
    </row>
    <row r="111" customFormat="false" ht="12.75" hidden="false" customHeight="false" outlineLevel="0" collapsed="false">
      <c r="A111" s="15" t="s">
        <v>106</v>
      </c>
      <c r="B111" s="15" t="s">
        <v>151</v>
      </c>
      <c r="C111" s="18" t="n">
        <v>3.09</v>
      </c>
      <c r="E111" s="28"/>
      <c r="F111" s="28"/>
      <c r="G111" s="24"/>
      <c r="H111" s="28"/>
      <c r="I111" s="28"/>
      <c r="J111" s="28"/>
      <c r="K111" s="24"/>
      <c r="L111" s="35"/>
    </row>
    <row r="112" customFormat="false" ht="12.75" hidden="false" customHeight="false" outlineLevel="0" collapsed="false">
      <c r="C112" s="18" t="n">
        <v>0.01</v>
      </c>
      <c r="E112" s="28"/>
      <c r="F112" s="28"/>
      <c r="G112" s="24"/>
      <c r="H112" s="28"/>
      <c r="I112" s="28"/>
      <c r="J112" s="28"/>
      <c r="K112" s="24"/>
      <c r="L112" s="35"/>
    </row>
    <row r="113" customFormat="false" ht="12.75" hidden="false" customHeight="false" outlineLevel="0" collapsed="false">
      <c r="A113" s="15" t="s">
        <v>120</v>
      </c>
      <c r="B113" s="33"/>
      <c r="C113" s="18" t="n">
        <v>0.0274</v>
      </c>
      <c r="E113" s="28"/>
      <c r="F113" s="35"/>
      <c r="G113" s="24"/>
      <c r="H113" s="28"/>
      <c r="I113" s="28"/>
      <c r="J113" s="35"/>
      <c r="K113" s="24"/>
      <c r="L113" s="35"/>
    </row>
    <row r="114" customFormat="false" ht="12.75" hidden="false" customHeight="false" outlineLevel="0" collapsed="false">
      <c r="A114" s="15" t="s">
        <v>110</v>
      </c>
      <c r="B114" s="33"/>
      <c r="C114" s="18" t="n">
        <v>0.0225</v>
      </c>
      <c r="E114" s="28"/>
      <c r="F114" s="35"/>
      <c r="G114" s="24"/>
      <c r="H114" s="28"/>
      <c r="I114" s="28"/>
      <c r="J114" s="35"/>
      <c r="K114" s="24"/>
      <c r="L114" s="35"/>
    </row>
    <row r="115" customFormat="false" ht="12.75" hidden="false" customHeight="false" outlineLevel="0" collapsed="false">
      <c r="A115" s="15" t="s">
        <v>111</v>
      </c>
      <c r="B115" s="36"/>
      <c r="C115" s="19" t="n">
        <v>0.0472</v>
      </c>
      <c r="E115" s="28"/>
      <c r="F115" s="36"/>
      <c r="G115" s="37"/>
      <c r="H115" s="28"/>
      <c r="I115" s="28"/>
      <c r="J115" s="36"/>
      <c r="K115" s="37"/>
      <c r="L115" s="35"/>
    </row>
    <row r="116" customFormat="false" ht="12.75" hidden="false" customHeight="false" outlineLevel="0" collapsed="false">
      <c r="A116" s="15" t="s">
        <v>122</v>
      </c>
      <c r="C116" s="20" t="n">
        <f aca="false">ROUND((+C111+C112)/(1-C115)+(C113+C114),4)-C111-C112</f>
        <v>0.2035</v>
      </c>
      <c r="E116" s="28"/>
      <c r="F116" s="28"/>
      <c r="G116" s="24"/>
      <c r="H116" s="28"/>
      <c r="I116" s="28"/>
      <c r="J116" s="28"/>
      <c r="K116" s="24"/>
      <c r="L116" s="35"/>
    </row>
    <row r="117" customFormat="false" ht="13.5" hidden="false" customHeight="false" outlineLevel="0" collapsed="false">
      <c r="C117" s="21" t="n">
        <f aca="false">SUM(C116,C111:C112)</f>
        <v>3.3035</v>
      </c>
      <c r="D117" s="15" t="s">
        <v>152</v>
      </c>
      <c r="E117" s="28"/>
      <c r="F117" s="28"/>
      <c r="G117" s="28"/>
      <c r="H117" s="28"/>
      <c r="I117" s="28"/>
      <c r="J117" s="28"/>
      <c r="K117" s="28"/>
      <c r="L117" s="35"/>
      <c r="M117" s="30"/>
      <c r="N117" s="27"/>
    </row>
    <row r="118" customFormat="false" ht="13.5" hidden="false" customHeight="false" outlineLevel="0" collapsed="false">
      <c r="B118" s="33"/>
      <c r="C118" s="27"/>
      <c r="G118" s="30"/>
      <c r="H118" s="38"/>
    </row>
    <row r="119" customFormat="false" ht="12.75" hidden="false" customHeight="false" outlineLevel="0" collapsed="false">
      <c r="K119" s="33"/>
      <c r="L119" s="27"/>
    </row>
    <row r="120" customFormat="false" ht="12.75" hidden="false" customHeight="false" outlineLevel="0" collapsed="false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customFormat="false" ht="12" hidden="false" customHeight="false" outlineLevel="0" collapsed="false">
      <c r="A121" s="15" t="s">
        <v>153</v>
      </c>
      <c r="E121" s="28"/>
      <c r="F121" s="28"/>
      <c r="G121" s="28"/>
      <c r="H121" s="28"/>
      <c r="I121" s="28"/>
      <c r="J121" s="28"/>
      <c r="K121" s="28"/>
      <c r="L121" s="28"/>
    </row>
    <row r="122" customFormat="false" ht="12.75" hidden="false" customHeight="false" outlineLevel="0" collapsed="false">
      <c r="A122" s="15" t="s">
        <v>106</v>
      </c>
      <c r="B122" s="15" t="s">
        <v>151</v>
      </c>
      <c r="C122" s="18" t="n">
        <v>3.09</v>
      </c>
      <c r="E122" s="28"/>
      <c r="F122" s="28"/>
      <c r="G122" s="24"/>
      <c r="H122" s="28"/>
      <c r="I122" s="28"/>
      <c r="J122" s="28"/>
      <c r="K122" s="24"/>
      <c r="L122" s="35"/>
    </row>
    <row r="123" customFormat="false" ht="12.75" hidden="false" customHeight="false" outlineLevel="0" collapsed="false">
      <c r="C123" s="18" t="n">
        <v>0.0075</v>
      </c>
      <c r="E123" s="28"/>
      <c r="F123" s="28"/>
      <c r="G123" s="24"/>
      <c r="H123" s="28"/>
      <c r="I123" s="28"/>
      <c r="J123" s="28"/>
      <c r="K123" s="24"/>
      <c r="L123" s="35"/>
    </row>
    <row r="124" customFormat="false" ht="12.75" hidden="false" customHeight="false" outlineLevel="0" collapsed="false">
      <c r="A124" s="15" t="s">
        <v>120</v>
      </c>
      <c r="B124" s="33"/>
      <c r="C124" s="18" t="n">
        <v>0.014</v>
      </c>
      <c r="E124" s="28"/>
      <c r="F124" s="35"/>
      <c r="G124" s="24"/>
      <c r="H124" s="28"/>
      <c r="I124" s="28"/>
      <c r="J124" s="35"/>
      <c r="K124" s="24"/>
      <c r="L124" s="35"/>
    </row>
    <row r="125" customFormat="false" ht="12.75" hidden="false" customHeight="false" outlineLevel="0" collapsed="false">
      <c r="A125" s="15" t="s">
        <v>110</v>
      </c>
      <c r="B125" s="33"/>
      <c r="C125" s="18" t="n">
        <v>0.0225</v>
      </c>
      <c r="E125" s="28"/>
      <c r="F125" s="35"/>
      <c r="G125" s="24"/>
      <c r="H125" s="28"/>
      <c r="I125" s="28"/>
      <c r="J125" s="35"/>
      <c r="K125" s="24"/>
      <c r="L125" s="35"/>
    </row>
    <row r="126" customFormat="false" ht="12.75" hidden="false" customHeight="false" outlineLevel="0" collapsed="false">
      <c r="A126" s="15" t="s">
        <v>111</v>
      </c>
      <c r="B126" s="36"/>
      <c r="C126" s="19" t="n">
        <v>0.0235</v>
      </c>
      <c r="E126" s="28"/>
      <c r="F126" s="36"/>
      <c r="G126" s="37"/>
      <c r="H126" s="28"/>
      <c r="I126" s="28"/>
      <c r="J126" s="36"/>
      <c r="K126" s="37"/>
      <c r="L126" s="35"/>
    </row>
    <row r="127" customFormat="false" ht="12.75" hidden="false" customHeight="false" outlineLevel="0" collapsed="false">
      <c r="A127" s="15" t="s">
        <v>122</v>
      </c>
      <c r="C127" s="20" t="n">
        <f aca="false">ROUND((+C122+C123)/(1-C126)+(C124+C125),4)-C122-C123</f>
        <v>0.111</v>
      </c>
      <c r="E127" s="28"/>
      <c r="F127" s="28"/>
      <c r="G127" s="24"/>
      <c r="H127" s="28"/>
      <c r="I127" s="28"/>
      <c r="J127" s="28"/>
      <c r="K127" s="24"/>
      <c r="L127" s="35"/>
    </row>
    <row r="128" customFormat="false" ht="13.5" hidden="false" customHeight="false" outlineLevel="0" collapsed="false">
      <c r="C128" s="21" t="n">
        <f aca="false">SUM(C127,C122:C123)</f>
        <v>3.2085</v>
      </c>
      <c r="D128" s="15" t="s">
        <v>154</v>
      </c>
      <c r="E128" s="28"/>
      <c r="F128" s="28"/>
      <c r="G128" s="28"/>
      <c r="H128" s="28"/>
      <c r="I128" s="28"/>
      <c r="J128" s="28"/>
      <c r="K128" s="28"/>
      <c r="L128" s="35"/>
      <c r="M128" s="30"/>
      <c r="N128" s="27"/>
    </row>
    <row r="129" customFormat="false" ht="13.5" hidden="false" customHeight="false" outlineLevel="0" collapsed="false">
      <c r="B129" s="33"/>
      <c r="C129" s="27"/>
      <c r="G129" s="30"/>
      <c r="H129" s="38"/>
    </row>
    <row r="130" customFormat="false" ht="12.75" hidden="false" customHeight="false" outlineLevel="0" collapsed="false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customFormat="false" ht="12.75" hidden="false" customHeight="false" outlineLevel="0" collapsed="false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customFormat="false" ht="12" hidden="false" customHeight="false" outlineLevel="0" collapsed="false">
      <c r="A132" s="15" t="s">
        <v>155</v>
      </c>
      <c r="I132" s="15" t="s">
        <v>156</v>
      </c>
    </row>
    <row r="133" customFormat="false" ht="12.75" hidden="false" customHeight="false" outlineLevel="0" collapsed="false">
      <c r="A133" s="15" t="s">
        <v>106</v>
      </c>
      <c r="B133" s="15" t="s">
        <v>157</v>
      </c>
      <c r="C133" s="18" t="n">
        <v>3.1</v>
      </c>
      <c r="I133" s="15" t="s">
        <v>106</v>
      </c>
      <c r="J133" s="15" t="s">
        <v>157</v>
      </c>
      <c r="K133" s="18" t="n">
        <v>3.1</v>
      </c>
      <c r="L133" s="33"/>
    </row>
    <row r="134" customFormat="false" ht="12.75" hidden="false" customHeight="false" outlineLevel="0" collapsed="false">
      <c r="A134" s="15" t="s">
        <v>108</v>
      </c>
      <c r="C134" s="18" t="n">
        <v>0.0175</v>
      </c>
      <c r="K134" s="18" t="n">
        <v>0.0175</v>
      </c>
      <c r="L134" s="33"/>
    </row>
    <row r="135" customFormat="false" ht="12.75" hidden="false" customHeight="false" outlineLevel="0" collapsed="false">
      <c r="A135" s="15" t="s">
        <v>120</v>
      </c>
      <c r="B135" s="33"/>
      <c r="C135" s="18" t="n">
        <v>0.0115</v>
      </c>
      <c r="I135" s="15" t="s">
        <v>120</v>
      </c>
      <c r="J135" s="33"/>
      <c r="K135" s="18" t="n">
        <v>0.0023</v>
      </c>
      <c r="L135" s="33"/>
    </row>
    <row r="136" customFormat="false" ht="12.75" hidden="false" customHeight="false" outlineLevel="0" collapsed="false">
      <c r="A136" s="15" t="s">
        <v>110</v>
      </c>
      <c r="B136" s="33"/>
      <c r="C136" s="18" t="n">
        <v>0.0094</v>
      </c>
      <c r="D136" s="15" t="s">
        <v>158</v>
      </c>
      <c r="I136" s="15" t="s">
        <v>110</v>
      </c>
      <c r="J136" s="33"/>
      <c r="K136" s="18" t="n">
        <v>0.0094</v>
      </c>
      <c r="L136" s="15" t="s">
        <v>158</v>
      </c>
    </row>
    <row r="137" customFormat="false" ht="12.75" hidden="false" customHeight="false" outlineLevel="0" collapsed="false">
      <c r="A137" s="15" t="s">
        <v>111</v>
      </c>
      <c r="B137" s="36"/>
      <c r="C137" s="19" t="n">
        <v>0.019</v>
      </c>
      <c r="I137" s="15" t="s">
        <v>111</v>
      </c>
      <c r="J137" s="36"/>
      <c r="K137" s="19" t="n">
        <v>0.0193</v>
      </c>
      <c r="L137" s="33"/>
    </row>
    <row r="138" customFormat="false" ht="12.75" hidden="false" customHeight="false" outlineLevel="0" collapsed="false">
      <c r="A138" s="15" t="s">
        <v>122</v>
      </c>
      <c r="C138" s="20" t="n">
        <f aca="false">ROUND((+C133+C134)/(1-C137)+(C135+C136),4)-C133-C134</f>
        <v>0.0812999999999998</v>
      </c>
      <c r="I138" s="15" t="s">
        <v>122</v>
      </c>
      <c r="K138" s="20" t="n">
        <f aca="false">ROUND((+K133+K134)/(1-K137)+(K135+K136),4)-K133-K134</f>
        <v>0.0730999999999998</v>
      </c>
      <c r="L138" s="33"/>
    </row>
    <row r="139" customFormat="false" ht="13.5" hidden="false" customHeight="false" outlineLevel="0" collapsed="false">
      <c r="A139" s="15" t="s">
        <v>130</v>
      </c>
      <c r="C139" s="21" t="n">
        <f aca="false">SUM(C138,C133:C134)</f>
        <v>3.1988</v>
      </c>
      <c r="D139" s="15" t="s">
        <v>159</v>
      </c>
      <c r="I139" s="28" t="s">
        <v>130</v>
      </c>
      <c r="J139" s="28"/>
      <c r="K139" s="21" t="n">
        <f aca="false">SUM(K138,K133:K134)</f>
        <v>3.1906</v>
      </c>
      <c r="L139" s="33" t="s">
        <v>160</v>
      </c>
      <c r="M139" s="30"/>
      <c r="N139" s="27"/>
    </row>
    <row r="140" customFormat="false" ht="13.5" hidden="false" customHeight="false" outlineLevel="0" collapsed="false">
      <c r="B140" s="33"/>
      <c r="C140" s="27"/>
      <c r="G140" s="30"/>
      <c r="H140" s="38"/>
    </row>
    <row r="141" customFormat="false" ht="12.75" hidden="false" customHeight="false" outlineLevel="0" collapsed="false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customFormat="false" ht="12" hidden="false" customHeight="false" outlineLevel="0" collapsed="false">
      <c r="A142" s="15" t="s">
        <v>161</v>
      </c>
    </row>
    <row r="143" customFormat="false" ht="12" hidden="false" customHeight="false" outlineLevel="0" collapsed="false">
      <c r="A143" s="15" t="s">
        <v>106</v>
      </c>
      <c r="B143" s="15" t="s">
        <v>157</v>
      </c>
      <c r="C143" s="18" t="n">
        <v>3.1</v>
      </c>
      <c r="D143" s="15" t="s">
        <v>162</v>
      </c>
    </row>
    <row r="144" customFormat="false" ht="12.75" hidden="false" customHeight="false" outlineLevel="0" collapsed="false">
      <c r="A144" s="15" t="s">
        <v>120</v>
      </c>
      <c r="B144" s="33"/>
      <c r="C144" s="18" t="n">
        <v>0.0203</v>
      </c>
    </row>
    <row r="145" customFormat="false" ht="12.75" hidden="false" customHeight="false" outlineLevel="0" collapsed="false">
      <c r="A145" s="15" t="s">
        <v>110</v>
      </c>
      <c r="B145" s="33"/>
      <c r="C145" s="18" t="n">
        <v>0.0225</v>
      </c>
    </row>
    <row r="146" customFormat="false" ht="12" hidden="false" customHeight="false" outlineLevel="0" collapsed="false">
      <c r="A146" s="15" t="s">
        <v>111</v>
      </c>
      <c r="B146" s="36"/>
      <c r="C146" s="19" t="n">
        <v>0.0343</v>
      </c>
    </row>
    <row r="147" customFormat="false" ht="12" hidden="false" customHeight="false" outlineLevel="0" collapsed="false">
      <c r="A147" s="15" t="s">
        <v>122</v>
      </c>
      <c r="C147" s="20" t="n">
        <v>0.1428</v>
      </c>
    </row>
    <row r="148" customFormat="false" ht="12" hidden="false" customHeight="false" outlineLevel="0" collapsed="false">
      <c r="A148" s="15" t="s">
        <v>163</v>
      </c>
      <c r="C148" s="39" t="n">
        <v>0.27</v>
      </c>
    </row>
    <row r="149" customFormat="false" ht="12.75" hidden="false" customHeight="false" outlineLevel="0" collapsed="false">
      <c r="A149" s="15" t="s">
        <v>130</v>
      </c>
      <c r="C149" s="21" t="n">
        <v>3.0428</v>
      </c>
      <c r="D149" s="15" t="s">
        <v>164</v>
      </c>
    </row>
    <row r="150" customFormat="false" ht="12.75" hidden="false" customHeight="false" outlineLevel="0" collapsed="false">
      <c r="D150" s="15" t="s">
        <v>165</v>
      </c>
    </row>
    <row r="151" customFormat="false" ht="12" hidden="false" customHeight="false" outlineLevel="0" collapsed="false">
      <c r="D151" s="15" t="s">
        <v>166</v>
      </c>
    </row>
    <row r="155" customFormat="false" ht="12" hidden="false" customHeight="false" outlineLevel="0" collapsed="false">
      <c r="A155" s="15" t="s">
        <v>167</v>
      </c>
    </row>
    <row r="156" customFormat="false" ht="12" hidden="false" customHeight="false" outlineLevel="0" collapsed="false">
      <c r="A156" s="15" t="s">
        <v>106</v>
      </c>
      <c r="B156" s="15" t="s">
        <v>151</v>
      </c>
      <c r="C156" s="18" t="n">
        <v>3.09</v>
      </c>
    </row>
    <row r="157" customFormat="false" ht="12" hidden="false" customHeight="false" outlineLevel="0" collapsed="false">
      <c r="C157" s="18" t="n">
        <v>0.0075</v>
      </c>
    </row>
    <row r="158" customFormat="false" ht="12.75" hidden="false" customHeight="false" outlineLevel="0" collapsed="false">
      <c r="A158" s="15" t="s">
        <v>120</v>
      </c>
      <c r="B158" s="33"/>
      <c r="C158" s="18" t="n">
        <v>0.0228</v>
      </c>
    </row>
    <row r="159" customFormat="false" ht="12.75" hidden="false" customHeight="false" outlineLevel="0" collapsed="false">
      <c r="A159" s="15" t="s">
        <v>110</v>
      </c>
      <c r="B159" s="33"/>
      <c r="C159" s="18" t="n">
        <v>0.0225</v>
      </c>
    </row>
    <row r="160" customFormat="false" ht="12" hidden="false" customHeight="false" outlineLevel="0" collapsed="false">
      <c r="A160" s="15" t="s">
        <v>111</v>
      </c>
      <c r="B160" s="36"/>
      <c r="C160" s="19" t="n">
        <v>0.0388</v>
      </c>
    </row>
    <row r="161" customFormat="false" ht="12" hidden="false" customHeight="false" outlineLevel="0" collapsed="false">
      <c r="A161" s="15" t="s">
        <v>122</v>
      </c>
      <c r="C161" s="20" t="n">
        <f aca="false">ROUND((+C156+C157)/(1-C160)+(C158+C159),4)-C156-C157</f>
        <v>0.1703</v>
      </c>
    </row>
    <row r="162" customFormat="false" ht="12.75" hidden="false" customHeight="false" outlineLevel="0" collapsed="false">
      <c r="A162" s="15" t="s">
        <v>130</v>
      </c>
      <c r="C162" s="21" t="n">
        <f aca="false">SUM(C161,C156:C157)</f>
        <v>3.2678</v>
      </c>
      <c r="D162" s="15" t="s">
        <v>168</v>
      </c>
    </row>
    <row r="163" customFormat="false" ht="12.75" hidden="false" customHeight="false" outlineLevel="0" collapsed="false"/>
    <row r="169" customFormat="false" ht="12" hidden="false" customHeight="false" outlineLevel="0" collapsed="false">
      <c r="A169" s="16" t="s">
        <v>169</v>
      </c>
    </row>
    <row r="170" customFormat="false" ht="12" hidden="false" customHeight="false" outlineLevel="0" collapsed="false">
      <c r="A170" s="15" t="s">
        <v>106</v>
      </c>
      <c r="B170" s="15" t="s">
        <v>170</v>
      </c>
      <c r="C170" s="18" t="n">
        <v>3.06</v>
      </c>
    </row>
    <row r="171" customFormat="false" ht="12" hidden="false" customHeight="false" outlineLevel="0" collapsed="false">
      <c r="A171" s="15" t="s">
        <v>108</v>
      </c>
      <c r="C171" s="18" t="n">
        <v>-0.01</v>
      </c>
    </row>
    <row r="172" customFormat="false" ht="12" hidden="false" customHeight="false" outlineLevel="0" collapsed="false">
      <c r="A172" s="15" t="s">
        <v>120</v>
      </c>
      <c r="C172" s="18" t="n">
        <v>0.0323</v>
      </c>
    </row>
    <row r="173" customFormat="false" ht="12" hidden="false" customHeight="false" outlineLevel="0" collapsed="false">
      <c r="A173" s="15" t="s">
        <v>110</v>
      </c>
      <c r="C173" s="18" t="n">
        <v>0.0094</v>
      </c>
    </row>
    <row r="174" customFormat="false" ht="12" hidden="false" customHeight="false" outlineLevel="0" collapsed="false">
      <c r="A174" s="15" t="s">
        <v>111</v>
      </c>
      <c r="C174" s="19" t="n">
        <v>0.0268</v>
      </c>
    </row>
    <row r="175" customFormat="false" ht="12" hidden="false" customHeight="false" outlineLevel="0" collapsed="false">
      <c r="A175" s="15" t="s">
        <v>122</v>
      </c>
      <c r="C175" s="20" t="n">
        <f aca="false">ROUND((+C170+C171)/(1-C174)+(C172+C173),4)-C170-C171</f>
        <v>0.1257</v>
      </c>
    </row>
    <row r="176" customFormat="false" ht="12.75" hidden="false" customHeight="false" outlineLevel="0" collapsed="false">
      <c r="A176" s="15" t="s">
        <v>130</v>
      </c>
      <c r="C176" s="21" t="n">
        <f aca="false">SUM(C175,C170:C171)</f>
        <v>3.1757</v>
      </c>
      <c r="D176" s="15" t="s">
        <v>113</v>
      </c>
    </row>
    <row r="177" customFormat="false" ht="12.75" hidden="false" customHeight="false" outlineLevel="0" collapsed="false"/>
    <row r="179" customFormat="false" ht="12" hidden="false" customHeight="false" outlineLevel="0" collapsed="false">
      <c r="A179" s="16" t="s">
        <v>63</v>
      </c>
    </row>
    <row r="180" customFormat="false" ht="12" hidden="false" customHeight="false" outlineLevel="0" collapsed="false">
      <c r="A180" s="15" t="s">
        <v>106</v>
      </c>
      <c r="B180" s="15" t="s">
        <v>171</v>
      </c>
      <c r="C180" s="18" t="n">
        <v>3.07</v>
      </c>
    </row>
    <row r="181" customFormat="false" ht="12" hidden="false" customHeight="false" outlineLevel="0" collapsed="false">
      <c r="A181" s="15" t="s">
        <v>108</v>
      </c>
      <c r="C181" s="18" t="n">
        <v>0.0075</v>
      </c>
    </row>
    <row r="182" customFormat="false" ht="12" hidden="false" customHeight="false" outlineLevel="0" collapsed="false">
      <c r="A182" s="15" t="s">
        <v>120</v>
      </c>
      <c r="C182" s="18" t="n">
        <v>0.021</v>
      </c>
    </row>
    <row r="183" customFormat="false" ht="12" hidden="false" customHeight="false" outlineLevel="0" collapsed="false">
      <c r="A183" s="15" t="s">
        <v>110</v>
      </c>
      <c r="C183" s="18" t="n">
        <f aca="false">0.0022+0.0072</f>
        <v>0.0094</v>
      </c>
    </row>
    <row r="184" customFormat="false" ht="12" hidden="false" customHeight="false" outlineLevel="0" collapsed="false">
      <c r="A184" s="15" t="s">
        <v>111</v>
      </c>
      <c r="C184" s="19" t="n">
        <v>0.026</v>
      </c>
    </row>
    <row r="185" customFormat="false" ht="12" hidden="false" customHeight="false" outlineLevel="0" collapsed="false">
      <c r="A185" s="15" t="s">
        <v>122</v>
      </c>
      <c r="C185" s="20" t="n">
        <f aca="false">ROUND((+C180+C181)/(1-C184)-(C180+C181)+C182+C183,4)</f>
        <v>0.1126</v>
      </c>
    </row>
    <row r="186" customFormat="false" ht="12.75" hidden="false" customHeight="false" outlineLevel="0" collapsed="false">
      <c r="A186" s="15" t="s">
        <v>130</v>
      </c>
      <c r="C186" s="21" t="n">
        <f aca="false">SUM(C185,C180:C181)</f>
        <v>3.1901</v>
      </c>
      <c r="D186" s="15" t="s">
        <v>172</v>
      </c>
    </row>
    <row r="187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1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J94" activeCellId="0" sqref="J9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99"/>
    <col collapsed="false" customWidth="false" hidden="false" outlineLevel="0" max="3" min="3" style="33" width="9.14"/>
    <col collapsed="false" customWidth="true" hidden="false" outlineLevel="0" max="4" min="4" style="33" width="10.56"/>
    <col collapsed="false" customWidth="true" hidden="false" outlineLevel="0" max="5" min="5" style="33" width="9.28"/>
    <col collapsed="false" customWidth="true" hidden="false" outlineLevel="0" max="6" min="6" style="33" width="9.56"/>
    <col collapsed="false" customWidth="true" hidden="false" outlineLevel="0" max="7" min="7" style="40" width="12.42"/>
    <col collapsed="false" customWidth="true" hidden="false" outlineLevel="0" max="8" min="8" style="40" width="13.99"/>
    <col collapsed="false" customWidth="true" hidden="false" outlineLevel="0" max="9" min="9" style="33" width="10.71"/>
    <col collapsed="false" customWidth="true" hidden="false" outlineLevel="0" max="10" min="10" style="33" width="7.7"/>
    <col collapsed="false" customWidth="true" hidden="true" outlineLevel="0" max="14" min="11" style="33" width="9.06"/>
    <col collapsed="false" customWidth="true" hidden="true" outlineLevel="0" max="15" min="15" style="41" width="9.06"/>
    <col collapsed="false" customWidth="true" hidden="true" outlineLevel="0" max="16" min="16" style="33" width="9.06"/>
    <col collapsed="false" customWidth="true" hidden="false" outlineLevel="0" max="17" min="17" style="33" width="11.7"/>
    <col collapsed="false" customWidth="true" hidden="false" outlineLevel="0" max="18" min="18" style="33" width="9.41"/>
    <col collapsed="false" customWidth="true" hidden="false" outlineLevel="0" max="19" min="19" style="33" width="12.28"/>
    <col collapsed="false" customWidth="true" hidden="false" outlineLevel="0" max="20" min="20" style="33" width="10.71"/>
    <col collapsed="false" customWidth="true" hidden="false" outlineLevel="0" max="21" min="21" style="33" width="11.85"/>
    <col collapsed="false" customWidth="true" hidden="false" outlineLevel="0" max="22" min="22" style="42" width="14.85"/>
    <col collapsed="false" customWidth="true" hidden="false" outlineLevel="0" max="23" min="23" style="40" width="42.28"/>
    <col collapsed="false" customWidth="false" hidden="false" outlineLevel="0" max="25" min="24" style="42" width="9.14"/>
    <col collapsed="false" customWidth="true" hidden="false" outlineLevel="0" max="26" min="26" style="33" width="12.42"/>
    <col collapsed="false" customWidth="false" hidden="false" outlineLevel="0" max="257" min="27" style="33" width="9.14"/>
  </cols>
  <sheetData>
    <row r="1" customFormat="false" ht="12.75" hidden="false" customHeight="false" outlineLevel="0" collapsed="false">
      <c r="B1" s="43" t="s">
        <v>173</v>
      </c>
      <c r="C1" s="44"/>
      <c r="D1" s="44"/>
      <c r="E1" s="45"/>
      <c r="F1" s="45"/>
      <c r="G1" s="46"/>
      <c r="H1" s="46"/>
      <c r="I1" s="44" t="s">
        <v>174</v>
      </c>
      <c r="J1" s="47" t="n">
        <v>31</v>
      </c>
      <c r="K1" s="48" t="s">
        <v>175</v>
      </c>
      <c r="L1" s="49"/>
      <c r="M1" s="49"/>
      <c r="N1" s="49"/>
      <c r="O1" s="50"/>
      <c r="P1" s="49"/>
      <c r="Q1" s="51"/>
      <c r="R1" s="52"/>
      <c r="S1" s="53"/>
      <c r="T1" s="53"/>
      <c r="U1" s="53"/>
      <c r="V1" s="54"/>
      <c r="W1" s="55"/>
      <c r="X1" s="56"/>
      <c r="Y1" s="56"/>
    </row>
    <row r="2" customFormat="false" ht="12.75" hidden="false" customHeight="false" outlineLevel="0" collapsed="false">
      <c r="B2" s="46" t="s">
        <v>176</v>
      </c>
      <c r="C2" s="46"/>
      <c r="D2" s="46"/>
      <c r="E2" s="45"/>
      <c r="F2" s="45"/>
      <c r="G2" s="46"/>
      <c r="H2" s="46"/>
      <c r="I2" s="44"/>
      <c r="J2" s="47"/>
      <c r="K2" s="48" t="s">
        <v>177</v>
      </c>
      <c r="L2" s="49"/>
      <c r="M2" s="49"/>
      <c r="N2" s="49"/>
      <c r="O2" s="50"/>
      <c r="P2" s="49"/>
      <c r="Q2" s="51"/>
      <c r="R2" s="52"/>
      <c r="S2" s="53"/>
      <c r="T2" s="53"/>
      <c r="U2" s="53"/>
      <c r="V2" s="54"/>
      <c r="W2" s="55"/>
      <c r="X2" s="56"/>
      <c r="Y2" s="56"/>
    </row>
    <row r="3" customFormat="false" ht="12.75" hidden="false" customHeight="false" outlineLevel="0" collapsed="false">
      <c r="B3" s="46" t="s">
        <v>178</v>
      </c>
      <c r="C3" s="46"/>
      <c r="D3" s="46"/>
      <c r="E3" s="45"/>
      <c r="F3" s="45"/>
      <c r="G3" s="57" t="s">
        <v>113</v>
      </c>
      <c r="H3" s="46" t="s">
        <v>113</v>
      </c>
      <c r="I3" s="52" t="s">
        <v>113</v>
      </c>
      <c r="J3" s="58"/>
      <c r="K3" s="59" t="s">
        <v>113</v>
      </c>
      <c r="L3" s="49"/>
      <c r="M3" s="59" t="s">
        <v>113</v>
      </c>
      <c r="N3" s="49"/>
      <c r="O3" s="50"/>
      <c r="P3" s="59" t="s">
        <v>113</v>
      </c>
      <c r="Q3" s="51"/>
      <c r="R3" s="52"/>
      <c r="S3" s="53"/>
      <c r="T3" s="53"/>
      <c r="U3" s="53"/>
      <c r="V3" s="54"/>
      <c r="W3" s="55"/>
      <c r="X3" s="56"/>
      <c r="Y3" s="56"/>
    </row>
    <row r="4" customFormat="false" ht="12.75" hidden="false" customHeight="false" outlineLevel="0" collapsed="false">
      <c r="B4" s="46"/>
      <c r="C4" s="44"/>
      <c r="D4" s="44"/>
      <c r="E4" s="45"/>
      <c r="F4" s="45"/>
      <c r="G4" s="60"/>
      <c r="H4" s="46"/>
      <c r="I4" s="60"/>
      <c r="J4" s="58"/>
      <c r="K4" s="60"/>
      <c r="L4" s="49"/>
      <c r="M4" s="60"/>
      <c r="N4" s="52"/>
      <c r="O4" s="50"/>
      <c r="P4" s="52"/>
      <c r="Q4" s="51"/>
      <c r="R4" s="52"/>
      <c r="S4" s="53"/>
      <c r="T4" s="61"/>
      <c r="U4" s="61"/>
      <c r="V4" s="62"/>
      <c r="W4" s="55"/>
      <c r="X4" s="56"/>
      <c r="Y4" s="56"/>
    </row>
    <row r="5" customFormat="false" ht="12.75" hidden="false" customHeight="false" outlineLevel="0" collapsed="false">
      <c r="B5" s="46" t="s">
        <v>179</v>
      </c>
      <c r="C5" s="44"/>
      <c r="D5" s="46"/>
      <c r="E5" s="45"/>
      <c r="F5" s="45"/>
      <c r="G5" s="60"/>
      <c r="H5" s="46"/>
      <c r="I5" s="60"/>
      <c r="J5" s="58"/>
      <c r="K5" s="60"/>
      <c r="L5" s="49"/>
      <c r="M5" s="60"/>
      <c r="N5" s="52"/>
      <c r="O5" s="50"/>
      <c r="P5" s="52"/>
      <c r="Q5" s="51"/>
      <c r="R5" s="52"/>
      <c r="S5" s="53"/>
      <c r="T5" s="61"/>
      <c r="U5" s="61"/>
      <c r="V5" s="62"/>
      <c r="W5" s="55"/>
      <c r="X5" s="56"/>
      <c r="Y5" s="56"/>
    </row>
    <row r="6" customFormat="false" ht="12.75" hidden="false" customHeight="false" outlineLevel="0" collapsed="false">
      <c r="B6" s="46"/>
      <c r="C6" s="44" t="s">
        <v>180</v>
      </c>
      <c r="D6" s="44"/>
      <c r="E6" s="45"/>
      <c r="F6" s="45"/>
      <c r="G6" s="60"/>
      <c r="H6" s="46"/>
      <c r="I6" s="60"/>
      <c r="J6" s="58"/>
      <c r="K6" s="60"/>
      <c r="L6" s="49"/>
      <c r="M6" s="60"/>
      <c r="N6" s="52"/>
      <c r="O6" s="50"/>
      <c r="P6" s="52"/>
      <c r="Q6" s="51"/>
      <c r="R6" s="52"/>
      <c r="S6" s="53"/>
      <c r="T6" s="61"/>
      <c r="U6" s="61"/>
      <c r="V6" s="62"/>
      <c r="W6" s="55"/>
      <c r="X6" s="56"/>
      <c r="Y6" s="56"/>
    </row>
    <row r="7" customFormat="false" ht="12.75" hidden="false" customHeight="false" outlineLevel="0" collapsed="false">
      <c r="B7" s="46"/>
      <c r="C7" s="44"/>
      <c r="D7" s="44"/>
      <c r="E7" s="45"/>
      <c r="F7" s="45"/>
      <c r="G7" s="60"/>
      <c r="H7" s="46"/>
      <c r="I7" s="60"/>
      <c r="J7" s="58"/>
      <c r="K7" s="60"/>
      <c r="L7" s="49"/>
      <c r="M7" s="60"/>
      <c r="N7" s="52"/>
      <c r="O7" s="50"/>
      <c r="P7" s="52"/>
      <c r="Q7" s="51"/>
      <c r="R7" s="52"/>
      <c r="S7" s="53"/>
      <c r="T7" s="61"/>
      <c r="U7" s="61"/>
      <c r="V7" s="62"/>
      <c r="W7" s="55"/>
      <c r="X7" s="56"/>
      <c r="Y7" s="56"/>
    </row>
    <row r="8" customFormat="false" ht="12.75" hidden="false" customHeight="false" outlineLevel="0" collapsed="false">
      <c r="B8" s="46"/>
      <c r="C8" s="44"/>
      <c r="D8" s="44"/>
      <c r="E8" s="45"/>
      <c r="F8" s="45"/>
      <c r="G8" s="60"/>
      <c r="H8" s="46"/>
      <c r="I8" s="60"/>
      <c r="J8" s="58"/>
      <c r="K8" s="60"/>
      <c r="L8" s="49"/>
      <c r="M8" s="60"/>
      <c r="N8" s="52"/>
      <c r="O8" s="50"/>
      <c r="P8" s="52"/>
      <c r="Q8" s="51"/>
      <c r="R8" s="52"/>
      <c r="S8" s="53"/>
      <c r="T8" s="61"/>
      <c r="U8" s="61"/>
      <c r="V8" s="62"/>
      <c r="W8" s="55"/>
      <c r="X8" s="56"/>
      <c r="Y8" s="56"/>
    </row>
    <row r="9" customFormat="false" ht="12.75" hidden="false" customHeight="false" outlineLevel="0" collapsed="false">
      <c r="B9" s="46"/>
      <c r="C9" s="44"/>
      <c r="D9" s="44"/>
      <c r="E9" s="45"/>
      <c r="F9" s="45"/>
      <c r="G9" s="60"/>
      <c r="H9" s="46"/>
      <c r="I9" s="60"/>
      <c r="J9" s="58"/>
      <c r="K9" s="60"/>
      <c r="L9" s="49"/>
      <c r="M9" s="60"/>
      <c r="N9" s="52"/>
      <c r="O9" s="50"/>
      <c r="P9" s="52"/>
      <c r="Q9" s="51"/>
      <c r="R9" s="52"/>
      <c r="S9" s="53"/>
      <c r="T9" s="61"/>
      <c r="U9" s="61"/>
      <c r="V9" s="62"/>
      <c r="W9" s="55"/>
      <c r="X9" s="56"/>
      <c r="Y9" s="56"/>
    </row>
    <row r="10" customFormat="false" ht="12.75" hidden="false" customHeight="false" outlineLevel="0" collapsed="false">
      <c r="B10" s="46"/>
      <c r="C10" s="44"/>
      <c r="D10" s="44"/>
      <c r="E10" s="45"/>
      <c r="F10" s="45"/>
      <c r="G10" s="60"/>
      <c r="H10" s="46"/>
      <c r="I10" s="60"/>
      <c r="J10" s="58"/>
      <c r="K10" s="60"/>
      <c r="L10" s="49"/>
      <c r="M10" s="60"/>
      <c r="N10" s="52"/>
      <c r="O10" s="50"/>
      <c r="P10" s="52"/>
      <c r="Q10" s="51"/>
      <c r="R10" s="52"/>
      <c r="S10" s="53"/>
      <c r="T10" s="61"/>
      <c r="U10" s="61"/>
      <c r="V10" s="62"/>
      <c r="W10" s="55"/>
      <c r="X10" s="56"/>
      <c r="Y10" s="56"/>
    </row>
    <row r="11" customFormat="false" ht="12.75" hidden="false" customHeight="false" outlineLevel="0" collapsed="false">
      <c r="B11" s="63" t="s">
        <v>181</v>
      </c>
      <c r="C11" s="64" t="s">
        <v>182</v>
      </c>
      <c r="D11" s="64" t="s">
        <v>183</v>
      </c>
      <c r="E11" s="65" t="s">
        <v>184</v>
      </c>
      <c r="F11" s="65"/>
      <c r="G11" s="63" t="s">
        <v>185</v>
      </c>
      <c r="H11" s="63" t="s">
        <v>186</v>
      </c>
      <c r="I11" s="64" t="s">
        <v>187</v>
      </c>
      <c r="J11" s="66" t="s">
        <v>188</v>
      </c>
      <c r="K11" s="64" t="s">
        <v>189</v>
      </c>
      <c r="L11" s="64" t="s">
        <v>190</v>
      </c>
      <c r="M11" s="64" t="s">
        <v>191</v>
      </c>
      <c r="N11" s="64" t="s">
        <v>192</v>
      </c>
      <c r="O11" s="67" t="s">
        <v>193</v>
      </c>
      <c r="P11" s="64" t="s">
        <v>194</v>
      </c>
      <c r="Q11" s="68" t="s">
        <v>195</v>
      </c>
      <c r="R11" s="64" t="s">
        <v>196</v>
      </c>
      <c r="S11" s="63" t="s">
        <v>197</v>
      </c>
      <c r="T11" s="69" t="s">
        <v>198</v>
      </c>
      <c r="U11" s="69" t="s">
        <v>199</v>
      </c>
      <c r="V11" s="70" t="s">
        <v>200</v>
      </c>
      <c r="W11" s="71" t="e">
        <f aca="false">+#REF!</f>
        <v>#REF!</v>
      </c>
      <c r="X11" s="72"/>
      <c r="Y11" s="72"/>
    </row>
    <row r="12" customFormat="false" ht="12.75" hidden="false" customHeight="false" outlineLevel="0" collapsed="false">
      <c r="A12" s="73"/>
      <c r="B12" s="46" t="s">
        <v>201</v>
      </c>
      <c r="C12" s="44" t="s">
        <v>202</v>
      </c>
      <c r="D12" s="44" t="s">
        <v>203</v>
      </c>
      <c r="E12" s="45" t="n">
        <v>36281</v>
      </c>
      <c r="F12" s="45" t="n">
        <v>36646</v>
      </c>
      <c r="G12" s="46" t="s">
        <v>204</v>
      </c>
      <c r="H12" s="46" t="s">
        <v>205</v>
      </c>
      <c r="I12" s="44" t="s">
        <v>206</v>
      </c>
      <c r="J12" s="58" t="n">
        <f aca="false">3.145/J$1</f>
        <v>0.101451612903226</v>
      </c>
      <c r="K12" s="49" t="n">
        <v>0.0132</v>
      </c>
      <c r="L12" s="49" t="n">
        <v>0.0022</v>
      </c>
      <c r="M12" s="49" t="n">
        <v>0</v>
      </c>
      <c r="N12" s="49" t="n">
        <v>0</v>
      </c>
      <c r="O12" s="50" t="n">
        <v>0.02116</v>
      </c>
      <c r="P12" s="49" t="n">
        <f aca="false">SUM(J12:N12)</f>
        <v>0.116851612903226</v>
      </c>
      <c r="Q12" s="51" t="n">
        <v>63562</v>
      </c>
      <c r="R12" s="44" t="n">
        <v>34</v>
      </c>
      <c r="S12" s="46"/>
      <c r="T12" s="74" t="n">
        <f aca="false">J12*J$1*R12</f>
        <v>106.93</v>
      </c>
      <c r="U12" s="74"/>
      <c r="V12" s="75" t="n">
        <v>156613</v>
      </c>
      <c r="W12" s="46"/>
      <c r="X12" s="72"/>
      <c r="Y12" s="72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customFormat="false" ht="12.75" hidden="false" customHeight="false" outlineLevel="0" collapsed="false">
      <c r="A13" s="76"/>
      <c r="B13" s="77" t="s">
        <v>201</v>
      </c>
      <c r="C13" s="78" t="s">
        <v>202</v>
      </c>
      <c r="D13" s="78" t="s">
        <v>203</v>
      </c>
      <c r="E13" s="79" t="n">
        <v>36678</v>
      </c>
      <c r="F13" s="79" t="n">
        <v>37042</v>
      </c>
      <c r="G13" s="77" t="s">
        <v>204</v>
      </c>
      <c r="H13" s="77" t="s">
        <v>205</v>
      </c>
      <c r="I13" s="78" t="s">
        <v>206</v>
      </c>
      <c r="J13" s="80" t="n">
        <f aca="false">3.145/J$1</f>
        <v>0.101451612903226</v>
      </c>
      <c r="K13" s="81" t="n">
        <v>0.0132</v>
      </c>
      <c r="L13" s="81" t="n">
        <v>0.0022</v>
      </c>
      <c r="M13" s="81" t="n">
        <v>0</v>
      </c>
      <c r="N13" s="81" t="n">
        <v>0</v>
      </c>
      <c r="O13" s="82" t="n">
        <v>0.02116</v>
      </c>
      <c r="P13" s="81" t="n">
        <f aca="false">SUM(J13:N13)</f>
        <v>0.116851612903226</v>
      </c>
      <c r="Q13" s="83" t="n">
        <v>68360</v>
      </c>
      <c r="R13" s="78" t="n">
        <v>291</v>
      </c>
      <c r="S13" s="77"/>
      <c r="T13" s="84" t="n">
        <f aca="false">J13*J$1*R13</f>
        <v>915.195</v>
      </c>
      <c r="U13" s="84"/>
      <c r="V13" s="85" t="n">
        <v>271311</v>
      </c>
      <c r="W13" s="77"/>
      <c r="X13" s="86"/>
      <c r="Y13" s="8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customFormat="false" ht="12.75" hidden="false" customHeight="false" outlineLevel="0" collapsed="false">
      <c r="A14" s="76"/>
      <c r="B14" s="77" t="s">
        <v>201</v>
      </c>
      <c r="C14" s="78" t="s">
        <v>202</v>
      </c>
      <c r="D14" s="78" t="s">
        <v>207</v>
      </c>
      <c r="E14" s="79" t="n">
        <v>36678</v>
      </c>
      <c r="F14" s="79" t="n">
        <v>37042</v>
      </c>
      <c r="G14" s="77" t="s">
        <v>204</v>
      </c>
      <c r="H14" s="77" t="s">
        <v>205</v>
      </c>
      <c r="I14" s="78" t="s">
        <v>206</v>
      </c>
      <c r="J14" s="80" t="n">
        <f aca="false">3.145/J$1</f>
        <v>0.101451612903226</v>
      </c>
      <c r="K14" s="81" t="n">
        <v>0.0132</v>
      </c>
      <c r="L14" s="81" t="n">
        <v>0.0022</v>
      </c>
      <c r="M14" s="81" t="n">
        <v>0</v>
      </c>
      <c r="N14" s="81" t="n">
        <v>0</v>
      </c>
      <c r="O14" s="82" t="n">
        <v>0.02116</v>
      </c>
      <c r="P14" s="81" t="n">
        <f aca="false">SUM(J14:N14)</f>
        <v>0.116851612903226</v>
      </c>
      <c r="Q14" s="83" t="n">
        <v>68385</v>
      </c>
      <c r="R14" s="78" t="n">
        <v>223</v>
      </c>
      <c r="S14" s="77"/>
      <c r="T14" s="84" t="n">
        <f aca="false">J14*J$1*R14</f>
        <v>701.335</v>
      </c>
      <c r="U14" s="84"/>
      <c r="V14" s="85" t="n">
        <v>280550</v>
      </c>
      <c r="W14" s="77"/>
      <c r="X14" s="86"/>
      <c r="Y14" s="8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customFormat="false" ht="12.75" hidden="false" customHeight="false" outlineLevel="0" collapsed="false">
      <c r="A15" s="73"/>
      <c r="B15" s="46" t="s">
        <v>201</v>
      </c>
      <c r="C15" s="44" t="s">
        <v>202</v>
      </c>
      <c r="D15" s="44" t="s">
        <v>207</v>
      </c>
      <c r="E15" s="45" t="n">
        <v>36342</v>
      </c>
      <c r="F15" s="45" t="n">
        <v>36707</v>
      </c>
      <c r="G15" s="46" t="s">
        <v>204</v>
      </c>
      <c r="H15" s="46" t="s">
        <v>205</v>
      </c>
      <c r="I15" s="44" t="s">
        <v>206</v>
      </c>
      <c r="J15" s="58" t="n">
        <f aca="false">3.145/J$1</f>
        <v>0.101451612903226</v>
      </c>
      <c r="K15" s="49" t="n">
        <v>0.0132</v>
      </c>
      <c r="L15" s="49" t="n">
        <v>0.0022</v>
      </c>
      <c r="M15" s="49" t="n">
        <v>0</v>
      </c>
      <c r="N15" s="49" t="n">
        <v>0</v>
      </c>
      <c r="O15" s="50" t="n">
        <v>0.02116</v>
      </c>
      <c r="P15" s="49" t="n">
        <f aca="false">SUM(J15:N15)</f>
        <v>0.116851612903226</v>
      </c>
      <c r="Q15" s="51" t="n">
        <v>64033</v>
      </c>
      <c r="R15" s="44" t="n">
        <v>1</v>
      </c>
      <c r="S15" s="46"/>
      <c r="T15" s="74" t="n">
        <f aca="false">J15*J$1*R15</f>
        <v>3.145</v>
      </c>
      <c r="U15" s="74"/>
      <c r="V15" s="75" t="n">
        <v>156618</v>
      </c>
      <c r="W15" s="46"/>
      <c r="X15" s="72"/>
      <c r="Y15" s="72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customFormat="false" ht="12.75" hidden="false" customHeight="false" outlineLevel="0" collapsed="false">
      <c r="A16" s="73"/>
      <c r="B16" s="46" t="s">
        <v>201</v>
      </c>
      <c r="C16" s="44" t="s">
        <v>202</v>
      </c>
      <c r="D16" s="44" t="s">
        <v>203</v>
      </c>
      <c r="E16" s="45" t="n">
        <v>36342</v>
      </c>
      <c r="F16" s="45" t="n">
        <v>36707</v>
      </c>
      <c r="G16" s="46" t="s">
        <v>204</v>
      </c>
      <c r="H16" s="46" t="s">
        <v>205</v>
      </c>
      <c r="I16" s="44" t="s">
        <v>206</v>
      </c>
      <c r="J16" s="58" t="n">
        <f aca="false">3.145/J$1</f>
        <v>0.101451612903226</v>
      </c>
      <c r="K16" s="49" t="n">
        <v>0.0132</v>
      </c>
      <c r="L16" s="49" t="n">
        <v>0.0022</v>
      </c>
      <c r="M16" s="49" t="n">
        <v>0</v>
      </c>
      <c r="N16" s="49" t="n">
        <v>0</v>
      </c>
      <c r="O16" s="50" t="n">
        <v>0.02116</v>
      </c>
      <c r="P16" s="49" t="n">
        <f aca="false">SUM(J16:N16)</f>
        <v>0.116851612903226</v>
      </c>
      <c r="Q16" s="51" t="n">
        <v>64035</v>
      </c>
      <c r="R16" s="44" t="n">
        <v>931</v>
      </c>
      <c r="S16" s="46"/>
      <c r="T16" s="74" t="n">
        <f aca="false">J16*J$1*R16</f>
        <v>2927.995</v>
      </c>
      <c r="U16" s="74"/>
      <c r="V16" s="75" t="n">
        <v>156620</v>
      </c>
      <c r="W16" s="46"/>
      <c r="X16" s="72"/>
      <c r="Y16" s="72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customFormat="false" ht="12.75" hidden="false" customHeight="false" outlineLevel="0" collapsed="false">
      <c r="A17" s="73"/>
      <c r="B17" s="46" t="s">
        <v>201</v>
      </c>
      <c r="C17" s="44" t="s">
        <v>202</v>
      </c>
      <c r="D17" s="44" t="s">
        <v>207</v>
      </c>
      <c r="E17" s="45" t="n">
        <v>36373</v>
      </c>
      <c r="F17" s="45" t="n">
        <v>36738</v>
      </c>
      <c r="G17" s="46" t="s">
        <v>204</v>
      </c>
      <c r="H17" s="46" t="s">
        <v>205</v>
      </c>
      <c r="I17" s="44" t="s">
        <v>206</v>
      </c>
      <c r="J17" s="58" t="n">
        <f aca="false">3.145/J$1</f>
        <v>0.101451612903226</v>
      </c>
      <c r="K17" s="49" t="n">
        <v>0.0132</v>
      </c>
      <c r="L17" s="49" t="n">
        <v>0.0022</v>
      </c>
      <c r="M17" s="49" t="n">
        <v>0</v>
      </c>
      <c r="N17" s="49" t="n">
        <v>0</v>
      </c>
      <c r="O17" s="50" t="n">
        <v>0.02116</v>
      </c>
      <c r="P17" s="49" t="n">
        <f aca="false">SUM(J17:N17)</f>
        <v>0.116851612903226</v>
      </c>
      <c r="Q17" s="51" t="n">
        <v>64332</v>
      </c>
      <c r="R17" s="44" t="n">
        <v>12</v>
      </c>
      <c r="S17" s="46"/>
      <c r="T17" s="74" t="n">
        <f aca="false">J17*J$1*R17</f>
        <v>37.74</v>
      </c>
      <c r="U17" s="74"/>
      <c r="V17" s="75" t="n">
        <v>156621</v>
      </c>
      <c r="W17" s="46"/>
      <c r="X17" s="72"/>
      <c r="Y17" s="72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customFormat="false" ht="12.75" hidden="false" customHeight="false" outlineLevel="0" collapsed="false">
      <c r="A18" s="73"/>
      <c r="B18" s="46" t="s">
        <v>201</v>
      </c>
      <c r="C18" s="44" t="s">
        <v>202</v>
      </c>
      <c r="D18" s="44" t="s">
        <v>203</v>
      </c>
      <c r="E18" s="45" t="n">
        <v>36373</v>
      </c>
      <c r="F18" s="45" t="n">
        <v>36738</v>
      </c>
      <c r="G18" s="46" t="s">
        <v>204</v>
      </c>
      <c r="H18" s="46" t="s">
        <v>205</v>
      </c>
      <c r="I18" s="44" t="s">
        <v>206</v>
      </c>
      <c r="J18" s="58" t="n">
        <f aca="false">3.145/J$1</f>
        <v>0.101451612903226</v>
      </c>
      <c r="K18" s="49" t="n">
        <v>0.0132</v>
      </c>
      <c r="L18" s="49" t="n">
        <v>0.0022</v>
      </c>
      <c r="M18" s="49" t="n">
        <v>0</v>
      </c>
      <c r="N18" s="49" t="n">
        <v>0</v>
      </c>
      <c r="O18" s="50" t="n">
        <v>0.02116</v>
      </c>
      <c r="P18" s="49" t="n">
        <f aca="false">SUM(J18:N18)</f>
        <v>0.116851612903226</v>
      </c>
      <c r="Q18" s="51" t="n">
        <v>64334</v>
      </c>
      <c r="R18" s="44" t="n">
        <v>52</v>
      </c>
      <c r="S18" s="46"/>
      <c r="T18" s="74" t="n">
        <f aca="false">J18*J$1*R18</f>
        <v>163.54</v>
      </c>
      <c r="U18" s="74"/>
      <c r="V18" s="75" t="n">
        <v>221878</v>
      </c>
      <c r="W18" s="46"/>
      <c r="X18" s="72"/>
      <c r="Y18" s="72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2.75" hidden="false" customHeight="false" outlineLevel="0" collapsed="false">
      <c r="A19" s="73"/>
      <c r="B19" s="46" t="s">
        <v>201</v>
      </c>
      <c r="C19" s="44" t="s">
        <v>202</v>
      </c>
      <c r="D19" s="44"/>
      <c r="E19" s="45" t="n">
        <v>36373</v>
      </c>
      <c r="F19" s="45" t="n">
        <v>36738</v>
      </c>
      <c r="G19" s="46" t="s">
        <v>204</v>
      </c>
      <c r="H19" s="46" t="s">
        <v>208</v>
      </c>
      <c r="I19" s="44" t="s">
        <v>206</v>
      </c>
      <c r="J19" s="58" t="n">
        <f aca="false">3.145/J$1</f>
        <v>0.101451612903226</v>
      </c>
      <c r="K19" s="49" t="n">
        <v>0.0132</v>
      </c>
      <c r="L19" s="49" t="n">
        <v>0.0022</v>
      </c>
      <c r="M19" s="49" t="n">
        <v>0</v>
      </c>
      <c r="N19" s="49" t="n">
        <v>0</v>
      </c>
      <c r="O19" s="50" t="n">
        <v>0.02116</v>
      </c>
      <c r="P19" s="49" t="n">
        <f aca="false">SUM(J19:N19)</f>
        <v>0.116851612903226</v>
      </c>
      <c r="Q19" s="51" t="n">
        <v>64446</v>
      </c>
      <c r="R19" s="44" t="n">
        <v>142</v>
      </c>
      <c r="S19" s="46"/>
      <c r="T19" s="74" t="n">
        <f aca="false">J19*J$1*R19</f>
        <v>446.59</v>
      </c>
      <c r="U19" s="74"/>
      <c r="V19" s="75" t="n">
        <v>221881</v>
      </c>
      <c r="W19" s="46"/>
      <c r="X19" s="72"/>
      <c r="Y19" s="72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2.75" hidden="false" customHeight="false" outlineLevel="0" collapsed="false">
      <c r="A20" s="73"/>
      <c r="B20" s="46" t="s">
        <v>201</v>
      </c>
      <c r="C20" s="44" t="s">
        <v>202</v>
      </c>
      <c r="D20" s="44" t="s">
        <v>207</v>
      </c>
      <c r="E20" s="45" t="n">
        <v>36404</v>
      </c>
      <c r="F20" s="45" t="n">
        <v>36769</v>
      </c>
      <c r="G20" s="46" t="s">
        <v>204</v>
      </c>
      <c r="H20" s="46" t="s">
        <v>205</v>
      </c>
      <c r="I20" s="44" t="s">
        <v>206</v>
      </c>
      <c r="J20" s="58" t="n">
        <f aca="false">3.145/J$1</f>
        <v>0.101451612903226</v>
      </c>
      <c r="K20" s="49" t="n">
        <v>0.0132</v>
      </c>
      <c r="L20" s="49" t="n">
        <v>0.0022</v>
      </c>
      <c r="M20" s="49" t="n">
        <v>0</v>
      </c>
      <c r="N20" s="49" t="n">
        <v>0</v>
      </c>
      <c r="O20" s="50" t="n">
        <v>0.02116</v>
      </c>
      <c r="P20" s="49" t="n">
        <f aca="false">SUM(J20:N20)</f>
        <v>0.116851612903226</v>
      </c>
      <c r="Q20" s="51" t="n">
        <v>64652</v>
      </c>
      <c r="R20" s="44" t="n">
        <v>65</v>
      </c>
      <c r="S20" s="46"/>
      <c r="T20" s="74" t="n">
        <f aca="false">J20*J$1*R20</f>
        <v>204.425</v>
      </c>
      <c r="U20" s="74"/>
      <c r="V20" s="75" t="n">
        <v>156623</v>
      </c>
      <c r="W20" s="46"/>
      <c r="X20" s="72"/>
      <c r="Y20" s="72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</row>
    <row r="21" customFormat="false" ht="12.75" hidden="false" customHeight="false" outlineLevel="0" collapsed="false">
      <c r="A21" s="73"/>
      <c r="B21" s="46" t="s">
        <v>201</v>
      </c>
      <c r="C21" s="44" t="s">
        <v>202</v>
      </c>
      <c r="D21" s="44" t="s">
        <v>207</v>
      </c>
      <c r="E21" s="45" t="n">
        <v>36434</v>
      </c>
      <c r="F21" s="45" t="n">
        <v>36799</v>
      </c>
      <c r="G21" s="46" t="s">
        <v>204</v>
      </c>
      <c r="H21" s="46" t="s">
        <v>205</v>
      </c>
      <c r="I21" s="44" t="s">
        <v>206</v>
      </c>
      <c r="J21" s="58" t="n">
        <f aca="false">3.145/J$1</f>
        <v>0.101451612903226</v>
      </c>
      <c r="K21" s="49" t="n">
        <v>0.0132</v>
      </c>
      <c r="L21" s="49" t="n">
        <v>0.0022</v>
      </c>
      <c r="M21" s="49" t="n">
        <v>0</v>
      </c>
      <c r="N21" s="49" t="n">
        <v>0</v>
      </c>
      <c r="O21" s="50" t="n">
        <v>0.02116</v>
      </c>
      <c r="P21" s="49" t="n">
        <f aca="false">SUM(J21:N21)</f>
        <v>0.116851612903226</v>
      </c>
      <c r="Q21" s="51" t="n">
        <v>64863</v>
      </c>
      <c r="R21" s="44" t="n">
        <v>13</v>
      </c>
      <c r="S21" s="46"/>
      <c r="T21" s="74" t="n">
        <f aca="false">J21*J$1*R21</f>
        <v>40.885</v>
      </c>
      <c r="U21" s="74"/>
      <c r="V21" s="75" t="n">
        <v>156625</v>
      </c>
      <c r="W21" s="46"/>
      <c r="X21" s="72"/>
      <c r="Y21" s="72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  <row r="22" customFormat="false" ht="12.75" hidden="false" customHeight="false" outlineLevel="0" collapsed="false">
      <c r="A22" s="73"/>
      <c r="B22" s="46" t="s">
        <v>201</v>
      </c>
      <c r="C22" s="44" t="s">
        <v>202</v>
      </c>
      <c r="D22" s="44" t="s">
        <v>207</v>
      </c>
      <c r="E22" s="45" t="n">
        <v>36465</v>
      </c>
      <c r="F22" s="45" t="n">
        <v>36830</v>
      </c>
      <c r="G22" s="46" t="s">
        <v>204</v>
      </c>
      <c r="H22" s="46" t="s">
        <v>205</v>
      </c>
      <c r="I22" s="44"/>
      <c r="J22" s="58" t="n">
        <f aca="false">3.145/J$1</f>
        <v>0.101451612903226</v>
      </c>
      <c r="K22" s="49" t="n">
        <v>0.0132</v>
      </c>
      <c r="L22" s="49" t="n">
        <v>0.0022</v>
      </c>
      <c r="M22" s="49" t="n">
        <v>0</v>
      </c>
      <c r="N22" s="49" t="n">
        <v>0</v>
      </c>
      <c r="O22" s="50" t="n">
        <v>0.02116</v>
      </c>
      <c r="P22" s="49" t="n">
        <f aca="false">SUM(J22:N22)</f>
        <v>0.116851612903226</v>
      </c>
      <c r="Q22" s="51" t="n">
        <v>65027</v>
      </c>
      <c r="R22" s="44" t="n">
        <v>131</v>
      </c>
      <c r="S22" s="46" t="s">
        <v>209</v>
      </c>
      <c r="T22" s="74" t="n">
        <f aca="false">J22*J$1*R22</f>
        <v>411.995</v>
      </c>
      <c r="U22" s="74"/>
      <c r="V22" s="75" t="n">
        <v>156666</v>
      </c>
      <c r="W22" s="46" t="s">
        <v>210</v>
      </c>
      <c r="X22" s="72"/>
      <c r="Y22" s="72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  <c r="IW22" s="73"/>
    </row>
    <row r="23" customFormat="false" ht="12.75" hidden="false" customHeight="false" outlineLevel="0" collapsed="false">
      <c r="A23" s="73"/>
      <c r="B23" s="46" t="s">
        <v>201</v>
      </c>
      <c r="C23" s="44" t="s">
        <v>202</v>
      </c>
      <c r="D23" s="44" t="s">
        <v>207</v>
      </c>
      <c r="E23" s="45" t="n">
        <v>36495</v>
      </c>
      <c r="F23" s="45" t="n">
        <v>36860</v>
      </c>
      <c r="G23" s="46" t="s">
        <v>204</v>
      </c>
      <c r="H23" s="46" t="s">
        <v>205</v>
      </c>
      <c r="I23" s="44" t="s">
        <v>206</v>
      </c>
      <c r="J23" s="58" t="n">
        <f aca="false">3.145/J$1</f>
        <v>0.101451612903226</v>
      </c>
      <c r="K23" s="49" t="n">
        <v>0.0132</v>
      </c>
      <c r="L23" s="49" t="n">
        <v>0.0022</v>
      </c>
      <c r="M23" s="49" t="n">
        <v>0</v>
      </c>
      <c r="N23" s="49" t="n">
        <v>0</v>
      </c>
      <c r="O23" s="50" t="n">
        <v>0.02116</v>
      </c>
      <c r="P23" s="49" t="n">
        <f aca="false">SUM(J23:N23)</f>
        <v>0.116851612903226</v>
      </c>
      <c r="Q23" s="51" t="n">
        <v>65557</v>
      </c>
      <c r="R23" s="44" t="n">
        <v>3</v>
      </c>
      <c r="S23" s="46"/>
      <c r="T23" s="74" t="n">
        <f aca="false">J23*J$1*R23</f>
        <v>9.435</v>
      </c>
      <c r="U23" s="74"/>
      <c r="V23" s="75" t="n">
        <v>156669</v>
      </c>
      <c r="W23" s="46"/>
      <c r="X23" s="72"/>
      <c r="Y23" s="72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</row>
    <row r="24" customFormat="false" ht="12.75" hidden="false" customHeight="false" outlineLevel="0" collapsed="false">
      <c r="A24" s="73"/>
      <c r="B24" s="46" t="s">
        <v>201</v>
      </c>
      <c r="C24" s="44" t="s">
        <v>202</v>
      </c>
      <c r="D24" s="44" t="s">
        <v>207</v>
      </c>
      <c r="E24" s="45" t="n">
        <v>36617</v>
      </c>
      <c r="F24" s="45" t="n">
        <v>36616</v>
      </c>
      <c r="G24" s="46" t="s">
        <v>204</v>
      </c>
      <c r="H24" s="46" t="s">
        <v>205</v>
      </c>
      <c r="I24" s="44" t="s">
        <v>206</v>
      </c>
      <c r="J24" s="58" t="n">
        <f aca="false">3.145/J1</f>
        <v>0.101451612903226</v>
      </c>
      <c r="K24" s="49"/>
      <c r="L24" s="49"/>
      <c r="M24" s="49"/>
      <c r="N24" s="49"/>
      <c r="O24" s="50"/>
      <c r="P24" s="49"/>
      <c r="Q24" s="51" t="n">
        <v>66941</v>
      </c>
      <c r="R24" s="44" t="n">
        <v>53</v>
      </c>
      <c r="S24" s="46"/>
      <c r="T24" s="74" t="n">
        <f aca="false">J24*J$1*R24</f>
        <v>166.685</v>
      </c>
      <c r="U24" s="74"/>
      <c r="V24" s="75" t="n">
        <v>228122</v>
      </c>
      <c r="W24" s="46"/>
      <c r="X24" s="72"/>
      <c r="Y24" s="72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</row>
    <row r="25" customFormat="false" ht="12.75" hidden="false" customHeight="false" outlineLevel="0" collapsed="false">
      <c r="A25" s="73"/>
      <c r="B25" s="46" t="s">
        <v>201</v>
      </c>
      <c r="C25" s="44" t="s">
        <v>202</v>
      </c>
      <c r="D25" s="44" t="s">
        <v>211</v>
      </c>
      <c r="E25" s="45" t="n">
        <v>36617</v>
      </c>
      <c r="F25" s="45" t="n">
        <v>36646</v>
      </c>
      <c r="G25" s="46" t="s">
        <v>212</v>
      </c>
      <c r="H25" s="46" t="s">
        <v>213</v>
      </c>
      <c r="I25" s="44" t="s">
        <v>214</v>
      </c>
      <c r="J25" s="58" t="n">
        <f aca="false">1.0603/30</f>
        <v>0.0353433333333333</v>
      </c>
      <c r="K25" s="49" t="n">
        <v>0</v>
      </c>
      <c r="L25" s="49" t="n">
        <v>0.0022</v>
      </c>
      <c r="M25" s="49" t="n">
        <v>0.0072</v>
      </c>
      <c r="N25" s="49" t="n">
        <v>0</v>
      </c>
      <c r="O25" s="50" t="n">
        <v>0</v>
      </c>
      <c r="P25" s="49" t="n">
        <f aca="false">SUM(J25:N25)</f>
        <v>0.0447433333333333</v>
      </c>
      <c r="Q25" s="51" t="n">
        <v>66938</v>
      </c>
      <c r="R25" s="44" t="n">
        <v>177</v>
      </c>
      <c r="S25" s="46"/>
      <c r="T25" s="74" t="n">
        <f aca="false">J25*J$1*R25</f>
        <v>193.92887</v>
      </c>
      <c r="U25" s="74"/>
      <c r="V25" s="75" t="n">
        <v>228160</v>
      </c>
      <c r="W25" s="46"/>
      <c r="X25" s="72"/>
      <c r="Y25" s="72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</row>
    <row r="26" customFormat="false" ht="12.75" hidden="false" customHeight="false" outlineLevel="0" collapsed="false">
      <c r="A26" s="73"/>
      <c r="B26" s="46" t="s">
        <v>201</v>
      </c>
      <c r="C26" s="44" t="s">
        <v>202</v>
      </c>
      <c r="D26" s="44" t="s">
        <v>211</v>
      </c>
      <c r="E26" s="45" t="n">
        <v>36617</v>
      </c>
      <c r="F26" s="45" t="n">
        <v>36646</v>
      </c>
      <c r="G26" s="46" t="s">
        <v>204</v>
      </c>
      <c r="H26" s="46" t="s">
        <v>205</v>
      </c>
      <c r="I26" s="44" t="s">
        <v>206</v>
      </c>
      <c r="J26" s="58" t="n">
        <f aca="false">3.145/J1</f>
        <v>0.101451612903226</v>
      </c>
      <c r="K26" s="49" t="n">
        <v>0</v>
      </c>
      <c r="L26" s="49" t="n">
        <v>0.0022</v>
      </c>
      <c r="M26" s="49" t="n">
        <v>0.0072</v>
      </c>
      <c r="N26" s="49" t="n">
        <v>0</v>
      </c>
      <c r="O26" s="50" t="n">
        <v>0</v>
      </c>
      <c r="P26" s="49" t="n">
        <f aca="false">SUM(J26:N26)</f>
        <v>0.110851612903226</v>
      </c>
      <c r="Q26" s="51" t="n">
        <v>66937</v>
      </c>
      <c r="R26" s="44" t="n">
        <v>172</v>
      </c>
      <c r="S26" s="46"/>
      <c r="T26" s="74" t="n">
        <f aca="false">J26*J$1*R26</f>
        <v>540.94</v>
      </c>
      <c r="U26" s="74"/>
      <c r="V26" s="75" t="n">
        <v>228163</v>
      </c>
      <c r="W26" s="46"/>
      <c r="X26" s="72"/>
      <c r="Y26" s="72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</row>
    <row r="27" customFormat="false" ht="12.75" hidden="false" customHeight="false" outlineLevel="0" collapsed="false">
      <c r="A27" s="73"/>
      <c r="B27" s="46" t="s">
        <v>201</v>
      </c>
      <c r="C27" s="44" t="s">
        <v>202</v>
      </c>
      <c r="D27" s="44" t="s">
        <v>207</v>
      </c>
      <c r="E27" s="45" t="n">
        <v>36557</v>
      </c>
      <c r="F27" s="45" t="n">
        <v>36922</v>
      </c>
      <c r="G27" s="46" t="s">
        <v>204</v>
      </c>
      <c r="H27" s="46" t="s">
        <v>205</v>
      </c>
      <c r="I27" s="44" t="s">
        <v>206</v>
      </c>
      <c r="J27" s="58" t="n">
        <f aca="false">3.145/31</f>
        <v>0.101451612903226</v>
      </c>
      <c r="K27" s="49"/>
      <c r="L27" s="49"/>
      <c r="M27" s="49"/>
      <c r="N27" s="49"/>
      <c r="O27" s="50"/>
      <c r="P27" s="49"/>
      <c r="Q27" s="51" t="n">
        <v>66283</v>
      </c>
      <c r="R27" s="44" t="n">
        <v>5</v>
      </c>
      <c r="S27" s="46"/>
      <c r="T27" s="87" t="n">
        <f aca="false">+J27*R27*31</f>
        <v>15.725</v>
      </c>
      <c r="U27" s="74"/>
      <c r="V27" s="75" t="n">
        <v>156674</v>
      </c>
      <c r="W27" s="46"/>
      <c r="X27" s="72"/>
      <c r="Y27" s="72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</row>
    <row r="28" customFormat="false" ht="12.75" hidden="false" customHeight="false" outlineLevel="0" collapsed="false">
      <c r="A28" s="73"/>
      <c r="B28" s="46" t="s">
        <v>201</v>
      </c>
      <c r="C28" s="44" t="s">
        <v>202</v>
      </c>
      <c r="D28" s="44" t="s">
        <v>215</v>
      </c>
      <c r="E28" s="45" t="n">
        <v>36617</v>
      </c>
      <c r="F28" s="45" t="n">
        <v>36981</v>
      </c>
      <c r="G28" s="46" t="s">
        <v>204</v>
      </c>
      <c r="H28" s="46" t="s">
        <v>205</v>
      </c>
      <c r="I28" s="44" t="s">
        <v>206</v>
      </c>
      <c r="J28" s="58" t="n">
        <f aca="false">3.15/J1</f>
        <v>0.101612903225806</v>
      </c>
      <c r="K28" s="49"/>
      <c r="L28" s="49"/>
      <c r="M28" s="49"/>
      <c r="N28" s="49"/>
      <c r="O28" s="50"/>
      <c r="P28" s="49"/>
      <c r="Q28" s="51" t="n">
        <v>66941</v>
      </c>
      <c r="R28" s="44" t="n">
        <v>53</v>
      </c>
      <c r="S28" s="46"/>
      <c r="T28" s="87" t="n">
        <f aca="false">+J28*R28*31</f>
        <v>166.95</v>
      </c>
      <c r="U28" s="74"/>
      <c r="V28" s="75" t="n">
        <v>228122</v>
      </c>
      <c r="W28" s="46"/>
      <c r="X28" s="72"/>
      <c r="Y28" s="72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2.75" hidden="false" customHeight="false" outlineLevel="0" collapsed="false">
      <c r="A29" s="88"/>
      <c r="B29" s="89" t="s">
        <v>201</v>
      </c>
      <c r="C29" s="90" t="s">
        <v>202</v>
      </c>
      <c r="D29" s="90" t="s">
        <v>207</v>
      </c>
      <c r="E29" s="91" t="n">
        <v>36656</v>
      </c>
      <c r="F29" s="91" t="n">
        <v>36950</v>
      </c>
      <c r="G29" s="89" t="s">
        <v>204</v>
      </c>
      <c r="H29" s="89" t="s">
        <v>205</v>
      </c>
      <c r="I29" s="90" t="s">
        <v>206</v>
      </c>
      <c r="J29" s="92" t="n">
        <v>3.145</v>
      </c>
      <c r="K29" s="93"/>
      <c r="L29" s="93"/>
      <c r="M29" s="93"/>
      <c r="N29" s="93"/>
      <c r="O29" s="94"/>
      <c r="P29" s="93"/>
      <c r="Q29" s="95" t="n">
        <v>68308</v>
      </c>
      <c r="R29" s="90" t="n">
        <v>9</v>
      </c>
      <c r="S29" s="89"/>
      <c r="T29" s="96" t="n">
        <f aca="false">+R29*J29/31*21</f>
        <v>19.1743548387097</v>
      </c>
      <c r="U29" s="96"/>
      <c r="V29" s="97" t="n">
        <v>262090</v>
      </c>
      <c r="W29" s="89" t="s">
        <v>216</v>
      </c>
      <c r="X29" s="98"/>
      <c r="Y29" s="9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</row>
    <row r="30" customFormat="false" ht="12.75" hidden="false" customHeight="false" outlineLevel="0" collapsed="false">
      <c r="A30" s="88"/>
      <c r="B30" s="89" t="s">
        <v>201</v>
      </c>
      <c r="C30" s="90" t="s">
        <v>202</v>
      </c>
      <c r="D30" s="90" t="s">
        <v>207</v>
      </c>
      <c r="E30" s="91" t="n">
        <v>36617</v>
      </c>
      <c r="F30" s="91" t="n">
        <v>36655</v>
      </c>
      <c r="G30" s="89" t="s">
        <v>204</v>
      </c>
      <c r="H30" s="89" t="s">
        <v>205</v>
      </c>
      <c r="I30" s="90" t="s">
        <v>206</v>
      </c>
      <c r="J30" s="92" t="n">
        <v>3.145</v>
      </c>
      <c r="K30" s="93"/>
      <c r="L30" s="93"/>
      <c r="M30" s="93"/>
      <c r="N30" s="93"/>
      <c r="O30" s="94"/>
      <c r="P30" s="93"/>
      <c r="Q30" s="95" t="n">
        <v>66615</v>
      </c>
      <c r="R30" s="90" t="n">
        <v>9</v>
      </c>
      <c r="S30" s="89"/>
      <c r="T30" s="96" t="n">
        <f aca="false">+R30*J30/31*9</f>
        <v>8.21758064516129</v>
      </c>
      <c r="U30" s="96"/>
      <c r="V30" s="97" t="n">
        <v>262082</v>
      </c>
      <c r="W30" s="89" t="s">
        <v>216</v>
      </c>
      <c r="X30" s="98"/>
      <c r="Y30" s="9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  <row r="31" customFormat="false" ht="12.75" hidden="false" customHeight="false" outlineLevel="0" collapsed="false">
      <c r="A31" s="76"/>
      <c r="B31" s="77" t="s">
        <v>201</v>
      </c>
      <c r="C31" s="78" t="s">
        <v>202</v>
      </c>
      <c r="D31" s="78" t="s">
        <v>203</v>
      </c>
      <c r="E31" s="79" t="n">
        <v>36647</v>
      </c>
      <c r="F31" s="79" t="n">
        <v>37011</v>
      </c>
      <c r="G31" s="77" t="s">
        <v>204</v>
      </c>
      <c r="H31" s="77" t="s">
        <v>205</v>
      </c>
      <c r="I31" s="78" t="s">
        <v>206</v>
      </c>
      <c r="J31" s="80" t="n">
        <v>3.154</v>
      </c>
      <c r="K31" s="81"/>
      <c r="L31" s="81"/>
      <c r="M31" s="81"/>
      <c r="N31" s="81"/>
      <c r="O31" s="82"/>
      <c r="P31" s="81"/>
      <c r="Q31" s="83" t="n">
        <v>68281</v>
      </c>
      <c r="R31" s="78" t="n">
        <v>21</v>
      </c>
      <c r="S31" s="77" t="s">
        <v>217</v>
      </c>
      <c r="T31" s="84" t="n">
        <f aca="false">+J31*R31</f>
        <v>66.234</v>
      </c>
      <c r="U31" s="84"/>
      <c r="V31" s="85" t="n">
        <v>256413</v>
      </c>
      <c r="W31" s="77"/>
      <c r="X31" s="86"/>
      <c r="Y31" s="8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3" customFormat="false" ht="12.75" hidden="false" customHeight="false" outlineLevel="0" collapsed="false">
      <c r="A33" s="73"/>
      <c r="B33" s="46"/>
      <c r="C33" s="44"/>
      <c r="D33" s="44"/>
      <c r="E33" s="45"/>
      <c r="F33" s="45"/>
      <c r="G33" s="46"/>
      <c r="H33" s="46"/>
      <c r="I33" s="44"/>
      <c r="J33" s="58"/>
      <c r="K33" s="49"/>
      <c r="L33" s="49"/>
      <c r="M33" s="49"/>
      <c r="N33" s="49"/>
      <c r="O33" s="50"/>
      <c r="P33" s="49"/>
      <c r="Q33" s="51"/>
      <c r="R33" s="44"/>
      <c r="S33" s="46"/>
      <c r="T33" s="74"/>
      <c r="U33" s="74"/>
      <c r="V33" s="75"/>
      <c r="W33" s="46"/>
      <c r="X33" s="72"/>
      <c r="Y33" s="72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  <c r="IW33" s="73"/>
    </row>
    <row r="34" customFormat="false" ht="12.75" hidden="false" customHeight="false" outlineLevel="0" collapsed="false">
      <c r="B34" s="46"/>
      <c r="C34" s="44"/>
      <c r="D34" s="44"/>
      <c r="E34" s="45"/>
      <c r="F34" s="45"/>
      <c r="G34" s="46"/>
      <c r="H34" s="46"/>
      <c r="I34" s="44"/>
      <c r="J34" s="58"/>
      <c r="K34" s="49"/>
      <c r="L34" s="99"/>
      <c r="M34" s="49"/>
      <c r="N34" s="49"/>
      <c r="O34" s="50"/>
      <c r="P34" s="49"/>
      <c r="Q34" s="51"/>
      <c r="R34" s="52" t="n">
        <f aca="false">SUM(R12:R32)</f>
        <v>2397</v>
      </c>
      <c r="S34" s="44"/>
      <c r="T34" s="74" t="n">
        <f aca="false">SUM(T12:T33)</f>
        <v>7147.06480548387</v>
      </c>
      <c r="U34" s="74"/>
      <c r="V34" s="75"/>
      <c r="W34" s="46"/>
      <c r="X34" s="72"/>
      <c r="Y34" s="72"/>
    </row>
    <row r="35" customFormat="false" ht="12.75" hidden="false" customHeight="false" outlineLevel="0" collapsed="false">
      <c r="B35" s="63" t="s">
        <v>181</v>
      </c>
      <c r="C35" s="64" t="s">
        <v>182</v>
      </c>
      <c r="D35" s="64" t="s">
        <v>183</v>
      </c>
      <c r="E35" s="65" t="s">
        <v>184</v>
      </c>
      <c r="F35" s="65"/>
      <c r="G35" s="63" t="s">
        <v>185</v>
      </c>
      <c r="H35" s="63" t="s">
        <v>186</v>
      </c>
      <c r="I35" s="64" t="s">
        <v>187</v>
      </c>
      <c r="J35" s="66" t="s">
        <v>188</v>
      </c>
      <c r="K35" s="64" t="s">
        <v>189</v>
      </c>
      <c r="L35" s="64" t="s">
        <v>190</v>
      </c>
      <c r="M35" s="64" t="s">
        <v>191</v>
      </c>
      <c r="N35" s="64" t="s">
        <v>192</v>
      </c>
      <c r="O35" s="67" t="s">
        <v>193</v>
      </c>
      <c r="P35" s="64" t="s">
        <v>194</v>
      </c>
      <c r="Q35" s="68" t="s">
        <v>195</v>
      </c>
      <c r="R35" s="64" t="s">
        <v>196</v>
      </c>
      <c r="S35" s="63" t="s">
        <v>197</v>
      </c>
      <c r="T35" s="69" t="s">
        <v>198</v>
      </c>
      <c r="U35" s="69" t="s">
        <v>199</v>
      </c>
      <c r="V35" s="70" t="s">
        <v>200</v>
      </c>
      <c r="W35" s="71" t="e">
        <f aca="false">+#REF!</f>
        <v>#REF!</v>
      </c>
      <c r="X35" s="72"/>
      <c r="Y35" s="72"/>
    </row>
    <row r="36" customFormat="false" ht="12" hidden="false" customHeight="true" outlineLevel="0" collapsed="false">
      <c r="A36" s="76"/>
      <c r="B36" s="77" t="s">
        <v>201</v>
      </c>
      <c r="C36" s="78" t="s">
        <v>218</v>
      </c>
      <c r="D36" s="78" t="s">
        <v>219</v>
      </c>
      <c r="E36" s="79" t="n">
        <v>36678</v>
      </c>
      <c r="F36" s="79" t="n">
        <v>36707</v>
      </c>
      <c r="G36" s="77"/>
      <c r="H36" s="77"/>
      <c r="I36" s="78" t="s">
        <v>220</v>
      </c>
      <c r="J36" s="80" t="n">
        <v>0.02834</v>
      </c>
      <c r="K36" s="81" t="n">
        <v>0</v>
      </c>
      <c r="L36" s="81" t="n">
        <v>0.0022</v>
      </c>
      <c r="M36" s="81" t="n">
        <v>0.0072</v>
      </c>
      <c r="N36" s="81" t="n">
        <v>0</v>
      </c>
      <c r="O36" s="82" t="n">
        <v>0</v>
      </c>
      <c r="P36" s="81" t="n">
        <f aca="false">SUM(J36:N36)</f>
        <v>0.03774</v>
      </c>
      <c r="Q36" s="83" t="s">
        <v>221</v>
      </c>
      <c r="R36" s="78" t="n">
        <v>820865</v>
      </c>
      <c r="S36" s="77"/>
      <c r="T36" s="84" t="n">
        <f aca="false">+J36*R36</f>
        <v>23263.3141</v>
      </c>
      <c r="U36" s="84"/>
      <c r="V36" s="85" t="n">
        <v>277918</v>
      </c>
      <c r="W36" s="77" t="s">
        <v>222</v>
      </c>
      <c r="X36" s="86"/>
      <c r="Y36" s="8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customFormat="false" ht="12" hidden="false" customHeight="true" outlineLevel="0" collapsed="false">
      <c r="A37" s="76"/>
      <c r="B37" s="77" t="s">
        <v>201</v>
      </c>
      <c r="C37" s="78" t="s">
        <v>218</v>
      </c>
      <c r="D37" s="78" t="s">
        <v>219</v>
      </c>
      <c r="E37" s="79" t="n">
        <v>36678</v>
      </c>
      <c r="F37" s="79" t="n">
        <v>36707</v>
      </c>
      <c r="G37" s="77"/>
      <c r="H37" s="77"/>
      <c r="I37" s="78" t="s">
        <v>220</v>
      </c>
      <c r="J37" s="80" t="n">
        <f aca="false">1.544/30</f>
        <v>0.0514666666666667</v>
      </c>
      <c r="K37" s="81" t="n">
        <v>0</v>
      </c>
      <c r="L37" s="81" t="n">
        <v>0.0022</v>
      </c>
      <c r="M37" s="81" t="n">
        <v>0.0072</v>
      </c>
      <c r="N37" s="81" t="n">
        <v>0</v>
      </c>
      <c r="O37" s="82" t="n">
        <v>0</v>
      </c>
      <c r="P37" s="81" t="n">
        <f aca="false">SUM(J37:N37)</f>
        <v>0.0608666666666667</v>
      </c>
      <c r="Q37" s="83" t="s">
        <v>221</v>
      </c>
      <c r="R37" s="78" t="n">
        <v>16248</v>
      </c>
      <c r="S37" s="77"/>
      <c r="T37" s="84" t="n">
        <f aca="false">+J37*R37*30</f>
        <v>25086.912</v>
      </c>
      <c r="U37" s="84"/>
      <c r="V37" s="85" t="n">
        <v>277918</v>
      </c>
      <c r="W37" s="77" t="s">
        <v>222</v>
      </c>
      <c r="X37" s="86"/>
      <c r="Y37" s="8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" hidden="false" customHeight="true" outlineLevel="0" collapsed="false">
      <c r="A38" s="76"/>
      <c r="B38" s="77" t="s">
        <v>201</v>
      </c>
      <c r="C38" s="78" t="s">
        <v>218</v>
      </c>
      <c r="D38" s="78" t="s">
        <v>219</v>
      </c>
      <c r="E38" s="79" t="n">
        <v>36678</v>
      </c>
      <c r="F38" s="79" t="n">
        <v>36707</v>
      </c>
      <c r="G38" s="77"/>
      <c r="H38" s="77"/>
      <c r="I38" s="78" t="s">
        <v>220</v>
      </c>
      <c r="J38" s="80" t="n">
        <v>0.02834</v>
      </c>
      <c r="K38" s="81" t="n">
        <v>0</v>
      </c>
      <c r="L38" s="81" t="n">
        <v>0.0022</v>
      </c>
      <c r="M38" s="81" t="n">
        <v>0.0072</v>
      </c>
      <c r="N38" s="81" t="n">
        <v>0</v>
      </c>
      <c r="O38" s="82" t="n">
        <v>0</v>
      </c>
      <c r="P38" s="81" t="n">
        <f aca="false">SUM(J38:N38)</f>
        <v>0.03774</v>
      </c>
      <c r="Q38" s="83" t="s">
        <v>221</v>
      </c>
      <c r="R38" s="78" t="n">
        <v>12501</v>
      </c>
      <c r="S38" s="77"/>
      <c r="T38" s="84" t="n">
        <f aca="false">+J38*R38</f>
        <v>354.27834</v>
      </c>
      <c r="U38" s="84"/>
      <c r="V38" s="85" t="n">
        <v>277845</v>
      </c>
      <c r="W38" s="77" t="s">
        <v>223</v>
      </c>
      <c r="X38" s="86"/>
      <c r="Y38" s="8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" hidden="false" customHeight="true" outlineLevel="0" collapsed="false">
      <c r="A39" s="76"/>
      <c r="B39" s="77" t="s">
        <v>201</v>
      </c>
      <c r="C39" s="78" t="s">
        <v>218</v>
      </c>
      <c r="D39" s="78" t="s">
        <v>219</v>
      </c>
      <c r="E39" s="79" t="n">
        <v>36678</v>
      </c>
      <c r="F39" s="79" t="n">
        <v>36707</v>
      </c>
      <c r="G39" s="77"/>
      <c r="H39" s="77"/>
      <c r="I39" s="78" t="s">
        <v>220</v>
      </c>
      <c r="J39" s="80" t="n">
        <f aca="false">1.544/30</f>
        <v>0.0514666666666667</v>
      </c>
      <c r="K39" s="81" t="n">
        <v>0</v>
      </c>
      <c r="L39" s="81" t="n">
        <v>0.0022</v>
      </c>
      <c r="M39" s="81" t="n">
        <v>0.0072</v>
      </c>
      <c r="N39" s="81" t="n">
        <v>0</v>
      </c>
      <c r="O39" s="82" t="n">
        <v>0</v>
      </c>
      <c r="P39" s="81" t="n">
        <f aca="false">SUM(J39:N39)</f>
        <v>0.0608666666666667</v>
      </c>
      <c r="Q39" s="83" t="s">
        <v>221</v>
      </c>
      <c r="R39" s="78" t="n">
        <v>252</v>
      </c>
      <c r="S39" s="77"/>
      <c r="T39" s="84" t="n">
        <f aca="false">+J39*R39*30</f>
        <v>389.088</v>
      </c>
      <c r="U39" s="84"/>
      <c r="V39" s="85" t="n">
        <v>277845</v>
      </c>
      <c r="W39" s="77" t="s">
        <v>223</v>
      </c>
      <c r="X39" s="86"/>
      <c r="Y39" s="8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  <c r="IW39" s="76"/>
    </row>
    <row r="40" customFormat="false" ht="12" hidden="false" customHeight="true" outlineLevel="0" collapsed="false">
      <c r="A40" s="76"/>
      <c r="B40" s="77" t="s">
        <v>201</v>
      </c>
      <c r="C40" s="78" t="s">
        <v>218</v>
      </c>
      <c r="D40" s="78" t="s">
        <v>219</v>
      </c>
      <c r="E40" s="79" t="n">
        <v>36678</v>
      </c>
      <c r="F40" s="79" t="n">
        <v>36707</v>
      </c>
      <c r="G40" s="77"/>
      <c r="H40" s="77"/>
      <c r="I40" s="78" t="s">
        <v>224</v>
      </c>
      <c r="J40" s="80" t="n">
        <f aca="false">11.2024/30</f>
        <v>0.373413333333333</v>
      </c>
      <c r="K40" s="81"/>
      <c r="L40" s="81"/>
      <c r="M40" s="81"/>
      <c r="N40" s="81"/>
      <c r="O40" s="82"/>
      <c r="P40" s="81"/>
      <c r="Q40" s="83" t="s">
        <v>225</v>
      </c>
      <c r="R40" s="78" t="n">
        <v>30507</v>
      </c>
      <c r="S40" s="77"/>
      <c r="T40" s="84" t="n">
        <f aca="false">J40*J$1*R40</f>
        <v>353143.33736</v>
      </c>
      <c r="U40" s="84"/>
      <c r="V40" s="85" t="n">
        <v>279907</v>
      </c>
      <c r="W40" s="77"/>
      <c r="X40" s="86"/>
      <c r="Y40" s="8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" hidden="false" customHeight="true" outlineLevel="0" collapsed="false">
      <c r="A41" s="76"/>
      <c r="B41" s="77" t="s">
        <v>201</v>
      </c>
      <c r="C41" s="78" t="s">
        <v>218</v>
      </c>
      <c r="D41" s="78" t="s">
        <v>219</v>
      </c>
      <c r="E41" s="79" t="n">
        <v>36678</v>
      </c>
      <c r="F41" s="79" t="n">
        <v>36707</v>
      </c>
      <c r="G41" s="77"/>
      <c r="H41" s="77"/>
      <c r="I41" s="78" t="s">
        <v>224</v>
      </c>
      <c r="J41" s="80" t="n">
        <f aca="false">11.204/30</f>
        <v>0.373466666666667</v>
      </c>
      <c r="K41" s="81"/>
      <c r="L41" s="81"/>
      <c r="M41" s="81"/>
      <c r="N41" s="81"/>
      <c r="O41" s="82"/>
      <c r="P41" s="81"/>
      <c r="Q41" s="83" t="s">
        <v>225</v>
      </c>
      <c r="R41" s="78" t="n">
        <v>6563</v>
      </c>
      <c r="S41" s="77"/>
      <c r="T41" s="84" t="n">
        <f aca="false">J41*J$1*R41</f>
        <v>75982.9137333333</v>
      </c>
      <c r="U41" s="84"/>
      <c r="V41" s="85" t="n">
        <v>277830</v>
      </c>
      <c r="W41" s="77" t="s">
        <v>226</v>
      </c>
      <c r="X41" s="86"/>
      <c r="Y41" s="8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" hidden="false" customHeight="true" outlineLevel="0" collapsed="false">
      <c r="A42" s="76"/>
      <c r="B42" s="77" t="s">
        <v>201</v>
      </c>
      <c r="C42" s="78" t="s">
        <v>218</v>
      </c>
      <c r="D42" s="78" t="s">
        <v>219</v>
      </c>
      <c r="E42" s="79" t="n">
        <v>36678</v>
      </c>
      <c r="F42" s="79" t="n">
        <v>36707</v>
      </c>
      <c r="G42" s="77"/>
      <c r="H42" s="77"/>
      <c r="I42" s="78" t="s">
        <v>224</v>
      </c>
      <c r="J42" s="80" t="n">
        <f aca="false">8.5094/J1</f>
        <v>0.274496774193548</v>
      </c>
      <c r="K42" s="81"/>
      <c r="L42" s="81"/>
      <c r="M42" s="81"/>
      <c r="N42" s="81"/>
      <c r="O42" s="82"/>
      <c r="P42" s="81"/>
      <c r="Q42" s="83" t="s">
        <v>225</v>
      </c>
      <c r="R42" s="78" t="n">
        <v>513</v>
      </c>
      <c r="S42" s="77"/>
      <c r="T42" s="84" t="n">
        <f aca="false">J42*J$1*R42</f>
        <v>4365.3222</v>
      </c>
      <c r="U42" s="84"/>
      <c r="V42" s="85" t="n">
        <v>277796</v>
      </c>
      <c r="W42" s="77" t="s">
        <v>227</v>
      </c>
      <c r="X42" s="86"/>
      <c r="Y42" s="8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" hidden="false" customHeight="true" outlineLevel="0" collapsed="false">
      <c r="A43" s="76"/>
      <c r="B43" s="77" t="s">
        <v>201</v>
      </c>
      <c r="C43" s="78" t="s">
        <v>228</v>
      </c>
      <c r="D43" s="78" t="s">
        <v>219</v>
      </c>
      <c r="E43" s="79" t="n">
        <v>36678</v>
      </c>
      <c r="F43" s="79" t="n">
        <v>36707</v>
      </c>
      <c r="G43" s="77" t="s">
        <v>144</v>
      </c>
      <c r="H43" s="77" t="s">
        <v>144</v>
      </c>
      <c r="I43" s="78" t="s">
        <v>224</v>
      </c>
      <c r="J43" s="80" t="n">
        <f aca="false">5.406/31</f>
        <v>0.174387096774194</v>
      </c>
      <c r="K43" s="81"/>
      <c r="L43" s="81"/>
      <c r="M43" s="81"/>
      <c r="N43" s="81"/>
      <c r="O43" s="82"/>
      <c r="P43" s="81"/>
      <c r="Q43" s="83" t="s">
        <v>229</v>
      </c>
      <c r="R43" s="78" t="n">
        <v>515</v>
      </c>
      <c r="S43" s="77"/>
      <c r="T43" s="84" t="n">
        <f aca="false">J43*J$1*R43</f>
        <v>2784.09</v>
      </c>
      <c r="U43" s="84"/>
      <c r="V43" s="85" t="n">
        <v>277925</v>
      </c>
      <c r="W43" s="77" t="s">
        <v>230</v>
      </c>
      <c r="X43" s="86"/>
      <c r="Y43" s="8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" hidden="false" customHeight="true" outlineLevel="0" collapsed="false">
      <c r="A44" s="73"/>
      <c r="B44" s="46" t="s">
        <v>201</v>
      </c>
      <c r="C44" s="44" t="s">
        <v>228</v>
      </c>
      <c r="D44" s="44" t="s">
        <v>219</v>
      </c>
      <c r="E44" s="45" t="n">
        <v>36678</v>
      </c>
      <c r="F44" s="45" t="n">
        <v>36707</v>
      </c>
      <c r="G44" s="46"/>
      <c r="H44" s="46"/>
      <c r="I44" s="44" t="s">
        <v>224</v>
      </c>
      <c r="J44" s="58" t="n">
        <v>0.03</v>
      </c>
      <c r="K44" s="49"/>
      <c r="L44" s="49"/>
      <c r="M44" s="49"/>
      <c r="N44" s="49"/>
      <c r="O44" s="50"/>
      <c r="P44" s="49"/>
      <c r="Q44" s="51" t="s">
        <v>229</v>
      </c>
      <c r="R44" s="44"/>
      <c r="S44" s="46"/>
      <c r="T44" s="74"/>
      <c r="U44" s="74"/>
      <c r="V44" s="75"/>
      <c r="W44" s="46"/>
      <c r="X44" s="72"/>
      <c r="Y44" s="72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3"/>
      <c r="IV44" s="73"/>
      <c r="IW44" s="73"/>
    </row>
    <row r="45" customFormat="false" ht="12.75" hidden="false" customHeight="false" outlineLevel="0" collapsed="false">
      <c r="A45" s="73"/>
      <c r="B45" s="46"/>
      <c r="C45" s="44"/>
      <c r="D45" s="44"/>
      <c r="E45" s="45"/>
      <c r="F45" s="45"/>
      <c r="G45" s="46"/>
      <c r="H45" s="46"/>
      <c r="I45" s="44"/>
      <c r="J45" s="58"/>
      <c r="K45" s="49"/>
      <c r="L45" s="49"/>
      <c r="M45" s="49"/>
      <c r="N45" s="49"/>
      <c r="O45" s="50"/>
      <c r="P45" s="49"/>
      <c r="Q45" s="51"/>
      <c r="R45" s="44"/>
      <c r="S45" s="46"/>
      <c r="T45" s="74" t="n">
        <f aca="false">SUM(T36:T43)</f>
        <v>485369.255733333</v>
      </c>
      <c r="U45" s="74"/>
      <c r="V45" s="75"/>
      <c r="W45" s="46"/>
      <c r="X45" s="72"/>
      <c r="Y45" s="72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3"/>
      <c r="IV45" s="73"/>
      <c r="IW45" s="73"/>
    </row>
    <row r="46" customFormat="false" ht="12.75" hidden="false" customHeight="false" outlineLevel="0" collapsed="false">
      <c r="B46" s="63" t="s">
        <v>181</v>
      </c>
      <c r="C46" s="64" t="s">
        <v>182</v>
      </c>
      <c r="D46" s="64" t="s">
        <v>183</v>
      </c>
      <c r="E46" s="65" t="s">
        <v>184</v>
      </c>
      <c r="F46" s="65"/>
      <c r="G46" s="63" t="s">
        <v>185</v>
      </c>
      <c r="H46" s="63" t="s">
        <v>186</v>
      </c>
      <c r="I46" s="64" t="s">
        <v>187</v>
      </c>
      <c r="J46" s="66" t="s">
        <v>188</v>
      </c>
      <c r="K46" s="64" t="s">
        <v>189</v>
      </c>
      <c r="L46" s="64" t="s">
        <v>190</v>
      </c>
      <c r="M46" s="64" t="s">
        <v>191</v>
      </c>
      <c r="N46" s="64" t="s">
        <v>192</v>
      </c>
      <c r="O46" s="67" t="s">
        <v>193</v>
      </c>
      <c r="P46" s="64" t="s">
        <v>194</v>
      </c>
      <c r="Q46" s="68" t="s">
        <v>195</v>
      </c>
      <c r="R46" s="64" t="s">
        <v>196</v>
      </c>
      <c r="S46" s="63" t="s">
        <v>197</v>
      </c>
      <c r="T46" s="69" t="s">
        <v>198</v>
      </c>
      <c r="U46" s="69" t="s">
        <v>199</v>
      </c>
      <c r="V46" s="70" t="s">
        <v>200</v>
      </c>
      <c r="W46" s="71" t="e">
        <f aca="false">+#REF!</f>
        <v>#REF!</v>
      </c>
      <c r="X46" s="72"/>
      <c r="Y46" s="72"/>
    </row>
    <row r="47" customFormat="false" ht="12.75" hidden="false" customHeight="false" outlineLevel="0" collapsed="false">
      <c r="A47" s="76"/>
      <c r="B47" s="77" t="s">
        <v>201</v>
      </c>
      <c r="C47" s="78" t="s">
        <v>231</v>
      </c>
      <c r="D47" s="78" t="s">
        <v>211</v>
      </c>
      <c r="E47" s="79" t="n">
        <v>36557</v>
      </c>
      <c r="F47" s="79" t="n">
        <v>36677</v>
      </c>
      <c r="G47" s="77" t="s">
        <v>232</v>
      </c>
      <c r="H47" s="77" t="s">
        <v>233</v>
      </c>
      <c r="I47" s="78" t="s">
        <v>234</v>
      </c>
      <c r="J47" s="80" t="n">
        <f aca="false">14.76/J$1</f>
        <v>0.476129032258065</v>
      </c>
      <c r="K47" s="81" t="n">
        <v>0</v>
      </c>
      <c r="L47" s="81" t="n">
        <v>0.0022</v>
      </c>
      <c r="M47" s="81" t="n">
        <v>0.0072</v>
      </c>
      <c r="N47" s="81" t="n">
        <v>0</v>
      </c>
      <c r="O47" s="82" t="n">
        <v>0</v>
      </c>
      <c r="P47" s="81" t="n">
        <f aca="false">SUM(J47:N47)</f>
        <v>0.485529032258065</v>
      </c>
      <c r="Q47" s="83" t="n">
        <v>32337</v>
      </c>
      <c r="R47" s="78" t="n">
        <v>431</v>
      </c>
      <c r="S47" s="77" t="s">
        <v>235</v>
      </c>
      <c r="T47" s="84" t="n">
        <f aca="false">J47*J$1*R47</f>
        <v>6361.56</v>
      </c>
      <c r="U47" s="84"/>
      <c r="V47" s="85" t="n">
        <v>157612</v>
      </c>
      <c r="W47" s="77"/>
      <c r="X47" s="86"/>
      <c r="Y47" s="8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  <c r="IW47" s="76"/>
    </row>
    <row r="48" customFormat="false" ht="12.75" hidden="false" customHeight="false" outlineLevel="0" collapsed="false">
      <c r="A48" s="76"/>
      <c r="B48" s="77" t="s">
        <v>201</v>
      </c>
      <c r="C48" s="78" t="s">
        <v>231</v>
      </c>
      <c r="D48" s="78" t="s">
        <v>236</v>
      </c>
      <c r="E48" s="79" t="n">
        <v>36557</v>
      </c>
      <c r="F48" s="79" t="n">
        <v>36677</v>
      </c>
      <c r="G48" s="77" t="s">
        <v>237</v>
      </c>
      <c r="H48" s="77" t="s">
        <v>238</v>
      </c>
      <c r="I48" s="78" t="s">
        <v>234</v>
      </c>
      <c r="J48" s="80" t="n">
        <f aca="false">13.28/J$1</f>
        <v>0.428387096774194</v>
      </c>
      <c r="K48" s="81" t="n">
        <v>0</v>
      </c>
      <c r="L48" s="81" t="n">
        <v>0.0022</v>
      </c>
      <c r="M48" s="81" t="n">
        <v>0.0072</v>
      </c>
      <c r="N48" s="81" t="n">
        <v>0</v>
      </c>
      <c r="O48" s="82" t="n">
        <v>0</v>
      </c>
      <c r="P48" s="81" t="n">
        <f aca="false">SUM(J48:N48)</f>
        <v>0.437787096774194</v>
      </c>
      <c r="Q48" s="83" t="n">
        <v>32336</v>
      </c>
      <c r="R48" s="78" t="n">
        <v>48</v>
      </c>
      <c r="S48" s="77" t="s">
        <v>235</v>
      </c>
      <c r="T48" s="84" t="n">
        <f aca="false">J48*J$1*R48</f>
        <v>637.44</v>
      </c>
      <c r="U48" s="84"/>
      <c r="V48" s="85" t="n">
        <v>157613</v>
      </c>
      <c r="W48" s="77"/>
      <c r="X48" s="86"/>
      <c r="Y48" s="8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  <c r="IV48" s="76"/>
      <c r="IW48" s="76"/>
    </row>
    <row r="49" customFormat="false" ht="12.75" hidden="false" customHeight="false" outlineLevel="0" collapsed="false">
      <c r="A49" s="76"/>
      <c r="B49" s="77" t="s">
        <v>201</v>
      </c>
      <c r="C49" s="78" t="s">
        <v>231</v>
      </c>
      <c r="D49" s="78" t="s">
        <v>239</v>
      </c>
      <c r="E49" s="79" t="n">
        <v>36678</v>
      </c>
      <c r="F49" s="79" t="n">
        <v>36707</v>
      </c>
      <c r="G49" s="77" t="s">
        <v>240</v>
      </c>
      <c r="H49" s="77" t="s">
        <v>241</v>
      </c>
      <c r="I49" s="78" t="s">
        <v>234</v>
      </c>
      <c r="J49" s="80" t="n">
        <f aca="false">6.79/30</f>
        <v>0.226333333333333</v>
      </c>
      <c r="K49" s="81" t="n">
        <v>0.0763</v>
      </c>
      <c r="L49" s="81" t="n">
        <v>0.0022</v>
      </c>
      <c r="M49" s="81" t="n">
        <v>0.0072</v>
      </c>
      <c r="N49" s="81" t="n">
        <v>0</v>
      </c>
      <c r="O49" s="82" t="n">
        <v>0.0279</v>
      </c>
      <c r="P49" s="81" t="n">
        <f aca="false">SUM(J49:N49)</f>
        <v>0.312033333333333</v>
      </c>
      <c r="Q49" s="83" t="n">
        <v>33716</v>
      </c>
      <c r="R49" s="78" t="n">
        <v>3522</v>
      </c>
      <c r="S49" s="77" t="s">
        <v>235</v>
      </c>
      <c r="T49" s="84" t="n">
        <f aca="false">J49*J$1*R49</f>
        <v>24711.526</v>
      </c>
      <c r="U49" s="84"/>
      <c r="V49" s="85" t="n">
        <v>278181</v>
      </c>
      <c r="W49" s="77" t="s">
        <v>242</v>
      </c>
      <c r="X49" s="86"/>
      <c r="Y49" s="8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  <c r="IW49" s="76"/>
    </row>
    <row r="50" customFormat="false" ht="12.75" hidden="false" customHeight="false" outlineLevel="0" collapsed="false">
      <c r="A50" s="76"/>
      <c r="B50" s="77" t="s">
        <v>201</v>
      </c>
      <c r="C50" s="78" t="s">
        <v>243</v>
      </c>
      <c r="D50" s="78" t="s">
        <v>239</v>
      </c>
      <c r="E50" s="79" t="n">
        <v>36678</v>
      </c>
      <c r="F50" s="79" t="n">
        <v>36707</v>
      </c>
      <c r="G50" s="77" t="s">
        <v>244</v>
      </c>
      <c r="H50" s="77" t="s">
        <v>239</v>
      </c>
      <c r="I50" s="78" t="s">
        <v>234</v>
      </c>
      <c r="J50" s="80" t="n">
        <f aca="false">11.95/30</f>
        <v>0.398333333333333</v>
      </c>
      <c r="K50" s="81" t="n">
        <v>0</v>
      </c>
      <c r="L50" s="81" t="n">
        <v>0.0022</v>
      </c>
      <c r="M50" s="81" t="n">
        <v>0.0072</v>
      </c>
      <c r="N50" s="81" t="n">
        <v>0</v>
      </c>
      <c r="O50" s="82" t="n">
        <v>0.0222</v>
      </c>
      <c r="P50" s="81" t="n">
        <f aca="false">SUM(J50:N50)</f>
        <v>0.407733333333333</v>
      </c>
      <c r="Q50" s="83" t="n">
        <v>33742</v>
      </c>
      <c r="R50" s="78" t="n">
        <v>3972</v>
      </c>
      <c r="S50" s="77" t="s">
        <v>235</v>
      </c>
      <c r="T50" s="84" t="n">
        <f aca="false">J50*J$1*R50</f>
        <v>49047.58</v>
      </c>
      <c r="U50" s="84"/>
      <c r="V50" s="85" t="n">
        <v>280090</v>
      </c>
      <c r="W50" s="77" t="s">
        <v>242</v>
      </c>
      <c r="X50" s="86"/>
      <c r="Y50" s="8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</row>
    <row r="51" customFormat="false" ht="12.75" hidden="false" customHeight="false" outlineLevel="0" collapsed="false">
      <c r="A51" s="76"/>
      <c r="B51" s="77" t="s">
        <v>201</v>
      </c>
      <c r="C51" s="78" t="s">
        <v>231</v>
      </c>
      <c r="D51" s="78" t="s">
        <v>239</v>
      </c>
      <c r="E51" s="79" t="n">
        <v>36678</v>
      </c>
      <c r="F51" s="79" t="n">
        <v>36707</v>
      </c>
      <c r="G51" s="77" t="s">
        <v>245</v>
      </c>
      <c r="H51" s="77"/>
      <c r="I51" s="78" t="s">
        <v>246</v>
      </c>
      <c r="J51" s="80" t="n">
        <v>0.0248</v>
      </c>
      <c r="K51" s="81"/>
      <c r="L51" s="81"/>
      <c r="M51" s="81"/>
      <c r="N51" s="81"/>
      <c r="O51" s="82"/>
      <c r="P51" s="81"/>
      <c r="Q51" s="83" t="n">
        <v>33735</v>
      </c>
      <c r="R51" s="78" t="n">
        <v>210511</v>
      </c>
      <c r="S51" s="77"/>
      <c r="T51" s="84" t="n">
        <f aca="false">J51*R51</f>
        <v>5220.6728</v>
      </c>
      <c r="U51" s="84"/>
      <c r="V51" s="85" t="n">
        <v>278237</v>
      </c>
      <c r="W51" s="77"/>
      <c r="X51" s="86"/>
      <c r="Y51" s="8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</row>
    <row r="52" customFormat="false" ht="12.75" hidden="false" customHeight="false" outlineLevel="0" collapsed="false">
      <c r="A52" s="76"/>
      <c r="B52" s="77" t="s">
        <v>201</v>
      </c>
      <c r="C52" s="78" t="s">
        <v>231</v>
      </c>
      <c r="D52" s="78" t="s">
        <v>239</v>
      </c>
      <c r="E52" s="79" t="n">
        <v>36678</v>
      </c>
      <c r="F52" s="79" t="n">
        <v>36707</v>
      </c>
      <c r="G52" s="77" t="s">
        <v>245</v>
      </c>
      <c r="H52" s="77"/>
      <c r="I52" s="78" t="s">
        <v>246</v>
      </c>
      <c r="J52" s="80" t="n">
        <f aca="false">2.02/J1</f>
        <v>0.0651612903225806</v>
      </c>
      <c r="K52" s="81"/>
      <c r="L52" s="81"/>
      <c r="M52" s="81"/>
      <c r="N52" s="81"/>
      <c r="O52" s="82"/>
      <c r="P52" s="81"/>
      <c r="Q52" s="83" t="n">
        <v>33735</v>
      </c>
      <c r="R52" s="78" t="n">
        <v>1407</v>
      </c>
      <c r="S52" s="77"/>
      <c r="T52" s="84" t="n">
        <f aca="false">J52*J$1*R52</f>
        <v>2842.14</v>
      </c>
      <c r="U52" s="84"/>
      <c r="V52" s="85" t="n">
        <v>278237</v>
      </c>
      <c r="W52" s="77"/>
      <c r="X52" s="86"/>
      <c r="Y52" s="8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</row>
    <row r="53" customFormat="false" ht="12.75" hidden="false" customHeight="false" outlineLevel="0" collapsed="false">
      <c r="A53" s="76"/>
      <c r="B53" s="77" t="s">
        <v>201</v>
      </c>
      <c r="C53" s="78" t="s">
        <v>231</v>
      </c>
      <c r="D53" s="78" t="s">
        <v>239</v>
      </c>
      <c r="E53" s="79" t="n">
        <v>36678</v>
      </c>
      <c r="F53" s="79" t="n">
        <v>36678</v>
      </c>
      <c r="G53" s="77" t="s">
        <v>247</v>
      </c>
      <c r="H53" s="77"/>
      <c r="I53" s="78" t="s">
        <v>248</v>
      </c>
      <c r="J53" s="80" t="n">
        <v>0.0187</v>
      </c>
      <c r="K53" s="81"/>
      <c r="L53" s="81"/>
      <c r="M53" s="81"/>
      <c r="N53" s="81"/>
      <c r="O53" s="82"/>
      <c r="P53" s="81"/>
      <c r="Q53" s="83" t="n">
        <v>33764</v>
      </c>
      <c r="R53" s="78" t="n">
        <v>75549</v>
      </c>
      <c r="S53" s="77"/>
      <c r="T53" s="84" t="n">
        <f aca="false">+R53*J53</f>
        <v>1412.7663</v>
      </c>
      <c r="U53" s="84"/>
      <c r="V53" s="85" t="n">
        <v>280153</v>
      </c>
      <c r="W53" s="77"/>
      <c r="X53" s="86"/>
      <c r="Y53" s="8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</row>
    <row r="54" customFormat="false" ht="12.75" hidden="false" customHeight="false" outlineLevel="0" collapsed="false">
      <c r="A54" s="76"/>
      <c r="B54" s="77" t="s">
        <v>201</v>
      </c>
      <c r="C54" s="78" t="s">
        <v>231</v>
      </c>
      <c r="D54" s="78" t="s">
        <v>239</v>
      </c>
      <c r="E54" s="79" t="n">
        <v>36678</v>
      </c>
      <c r="F54" s="79" t="n">
        <v>36678</v>
      </c>
      <c r="G54" s="77" t="s">
        <v>247</v>
      </c>
      <c r="H54" s="77"/>
      <c r="I54" s="78" t="s">
        <v>248</v>
      </c>
      <c r="J54" s="80" t="n">
        <v>1.17</v>
      </c>
      <c r="K54" s="81"/>
      <c r="L54" s="81"/>
      <c r="M54" s="81"/>
      <c r="N54" s="81"/>
      <c r="O54" s="82"/>
      <c r="P54" s="81"/>
      <c r="Q54" s="83" t="n">
        <v>33764</v>
      </c>
      <c r="R54" s="78" t="n">
        <v>560</v>
      </c>
      <c r="S54" s="77"/>
      <c r="T54" s="84" t="n">
        <f aca="false">+R54*J54</f>
        <v>655.2</v>
      </c>
      <c r="U54" s="84"/>
      <c r="V54" s="85" t="n">
        <v>280153</v>
      </c>
      <c r="W54" s="77"/>
      <c r="X54" s="86"/>
      <c r="Y54" s="8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</row>
    <row r="55" customFormat="false" ht="12.75" hidden="false" customHeight="false" outlineLevel="0" collapsed="false">
      <c r="B55" s="46"/>
      <c r="C55" s="44"/>
      <c r="D55" s="44"/>
      <c r="E55" s="45"/>
      <c r="F55" s="45"/>
      <c r="G55" s="46"/>
      <c r="H55" s="46"/>
      <c r="I55" s="44"/>
      <c r="J55" s="58"/>
      <c r="K55" s="49"/>
      <c r="L55" s="99"/>
      <c r="M55" s="49"/>
      <c r="N55" s="49"/>
      <c r="O55" s="50"/>
      <c r="P55" s="49"/>
      <c r="Q55" s="51"/>
      <c r="R55" s="52"/>
      <c r="S55" s="44"/>
      <c r="T55" s="74"/>
      <c r="U55" s="74"/>
      <c r="V55" s="75"/>
      <c r="W55" s="46"/>
      <c r="X55" s="72"/>
      <c r="Y55" s="72"/>
    </row>
    <row r="56" customFormat="false" ht="12.75" hidden="false" customHeight="false" outlineLevel="0" collapsed="false">
      <c r="B56" s="46"/>
      <c r="C56" s="44"/>
      <c r="D56" s="44"/>
      <c r="E56" s="45"/>
      <c r="F56" s="45"/>
      <c r="G56" s="46"/>
      <c r="H56" s="46"/>
      <c r="I56" s="44"/>
      <c r="J56" s="58"/>
      <c r="K56" s="49"/>
      <c r="L56" s="99"/>
      <c r="M56" s="49"/>
      <c r="N56" s="49"/>
      <c r="O56" s="100"/>
      <c r="P56" s="49"/>
      <c r="Q56" s="51"/>
      <c r="R56" s="44"/>
      <c r="S56" s="44"/>
      <c r="T56" s="101" t="n">
        <f aca="false">SUM(T47:T55)</f>
        <v>90888.8851</v>
      </c>
      <c r="W56" s="46"/>
      <c r="X56" s="102"/>
      <c r="Y56" s="102"/>
    </row>
    <row r="57" customFormat="false" ht="12.75" hidden="false" customHeight="false" outlineLevel="0" collapsed="false">
      <c r="B57" s="63" t="s">
        <v>181</v>
      </c>
      <c r="C57" s="64" t="s">
        <v>182</v>
      </c>
      <c r="D57" s="64" t="s">
        <v>183</v>
      </c>
      <c r="E57" s="65" t="s">
        <v>184</v>
      </c>
      <c r="F57" s="65"/>
      <c r="G57" s="63" t="s">
        <v>185</v>
      </c>
      <c r="H57" s="63" t="s">
        <v>186</v>
      </c>
      <c r="I57" s="64" t="s">
        <v>187</v>
      </c>
      <c r="J57" s="66" t="s">
        <v>188</v>
      </c>
      <c r="K57" s="64" t="s">
        <v>189</v>
      </c>
      <c r="L57" s="64" t="s">
        <v>190</v>
      </c>
      <c r="M57" s="64" t="s">
        <v>191</v>
      </c>
      <c r="N57" s="64" t="s">
        <v>192</v>
      </c>
      <c r="O57" s="67" t="s">
        <v>193</v>
      </c>
      <c r="P57" s="64" t="s">
        <v>194</v>
      </c>
      <c r="Q57" s="68" t="s">
        <v>195</v>
      </c>
      <c r="R57" s="64" t="s">
        <v>196</v>
      </c>
      <c r="S57" s="63" t="s">
        <v>197</v>
      </c>
      <c r="T57" s="69" t="s">
        <v>198</v>
      </c>
      <c r="U57" s="69" t="s">
        <v>199</v>
      </c>
      <c r="V57" s="70" t="s">
        <v>200</v>
      </c>
      <c r="W57" s="71" t="e">
        <f aca="false">+#REF!</f>
        <v>#REF!</v>
      </c>
      <c r="X57" s="72"/>
      <c r="Y57" s="72"/>
    </row>
    <row r="58" customFormat="false" ht="12.75" hidden="true" customHeight="false" outlineLevel="0" collapsed="false">
      <c r="A58" s="73"/>
      <c r="B58" s="46" t="s">
        <v>249</v>
      </c>
      <c r="C58" s="44" t="s">
        <v>250</v>
      </c>
      <c r="D58" s="44" t="s">
        <v>251</v>
      </c>
      <c r="E58" s="45" t="n">
        <v>35977</v>
      </c>
      <c r="F58" s="45" t="n">
        <v>36585</v>
      </c>
      <c r="G58" s="46" t="s">
        <v>252</v>
      </c>
      <c r="H58" s="46" t="s">
        <v>253</v>
      </c>
      <c r="I58" s="44" t="s">
        <v>254</v>
      </c>
      <c r="J58" s="58"/>
      <c r="K58" s="49" t="n">
        <v>0</v>
      </c>
      <c r="L58" s="49" t="n">
        <v>0.0022</v>
      </c>
      <c r="M58" s="49" t="n">
        <v>0</v>
      </c>
      <c r="N58" s="49" t="n">
        <v>0</v>
      </c>
      <c r="O58" s="50" t="n">
        <v>0</v>
      </c>
      <c r="P58" s="49" t="n">
        <f aca="false">SUM(J58:N58)</f>
        <v>0.0022</v>
      </c>
      <c r="Q58" s="51" t="n">
        <v>892591</v>
      </c>
      <c r="R58" s="44" t="n">
        <v>74</v>
      </c>
      <c r="S58" s="46"/>
      <c r="T58" s="74" t="n">
        <f aca="false">J58*J$1*R58</f>
        <v>0</v>
      </c>
      <c r="U58" s="74"/>
      <c r="V58" s="75" t="n">
        <v>157553</v>
      </c>
      <c r="W58" s="46" t="s">
        <v>255</v>
      </c>
      <c r="X58" s="72"/>
      <c r="Y58" s="72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3"/>
      <c r="IV58" s="73"/>
      <c r="IW58" s="73"/>
    </row>
    <row r="59" customFormat="false" ht="12.75" hidden="true" customHeight="false" outlineLevel="0" collapsed="false">
      <c r="A59" s="73"/>
      <c r="B59" s="46" t="s">
        <v>249</v>
      </c>
      <c r="C59" s="44" t="s">
        <v>250</v>
      </c>
      <c r="D59" s="44" t="s">
        <v>251</v>
      </c>
      <c r="E59" s="45" t="n">
        <v>36130</v>
      </c>
      <c r="F59" s="45" t="n">
        <v>41029</v>
      </c>
      <c r="G59" s="46" t="s">
        <v>252</v>
      </c>
      <c r="H59" s="46" t="s">
        <v>253</v>
      </c>
      <c r="I59" s="44" t="s">
        <v>254</v>
      </c>
      <c r="J59" s="58"/>
      <c r="K59" s="49" t="n">
        <v>0</v>
      </c>
      <c r="L59" s="49" t="n">
        <v>0.0022</v>
      </c>
      <c r="M59" s="49" t="n">
        <v>0</v>
      </c>
      <c r="N59" s="49" t="n">
        <v>0</v>
      </c>
      <c r="O59" s="50" t="n">
        <v>0</v>
      </c>
      <c r="P59" s="49" t="n">
        <f aca="false">SUM(J59:N59)</f>
        <v>0.0022</v>
      </c>
      <c r="Q59" s="51" t="s">
        <v>256</v>
      </c>
      <c r="R59" s="44" t="n">
        <v>0</v>
      </c>
      <c r="S59" s="46"/>
      <c r="T59" s="74" t="n">
        <f aca="false">J59*J$1*R59</f>
        <v>0</v>
      </c>
      <c r="U59" s="74"/>
      <c r="V59" s="75" t="n">
        <v>143310</v>
      </c>
      <c r="W59" s="46" t="s">
        <v>257</v>
      </c>
      <c r="X59" s="72"/>
      <c r="Y59" s="72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</row>
    <row r="60" customFormat="false" ht="12.75" hidden="true" customHeight="false" outlineLevel="0" collapsed="false">
      <c r="A60" s="73"/>
      <c r="B60" s="46" t="s">
        <v>249</v>
      </c>
      <c r="C60" s="44" t="s">
        <v>250</v>
      </c>
      <c r="D60" s="44" t="s">
        <v>251</v>
      </c>
      <c r="E60" s="45" t="n">
        <v>36220</v>
      </c>
      <c r="F60" s="45" t="n">
        <v>41029</v>
      </c>
      <c r="G60" s="46" t="s">
        <v>252</v>
      </c>
      <c r="H60" s="46" t="s">
        <v>258</v>
      </c>
      <c r="I60" s="44" t="s">
        <v>254</v>
      </c>
      <c r="J60" s="58"/>
      <c r="K60" s="49" t="n">
        <v>0</v>
      </c>
      <c r="L60" s="49" t="n">
        <v>0.0022</v>
      </c>
      <c r="M60" s="49" t="n">
        <v>0</v>
      </c>
      <c r="N60" s="49" t="n">
        <v>0</v>
      </c>
      <c r="O60" s="50" t="n">
        <v>0</v>
      </c>
      <c r="P60" s="49" t="n">
        <f aca="false">SUM(J60:N60)</f>
        <v>0.0022</v>
      </c>
      <c r="Q60" s="51" t="s">
        <v>256</v>
      </c>
      <c r="R60" s="44" t="n">
        <v>0</v>
      </c>
      <c r="S60" s="46"/>
      <c r="T60" s="74" t="n">
        <f aca="false">J60*J$1*R60</f>
        <v>0</v>
      </c>
      <c r="U60" s="74"/>
      <c r="V60" s="75" t="n">
        <v>143311</v>
      </c>
      <c r="W60" s="46" t="s">
        <v>259</v>
      </c>
      <c r="X60" s="72"/>
      <c r="Y60" s="72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  <c r="IV60" s="73"/>
      <c r="IW60" s="73"/>
    </row>
    <row r="61" customFormat="false" ht="12.75" hidden="true" customHeight="false" outlineLevel="0" collapsed="false">
      <c r="A61" s="73"/>
      <c r="B61" s="46" t="s">
        <v>249</v>
      </c>
      <c r="C61" s="44" t="s">
        <v>250</v>
      </c>
      <c r="D61" s="44" t="s">
        <v>251</v>
      </c>
      <c r="E61" s="45" t="n">
        <v>36465</v>
      </c>
      <c r="F61" s="45" t="n">
        <v>39021</v>
      </c>
      <c r="G61" s="46" t="s">
        <v>260</v>
      </c>
      <c r="H61" s="46" t="s">
        <v>107</v>
      </c>
      <c r="I61" s="44" t="s">
        <v>254</v>
      </c>
      <c r="J61" s="58"/>
      <c r="K61" s="49" t="n">
        <v>0</v>
      </c>
      <c r="L61" s="49" t="n">
        <v>0.0022</v>
      </c>
      <c r="M61" s="49" t="n">
        <v>0</v>
      </c>
      <c r="N61" s="49" t="n">
        <v>0</v>
      </c>
      <c r="O61" s="50" t="n">
        <v>0</v>
      </c>
      <c r="P61" s="49" t="n">
        <f aca="false">SUM(J61:N61)</f>
        <v>0.0022</v>
      </c>
      <c r="Q61" s="51" t="n">
        <v>892596</v>
      </c>
      <c r="R61" s="44" t="n">
        <v>139</v>
      </c>
      <c r="S61" s="46" t="s">
        <v>261</v>
      </c>
      <c r="T61" s="74" t="n">
        <f aca="false">J61*J$1*R61</f>
        <v>0</v>
      </c>
      <c r="U61" s="74"/>
      <c r="V61" s="75" t="n">
        <v>157537</v>
      </c>
      <c r="W61" s="46" t="s">
        <v>262</v>
      </c>
      <c r="X61" s="72"/>
      <c r="Y61" s="72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  <c r="IV61" s="73"/>
      <c r="IW61" s="73"/>
    </row>
    <row r="62" customFormat="false" ht="12.75" hidden="true" customHeight="false" outlineLevel="0" collapsed="false">
      <c r="A62" s="73"/>
      <c r="B62" s="46" t="s">
        <v>249</v>
      </c>
      <c r="C62" s="44" t="s">
        <v>250</v>
      </c>
      <c r="D62" s="44" t="s">
        <v>251</v>
      </c>
      <c r="E62" s="45" t="n">
        <v>36465</v>
      </c>
      <c r="F62" s="45" t="n">
        <v>36830</v>
      </c>
      <c r="G62" s="46" t="s">
        <v>263</v>
      </c>
      <c r="H62" s="46" t="s">
        <v>107</v>
      </c>
      <c r="I62" s="44" t="s">
        <v>264</v>
      </c>
      <c r="J62" s="58"/>
      <c r="K62" s="49" t="n">
        <v>0</v>
      </c>
      <c r="L62" s="49" t="n">
        <v>0.0022</v>
      </c>
      <c r="M62" s="49" t="n">
        <v>0</v>
      </c>
      <c r="N62" s="49" t="n">
        <v>0</v>
      </c>
      <c r="O62" s="50" t="n">
        <v>0</v>
      </c>
      <c r="P62" s="49" t="n">
        <f aca="false">SUM(J62:N62)</f>
        <v>0.0022</v>
      </c>
      <c r="Q62" s="51" t="n">
        <v>892594</v>
      </c>
      <c r="R62" s="44" t="n">
        <v>11</v>
      </c>
      <c r="S62" s="46" t="s">
        <v>265</v>
      </c>
      <c r="T62" s="74" t="n">
        <f aca="false">J62*J$1*R62</f>
        <v>0</v>
      </c>
      <c r="U62" s="74"/>
      <c r="V62" s="75" t="n">
        <v>157539</v>
      </c>
      <c r="W62" s="46" t="s">
        <v>266</v>
      </c>
      <c r="X62" s="72"/>
      <c r="Y62" s="72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  <c r="IV62" s="73"/>
      <c r="IW62" s="73"/>
    </row>
    <row r="63" customFormat="false" ht="12.75" hidden="true" customHeight="false" outlineLevel="0" collapsed="false">
      <c r="A63" s="73"/>
      <c r="B63" s="46" t="s">
        <v>249</v>
      </c>
      <c r="C63" s="44" t="s">
        <v>250</v>
      </c>
      <c r="D63" s="44" t="s">
        <v>251</v>
      </c>
      <c r="E63" s="45" t="n">
        <v>36465</v>
      </c>
      <c r="F63" s="45" t="n">
        <v>37560</v>
      </c>
      <c r="G63" s="46" t="s">
        <v>260</v>
      </c>
      <c r="H63" s="46" t="s">
        <v>263</v>
      </c>
      <c r="I63" s="44" t="s">
        <v>254</v>
      </c>
      <c r="J63" s="58"/>
      <c r="K63" s="49" t="n">
        <v>0</v>
      </c>
      <c r="L63" s="49" t="n">
        <v>0.0022</v>
      </c>
      <c r="M63" s="49" t="n">
        <v>0</v>
      </c>
      <c r="N63" s="49" t="n">
        <v>0</v>
      </c>
      <c r="O63" s="50" t="n">
        <v>0</v>
      </c>
      <c r="P63" s="49" t="n">
        <f aca="false">SUM(J63:N63)</f>
        <v>0.0022</v>
      </c>
      <c r="Q63" s="51" t="n">
        <v>892593</v>
      </c>
      <c r="R63" s="44" t="n">
        <v>18</v>
      </c>
      <c r="S63" s="46" t="s">
        <v>267</v>
      </c>
      <c r="T63" s="74" t="n">
        <f aca="false">J63*J$1*R63</f>
        <v>0</v>
      </c>
      <c r="U63" s="74"/>
      <c r="V63" s="75" t="n">
        <v>157543</v>
      </c>
      <c r="W63" s="46" t="s">
        <v>268</v>
      </c>
      <c r="X63" s="72"/>
      <c r="Y63" s="72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  <c r="IW63" s="73"/>
    </row>
    <row r="64" customFormat="false" ht="12.75" hidden="true" customHeight="false" outlineLevel="0" collapsed="false">
      <c r="A64" s="73"/>
      <c r="B64" s="46" t="s">
        <v>249</v>
      </c>
      <c r="C64" s="44" t="s">
        <v>250</v>
      </c>
      <c r="D64" s="44" t="s">
        <v>251</v>
      </c>
      <c r="E64" s="45" t="n">
        <v>36465</v>
      </c>
      <c r="F64" s="45" t="n">
        <v>39021</v>
      </c>
      <c r="G64" s="46" t="s">
        <v>260</v>
      </c>
      <c r="H64" s="46" t="s">
        <v>107</v>
      </c>
      <c r="I64" s="44" t="s">
        <v>254</v>
      </c>
      <c r="J64" s="58"/>
      <c r="K64" s="49" t="n">
        <v>0</v>
      </c>
      <c r="L64" s="49" t="n">
        <v>0.0022</v>
      </c>
      <c r="M64" s="49" t="n">
        <v>0</v>
      </c>
      <c r="N64" s="49" t="n">
        <v>0</v>
      </c>
      <c r="O64" s="50" t="n">
        <v>0</v>
      </c>
      <c r="P64" s="49" t="n">
        <f aca="false">SUM(J64:N64)</f>
        <v>0.0022</v>
      </c>
      <c r="Q64" s="51" t="n">
        <v>892597</v>
      </c>
      <c r="R64" s="44" t="n">
        <v>167</v>
      </c>
      <c r="S64" s="46" t="s">
        <v>269</v>
      </c>
      <c r="T64" s="74" t="n">
        <f aca="false">J64*J$1*R64</f>
        <v>0</v>
      </c>
      <c r="U64" s="74"/>
      <c r="V64" s="75" t="n">
        <v>157570</v>
      </c>
      <c r="W64" s="46" t="s">
        <v>270</v>
      </c>
      <c r="X64" s="72"/>
      <c r="Y64" s="72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  <c r="IV64" s="73"/>
      <c r="IW64" s="73"/>
    </row>
    <row r="65" customFormat="false" ht="12.75" hidden="false" customHeight="false" outlineLevel="0" collapsed="false">
      <c r="A65" s="73"/>
      <c r="B65" s="46" t="s">
        <v>201</v>
      </c>
      <c r="C65" s="44" t="s">
        <v>250</v>
      </c>
      <c r="D65" s="44" t="s">
        <v>251</v>
      </c>
      <c r="E65" s="45" t="n">
        <v>36586</v>
      </c>
      <c r="F65" s="45" t="n">
        <v>39021</v>
      </c>
      <c r="G65" s="46" t="s">
        <v>260</v>
      </c>
      <c r="H65" s="46" t="s">
        <v>107</v>
      </c>
      <c r="I65" s="44" t="s">
        <v>264</v>
      </c>
      <c r="J65" s="58" t="n">
        <v>0.55</v>
      </c>
      <c r="K65" s="49" t="n">
        <v>0</v>
      </c>
      <c r="L65" s="49" t="n">
        <v>0.0022</v>
      </c>
      <c r="M65" s="49" t="n">
        <v>0</v>
      </c>
      <c r="N65" s="49" t="n">
        <v>0</v>
      </c>
      <c r="O65" s="50" t="n">
        <v>0</v>
      </c>
      <c r="P65" s="49" t="n">
        <f aca="false">SUM(J65:N65)</f>
        <v>0.5522</v>
      </c>
      <c r="Q65" s="51" t="n">
        <v>892722</v>
      </c>
      <c r="R65" s="44" t="n">
        <v>114</v>
      </c>
      <c r="S65" s="46" t="s">
        <v>271</v>
      </c>
      <c r="T65" s="74" t="n">
        <f aca="false">J65*J$1*R65</f>
        <v>1943.7</v>
      </c>
      <c r="U65" s="74"/>
      <c r="V65" s="75" t="n">
        <v>207137</v>
      </c>
      <c r="W65" s="46" t="s">
        <v>272</v>
      </c>
      <c r="X65" s="72"/>
      <c r="Y65" s="72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  <c r="IV65" s="73"/>
      <c r="IW65" s="73"/>
    </row>
    <row r="66" customFormat="false" ht="12.75" hidden="false" customHeight="false" outlineLevel="0" collapsed="false">
      <c r="A66" s="73"/>
      <c r="B66" s="46" t="s">
        <v>249</v>
      </c>
      <c r="C66" s="44" t="s">
        <v>250</v>
      </c>
      <c r="D66" s="44" t="s">
        <v>273</v>
      </c>
      <c r="E66" s="45" t="n">
        <v>36526</v>
      </c>
      <c r="F66" s="45" t="n">
        <v>36677</v>
      </c>
      <c r="G66" s="46" t="s">
        <v>274</v>
      </c>
      <c r="H66" s="46" t="s">
        <v>107</v>
      </c>
      <c r="I66" s="44" t="s">
        <v>264</v>
      </c>
      <c r="J66" s="58" t="n">
        <v>0.8739</v>
      </c>
      <c r="K66" s="49"/>
      <c r="L66" s="49"/>
      <c r="M66" s="49"/>
      <c r="N66" s="49"/>
      <c r="O66" s="50"/>
      <c r="P66" s="49"/>
      <c r="Q66" s="51" t="n">
        <v>891719</v>
      </c>
      <c r="R66" s="44" t="n">
        <v>300</v>
      </c>
      <c r="S66" s="46" t="s">
        <v>275</v>
      </c>
      <c r="T66" s="74" t="n">
        <f aca="false">(+R66*J66)*31</f>
        <v>8127.27</v>
      </c>
      <c r="U66" s="74"/>
      <c r="V66" s="75" t="n">
        <v>202419</v>
      </c>
      <c r="W66" s="46"/>
      <c r="X66" s="72"/>
      <c r="Y66" s="72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  <c r="IV66" s="73"/>
      <c r="IW66" s="73"/>
    </row>
    <row r="67" customFormat="false" ht="12.75" hidden="false" customHeight="false" outlineLevel="0" collapsed="false">
      <c r="A67" s="76"/>
      <c r="B67" s="77" t="s">
        <v>201</v>
      </c>
      <c r="C67" s="78" t="s">
        <v>250</v>
      </c>
      <c r="D67" s="78" t="s">
        <v>251</v>
      </c>
      <c r="E67" s="79" t="n">
        <v>36617</v>
      </c>
      <c r="F67" s="79" t="n">
        <v>37560</v>
      </c>
      <c r="G67" s="77" t="s">
        <v>276</v>
      </c>
      <c r="H67" s="77" t="s">
        <v>277</v>
      </c>
      <c r="I67" s="78" t="s">
        <v>254</v>
      </c>
      <c r="J67" s="80" t="n">
        <v>0.7</v>
      </c>
      <c r="K67" s="81"/>
      <c r="L67" s="81"/>
      <c r="M67" s="81"/>
      <c r="N67" s="81"/>
      <c r="O67" s="82"/>
      <c r="P67" s="81"/>
      <c r="Q67" s="83" t="n">
        <v>893067</v>
      </c>
      <c r="R67" s="78" t="n">
        <v>16</v>
      </c>
      <c r="S67" s="77" t="s">
        <v>278</v>
      </c>
      <c r="T67" s="84" t="n">
        <f aca="false">J67*J$1*R67</f>
        <v>347.2</v>
      </c>
      <c r="U67" s="84"/>
      <c r="V67" s="85" t="n">
        <v>233233</v>
      </c>
      <c r="W67" s="77"/>
      <c r="X67" s="86"/>
      <c r="Y67" s="8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</row>
    <row r="68" customFormat="false" ht="12.75" hidden="false" customHeight="false" outlineLevel="0" collapsed="false">
      <c r="A68" s="76"/>
      <c r="B68" s="77" t="s">
        <v>201</v>
      </c>
      <c r="C68" s="78" t="s">
        <v>250</v>
      </c>
      <c r="D68" s="78" t="s">
        <v>251</v>
      </c>
      <c r="E68" s="79" t="n">
        <v>36617</v>
      </c>
      <c r="F68" s="79" t="n">
        <v>41029</v>
      </c>
      <c r="G68" s="77" t="s">
        <v>107</v>
      </c>
      <c r="H68" s="77" t="s">
        <v>107</v>
      </c>
      <c r="I68" s="78" t="s">
        <v>254</v>
      </c>
      <c r="J68" s="80" t="n">
        <f aca="false">6.279/J1</f>
        <v>0.202548387096774</v>
      </c>
      <c r="K68" s="81"/>
      <c r="L68" s="81"/>
      <c r="M68" s="81"/>
      <c r="N68" s="81"/>
      <c r="O68" s="82"/>
      <c r="P68" s="81"/>
      <c r="Q68" s="83" t="n">
        <v>893066</v>
      </c>
      <c r="R68" s="78" t="n">
        <v>67</v>
      </c>
      <c r="S68" s="77" t="s">
        <v>279</v>
      </c>
      <c r="T68" s="84" t="n">
        <f aca="false">J68*J$1*R68</f>
        <v>420.693</v>
      </c>
      <c r="U68" s="84"/>
      <c r="V68" s="85" t="n">
        <v>233232</v>
      </c>
      <c r="W68" s="77"/>
      <c r="X68" s="86"/>
      <c r="Y68" s="8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  <c r="IW68" s="76"/>
    </row>
    <row r="69" customFormat="false" ht="12.75" hidden="false" customHeight="false" outlineLevel="0" collapsed="false">
      <c r="A69" s="76"/>
      <c r="B69" s="77" t="s">
        <v>201</v>
      </c>
      <c r="C69" s="78" t="s">
        <v>250</v>
      </c>
      <c r="D69" s="78" t="s">
        <v>251</v>
      </c>
      <c r="E69" s="79" t="n">
        <v>36617</v>
      </c>
      <c r="F69" s="79" t="n">
        <v>39021</v>
      </c>
      <c r="G69" s="77" t="s">
        <v>276</v>
      </c>
      <c r="H69" s="77" t="s">
        <v>107</v>
      </c>
      <c r="I69" s="78" t="s">
        <v>264</v>
      </c>
      <c r="J69" s="80" t="n">
        <v>0.7</v>
      </c>
      <c r="K69" s="81"/>
      <c r="L69" s="81"/>
      <c r="M69" s="81"/>
      <c r="N69" s="81"/>
      <c r="O69" s="82"/>
      <c r="P69" s="81"/>
      <c r="Q69" s="83" t="n">
        <v>893064</v>
      </c>
      <c r="R69" s="78" t="n">
        <v>104</v>
      </c>
      <c r="S69" s="77" t="s">
        <v>280</v>
      </c>
      <c r="T69" s="84" t="n">
        <f aca="false">J69*J$1*R69</f>
        <v>2256.8</v>
      </c>
      <c r="U69" s="84"/>
      <c r="V69" s="85" t="n">
        <v>276559</v>
      </c>
      <c r="W69" s="77"/>
      <c r="X69" s="86"/>
      <c r="Y69" s="8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  <c r="IV69" s="76"/>
      <c r="IW69" s="76"/>
    </row>
    <row r="70" customFormat="false" ht="12.75" hidden="false" customHeight="false" outlineLevel="0" collapsed="false">
      <c r="A70" s="76"/>
      <c r="B70" s="77" t="s">
        <v>201</v>
      </c>
      <c r="C70" s="78" t="s">
        <v>250</v>
      </c>
      <c r="D70" s="78" t="s">
        <v>251</v>
      </c>
      <c r="E70" s="79" t="n">
        <v>36617</v>
      </c>
      <c r="F70" s="79" t="n">
        <v>39021</v>
      </c>
      <c r="G70" s="77" t="s">
        <v>276</v>
      </c>
      <c r="H70" s="77" t="s">
        <v>107</v>
      </c>
      <c r="I70" s="78" t="s">
        <v>254</v>
      </c>
      <c r="J70" s="80" t="n">
        <v>0.7</v>
      </c>
      <c r="K70" s="81"/>
      <c r="L70" s="81"/>
      <c r="M70" s="81"/>
      <c r="N70" s="81"/>
      <c r="O70" s="82"/>
      <c r="P70" s="81"/>
      <c r="Q70" s="83" t="n">
        <v>893062</v>
      </c>
      <c r="R70" s="78" t="n">
        <v>124</v>
      </c>
      <c r="S70" s="77" t="s">
        <v>281</v>
      </c>
      <c r="T70" s="84" t="n">
        <f aca="false">J70*J$1*R70</f>
        <v>2690.8</v>
      </c>
      <c r="U70" s="84"/>
      <c r="V70" s="85" t="n">
        <v>233230</v>
      </c>
      <c r="W70" s="77"/>
      <c r="X70" s="86"/>
      <c r="Y70" s="8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  <c r="IW70" s="76"/>
    </row>
    <row r="71" customFormat="false" ht="12.75" hidden="false" customHeight="false" outlineLevel="0" collapsed="false">
      <c r="A71" s="76"/>
      <c r="B71" s="77" t="s">
        <v>201</v>
      </c>
      <c r="C71" s="78" t="s">
        <v>250</v>
      </c>
      <c r="D71" s="78" t="s">
        <v>251</v>
      </c>
      <c r="E71" s="79" t="n">
        <v>36617</v>
      </c>
      <c r="F71" s="79" t="n">
        <v>41394</v>
      </c>
      <c r="G71" s="77"/>
      <c r="H71" s="77" t="s">
        <v>282</v>
      </c>
      <c r="I71" s="78" t="s">
        <v>283</v>
      </c>
      <c r="J71" s="80" t="n">
        <f aca="false">5.643/J1</f>
        <v>0.182032258064516</v>
      </c>
      <c r="K71" s="81"/>
      <c r="L71" s="81"/>
      <c r="M71" s="81"/>
      <c r="N71" s="81"/>
      <c r="O71" s="82"/>
      <c r="P71" s="81"/>
      <c r="Q71" s="83" t="n">
        <v>893061</v>
      </c>
      <c r="R71" s="78" t="n">
        <v>151</v>
      </c>
      <c r="S71" s="77" t="s">
        <v>284</v>
      </c>
      <c r="T71" s="84" t="n">
        <f aca="false">J71*J$1*R71</f>
        <v>852.093</v>
      </c>
      <c r="U71" s="84"/>
      <c r="V71" s="85" t="n">
        <v>233229</v>
      </c>
      <c r="W71" s="77"/>
      <c r="X71" s="86"/>
      <c r="Y71" s="8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  <c r="IW71" s="76"/>
    </row>
    <row r="72" customFormat="false" ht="12.75" hidden="false" customHeight="false" outlineLevel="0" collapsed="false">
      <c r="A72" s="76"/>
      <c r="B72" s="77" t="s">
        <v>201</v>
      </c>
      <c r="C72" s="78" t="s">
        <v>250</v>
      </c>
      <c r="D72" s="78" t="s">
        <v>251</v>
      </c>
      <c r="E72" s="79" t="n">
        <v>36617</v>
      </c>
      <c r="F72" s="79" t="n">
        <v>41394</v>
      </c>
      <c r="G72" s="77"/>
      <c r="H72" s="77" t="s">
        <v>282</v>
      </c>
      <c r="I72" s="78" t="s">
        <v>283</v>
      </c>
      <c r="J72" s="80" t="n">
        <v>0.1343</v>
      </c>
      <c r="K72" s="81"/>
      <c r="L72" s="81"/>
      <c r="M72" s="81"/>
      <c r="N72" s="81"/>
      <c r="O72" s="82"/>
      <c r="P72" s="81"/>
      <c r="Q72" s="83" t="n">
        <v>893061</v>
      </c>
      <c r="R72" s="78" t="n">
        <v>10843</v>
      </c>
      <c r="S72" s="77" t="s">
        <v>284</v>
      </c>
      <c r="T72" s="84" t="n">
        <f aca="false">+J72*R72</f>
        <v>1456.2149</v>
      </c>
      <c r="U72" s="84"/>
      <c r="V72" s="85" t="n">
        <v>233229</v>
      </c>
      <c r="W72" s="77"/>
      <c r="X72" s="86"/>
      <c r="Y72" s="8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  <c r="IQ72" s="76"/>
      <c r="IR72" s="76"/>
      <c r="IS72" s="76"/>
      <c r="IT72" s="76"/>
      <c r="IU72" s="76"/>
      <c r="IV72" s="76"/>
      <c r="IW72" s="76"/>
    </row>
    <row r="73" customFormat="false" ht="12.75" hidden="false" customHeight="false" outlineLevel="0" collapsed="false">
      <c r="A73" s="76"/>
      <c r="B73" s="77" t="s">
        <v>201</v>
      </c>
      <c r="C73" s="78" t="s">
        <v>250</v>
      </c>
      <c r="D73" s="78" t="s">
        <v>251</v>
      </c>
      <c r="E73" s="79" t="n">
        <v>36617</v>
      </c>
      <c r="F73" s="79" t="n">
        <v>36830</v>
      </c>
      <c r="G73" s="77" t="s">
        <v>263</v>
      </c>
      <c r="H73" s="77" t="s">
        <v>107</v>
      </c>
      <c r="I73" s="78" t="s">
        <v>264</v>
      </c>
      <c r="J73" s="80" t="n">
        <f aca="false">7.136/J1</f>
        <v>0.230193548387097</v>
      </c>
      <c r="K73" s="81"/>
      <c r="L73" s="81"/>
      <c r="M73" s="81"/>
      <c r="N73" s="81"/>
      <c r="O73" s="82"/>
      <c r="P73" s="81"/>
      <c r="Q73" s="83" t="n">
        <v>893068</v>
      </c>
      <c r="R73" s="78" t="n">
        <v>10</v>
      </c>
      <c r="S73" s="77" t="s">
        <v>285</v>
      </c>
      <c r="T73" s="84" t="n">
        <f aca="false">J73*J$1*R73</f>
        <v>71.36</v>
      </c>
      <c r="U73" s="84"/>
      <c r="V73" s="85" t="n">
        <v>233228</v>
      </c>
      <c r="W73" s="77"/>
      <c r="X73" s="86"/>
      <c r="Y73" s="8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  <c r="IV73" s="76"/>
      <c r="IW73" s="76"/>
    </row>
    <row r="74" customFormat="false" ht="12.75" hidden="false" customHeight="false" outlineLevel="0" collapsed="false">
      <c r="A74" s="76"/>
      <c r="B74" s="77" t="s">
        <v>201</v>
      </c>
      <c r="C74" s="78" t="s">
        <v>250</v>
      </c>
      <c r="D74" s="78" t="s">
        <v>251</v>
      </c>
      <c r="E74" s="79" t="n">
        <v>36617</v>
      </c>
      <c r="F74" s="79" t="n">
        <v>39021</v>
      </c>
      <c r="G74" s="77" t="s">
        <v>276</v>
      </c>
      <c r="H74" s="77" t="s">
        <v>107</v>
      </c>
      <c r="I74" s="78" t="s">
        <v>254</v>
      </c>
      <c r="J74" s="80" t="n">
        <v>0.7</v>
      </c>
      <c r="K74" s="81"/>
      <c r="L74" s="81"/>
      <c r="M74" s="81"/>
      <c r="N74" s="81"/>
      <c r="O74" s="82"/>
      <c r="P74" s="81"/>
      <c r="Q74" s="83" t="n">
        <v>893069</v>
      </c>
      <c r="R74" s="78" t="n">
        <v>150</v>
      </c>
      <c r="S74" s="77" t="s">
        <v>286</v>
      </c>
      <c r="T74" s="84" t="n">
        <f aca="false">J74*J$1*R74</f>
        <v>3255</v>
      </c>
      <c r="U74" s="84"/>
      <c r="V74" s="85" t="n">
        <v>233219</v>
      </c>
      <c r="W74" s="77"/>
      <c r="X74" s="86"/>
      <c r="Y74" s="8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  <c r="IV74" s="76"/>
      <c r="IW74" s="76"/>
    </row>
    <row r="75" customFormat="false" ht="12.75" hidden="false" customHeight="false" outlineLevel="0" collapsed="false">
      <c r="A75" s="76"/>
      <c r="B75" s="77" t="s">
        <v>201</v>
      </c>
      <c r="C75" s="78" t="s">
        <v>250</v>
      </c>
      <c r="D75" s="78" t="s">
        <v>287</v>
      </c>
      <c r="E75" s="79" t="n">
        <v>36647</v>
      </c>
      <c r="F75" s="79" t="n">
        <v>36677</v>
      </c>
      <c r="G75" s="77" t="s">
        <v>260</v>
      </c>
      <c r="H75" s="77" t="s">
        <v>107</v>
      </c>
      <c r="I75" s="78" t="s">
        <v>264</v>
      </c>
      <c r="J75" s="80" t="n">
        <v>0.65</v>
      </c>
      <c r="K75" s="81" t="n">
        <v>0</v>
      </c>
      <c r="L75" s="81" t="n">
        <v>0.0022</v>
      </c>
      <c r="M75" s="81" t="n">
        <v>0</v>
      </c>
      <c r="N75" s="81" t="n">
        <v>0</v>
      </c>
      <c r="O75" s="82" t="n">
        <v>0</v>
      </c>
      <c r="P75" s="81" t="n">
        <f aca="false">SUM(J75:N75)</f>
        <v>0.6522</v>
      </c>
      <c r="Q75" s="83" t="n">
        <v>893255</v>
      </c>
      <c r="R75" s="78" t="n">
        <v>103</v>
      </c>
      <c r="S75" s="77" t="s">
        <v>288</v>
      </c>
      <c r="T75" s="84" t="n">
        <f aca="false">J75*J$1*R75</f>
        <v>2075.45</v>
      </c>
      <c r="U75" s="84"/>
      <c r="V75" s="85" t="s">
        <v>289</v>
      </c>
      <c r="W75" s="77"/>
      <c r="X75" s="86"/>
      <c r="Y75" s="8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  <c r="IQ75" s="76"/>
      <c r="IR75" s="76"/>
      <c r="IS75" s="76"/>
      <c r="IT75" s="76"/>
      <c r="IU75" s="76"/>
      <c r="IV75" s="76"/>
      <c r="IW75" s="76"/>
    </row>
    <row r="76" customFormat="false" ht="12.75" hidden="false" customHeight="false" outlineLevel="0" collapsed="false">
      <c r="A76" s="76"/>
      <c r="B76" s="77" t="s">
        <v>201</v>
      </c>
      <c r="C76" s="78" t="s">
        <v>250</v>
      </c>
      <c r="D76" s="78" t="s">
        <v>94</v>
      </c>
      <c r="E76" s="79" t="n">
        <v>36647</v>
      </c>
      <c r="F76" s="79" t="n">
        <v>36677</v>
      </c>
      <c r="G76" s="77" t="s">
        <v>263</v>
      </c>
      <c r="H76" s="77" t="s">
        <v>263</v>
      </c>
      <c r="I76" s="78" t="s">
        <v>290</v>
      </c>
      <c r="J76" s="80" t="n">
        <f aca="false">1.2167/30</f>
        <v>0.0405566666666667</v>
      </c>
      <c r="K76" s="81"/>
      <c r="L76" s="81"/>
      <c r="M76" s="81"/>
      <c r="N76" s="81"/>
      <c r="O76" s="82"/>
      <c r="P76" s="81"/>
      <c r="Q76" s="83" t="n">
        <v>893310</v>
      </c>
      <c r="R76" s="78" t="n">
        <v>41</v>
      </c>
      <c r="S76" s="77" t="s">
        <v>291</v>
      </c>
      <c r="T76" s="84" t="n">
        <f aca="false">+J76*R76*J$1</f>
        <v>51.5475233333333</v>
      </c>
      <c r="U76" s="84"/>
      <c r="V76" s="85" t="n">
        <v>254436</v>
      </c>
      <c r="W76" s="77"/>
      <c r="X76" s="86"/>
      <c r="Y76" s="8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  <c r="IQ76" s="76"/>
      <c r="IR76" s="76"/>
      <c r="IS76" s="76"/>
      <c r="IT76" s="76"/>
      <c r="IU76" s="76"/>
      <c r="IV76" s="76"/>
      <c r="IW76" s="76"/>
    </row>
    <row r="77" customFormat="false" ht="12.75" hidden="false" customHeight="false" outlineLevel="0" collapsed="false">
      <c r="A77" s="76"/>
      <c r="B77" s="77" t="s">
        <v>201</v>
      </c>
      <c r="C77" s="78" t="s">
        <v>250</v>
      </c>
      <c r="D77" s="78" t="s">
        <v>94</v>
      </c>
      <c r="E77" s="79" t="n">
        <v>36617</v>
      </c>
      <c r="F77" s="79" t="n">
        <v>36646</v>
      </c>
      <c r="G77" s="77" t="s">
        <v>292</v>
      </c>
      <c r="H77" s="77" t="s">
        <v>263</v>
      </c>
      <c r="I77" s="78" t="s">
        <v>254</v>
      </c>
      <c r="J77" s="80" t="n">
        <f aca="false">5.075/30</f>
        <v>0.169166666666667</v>
      </c>
      <c r="K77" s="81"/>
      <c r="L77" s="81"/>
      <c r="M77" s="81"/>
      <c r="N77" s="81"/>
      <c r="O77" s="82"/>
      <c r="P77" s="81"/>
      <c r="Q77" s="83" t="n">
        <v>893309</v>
      </c>
      <c r="R77" s="78" t="n">
        <v>41</v>
      </c>
      <c r="S77" s="77" t="s">
        <v>293</v>
      </c>
      <c r="T77" s="84" t="n">
        <f aca="false">+J77*R77*J$1</f>
        <v>215.010833333333</v>
      </c>
      <c r="U77" s="84"/>
      <c r="V77" s="85" t="n">
        <v>254432</v>
      </c>
      <c r="W77" s="77"/>
      <c r="X77" s="86"/>
      <c r="Y77" s="8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  <c r="IQ77" s="76"/>
      <c r="IR77" s="76"/>
      <c r="IS77" s="76"/>
      <c r="IT77" s="76"/>
      <c r="IU77" s="76"/>
      <c r="IV77" s="76"/>
      <c r="IW77" s="76"/>
    </row>
    <row r="78" customFormat="false" ht="12.75" hidden="false" customHeight="false" outlineLevel="0" collapsed="false">
      <c r="A78" s="88"/>
      <c r="B78" s="89" t="s">
        <v>249</v>
      </c>
      <c r="C78" s="90" t="s">
        <v>250</v>
      </c>
      <c r="D78" s="90" t="s">
        <v>251</v>
      </c>
      <c r="E78" s="91" t="n">
        <v>36617</v>
      </c>
      <c r="F78" s="91" t="n">
        <v>36830</v>
      </c>
      <c r="G78" s="89" t="s">
        <v>263</v>
      </c>
      <c r="H78" s="89" t="s">
        <v>107</v>
      </c>
      <c r="I78" s="90" t="s">
        <v>264</v>
      </c>
      <c r="J78" s="92" t="n">
        <f aca="false">7.136/J$1</f>
        <v>0.230193548387097</v>
      </c>
      <c r="K78" s="93"/>
      <c r="L78" s="93"/>
      <c r="M78" s="93"/>
      <c r="N78" s="93"/>
      <c r="O78" s="94"/>
      <c r="P78" s="93"/>
      <c r="Q78" s="95" t="n">
        <v>889165</v>
      </c>
      <c r="R78" s="90" t="n">
        <v>10</v>
      </c>
      <c r="S78" s="89" t="s">
        <v>294</v>
      </c>
      <c r="T78" s="96" t="n">
        <f aca="false">J78*J$1*R78</f>
        <v>71.36</v>
      </c>
      <c r="U78" s="96"/>
      <c r="V78" s="97" t="n">
        <v>276479</v>
      </c>
      <c r="W78" s="89"/>
      <c r="X78" s="98"/>
      <c r="Y78" s="9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8"/>
      <c r="FX78" s="88"/>
      <c r="FY78" s="88"/>
      <c r="FZ78" s="88"/>
      <c r="GA78" s="88"/>
      <c r="GB78" s="88"/>
      <c r="GC78" s="88"/>
      <c r="GD78" s="88"/>
      <c r="GE78" s="88"/>
      <c r="GF78" s="88"/>
      <c r="GG78" s="88"/>
      <c r="GH78" s="88"/>
      <c r="GI78" s="88"/>
      <c r="GJ78" s="88"/>
      <c r="GK78" s="88"/>
      <c r="GL78" s="88"/>
      <c r="GM78" s="88"/>
      <c r="GN78" s="88"/>
      <c r="GO78" s="88"/>
      <c r="GP78" s="88"/>
      <c r="GQ78" s="88"/>
      <c r="GR78" s="88"/>
      <c r="GS78" s="88"/>
      <c r="GT78" s="88"/>
      <c r="GU78" s="88"/>
      <c r="GV78" s="88"/>
      <c r="GW78" s="88"/>
      <c r="GX78" s="88"/>
      <c r="GY78" s="88"/>
      <c r="GZ78" s="88"/>
      <c r="HA78" s="88"/>
      <c r="HB78" s="88"/>
      <c r="HC78" s="88"/>
      <c r="HD78" s="88"/>
      <c r="HE78" s="88"/>
      <c r="HF78" s="88"/>
      <c r="HG78" s="88"/>
      <c r="HH78" s="88"/>
      <c r="HI78" s="88"/>
      <c r="HJ78" s="88"/>
      <c r="HK78" s="88"/>
      <c r="HL78" s="88"/>
      <c r="HM78" s="88"/>
      <c r="HN78" s="88"/>
      <c r="HO78" s="88"/>
      <c r="HP78" s="88"/>
      <c r="HQ78" s="88"/>
      <c r="HR78" s="88"/>
      <c r="HS78" s="88"/>
      <c r="HT78" s="88"/>
      <c r="HU78" s="88"/>
      <c r="HV78" s="88"/>
      <c r="HW78" s="88"/>
      <c r="HX78" s="88"/>
      <c r="HY78" s="88"/>
      <c r="HZ78" s="88"/>
      <c r="IA78" s="88"/>
      <c r="IB78" s="88"/>
      <c r="IC78" s="88"/>
      <c r="ID78" s="88"/>
      <c r="IE78" s="88"/>
      <c r="IF78" s="88"/>
      <c r="IG78" s="88"/>
      <c r="IH78" s="88"/>
      <c r="II78" s="88"/>
      <c r="IJ78" s="88"/>
      <c r="IK78" s="88"/>
      <c r="IL78" s="88"/>
      <c r="IM78" s="88"/>
      <c r="IN78" s="88"/>
      <c r="IO78" s="88"/>
      <c r="IP78" s="88"/>
      <c r="IQ78" s="88"/>
      <c r="IR78" s="88"/>
      <c r="IS78" s="88"/>
      <c r="IT78" s="88"/>
      <c r="IU78" s="88"/>
      <c r="IV78" s="88"/>
      <c r="IW78" s="88"/>
    </row>
    <row r="79" customFormat="false" ht="12.75" hidden="false" customHeight="false" outlineLevel="0" collapsed="false">
      <c r="A79" s="88"/>
      <c r="B79" s="89" t="s">
        <v>249</v>
      </c>
      <c r="C79" s="90" t="s">
        <v>250</v>
      </c>
      <c r="D79" s="90" t="s">
        <v>251</v>
      </c>
      <c r="E79" s="91" t="n">
        <v>36617</v>
      </c>
      <c r="F79" s="91" t="n">
        <v>36830</v>
      </c>
      <c r="G79" s="89" t="s">
        <v>263</v>
      </c>
      <c r="H79" s="89" t="s">
        <v>107</v>
      </c>
      <c r="I79" s="90" t="s">
        <v>264</v>
      </c>
      <c r="J79" s="92" t="n">
        <f aca="false">7.136/J$1</f>
        <v>0.230193548387097</v>
      </c>
      <c r="K79" s="93"/>
      <c r="L79" s="93"/>
      <c r="M79" s="93"/>
      <c r="N79" s="93"/>
      <c r="O79" s="94"/>
      <c r="P79" s="93"/>
      <c r="Q79" s="95" t="n">
        <v>889165</v>
      </c>
      <c r="R79" s="90" t="n">
        <v>-10</v>
      </c>
      <c r="S79" s="89" t="s">
        <v>295</v>
      </c>
      <c r="T79" s="96" t="n">
        <f aca="false">J79*J$1*R79</f>
        <v>-71.36</v>
      </c>
      <c r="U79" s="96"/>
      <c r="V79" s="97"/>
      <c r="W79" s="89"/>
      <c r="X79" s="98"/>
      <c r="Y79" s="9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  <c r="GT79" s="88"/>
      <c r="GU79" s="88"/>
      <c r="GV79" s="88"/>
      <c r="GW79" s="88"/>
      <c r="GX79" s="88"/>
      <c r="GY79" s="88"/>
      <c r="GZ79" s="88"/>
      <c r="HA79" s="88"/>
      <c r="HB79" s="88"/>
      <c r="HC79" s="88"/>
      <c r="HD79" s="88"/>
      <c r="HE79" s="88"/>
      <c r="HF79" s="88"/>
      <c r="HG79" s="88"/>
      <c r="HH79" s="88"/>
      <c r="HI79" s="88"/>
      <c r="HJ79" s="88"/>
      <c r="HK79" s="88"/>
      <c r="HL79" s="88"/>
      <c r="HM79" s="88"/>
      <c r="HN79" s="88"/>
      <c r="HO79" s="88"/>
      <c r="HP79" s="88"/>
      <c r="HQ79" s="88"/>
      <c r="HR79" s="88"/>
      <c r="HS79" s="88"/>
      <c r="HT79" s="88"/>
      <c r="HU79" s="88"/>
      <c r="HV79" s="88"/>
      <c r="HW79" s="88"/>
      <c r="HX79" s="88"/>
      <c r="HY79" s="88"/>
      <c r="HZ79" s="88"/>
      <c r="IA79" s="88"/>
      <c r="IB79" s="88"/>
      <c r="IC79" s="88"/>
      <c r="ID79" s="88"/>
      <c r="IE79" s="88"/>
      <c r="IF79" s="88"/>
      <c r="IG79" s="88"/>
      <c r="IH79" s="88"/>
      <c r="II79" s="88"/>
      <c r="IJ79" s="88"/>
      <c r="IK79" s="88"/>
      <c r="IL79" s="88"/>
      <c r="IM79" s="88"/>
      <c r="IN79" s="88"/>
      <c r="IO79" s="88"/>
      <c r="IP79" s="88"/>
      <c r="IQ79" s="88"/>
      <c r="IR79" s="88"/>
      <c r="IS79" s="88"/>
      <c r="IT79" s="88"/>
      <c r="IU79" s="88"/>
      <c r="IV79" s="88"/>
      <c r="IW79" s="88"/>
    </row>
    <row r="80" customFormat="false" ht="12.75" hidden="false" customHeight="false" outlineLevel="0" collapsed="false">
      <c r="A80" s="88"/>
      <c r="B80" s="89" t="s">
        <v>201</v>
      </c>
      <c r="C80" s="90" t="s">
        <v>250</v>
      </c>
      <c r="D80" s="90" t="s">
        <v>251</v>
      </c>
      <c r="E80" s="91" t="n">
        <v>36617</v>
      </c>
      <c r="F80" s="91" t="n">
        <v>37560</v>
      </c>
      <c r="G80" s="89" t="s">
        <v>276</v>
      </c>
      <c r="H80" s="89" t="s">
        <v>277</v>
      </c>
      <c r="I80" s="90" t="s">
        <v>254</v>
      </c>
      <c r="J80" s="92" t="n">
        <v>0.5083</v>
      </c>
      <c r="K80" s="93"/>
      <c r="L80" s="93"/>
      <c r="M80" s="93"/>
      <c r="N80" s="93"/>
      <c r="O80" s="94"/>
      <c r="P80" s="93"/>
      <c r="Q80" s="95" t="n">
        <v>889122</v>
      </c>
      <c r="R80" s="90" t="n">
        <v>16</v>
      </c>
      <c r="S80" s="89" t="s">
        <v>296</v>
      </c>
      <c r="T80" s="96" t="n">
        <f aca="false">J80*J$1*R80</f>
        <v>252.1168</v>
      </c>
      <c r="U80" s="96"/>
      <c r="V80" s="97" t="n">
        <v>276496</v>
      </c>
      <c r="W80" s="89"/>
      <c r="X80" s="98"/>
      <c r="Y80" s="9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  <c r="GT80" s="88"/>
      <c r="GU80" s="88"/>
      <c r="GV80" s="88"/>
      <c r="GW80" s="88"/>
      <c r="GX80" s="88"/>
      <c r="GY80" s="88"/>
      <c r="GZ80" s="88"/>
      <c r="HA80" s="88"/>
      <c r="HB80" s="88"/>
      <c r="HC80" s="88"/>
      <c r="HD80" s="88"/>
      <c r="HE80" s="88"/>
      <c r="HF80" s="88"/>
      <c r="HG80" s="88"/>
      <c r="HH80" s="88"/>
      <c r="HI80" s="88"/>
      <c r="HJ80" s="88"/>
      <c r="HK80" s="88"/>
      <c r="HL80" s="88"/>
      <c r="HM80" s="88"/>
      <c r="HN80" s="88"/>
      <c r="HO80" s="88"/>
      <c r="HP80" s="88"/>
      <c r="HQ80" s="88"/>
      <c r="HR80" s="88"/>
      <c r="HS80" s="88"/>
      <c r="HT80" s="88"/>
      <c r="HU80" s="88"/>
      <c r="HV80" s="88"/>
      <c r="HW80" s="88"/>
      <c r="HX80" s="88"/>
      <c r="HY80" s="88"/>
      <c r="HZ80" s="88"/>
      <c r="IA80" s="88"/>
      <c r="IB80" s="88"/>
      <c r="IC80" s="88"/>
      <c r="ID80" s="88"/>
      <c r="IE80" s="88"/>
      <c r="IF80" s="88"/>
      <c r="IG80" s="88"/>
      <c r="IH80" s="88"/>
      <c r="II80" s="88"/>
      <c r="IJ80" s="88"/>
      <c r="IK80" s="88"/>
      <c r="IL80" s="88"/>
      <c r="IM80" s="88"/>
      <c r="IN80" s="88"/>
      <c r="IO80" s="88"/>
      <c r="IP80" s="88"/>
      <c r="IQ80" s="88"/>
      <c r="IR80" s="88"/>
      <c r="IS80" s="88"/>
      <c r="IT80" s="88"/>
      <c r="IU80" s="88"/>
      <c r="IV80" s="88"/>
      <c r="IW80" s="88"/>
    </row>
    <row r="81" customFormat="false" ht="12.75" hidden="false" customHeight="false" outlineLevel="0" collapsed="false">
      <c r="A81" s="88"/>
      <c r="B81" s="89" t="s">
        <v>201</v>
      </c>
      <c r="C81" s="90" t="s">
        <v>250</v>
      </c>
      <c r="D81" s="90" t="s">
        <v>251</v>
      </c>
      <c r="E81" s="91" t="n">
        <v>36617</v>
      </c>
      <c r="F81" s="91" t="n">
        <v>37560</v>
      </c>
      <c r="G81" s="89" t="s">
        <v>276</v>
      </c>
      <c r="H81" s="89" t="s">
        <v>277</v>
      </c>
      <c r="I81" s="90" t="s">
        <v>254</v>
      </c>
      <c r="J81" s="92" t="n">
        <v>0.5083</v>
      </c>
      <c r="K81" s="93"/>
      <c r="L81" s="93"/>
      <c r="M81" s="93"/>
      <c r="N81" s="93"/>
      <c r="O81" s="94"/>
      <c r="P81" s="93"/>
      <c r="Q81" s="95" t="n">
        <v>889122</v>
      </c>
      <c r="R81" s="90" t="n">
        <v>-16</v>
      </c>
      <c r="S81" s="89" t="s">
        <v>297</v>
      </c>
      <c r="T81" s="96" t="n">
        <f aca="false">J81*J$1*R81</f>
        <v>-252.1168</v>
      </c>
      <c r="U81" s="96"/>
      <c r="V81" s="97"/>
      <c r="W81" s="89"/>
      <c r="X81" s="98"/>
      <c r="Y81" s="9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  <c r="GT81" s="88"/>
      <c r="GU81" s="88"/>
      <c r="GV81" s="88"/>
      <c r="GW81" s="88"/>
      <c r="GX81" s="88"/>
      <c r="GY81" s="88"/>
      <c r="GZ81" s="88"/>
      <c r="HA81" s="88"/>
      <c r="HB81" s="88"/>
      <c r="HC81" s="88"/>
      <c r="HD81" s="88"/>
      <c r="HE81" s="88"/>
      <c r="HF81" s="88"/>
      <c r="HG81" s="88"/>
      <c r="HH81" s="88"/>
      <c r="HI81" s="88"/>
      <c r="HJ81" s="88"/>
      <c r="HK81" s="88"/>
      <c r="HL81" s="88"/>
      <c r="HM81" s="88"/>
      <c r="HN81" s="88"/>
      <c r="HO81" s="88"/>
      <c r="HP81" s="88"/>
      <c r="HQ81" s="88"/>
      <c r="HR81" s="88"/>
      <c r="HS81" s="88"/>
      <c r="HT81" s="88"/>
      <c r="HU81" s="88"/>
      <c r="HV81" s="88"/>
      <c r="HW81" s="88"/>
      <c r="HX81" s="88"/>
      <c r="HY81" s="88"/>
      <c r="HZ81" s="88"/>
      <c r="IA81" s="88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88"/>
      <c r="IM81" s="88"/>
      <c r="IN81" s="88"/>
      <c r="IO81" s="88"/>
      <c r="IP81" s="88"/>
      <c r="IQ81" s="88"/>
      <c r="IR81" s="88"/>
      <c r="IS81" s="88"/>
      <c r="IT81" s="88"/>
      <c r="IU81" s="88"/>
      <c r="IV81" s="88"/>
      <c r="IW81" s="88"/>
    </row>
    <row r="82" customFormat="false" ht="12.75" hidden="false" customHeight="false" outlineLevel="0" collapsed="false">
      <c r="A82" s="88"/>
      <c r="B82" s="89" t="s">
        <v>201</v>
      </c>
      <c r="C82" s="90" t="s">
        <v>250</v>
      </c>
      <c r="D82" s="90" t="s">
        <v>251</v>
      </c>
      <c r="E82" s="91" t="n">
        <v>36617</v>
      </c>
      <c r="F82" s="91" t="n">
        <v>39021</v>
      </c>
      <c r="G82" s="89" t="s">
        <v>276</v>
      </c>
      <c r="H82" s="89" t="s">
        <v>107</v>
      </c>
      <c r="I82" s="90" t="s">
        <v>254</v>
      </c>
      <c r="J82" s="92" t="n">
        <v>0.775</v>
      </c>
      <c r="K82" s="93"/>
      <c r="L82" s="93"/>
      <c r="M82" s="93"/>
      <c r="N82" s="93"/>
      <c r="O82" s="94"/>
      <c r="P82" s="93"/>
      <c r="Q82" s="95" t="n">
        <v>889124</v>
      </c>
      <c r="R82" s="90" t="n">
        <v>124</v>
      </c>
      <c r="S82" s="89" t="s">
        <v>298</v>
      </c>
      <c r="T82" s="96" t="n">
        <f aca="false">J82*J$1*R82</f>
        <v>2979.1</v>
      </c>
      <c r="U82" s="96"/>
      <c r="V82" s="97" t="n">
        <v>276504</v>
      </c>
      <c r="W82" s="89"/>
      <c r="X82" s="98"/>
      <c r="Y82" s="9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  <c r="GT82" s="88"/>
      <c r="GU82" s="88"/>
      <c r="GV82" s="88"/>
      <c r="GW82" s="88"/>
      <c r="GX82" s="88"/>
      <c r="GY82" s="88"/>
      <c r="GZ82" s="88"/>
      <c r="HA82" s="88"/>
      <c r="HB82" s="88"/>
      <c r="HC82" s="88"/>
      <c r="HD82" s="88"/>
      <c r="HE82" s="88"/>
      <c r="HF82" s="88"/>
      <c r="HG82" s="88"/>
      <c r="HH82" s="88"/>
      <c r="HI82" s="88"/>
      <c r="HJ82" s="88"/>
      <c r="HK82" s="88"/>
      <c r="HL82" s="88"/>
      <c r="HM82" s="88"/>
      <c r="HN82" s="88"/>
      <c r="HO82" s="88"/>
      <c r="HP82" s="88"/>
      <c r="HQ82" s="88"/>
      <c r="HR82" s="88"/>
      <c r="HS82" s="88"/>
      <c r="HT82" s="88"/>
      <c r="HU82" s="88"/>
      <c r="HV82" s="88"/>
      <c r="HW82" s="88"/>
      <c r="HX82" s="88"/>
      <c r="HY82" s="88"/>
      <c r="HZ82" s="88"/>
      <c r="IA82" s="88"/>
      <c r="IB82" s="88"/>
      <c r="IC82" s="88"/>
      <c r="ID82" s="88"/>
      <c r="IE82" s="88"/>
      <c r="IF82" s="88"/>
      <c r="IG82" s="88"/>
      <c r="IH82" s="88"/>
      <c r="II82" s="88"/>
      <c r="IJ82" s="88"/>
      <c r="IK82" s="88"/>
      <c r="IL82" s="88"/>
      <c r="IM82" s="88"/>
      <c r="IN82" s="88"/>
      <c r="IO82" s="88"/>
      <c r="IP82" s="88"/>
      <c r="IQ82" s="88"/>
      <c r="IR82" s="88"/>
      <c r="IS82" s="88"/>
      <c r="IT82" s="88"/>
      <c r="IU82" s="88"/>
      <c r="IV82" s="88"/>
      <c r="IW82" s="88"/>
    </row>
    <row r="83" customFormat="false" ht="12.75" hidden="false" customHeight="false" outlineLevel="0" collapsed="false">
      <c r="A83" s="88"/>
      <c r="B83" s="89" t="s">
        <v>201</v>
      </c>
      <c r="C83" s="90" t="s">
        <v>250</v>
      </c>
      <c r="D83" s="90" t="s">
        <v>251</v>
      </c>
      <c r="E83" s="91" t="n">
        <v>36617</v>
      </c>
      <c r="F83" s="91" t="n">
        <v>39021</v>
      </c>
      <c r="G83" s="89" t="s">
        <v>276</v>
      </c>
      <c r="H83" s="89" t="s">
        <v>107</v>
      </c>
      <c r="I83" s="90" t="s">
        <v>254</v>
      </c>
      <c r="J83" s="92" t="n">
        <v>0.6</v>
      </c>
      <c r="K83" s="93"/>
      <c r="L83" s="93"/>
      <c r="M83" s="93"/>
      <c r="N83" s="93"/>
      <c r="O83" s="94"/>
      <c r="P83" s="93"/>
      <c r="Q83" s="95" t="n">
        <v>889124</v>
      </c>
      <c r="R83" s="90" t="n">
        <v>-124</v>
      </c>
      <c r="S83" s="89" t="s">
        <v>299</v>
      </c>
      <c r="T83" s="96" t="n">
        <f aca="false">J83*J$1*R83</f>
        <v>-2306.4</v>
      </c>
      <c r="U83" s="96"/>
      <c r="V83" s="97"/>
      <c r="W83" s="89"/>
      <c r="X83" s="98"/>
      <c r="Y83" s="9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  <c r="GT83" s="88"/>
      <c r="GU83" s="88"/>
      <c r="GV83" s="88"/>
      <c r="GW83" s="88"/>
      <c r="GX83" s="88"/>
      <c r="GY83" s="88"/>
      <c r="GZ83" s="88"/>
      <c r="HA83" s="88"/>
      <c r="HB83" s="88"/>
      <c r="HC83" s="88"/>
      <c r="HD83" s="88"/>
      <c r="HE83" s="88"/>
      <c r="HF83" s="88"/>
      <c r="HG83" s="88"/>
      <c r="HH83" s="88"/>
      <c r="HI83" s="88"/>
      <c r="HJ83" s="88"/>
      <c r="HK83" s="88"/>
      <c r="HL83" s="88"/>
      <c r="HM83" s="88"/>
      <c r="HN83" s="88"/>
      <c r="HO83" s="88"/>
      <c r="HP83" s="88"/>
      <c r="HQ83" s="88"/>
      <c r="HR83" s="88"/>
      <c r="HS83" s="88"/>
      <c r="HT83" s="88"/>
      <c r="HU83" s="88"/>
      <c r="HV83" s="88"/>
      <c r="HW83" s="88"/>
      <c r="HX83" s="88"/>
      <c r="HY83" s="88"/>
      <c r="HZ83" s="88"/>
      <c r="IA83" s="88"/>
      <c r="IB83" s="88"/>
      <c r="IC83" s="88"/>
      <c r="ID83" s="88"/>
      <c r="IE83" s="88"/>
      <c r="IF83" s="88"/>
      <c r="IG83" s="88"/>
      <c r="IH83" s="88"/>
      <c r="II83" s="88"/>
      <c r="IJ83" s="88"/>
      <c r="IK83" s="88"/>
      <c r="IL83" s="88"/>
      <c r="IM83" s="88"/>
      <c r="IN83" s="88"/>
      <c r="IO83" s="88"/>
      <c r="IP83" s="88"/>
      <c r="IQ83" s="88"/>
      <c r="IR83" s="88"/>
      <c r="IS83" s="88"/>
      <c r="IT83" s="88"/>
      <c r="IU83" s="88"/>
      <c r="IV83" s="88"/>
      <c r="IW83" s="88"/>
    </row>
    <row r="84" customFormat="false" ht="12.75" hidden="false" customHeight="false" outlineLevel="0" collapsed="false">
      <c r="A84" s="88"/>
      <c r="B84" s="89" t="s">
        <v>249</v>
      </c>
      <c r="C84" s="90" t="s">
        <v>250</v>
      </c>
      <c r="D84" s="90" t="s">
        <v>251</v>
      </c>
      <c r="E84" s="91" t="n">
        <v>36617</v>
      </c>
      <c r="F84" s="91" t="n">
        <v>39021</v>
      </c>
      <c r="G84" s="89" t="s">
        <v>276</v>
      </c>
      <c r="H84" s="89" t="s">
        <v>107</v>
      </c>
      <c r="I84" s="90" t="s">
        <v>254</v>
      </c>
      <c r="J84" s="92" t="n">
        <v>0.61</v>
      </c>
      <c r="K84" s="93"/>
      <c r="L84" s="93"/>
      <c r="M84" s="93"/>
      <c r="N84" s="93"/>
      <c r="O84" s="94"/>
      <c r="P84" s="93"/>
      <c r="Q84" s="95" t="n">
        <v>889126</v>
      </c>
      <c r="R84" s="90" t="n">
        <v>150</v>
      </c>
      <c r="S84" s="89" t="s">
        <v>300</v>
      </c>
      <c r="T84" s="96" t="n">
        <f aca="false">J84*J$1*R84</f>
        <v>2836.5</v>
      </c>
      <c r="U84" s="96"/>
      <c r="V84" s="97" t="n">
        <v>276512</v>
      </c>
      <c r="W84" s="89"/>
      <c r="X84" s="98"/>
      <c r="Y84" s="9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  <c r="GT84" s="88"/>
      <c r="GU84" s="88"/>
      <c r="GV84" s="88"/>
      <c r="GW84" s="88"/>
      <c r="GX84" s="88"/>
      <c r="GY84" s="88"/>
      <c r="GZ84" s="88"/>
      <c r="HA84" s="88"/>
      <c r="HB84" s="88"/>
      <c r="HC84" s="88"/>
      <c r="HD84" s="88"/>
      <c r="HE84" s="88"/>
      <c r="HF84" s="88"/>
      <c r="HG84" s="88"/>
      <c r="HH84" s="88"/>
      <c r="HI84" s="88"/>
      <c r="HJ84" s="88"/>
      <c r="HK84" s="88"/>
      <c r="HL84" s="88"/>
      <c r="HM84" s="88"/>
      <c r="HN84" s="88"/>
      <c r="HO84" s="88"/>
      <c r="HP84" s="88"/>
      <c r="HQ84" s="88"/>
      <c r="HR84" s="88"/>
      <c r="HS84" s="88"/>
      <c r="HT84" s="88"/>
      <c r="HU84" s="88"/>
      <c r="HV84" s="88"/>
      <c r="HW84" s="88"/>
      <c r="HX84" s="88"/>
      <c r="HY84" s="88"/>
      <c r="HZ84" s="88"/>
      <c r="IA84" s="88"/>
      <c r="IB84" s="88"/>
      <c r="IC84" s="88"/>
      <c r="ID84" s="88"/>
      <c r="IE84" s="88"/>
      <c r="IF84" s="88"/>
      <c r="IG84" s="88"/>
      <c r="IH84" s="88"/>
      <c r="II84" s="88"/>
      <c r="IJ84" s="88"/>
      <c r="IK84" s="88"/>
      <c r="IL84" s="88"/>
      <c r="IM84" s="88"/>
      <c r="IN84" s="88"/>
      <c r="IO84" s="88"/>
      <c r="IP84" s="88"/>
      <c r="IQ84" s="88"/>
      <c r="IR84" s="88"/>
      <c r="IS84" s="88"/>
      <c r="IT84" s="88"/>
      <c r="IU84" s="88"/>
      <c r="IV84" s="88"/>
      <c r="IW84" s="88"/>
    </row>
    <row r="85" customFormat="false" ht="12.75" hidden="false" customHeight="false" outlineLevel="0" collapsed="false">
      <c r="A85" s="88"/>
      <c r="B85" s="89" t="s">
        <v>249</v>
      </c>
      <c r="C85" s="90" t="s">
        <v>250</v>
      </c>
      <c r="D85" s="90" t="s">
        <v>251</v>
      </c>
      <c r="E85" s="91" t="n">
        <v>36617</v>
      </c>
      <c r="F85" s="91" t="n">
        <v>39021</v>
      </c>
      <c r="G85" s="89" t="s">
        <v>276</v>
      </c>
      <c r="H85" s="89" t="s">
        <v>107</v>
      </c>
      <c r="I85" s="90" t="s">
        <v>254</v>
      </c>
      <c r="J85" s="92" t="n">
        <v>0.844</v>
      </c>
      <c r="K85" s="93"/>
      <c r="L85" s="93"/>
      <c r="M85" s="93"/>
      <c r="N85" s="93"/>
      <c r="O85" s="94"/>
      <c r="P85" s="93"/>
      <c r="Q85" s="95" t="n">
        <v>889126</v>
      </c>
      <c r="R85" s="90" t="n">
        <v>-150</v>
      </c>
      <c r="S85" s="89" t="s">
        <v>286</v>
      </c>
      <c r="T85" s="96" t="n">
        <f aca="false">J85*J$1*R85</f>
        <v>-3924.6</v>
      </c>
      <c r="U85" s="96"/>
      <c r="V85" s="97"/>
      <c r="W85" s="89"/>
      <c r="X85" s="98"/>
      <c r="Y85" s="9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  <c r="GT85" s="88"/>
      <c r="GU85" s="88"/>
      <c r="GV85" s="88"/>
      <c r="GW85" s="88"/>
      <c r="GX85" s="88"/>
      <c r="GY85" s="88"/>
      <c r="GZ85" s="88"/>
      <c r="HA85" s="88"/>
      <c r="HB85" s="88"/>
      <c r="HC85" s="88"/>
      <c r="HD85" s="88"/>
      <c r="HE85" s="88"/>
      <c r="HF85" s="88"/>
      <c r="HG85" s="88"/>
      <c r="HH85" s="88"/>
      <c r="HI85" s="88"/>
      <c r="HJ85" s="88"/>
      <c r="HK85" s="88"/>
      <c r="HL85" s="88"/>
      <c r="HM85" s="88"/>
      <c r="HN85" s="88"/>
      <c r="HO85" s="88"/>
      <c r="HP85" s="88"/>
      <c r="HQ85" s="88"/>
      <c r="HR85" s="88"/>
      <c r="HS85" s="88"/>
      <c r="HT85" s="88"/>
      <c r="HU85" s="88"/>
      <c r="HV85" s="88"/>
      <c r="HW85" s="88"/>
      <c r="HX85" s="88"/>
      <c r="HY85" s="88"/>
      <c r="HZ85" s="88"/>
      <c r="IA85" s="88"/>
      <c r="IB85" s="88"/>
      <c r="IC85" s="88"/>
      <c r="ID85" s="88"/>
      <c r="IE85" s="88"/>
      <c r="IF85" s="88"/>
      <c r="IG85" s="88"/>
      <c r="IH85" s="88"/>
      <c r="II85" s="88"/>
      <c r="IJ85" s="88"/>
      <c r="IK85" s="88"/>
      <c r="IL85" s="88"/>
      <c r="IM85" s="88"/>
      <c r="IN85" s="88"/>
      <c r="IO85" s="88"/>
      <c r="IP85" s="88"/>
      <c r="IQ85" s="88"/>
      <c r="IR85" s="88"/>
      <c r="IS85" s="88"/>
      <c r="IT85" s="88"/>
      <c r="IU85" s="88"/>
      <c r="IV85" s="88"/>
      <c r="IW85" s="88"/>
    </row>
    <row r="86" customFormat="false" ht="11.25" hidden="false" customHeight="true" outlineLevel="0" collapsed="false">
      <c r="B86" s="46"/>
      <c r="C86" s="44"/>
      <c r="D86" s="44"/>
      <c r="E86" s="45"/>
      <c r="F86" s="45"/>
      <c r="G86" s="46"/>
      <c r="H86" s="46"/>
      <c r="I86" s="44"/>
      <c r="J86" s="58"/>
      <c r="K86" s="49"/>
      <c r="L86" s="99"/>
      <c r="M86" s="49"/>
      <c r="N86" s="49"/>
      <c r="O86" s="50"/>
      <c r="P86" s="49"/>
      <c r="Q86" s="51"/>
      <c r="R86" s="52" t="n">
        <f aca="false">SUM(R58:R85)</f>
        <v>12473</v>
      </c>
      <c r="S86" s="44"/>
      <c r="T86" s="74" t="n">
        <f aca="false">SUM(T58:T85)</f>
        <v>23347.7392566667</v>
      </c>
      <c r="U86" s="74"/>
      <c r="V86" s="75"/>
      <c r="W86" s="46"/>
      <c r="X86" s="72"/>
      <c r="Y86" s="72"/>
    </row>
    <row r="87" customFormat="false" ht="12.75" hidden="false" customHeight="false" outlineLevel="0" collapsed="false">
      <c r="B87" s="63" t="s">
        <v>181</v>
      </c>
      <c r="C87" s="64" t="s">
        <v>182</v>
      </c>
      <c r="D87" s="64" t="s">
        <v>183</v>
      </c>
      <c r="E87" s="65" t="s">
        <v>184</v>
      </c>
      <c r="F87" s="65"/>
      <c r="G87" s="63" t="s">
        <v>185</v>
      </c>
      <c r="H87" s="63" t="s">
        <v>186</v>
      </c>
      <c r="I87" s="64" t="s">
        <v>187</v>
      </c>
      <c r="J87" s="66" t="s">
        <v>188</v>
      </c>
      <c r="K87" s="64" t="s">
        <v>189</v>
      </c>
      <c r="L87" s="64" t="s">
        <v>190</v>
      </c>
      <c r="M87" s="64" t="s">
        <v>191</v>
      </c>
      <c r="N87" s="64" t="s">
        <v>192</v>
      </c>
      <c r="O87" s="67" t="s">
        <v>193</v>
      </c>
      <c r="P87" s="64" t="s">
        <v>194</v>
      </c>
      <c r="Q87" s="68" t="s">
        <v>195</v>
      </c>
      <c r="R87" s="64" t="s">
        <v>196</v>
      </c>
      <c r="S87" s="63" t="s">
        <v>197</v>
      </c>
      <c r="T87" s="69" t="s">
        <v>198</v>
      </c>
      <c r="U87" s="69" t="s">
        <v>199</v>
      </c>
      <c r="V87" s="70" t="s">
        <v>200</v>
      </c>
      <c r="W87" s="71" t="n">
        <f aca="false">+W13</f>
        <v>0</v>
      </c>
      <c r="X87" s="72"/>
      <c r="Y87" s="72"/>
    </row>
    <row r="88" customFormat="false" ht="12.75" hidden="false" customHeight="false" outlineLevel="0" collapsed="false">
      <c r="A88" s="76"/>
      <c r="B88" s="77" t="s">
        <v>201</v>
      </c>
      <c r="C88" s="78" t="s">
        <v>169</v>
      </c>
      <c r="D88" s="78" t="s">
        <v>251</v>
      </c>
      <c r="E88" s="79" t="n">
        <v>36220</v>
      </c>
      <c r="F88" s="79" t="n">
        <v>38656</v>
      </c>
      <c r="G88" s="77" t="s">
        <v>301</v>
      </c>
      <c r="H88" s="77" t="s">
        <v>302</v>
      </c>
      <c r="I88" s="78" t="s">
        <v>224</v>
      </c>
      <c r="J88" s="80" t="n">
        <v>0.3033</v>
      </c>
      <c r="K88" s="81" t="n">
        <v>0</v>
      </c>
      <c r="L88" s="81" t="n">
        <v>0.0022</v>
      </c>
      <c r="M88" s="81" t="n">
        <v>0</v>
      </c>
      <c r="N88" s="81" t="n">
        <v>0</v>
      </c>
      <c r="O88" s="82" t="n">
        <v>0</v>
      </c>
      <c r="P88" s="81" t="n">
        <f aca="false">SUM(J88:N88)</f>
        <v>0.3055</v>
      </c>
      <c r="Q88" s="83" t="s">
        <v>303</v>
      </c>
      <c r="R88" s="78" t="n">
        <v>25</v>
      </c>
      <c r="S88" s="77" t="s">
        <v>304</v>
      </c>
      <c r="T88" s="84" t="n">
        <f aca="false">J88*J$1*R88</f>
        <v>235.0575</v>
      </c>
      <c r="U88" s="84"/>
      <c r="V88" s="85" t="n">
        <v>157260</v>
      </c>
      <c r="W88" s="77"/>
      <c r="X88" s="86"/>
      <c r="Y88" s="8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  <c r="IG88" s="76"/>
      <c r="IH88" s="76"/>
      <c r="II88" s="76"/>
      <c r="IJ88" s="76"/>
      <c r="IK88" s="76"/>
      <c r="IL88" s="76"/>
      <c r="IM88" s="76"/>
      <c r="IN88" s="76"/>
      <c r="IO88" s="76"/>
      <c r="IP88" s="76"/>
      <c r="IQ88" s="76"/>
      <c r="IR88" s="76"/>
      <c r="IS88" s="76"/>
      <c r="IT88" s="76"/>
      <c r="IU88" s="76"/>
      <c r="IV88" s="76"/>
      <c r="IW88" s="76"/>
    </row>
    <row r="89" customFormat="false" ht="12.75" hidden="false" customHeight="false" outlineLevel="0" collapsed="false">
      <c r="A89" s="76"/>
      <c r="B89" s="77" t="s">
        <v>201</v>
      </c>
      <c r="C89" s="78" t="s">
        <v>169</v>
      </c>
      <c r="D89" s="78" t="s">
        <v>251</v>
      </c>
      <c r="E89" s="79" t="n">
        <v>36220</v>
      </c>
      <c r="F89" s="79" t="n">
        <v>38656</v>
      </c>
      <c r="G89" s="77" t="s">
        <v>305</v>
      </c>
      <c r="H89" s="77" t="s">
        <v>302</v>
      </c>
      <c r="I89" s="78" t="s">
        <v>224</v>
      </c>
      <c r="J89" s="80" t="n">
        <v>0.3033</v>
      </c>
      <c r="K89" s="81" t="n">
        <v>0</v>
      </c>
      <c r="L89" s="81" t="n">
        <v>0.0022</v>
      </c>
      <c r="M89" s="81" t="n">
        <v>0</v>
      </c>
      <c r="N89" s="81" t="n">
        <v>0</v>
      </c>
      <c r="O89" s="82" t="n">
        <v>0</v>
      </c>
      <c r="P89" s="81" t="n">
        <f aca="false">SUM(J89:N89)</f>
        <v>0.3055</v>
      </c>
      <c r="Q89" s="83" t="s">
        <v>303</v>
      </c>
      <c r="R89" s="78" t="n">
        <v>21</v>
      </c>
      <c r="S89" s="77" t="s">
        <v>304</v>
      </c>
      <c r="T89" s="84" t="n">
        <f aca="false">J89*J$1*R89</f>
        <v>197.4483</v>
      </c>
      <c r="U89" s="84"/>
      <c r="V89" s="85" t="n">
        <v>157260</v>
      </c>
      <c r="W89" s="77"/>
      <c r="X89" s="86"/>
      <c r="Y89" s="8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  <c r="IW89" s="76"/>
    </row>
    <row r="90" customFormat="false" ht="12.75" hidden="false" customHeight="false" outlineLevel="0" collapsed="false">
      <c r="A90" s="76"/>
      <c r="B90" s="77" t="s">
        <v>201</v>
      </c>
      <c r="C90" s="78" t="s">
        <v>169</v>
      </c>
      <c r="D90" s="78" t="s">
        <v>94</v>
      </c>
      <c r="E90" s="79" t="n">
        <v>36647</v>
      </c>
      <c r="F90" s="79" t="n">
        <v>36677</v>
      </c>
      <c r="G90" s="77" t="s">
        <v>305</v>
      </c>
      <c r="H90" s="77" t="s">
        <v>302</v>
      </c>
      <c r="I90" s="78" t="s">
        <v>224</v>
      </c>
      <c r="J90" s="103" t="n">
        <v>0.3074</v>
      </c>
      <c r="K90" s="103" t="n">
        <v>0.0279</v>
      </c>
      <c r="L90" s="103" t="n">
        <v>0.0022</v>
      </c>
      <c r="M90" s="103" t="n">
        <v>0.0072</v>
      </c>
      <c r="N90" s="103" t="n">
        <v>0</v>
      </c>
      <c r="O90" s="82" t="n">
        <v>0</v>
      </c>
      <c r="P90" s="81" t="n">
        <f aca="false">SUM(J90:N90)</f>
        <v>0.3447</v>
      </c>
      <c r="Q90" s="83" t="s">
        <v>306</v>
      </c>
      <c r="R90" s="83" t="n">
        <v>1405</v>
      </c>
      <c r="S90" s="78" t="s">
        <v>307</v>
      </c>
      <c r="T90" s="104" t="n">
        <f aca="false">+(0.3074*R90)*31</f>
        <v>13388.807</v>
      </c>
      <c r="U90" s="104"/>
      <c r="V90" s="105" t="n">
        <v>254533</v>
      </c>
      <c r="W90" s="77"/>
      <c r="X90" s="86"/>
      <c r="Y90" s="8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  <c r="IW90" s="76"/>
    </row>
    <row r="91" customFormat="false" ht="12.75" hidden="false" customHeight="false" outlineLevel="0" collapsed="false">
      <c r="B91" s="46"/>
      <c r="C91" s="44"/>
      <c r="D91" s="44"/>
      <c r="E91" s="45" t="s">
        <v>113</v>
      </c>
      <c r="F91" s="45"/>
      <c r="G91" s="46"/>
      <c r="H91" s="46"/>
      <c r="I91" s="44"/>
      <c r="J91" s="58"/>
      <c r="K91" s="49"/>
      <c r="L91" s="99"/>
      <c r="M91" s="49"/>
      <c r="N91" s="49"/>
      <c r="O91" s="50"/>
      <c r="P91" s="49"/>
      <c r="Q91" s="106"/>
      <c r="R91" s="107" t="n">
        <f aca="false">SUM(R88:R90)</f>
        <v>1451</v>
      </c>
      <c r="S91" s="108"/>
      <c r="T91" s="53" t="n">
        <f aca="false">SUM(T88:T90)</f>
        <v>13821.3128</v>
      </c>
      <c r="U91" s="53"/>
      <c r="V91" s="54"/>
      <c r="W91" s="55"/>
      <c r="X91" s="56"/>
      <c r="Y91" s="56"/>
    </row>
    <row r="92" customFormat="false" ht="12.75" hidden="false" customHeight="false" outlineLevel="0" collapsed="false">
      <c r="B92" s="63" t="s">
        <v>181</v>
      </c>
      <c r="C92" s="64" t="s">
        <v>182</v>
      </c>
      <c r="D92" s="64" t="s">
        <v>183</v>
      </c>
      <c r="E92" s="65" t="s">
        <v>184</v>
      </c>
      <c r="F92" s="65"/>
      <c r="G92" s="63" t="s">
        <v>185</v>
      </c>
      <c r="H92" s="63" t="s">
        <v>186</v>
      </c>
      <c r="I92" s="64" t="s">
        <v>187</v>
      </c>
      <c r="J92" s="66" t="s">
        <v>188</v>
      </c>
      <c r="K92" s="64" t="s">
        <v>189</v>
      </c>
      <c r="L92" s="64" t="s">
        <v>190</v>
      </c>
      <c r="M92" s="64" t="s">
        <v>191</v>
      </c>
      <c r="N92" s="64" t="s">
        <v>192</v>
      </c>
      <c r="O92" s="67" t="s">
        <v>193</v>
      </c>
      <c r="P92" s="64" t="s">
        <v>194</v>
      </c>
      <c r="Q92" s="68" t="s">
        <v>195</v>
      </c>
      <c r="R92" s="64" t="s">
        <v>196</v>
      </c>
      <c r="S92" s="63" t="s">
        <v>197</v>
      </c>
      <c r="T92" s="69" t="s">
        <v>198</v>
      </c>
      <c r="U92" s="69" t="s">
        <v>199</v>
      </c>
      <c r="V92" s="70" t="s">
        <v>200</v>
      </c>
      <c r="W92" s="71" t="e">
        <f aca="false">+#REF!</f>
        <v>#REF!</v>
      </c>
      <c r="X92" s="72"/>
      <c r="Y92" s="72"/>
    </row>
    <row r="93" customFormat="false" ht="12.75" hidden="false" customHeight="false" outlineLevel="0" collapsed="false">
      <c r="A93" s="76"/>
      <c r="B93" s="77" t="s">
        <v>249</v>
      </c>
      <c r="C93" s="78" t="s">
        <v>62</v>
      </c>
      <c r="D93" s="78" t="s">
        <v>308</v>
      </c>
      <c r="E93" s="79" t="n">
        <v>36647</v>
      </c>
      <c r="F93" s="79" t="n">
        <v>36677</v>
      </c>
      <c r="G93" s="77" t="s">
        <v>309</v>
      </c>
      <c r="H93" s="77" t="s">
        <v>308</v>
      </c>
      <c r="I93" s="78" t="s">
        <v>310</v>
      </c>
      <c r="J93" s="80" t="n">
        <v>0</v>
      </c>
      <c r="K93" s="81" t="n">
        <v>0</v>
      </c>
      <c r="L93" s="81" t="n">
        <v>0.0022</v>
      </c>
      <c r="M93" s="81" t="n">
        <v>0</v>
      </c>
      <c r="N93" s="81" t="n">
        <v>0</v>
      </c>
      <c r="O93" s="82" t="n">
        <v>0</v>
      </c>
      <c r="P93" s="81" t="n">
        <f aca="false">SUM(J93:N93)</f>
        <v>0.0022</v>
      </c>
      <c r="Q93" s="83" t="s">
        <v>311</v>
      </c>
      <c r="R93" s="78" t="n">
        <v>15</v>
      </c>
      <c r="S93" s="77" t="s">
        <v>312</v>
      </c>
      <c r="T93" s="84" t="n">
        <f aca="false">J93*J$1*R93</f>
        <v>0</v>
      </c>
      <c r="U93" s="84"/>
      <c r="V93" s="85" t="n">
        <v>229454</v>
      </c>
      <c r="W93" s="77"/>
      <c r="X93" s="86"/>
      <c r="Y93" s="8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  <c r="IO93" s="76"/>
      <c r="IP93" s="76"/>
      <c r="IQ93" s="76"/>
      <c r="IR93" s="76"/>
      <c r="IS93" s="76"/>
      <c r="IT93" s="76"/>
      <c r="IU93" s="76"/>
      <c r="IV93" s="76"/>
      <c r="IW93" s="76"/>
    </row>
    <row r="94" customFormat="false" ht="12.75" hidden="false" customHeight="false" outlineLevel="0" collapsed="false">
      <c r="A94" s="76"/>
      <c r="B94" s="77" t="s">
        <v>249</v>
      </c>
      <c r="C94" s="78" t="s">
        <v>62</v>
      </c>
      <c r="D94" s="78" t="s">
        <v>308</v>
      </c>
      <c r="E94" s="79" t="n">
        <v>36647</v>
      </c>
      <c r="F94" s="79" t="n">
        <v>36677</v>
      </c>
      <c r="G94" s="77" t="s">
        <v>313</v>
      </c>
      <c r="H94" s="77" t="s">
        <v>308</v>
      </c>
      <c r="I94" s="78" t="s">
        <v>310</v>
      </c>
      <c r="J94" s="80" t="n">
        <v>0</v>
      </c>
      <c r="K94" s="81" t="n">
        <v>0</v>
      </c>
      <c r="L94" s="81" t="n">
        <v>0.0022</v>
      </c>
      <c r="M94" s="81" t="n">
        <v>0</v>
      </c>
      <c r="N94" s="81" t="n">
        <v>0</v>
      </c>
      <c r="O94" s="82" t="n">
        <v>0</v>
      </c>
      <c r="P94" s="81" t="n">
        <f aca="false">SUM(J94:N94)</f>
        <v>0.0022</v>
      </c>
      <c r="Q94" s="83" t="s">
        <v>311</v>
      </c>
      <c r="R94" s="78" t="n">
        <v>21</v>
      </c>
      <c r="S94" s="77" t="s">
        <v>312</v>
      </c>
      <c r="T94" s="84" t="n">
        <f aca="false">J94*J$1*R94</f>
        <v>0</v>
      </c>
      <c r="U94" s="84"/>
      <c r="V94" s="85" t="n">
        <v>229454</v>
      </c>
      <c r="W94" s="77"/>
      <c r="X94" s="86"/>
      <c r="Y94" s="8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  <c r="IO94" s="76"/>
      <c r="IP94" s="76"/>
      <c r="IQ94" s="76"/>
      <c r="IR94" s="76"/>
      <c r="IS94" s="76"/>
      <c r="IT94" s="76"/>
      <c r="IU94" s="76"/>
      <c r="IV94" s="76"/>
      <c r="IW94" s="76"/>
    </row>
    <row r="95" customFormat="false" ht="12.75" hidden="false" customHeight="false" outlineLevel="0" collapsed="false">
      <c r="A95" s="76"/>
      <c r="B95" s="77" t="s">
        <v>249</v>
      </c>
      <c r="C95" s="78" t="s">
        <v>62</v>
      </c>
      <c r="D95" s="78" t="s">
        <v>308</v>
      </c>
      <c r="E95" s="79" t="n">
        <v>36647</v>
      </c>
      <c r="F95" s="79" t="n">
        <v>36677</v>
      </c>
      <c r="G95" s="77" t="s">
        <v>314</v>
      </c>
      <c r="H95" s="77" t="s">
        <v>308</v>
      </c>
      <c r="I95" s="78" t="s">
        <v>310</v>
      </c>
      <c r="J95" s="80" t="n">
        <v>0</v>
      </c>
      <c r="K95" s="81" t="n">
        <v>0</v>
      </c>
      <c r="L95" s="81" t="n">
        <v>0.0022</v>
      </c>
      <c r="M95" s="81" t="n">
        <v>0</v>
      </c>
      <c r="N95" s="81" t="n">
        <v>0</v>
      </c>
      <c r="O95" s="82" t="n">
        <v>0</v>
      </c>
      <c r="P95" s="81" t="n">
        <f aca="false">SUM(J95:N95)</f>
        <v>0.0022</v>
      </c>
      <c r="Q95" s="83" t="s">
        <v>311</v>
      </c>
      <c r="R95" s="78" t="n">
        <f aca="false">16+34</f>
        <v>50</v>
      </c>
      <c r="S95" s="77" t="s">
        <v>312</v>
      </c>
      <c r="T95" s="84" t="n">
        <f aca="false">J95*J$1*R95</f>
        <v>0</v>
      </c>
      <c r="U95" s="84"/>
      <c r="V95" s="85" t="n">
        <v>229454</v>
      </c>
      <c r="W95" s="77"/>
      <c r="X95" s="86"/>
      <c r="Y95" s="8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  <c r="IO95" s="76"/>
      <c r="IP95" s="76"/>
      <c r="IQ95" s="76"/>
      <c r="IR95" s="76"/>
      <c r="IS95" s="76"/>
      <c r="IT95" s="76"/>
      <c r="IU95" s="76"/>
      <c r="IV95" s="76"/>
      <c r="IW95" s="76"/>
    </row>
    <row r="96" customFormat="false" ht="12.75" hidden="false" customHeight="false" outlineLevel="0" collapsed="false">
      <c r="A96" s="76"/>
      <c r="B96" s="77" t="s">
        <v>201</v>
      </c>
      <c r="C96" s="78" t="s">
        <v>62</v>
      </c>
      <c r="D96" s="78" t="s">
        <v>239</v>
      </c>
      <c r="E96" s="79" t="n">
        <v>36678</v>
      </c>
      <c r="F96" s="79" t="n">
        <v>36707</v>
      </c>
      <c r="G96" s="77" t="s">
        <v>309</v>
      </c>
      <c r="H96" s="77" t="s">
        <v>315</v>
      </c>
      <c r="I96" s="78" t="s">
        <v>310</v>
      </c>
      <c r="J96" s="80" t="n">
        <f aca="false">7.5654/J$1</f>
        <v>0.244045161290323</v>
      </c>
      <c r="K96" s="81" t="n">
        <v>0</v>
      </c>
      <c r="L96" s="81" t="n">
        <v>0.0022</v>
      </c>
      <c r="M96" s="81" t="n">
        <v>0</v>
      </c>
      <c r="N96" s="81" t="n">
        <v>0</v>
      </c>
      <c r="O96" s="82" t="n">
        <v>0</v>
      </c>
      <c r="P96" s="81" t="n">
        <f aca="false">SUM(J96:N96)</f>
        <v>0.246245161290323</v>
      </c>
      <c r="Q96" s="83" t="s">
        <v>316</v>
      </c>
      <c r="R96" s="78" t="n">
        <v>1104</v>
      </c>
      <c r="S96" s="77" t="s">
        <v>317</v>
      </c>
      <c r="T96" s="109" t="n">
        <f aca="false">J96*J$1*R96</f>
        <v>8352.2016</v>
      </c>
      <c r="U96" s="84"/>
      <c r="V96" s="85" t="n">
        <v>276513</v>
      </c>
      <c r="W96" s="77"/>
      <c r="X96" s="86"/>
      <c r="Y96" s="8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  <c r="IG96" s="76"/>
      <c r="IH96" s="76"/>
      <c r="II96" s="76"/>
      <c r="IJ96" s="76"/>
      <c r="IK96" s="76"/>
      <c r="IL96" s="76"/>
      <c r="IM96" s="76"/>
      <c r="IN96" s="76"/>
      <c r="IO96" s="76"/>
      <c r="IP96" s="76"/>
      <c r="IQ96" s="76"/>
      <c r="IR96" s="76"/>
      <c r="IS96" s="76"/>
      <c r="IT96" s="76"/>
      <c r="IU96" s="76"/>
      <c r="IV96" s="76"/>
      <c r="IW96" s="76"/>
    </row>
    <row r="97" customFormat="false" ht="12.75" hidden="false" customHeight="false" outlineLevel="0" collapsed="false">
      <c r="A97" s="76"/>
      <c r="B97" s="77" t="s">
        <v>201</v>
      </c>
      <c r="C97" s="78" t="s">
        <v>62</v>
      </c>
      <c r="D97" s="78" t="s">
        <v>239</v>
      </c>
      <c r="E97" s="79" t="n">
        <v>36678</v>
      </c>
      <c r="F97" s="79" t="n">
        <v>36707</v>
      </c>
      <c r="G97" s="77" t="s">
        <v>313</v>
      </c>
      <c r="H97" s="77" t="s">
        <v>315</v>
      </c>
      <c r="I97" s="78" t="s">
        <v>310</v>
      </c>
      <c r="J97" s="80" t="n">
        <f aca="false">+J96</f>
        <v>0.244045161290323</v>
      </c>
      <c r="K97" s="81" t="n">
        <v>0</v>
      </c>
      <c r="L97" s="81" t="n">
        <v>0.0022</v>
      </c>
      <c r="M97" s="81" t="n">
        <v>0</v>
      </c>
      <c r="N97" s="81" t="n">
        <v>0</v>
      </c>
      <c r="O97" s="82" t="n">
        <v>0</v>
      </c>
      <c r="P97" s="81" t="n">
        <f aca="false">SUM(J97:N97)</f>
        <v>0.246245161290323</v>
      </c>
      <c r="Q97" s="83" t="s">
        <v>316</v>
      </c>
      <c r="R97" s="78" t="n">
        <v>1625</v>
      </c>
      <c r="S97" s="77" t="str">
        <f aca="false">+S96</f>
        <v>#19827</v>
      </c>
      <c r="T97" s="109" t="n">
        <f aca="false">J97*J$1*R97</f>
        <v>12293.775</v>
      </c>
      <c r="U97" s="84"/>
      <c r="V97" s="85" t="n">
        <v>276513</v>
      </c>
      <c r="W97" s="77"/>
      <c r="X97" s="86"/>
      <c r="Y97" s="8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  <c r="EM97" s="76"/>
      <c r="EN97" s="76"/>
      <c r="EO97" s="76"/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6"/>
      <c r="FF97" s="76"/>
      <c r="FG97" s="76"/>
      <c r="FH97" s="76"/>
      <c r="FI97" s="76"/>
      <c r="FJ97" s="76"/>
      <c r="FK97" s="76"/>
      <c r="FL97" s="76"/>
      <c r="FM97" s="76"/>
      <c r="FN97" s="76"/>
      <c r="FO97" s="76"/>
      <c r="FP97" s="76"/>
      <c r="FQ97" s="76"/>
      <c r="FR97" s="76"/>
      <c r="FS97" s="76"/>
      <c r="FT97" s="76"/>
      <c r="FU97" s="76"/>
      <c r="FV97" s="76"/>
      <c r="FW97" s="76"/>
      <c r="FX97" s="76"/>
      <c r="FY97" s="76"/>
      <c r="FZ97" s="76"/>
      <c r="GA97" s="76"/>
      <c r="GB97" s="76"/>
      <c r="GC97" s="76"/>
      <c r="GD97" s="76"/>
      <c r="GE97" s="76"/>
      <c r="GF97" s="76"/>
      <c r="GG97" s="76"/>
      <c r="GH97" s="76"/>
      <c r="GI97" s="76"/>
      <c r="GJ97" s="76"/>
      <c r="GK97" s="76"/>
      <c r="GL97" s="76"/>
      <c r="GM97" s="76"/>
      <c r="GN97" s="76"/>
      <c r="GO97" s="76"/>
      <c r="GP97" s="76"/>
      <c r="GQ97" s="76"/>
      <c r="GR97" s="76"/>
      <c r="GS97" s="76"/>
      <c r="GT97" s="76"/>
      <c r="GU97" s="76"/>
      <c r="GV97" s="76"/>
      <c r="GW97" s="76"/>
      <c r="GX97" s="76"/>
      <c r="GY97" s="76"/>
      <c r="GZ97" s="76"/>
      <c r="HA97" s="76"/>
      <c r="HB97" s="76"/>
      <c r="HC97" s="76"/>
      <c r="HD97" s="76"/>
      <c r="HE97" s="76"/>
      <c r="HF97" s="76"/>
      <c r="HG97" s="76"/>
      <c r="HH97" s="76"/>
      <c r="HI97" s="76"/>
      <c r="HJ97" s="76"/>
      <c r="HK97" s="76"/>
      <c r="HL97" s="76"/>
      <c r="HM97" s="76"/>
      <c r="HN97" s="76"/>
      <c r="HO97" s="76"/>
      <c r="HP97" s="76"/>
      <c r="HQ97" s="76"/>
      <c r="HR97" s="76"/>
      <c r="HS97" s="76"/>
      <c r="HT97" s="76"/>
      <c r="HU97" s="76"/>
      <c r="HV97" s="76"/>
      <c r="HW97" s="76"/>
      <c r="HX97" s="76"/>
      <c r="HY97" s="76"/>
      <c r="HZ97" s="76"/>
      <c r="IA97" s="76"/>
      <c r="IB97" s="76"/>
      <c r="IC97" s="76"/>
      <c r="ID97" s="76"/>
      <c r="IE97" s="76"/>
      <c r="IF97" s="76"/>
      <c r="IG97" s="76"/>
      <c r="IH97" s="76"/>
      <c r="II97" s="76"/>
      <c r="IJ97" s="76"/>
      <c r="IK97" s="76"/>
      <c r="IL97" s="76"/>
      <c r="IM97" s="76"/>
      <c r="IN97" s="76"/>
      <c r="IO97" s="76"/>
      <c r="IP97" s="76"/>
      <c r="IQ97" s="76"/>
      <c r="IR97" s="76"/>
      <c r="IS97" s="76"/>
      <c r="IT97" s="76"/>
      <c r="IU97" s="76"/>
      <c r="IV97" s="76"/>
      <c r="IW97" s="76"/>
    </row>
    <row r="98" customFormat="false" ht="12.75" hidden="false" customHeight="false" outlineLevel="0" collapsed="false">
      <c r="A98" s="76"/>
      <c r="B98" s="77" t="s">
        <v>201</v>
      </c>
      <c r="C98" s="78" t="s">
        <v>62</v>
      </c>
      <c r="D98" s="78" t="s">
        <v>239</v>
      </c>
      <c r="E98" s="79" t="n">
        <v>36678</v>
      </c>
      <c r="F98" s="79" t="n">
        <v>36707</v>
      </c>
      <c r="G98" s="77" t="s">
        <v>314</v>
      </c>
      <c r="H98" s="77" t="s">
        <v>315</v>
      </c>
      <c r="I98" s="78" t="s">
        <v>310</v>
      </c>
      <c r="J98" s="80" t="n">
        <f aca="false">+J97</f>
        <v>0.244045161290323</v>
      </c>
      <c r="K98" s="81" t="n">
        <v>0</v>
      </c>
      <c r="L98" s="81" t="n">
        <v>0.0022</v>
      </c>
      <c r="M98" s="81" t="n">
        <v>0</v>
      </c>
      <c r="N98" s="81" t="n">
        <v>0</v>
      </c>
      <c r="O98" s="82" t="n">
        <v>0</v>
      </c>
      <c r="P98" s="81" t="n">
        <f aca="false">SUM(J98:N98)</f>
        <v>0.246245161290323</v>
      </c>
      <c r="Q98" s="83" t="s">
        <v>316</v>
      </c>
      <c r="R98" s="78" t="n">
        <f aca="false">1234+2534</f>
        <v>3768</v>
      </c>
      <c r="S98" s="77" t="str">
        <f aca="false">+S97</f>
        <v>#19827</v>
      </c>
      <c r="T98" s="109" t="n">
        <f aca="false">J98*J$1*R98</f>
        <v>28506.4272</v>
      </c>
      <c r="U98" s="84"/>
      <c r="V98" s="85" t="n">
        <v>276513</v>
      </c>
      <c r="W98" s="77"/>
      <c r="X98" s="86"/>
      <c r="Y98" s="8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  <c r="DZ98" s="76"/>
      <c r="EA98" s="76"/>
      <c r="EB98" s="76"/>
      <c r="EC98" s="76"/>
      <c r="ED98" s="76"/>
      <c r="EE98" s="76"/>
      <c r="EF98" s="76"/>
      <c r="EG98" s="76"/>
      <c r="EH98" s="76"/>
      <c r="EI98" s="76"/>
      <c r="EJ98" s="76"/>
      <c r="EK98" s="76"/>
      <c r="EL98" s="76"/>
      <c r="EM98" s="76"/>
      <c r="EN98" s="76"/>
      <c r="EO98" s="76"/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6"/>
      <c r="FF98" s="76"/>
      <c r="FG98" s="76"/>
      <c r="FH98" s="76"/>
      <c r="FI98" s="76"/>
      <c r="FJ98" s="76"/>
      <c r="FK98" s="76"/>
      <c r="FL98" s="76"/>
      <c r="FM98" s="76"/>
      <c r="FN98" s="76"/>
      <c r="FO98" s="76"/>
      <c r="FP98" s="76"/>
      <c r="FQ98" s="76"/>
      <c r="FR98" s="76"/>
      <c r="FS98" s="76"/>
      <c r="FT98" s="76"/>
      <c r="FU98" s="76"/>
      <c r="FV98" s="76"/>
      <c r="FW98" s="76"/>
      <c r="FX98" s="76"/>
      <c r="FY98" s="76"/>
      <c r="FZ98" s="76"/>
      <c r="GA98" s="76"/>
      <c r="GB98" s="76"/>
      <c r="GC98" s="76"/>
      <c r="GD98" s="76"/>
      <c r="GE98" s="76"/>
      <c r="GF98" s="76"/>
      <c r="GG98" s="76"/>
      <c r="GH98" s="76"/>
      <c r="GI98" s="76"/>
      <c r="GJ98" s="76"/>
      <c r="GK98" s="76"/>
      <c r="GL98" s="76"/>
      <c r="GM98" s="76"/>
      <c r="GN98" s="76"/>
      <c r="GO98" s="76"/>
      <c r="GP98" s="76"/>
      <c r="GQ98" s="76"/>
      <c r="GR98" s="76"/>
      <c r="GS98" s="76"/>
      <c r="GT98" s="76"/>
      <c r="GU98" s="76"/>
      <c r="GV98" s="76"/>
      <c r="GW98" s="76"/>
      <c r="GX98" s="76"/>
      <c r="GY98" s="76"/>
      <c r="GZ98" s="76"/>
      <c r="HA98" s="76"/>
      <c r="HB98" s="76"/>
      <c r="HC98" s="76"/>
      <c r="HD98" s="76"/>
      <c r="HE98" s="76"/>
      <c r="HF98" s="76"/>
      <c r="HG98" s="76"/>
      <c r="HH98" s="76"/>
      <c r="HI98" s="76"/>
      <c r="HJ98" s="76"/>
      <c r="HK98" s="76"/>
      <c r="HL98" s="76"/>
      <c r="HM98" s="76"/>
      <c r="HN98" s="76"/>
      <c r="HO98" s="76"/>
      <c r="HP98" s="76"/>
      <c r="HQ98" s="76"/>
      <c r="HR98" s="76"/>
      <c r="HS98" s="76"/>
      <c r="HT98" s="76"/>
      <c r="HU98" s="76"/>
      <c r="HV98" s="76"/>
      <c r="HW98" s="76"/>
      <c r="HX98" s="76"/>
      <c r="HY98" s="76"/>
      <c r="HZ98" s="76"/>
      <c r="IA98" s="76"/>
      <c r="IB98" s="76"/>
      <c r="IC98" s="76"/>
      <c r="ID98" s="76"/>
      <c r="IE98" s="76"/>
      <c r="IF98" s="76"/>
      <c r="IG98" s="76"/>
      <c r="IH98" s="76"/>
      <c r="II98" s="76"/>
      <c r="IJ98" s="76"/>
      <c r="IK98" s="76"/>
      <c r="IL98" s="76"/>
      <c r="IM98" s="76"/>
      <c r="IN98" s="76"/>
      <c r="IO98" s="76"/>
      <c r="IP98" s="76"/>
      <c r="IQ98" s="76"/>
      <c r="IR98" s="76"/>
      <c r="IS98" s="76"/>
      <c r="IT98" s="76"/>
      <c r="IU98" s="76"/>
      <c r="IV98" s="76"/>
      <c r="IW98" s="76"/>
    </row>
    <row r="99" customFormat="false" ht="12.75" hidden="false" customHeight="false" outlineLevel="0" collapsed="false">
      <c r="A99" s="76"/>
      <c r="B99" s="77" t="s">
        <v>201</v>
      </c>
      <c r="C99" s="78" t="s">
        <v>62</v>
      </c>
      <c r="D99" s="78" t="s">
        <v>239</v>
      </c>
      <c r="E99" s="79" t="n">
        <v>36678</v>
      </c>
      <c r="F99" s="79" t="n">
        <v>36707</v>
      </c>
      <c r="G99" s="77" t="s">
        <v>309</v>
      </c>
      <c r="H99" s="77" t="s">
        <v>315</v>
      </c>
      <c r="I99" s="78" t="s">
        <v>310</v>
      </c>
      <c r="J99" s="80" t="n">
        <f aca="false">7.5654/J$1</f>
        <v>0.244045161290323</v>
      </c>
      <c r="K99" s="81" t="n">
        <v>0</v>
      </c>
      <c r="L99" s="81" t="n">
        <v>0.0022</v>
      </c>
      <c r="M99" s="81" t="n">
        <v>0</v>
      </c>
      <c r="N99" s="81" t="n">
        <v>0</v>
      </c>
      <c r="O99" s="82" t="n">
        <v>0</v>
      </c>
      <c r="P99" s="81" t="n">
        <f aca="false">SUM(J99:N99)</f>
        <v>0.246245161290323</v>
      </c>
      <c r="Q99" s="83" t="s">
        <v>318</v>
      </c>
      <c r="R99" s="110" t="n">
        <v>66</v>
      </c>
      <c r="S99" s="77" t="s">
        <v>319</v>
      </c>
      <c r="T99" s="109" t="n">
        <f aca="false">J99*J$1*R99</f>
        <v>499.3164</v>
      </c>
      <c r="U99" s="84"/>
      <c r="V99" s="85" t="n">
        <v>276525</v>
      </c>
      <c r="W99" s="77"/>
      <c r="X99" s="86"/>
      <c r="Y99" s="8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  <c r="EU99" s="76"/>
      <c r="EV99" s="76"/>
      <c r="EW99" s="76"/>
      <c r="EX99" s="76"/>
      <c r="EY99" s="76"/>
      <c r="EZ99" s="76"/>
      <c r="FA99" s="76"/>
      <c r="FB99" s="76"/>
      <c r="FC99" s="76"/>
      <c r="FD99" s="76"/>
      <c r="FE99" s="76"/>
      <c r="FF99" s="76"/>
      <c r="FG99" s="76"/>
      <c r="FH99" s="76"/>
      <c r="FI99" s="76"/>
      <c r="FJ99" s="76"/>
      <c r="FK99" s="76"/>
      <c r="FL99" s="76"/>
      <c r="FM99" s="76"/>
      <c r="FN99" s="76"/>
      <c r="FO99" s="76"/>
      <c r="FP99" s="76"/>
      <c r="FQ99" s="76"/>
      <c r="FR99" s="76"/>
      <c r="FS99" s="76"/>
      <c r="FT99" s="76"/>
      <c r="FU99" s="76"/>
      <c r="FV99" s="76"/>
      <c r="FW99" s="76"/>
      <c r="FX99" s="76"/>
      <c r="FY99" s="76"/>
      <c r="FZ99" s="76"/>
      <c r="GA99" s="76"/>
      <c r="GB99" s="76"/>
      <c r="GC99" s="76"/>
      <c r="GD99" s="76"/>
      <c r="GE99" s="76"/>
      <c r="GF99" s="76"/>
      <c r="GG99" s="76"/>
      <c r="GH99" s="76"/>
      <c r="GI99" s="76"/>
      <c r="GJ99" s="76"/>
      <c r="GK99" s="76"/>
      <c r="GL99" s="76"/>
      <c r="GM99" s="76"/>
      <c r="GN99" s="76"/>
      <c r="GO99" s="76"/>
      <c r="GP99" s="76"/>
      <c r="GQ99" s="76"/>
      <c r="GR99" s="76"/>
      <c r="GS99" s="76"/>
      <c r="GT99" s="76"/>
      <c r="GU99" s="76"/>
      <c r="GV99" s="76"/>
      <c r="GW99" s="76"/>
      <c r="GX99" s="76"/>
      <c r="GY99" s="76"/>
      <c r="GZ99" s="76"/>
      <c r="HA99" s="76"/>
      <c r="HB99" s="76"/>
      <c r="HC99" s="76"/>
      <c r="HD99" s="76"/>
      <c r="HE99" s="76"/>
      <c r="HF99" s="76"/>
      <c r="HG99" s="76"/>
      <c r="HH99" s="76"/>
      <c r="HI99" s="76"/>
      <c r="HJ99" s="76"/>
      <c r="HK99" s="76"/>
      <c r="HL99" s="76"/>
      <c r="HM99" s="76"/>
      <c r="HN99" s="76"/>
      <c r="HO99" s="76"/>
      <c r="HP99" s="76"/>
      <c r="HQ99" s="76"/>
      <c r="HR99" s="76"/>
      <c r="HS99" s="76"/>
      <c r="HT99" s="76"/>
      <c r="HU99" s="76"/>
      <c r="HV99" s="76"/>
      <c r="HW99" s="76"/>
      <c r="HX99" s="76"/>
      <c r="HY99" s="76"/>
      <c r="HZ99" s="76"/>
      <c r="IA99" s="76"/>
      <c r="IB99" s="76"/>
      <c r="IC99" s="76"/>
      <c r="ID99" s="76"/>
      <c r="IE99" s="76"/>
      <c r="IF99" s="76"/>
      <c r="IG99" s="76"/>
      <c r="IH99" s="76"/>
      <c r="II99" s="76"/>
      <c r="IJ99" s="76"/>
      <c r="IK99" s="76"/>
      <c r="IL99" s="76"/>
      <c r="IM99" s="76"/>
      <c r="IN99" s="76"/>
      <c r="IO99" s="76"/>
      <c r="IP99" s="76"/>
      <c r="IQ99" s="76"/>
      <c r="IR99" s="76"/>
      <c r="IS99" s="76"/>
      <c r="IT99" s="76"/>
      <c r="IU99" s="76"/>
      <c r="IV99" s="76"/>
      <c r="IW99" s="76"/>
    </row>
    <row r="100" customFormat="false" ht="12.75" hidden="false" customHeight="false" outlineLevel="0" collapsed="false">
      <c r="A100" s="76"/>
      <c r="B100" s="77" t="s">
        <v>201</v>
      </c>
      <c r="C100" s="78" t="s">
        <v>62</v>
      </c>
      <c r="D100" s="78" t="s">
        <v>239</v>
      </c>
      <c r="E100" s="79" t="n">
        <v>36678</v>
      </c>
      <c r="F100" s="79" t="n">
        <v>36707</v>
      </c>
      <c r="G100" s="77" t="s">
        <v>313</v>
      </c>
      <c r="H100" s="77" t="s">
        <v>315</v>
      </c>
      <c r="I100" s="78" t="s">
        <v>310</v>
      </c>
      <c r="J100" s="80" t="n">
        <f aca="false">7.5654/J$1</f>
        <v>0.244045161290323</v>
      </c>
      <c r="K100" s="81" t="n">
        <v>0</v>
      </c>
      <c r="L100" s="81" t="n">
        <v>0.0022</v>
      </c>
      <c r="M100" s="81" t="n">
        <v>0</v>
      </c>
      <c r="N100" s="81" t="n">
        <v>0</v>
      </c>
      <c r="O100" s="82" t="n">
        <v>0</v>
      </c>
      <c r="P100" s="81" t="n">
        <f aca="false">SUM(J100:N100)</f>
        <v>0.246245161290323</v>
      </c>
      <c r="Q100" s="83" t="s">
        <v>318</v>
      </c>
      <c r="R100" s="78" t="n">
        <v>99</v>
      </c>
      <c r="S100" s="77" t="s">
        <v>319</v>
      </c>
      <c r="T100" s="109" t="n">
        <f aca="false">J100*J$1*R100</f>
        <v>748.9746</v>
      </c>
      <c r="U100" s="84"/>
      <c r="V100" s="85" t="n">
        <v>276525</v>
      </c>
      <c r="W100" s="77"/>
      <c r="X100" s="86"/>
      <c r="Y100" s="8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  <c r="ET100" s="76"/>
      <c r="EU100" s="76"/>
      <c r="EV100" s="76"/>
      <c r="EW100" s="76"/>
      <c r="EX100" s="76"/>
      <c r="EY100" s="76"/>
      <c r="EZ100" s="76"/>
      <c r="FA100" s="76"/>
      <c r="FB100" s="76"/>
      <c r="FC100" s="76"/>
      <c r="FD100" s="76"/>
      <c r="FE100" s="76"/>
      <c r="FF100" s="76"/>
      <c r="FG100" s="76"/>
      <c r="FH100" s="76"/>
      <c r="FI100" s="76"/>
      <c r="FJ100" s="76"/>
      <c r="FK100" s="76"/>
      <c r="FL100" s="76"/>
      <c r="FM100" s="76"/>
      <c r="FN100" s="76"/>
      <c r="FO100" s="76"/>
      <c r="FP100" s="76"/>
      <c r="FQ100" s="76"/>
      <c r="FR100" s="76"/>
      <c r="FS100" s="76"/>
      <c r="FT100" s="76"/>
      <c r="FU100" s="76"/>
      <c r="FV100" s="76"/>
      <c r="FW100" s="76"/>
      <c r="FX100" s="76"/>
      <c r="FY100" s="76"/>
      <c r="FZ100" s="76"/>
      <c r="GA100" s="76"/>
      <c r="GB100" s="76"/>
      <c r="GC100" s="76"/>
      <c r="GD100" s="76"/>
      <c r="GE100" s="76"/>
      <c r="GF100" s="76"/>
      <c r="GG100" s="76"/>
      <c r="GH100" s="76"/>
      <c r="GI100" s="76"/>
      <c r="GJ100" s="76"/>
      <c r="GK100" s="76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76"/>
      <c r="HO100" s="76"/>
      <c r="HP100" s="76"/>
      <c r="HQ100" s="76"/>
      <c r="HR100" s="76"/>
      <c r="HS100" s="76"/>
      <c r="HT100" s="76"/>
      <c r="HU100" s="76"/>
      <c r="HV100" s="76"/>
      <c r="HW100" s="76"/>
      <c r="HX100" s="76"/>
      <c r="HY100" s="76"/>
      <c r="HZ100" s="76"/>
      <c r="IA100" s="76"/>
      <c r="IB100" s="76"/>
      <c r="IC100" s="76"/>
      <c r="ID100" s="76"/>
      <c r="IE100" s="76"/>
      <c r="IF100" s="76"/>
      <c r="IG100" s="76"/>
      <c r="IH100" s="76"/>
      <c r="II100" s="76"/>
      <c r="IJ100" s="76"/>
      <c r="IK100" s="76"/>
      <c r="IL100" s="76"/>
      <c r="IM100" s="76"/>
      <c r="IN100" s="76"/>
      <c r="IO100" s="76"/>
      <c r="IP100" s="76"/>
      <c r="IQ100" s="76"/>
      <c r="IR100" s="76"/>
      <c r="IS100" s="76"/>
      <c r="IT100" s="76"/>
      <c r="IU100" s="76"/>
      <c r="IV100" s="76"/>
      <c r="IW100" s="76"/>
    </row>
    <row r="101" customFormat="false" ht="12.75" hidden="false" customHeight="false" outlineLevel="0" collapsed="false">
      <c r="A101" s="76"/>
      <c r="B101" s="77" t="s">
        <v>201</v>
      </c>
      <c r="C101" s="78" t="s">
        <v>62</v>
      </c>
      <c r="D101" s="78" t="s">
        <v>239</v>
      </c>
      <c r="E101" s="79" t="n">
        <v>36678</v>
      </c>
      <c r="F101" s="79" t="n">
        <v>36707</v>
      </c>
      <c r="G101" s="77" t="s">
        <v>314</v>
      </c>
      <c r="H101" s="77" t="s">
        <v>315</v>
      </c>
      <c r="I101" s="78" t="s">
        <v>310</v>
      </c>
      <c r="J101" s="80" t="n">
        <f aca="false">7.5654/J$1</f>
        <v>0.244045161290323</v>
      </c>
      <c r="K101" s="81" t="n">
        <v>0</v>
      </c>
      <c r="L101" s="81" t="n">
        <v>0.0022</v>
      </c>
      <c r="M101" s="81" t="n">
        <v>0</v>
      </c>
      <c r="N101" s="81" t="n">
        <v>0</v>
      </c>
      <c r="O101" s="82" t="n">
        <v>0</v>
      </c>
      <c r="P101" s="81" t="n">
        <f aca="false">SUM(J101:N101)</f>
        <v>0.246245161290323</v>
      </c>
      <c r="Q101" s="83" t="s">
        <v>318</v>
      </c>
      <c r="R101" s="78" t="n">
        <f aca="false">74+152</f>
        <v>226</v>
      </c>
      <c r="S101" s="77" t="s">
        <v>319</v>
      </c>
      <c r="T101" s="109" t="n">
        <f aca="false">J101*J$1*R101</f>
        <v>1709.7804</v>
      </c>
      <c r="U101" s="84"/>
      <c r="V101" s="85" t="n">
        <v>276525</v>
      </c>
      <c r="W101" s="77"/>
      <c r="X101" s="86"/>
      <c r="Y101" s="8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  <c r="DZ101" s="76"/>
      <c r="EA101" s="76"/>
      <c r="EB101" s="76"/>
      <c r="EC101" s="76"/>
      <c r="ED101" s="76"/>
      <c r="EE101" s="76"/>
      <c r="EF101" s="76"/>
      <c r="EG101" s="76"/>
      <c r="EH101" s="76"/>
      <c r="EI101" s="76"/>
      <c r="EJ101" s="76"/>
      <c r="EK101" s="76"/>
      <c r="EL101" s="76"/>
      <c r="EM101" s="76"/>
      <c r="EN101" s="76"/>
      <c r="EO101" s="76"/>
      <c r="EP101" s="76"/>
      <c r="EQ101" s="76"/>
      <c r="ER101" s="76"/>
      <c r="ES101" s="76"/>
      <c r="ET101" s="76"/>
      <c r="EU101" s="76"/>
      <c r="EV101" s="76"/>
      <c r="EW101" s="76"/>
      <c r="EX101" s="76"/>
      <c r="EY101" s="76"/>
      <c r="EZ101" s="76"/>
      <c r="FA101" s="76"/>
      <c r="FB101" s="76"/>
      <c r="FC101" s="76"/>
      <c r="FD101" s="76"/>
      <c r="FE101" s="76"/>
      <c r="FF101" s="76"/>
      <c r="FG101" s="76"/>
      <c r="FH101" s="76"/>
      <c r="FI101" s="76"/>
      <c r="FJ101" s="76"/>
      <c r="FK101" s="76"/>
      <c r="FL101" s="76"/>
      <c r="FM101" s="76"/>
      <c r="FN101" s="76"/>
      <c r="FO101" s="76"/>
      <c r="FP101" s="76"/>
      <c r="FQ101" s="76"/>
      <c r="FR101" s="76"/>
      <c r="FS101" s="76"/>
      <c r="FT101" s="76"/>
      <c r="FU101" s="76"/>
      <c r="FV101" s="76"/>
      <c r="FW101" s="76"/>
      <c r="FX101" s="76"/>
      <c r="FY101" s="76"/>
      <c r="FZ101" s="76"/>
      <c r="GA101" s="76"/>
      <c r="GB101" s="76"/>
      <c r="GC101" s="76"/>
      <c r="GD101" s="76"/>
      <c r="GE101" s="76"/>
      <c r="GF101" s="76"/>
      <c r="GG101" s="76"/>
      <c r="GH101" s="76"/>
      <c r="GI101" s="76"/>
      <c r="GJ101" s="76"/>
      <c r="GK101" s="76"/>
      <c r="GL101" s="76"/>
      <c r="GM101" s="76"/>
      <c r="GN101" s="76"/>
      <c r="GO101" s="76"/>
      <c r="GP101" s="76"/>
      <c r="GQ101" s="76"/>
      <c r="GR101" s="76"/>
      <c r="GS101" s="76"/>
      <c r="GT101" s="76"/>
      <c r="GU101" s="76"/>
      <c r="GV101" s="76"/>
      <c r="GW101" s="76"/>
      <c r="GX101" s="76"/>
      <c r="GY101" s="76"/>
      <c r="GZ101" s="76"/>
      <c r="HA101" s="76"/>
      <c r="HB101" s="76"/>
      <c r="HC101" s="76"/>
      <c r="HD101" s="76"/>
      <c r="HE101" s="76"/>
      <c r="HF101" s="76"/>
      <c r="HG101" s="76"/>
      <c r="HH101" s="76"/>
      <c r="HI101" s="76"/>
      <c r="HJ101" s="76"/>
      <c r="HK101" s="76"/>
      <c r="HL101" s="76"/>
      <c r="HM101" s="76"/>
      <c r="HN101" s="76"/>
      <c r="HO101" s="76"/>
      <c r="HP101" s="76"/>
      <c r="HQ101" s="76"/>
      <c r="HR101" s="76"/>
      <c r="HS101" s="76"/>
      <c r="HT101" s="76"/>
      <c r="HU101" s="76"/>
      <c r="HV101" s="76"/>
      <c r="HW101" s="76"/>
      <c r="HX101" s="76"/>
      <c r="HY101" s="76"/>
      <c r="HZ101" s="76"/>
      <c r="IA101" s="76"/>
      <c r="IB101" s="76"/>
      <c r="IC101" s="76"/>
      <c r="ID101" s="76"/>
      <c r="IE101" s="76"/>
      <c r="IF101" s="76"/>
      <c r="IG101" s="76"/>
      <c r="IH101" s="76"/>
      <c r="II101" s="76"/>
      <c r="IJ101" s="76"/>
      <c r="IK101" s="76"/>
      <c r="IL101" s="76"/>
      <c r="IM101" s="76"/>
      <c r="IN101" s="76"/>
      <c r="IO101" s="76"/>
      <c r="IP101" s="76"/>
      <c r="IQ101" s="76"/>
      <c r="IR101" s="76"/>
      <c r="IS101" s="76"/>
      <c r="IT101" s="76"/>
      <c r="IU101" s="76"/>
      <c r="IV101" s="76"/>
      <c r="IW101" s="76"/>
    </row>
    <row r="102" customFormat="false" ht="12.75" hidden="false" customHeight="false" outlineLevel="0" collapsed="false">
      <c r="A102" s="76"/>
      <c r="B102" s="77" t="s">
        <v>201</v>
      </c>
      <c r="C102" s="78" t="s">
        <v>62</v>
      </c>
      <c r="D102" s="78" t="s">
        <v>239</v>
      </c>
      <c r="E102" s="79" t="n">
        <v>36678</v>
      </c>
      <c r="F102" s="79" t="n">
        <v>36707</v>
      </c>
      <c r="G102" s="77" t="s">
        <v>320</v>
      </c>
      <c r="H102" s="77" t="s">
        <v>315</v>
      </c>
      <c r="I102" s="78" t="s">
        <v>321</v>
      </c>
      <c r="J102" s="80" t="n">
        <f aca="false">14.18/30</f>
        <v>0.472666666666667</v>
      </c>
      <c r="K102" s="81" t="n">
        <v>0</v>
      </c>
      <c r="L102" s="81" t="n">
        <v>0.0022</v>
      </c>
      <c r="M102" s="81" t="n">
        <v>0</v>
      </c>
      <c r="N102" s="81" t="n">
        <v>0</v>
      </c>
      <c r="O102" s="82" t="n">
        <v>0</v>
      </c>
      <c r="P102" s="81" t="n">
        <f aca="false">SUM(J102:N102)</f>
        <v>0.474866666666667</v>
      </c>
      <c r="Q102" s="111" t="s">
        <v>322</v>
      </c>
      <c r="R102" s="78" t="n">
        <v>5157</v>
      </c>
      <c r="S102" s="77" t="s">
        <v>323</v>
      </c>
      <c r="T102" s="109" t="n">
        <f aca="false">J102*J$1*R102</f>
        <v>75563.802</v>
      </c>
      <c r="U102" s="84"/>
      <c r="V102" s="85" t="n">
        <v>276509</v>
      </c>
      <c r="W102" s="77"/>
      <c r="X102" s="86"/>
      <c r="Y102" s="8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6"/>
      <c r="ET102" s="76"/>
      <c r="EU102" s="76"/>
      <c r="EV102" s="76"/>
      <c r="EW102" s="76"/>
      <c r="EX102" s="76"/>
      <c r="EY102" s="76"/>
      <c r="EZ102" s="76"/>
      <c r="FA102" s="76"/>
      <c r="FB102" s="76"/>
      <c r="FC102" s="76"/>
      <c r="FD102" s="76"/>
      <c r="FE102" s="76"/>
      <c r="FF102" s="76"/>
      <c r="FG102" s="76"/>
      <c r="FH102" s="76"/>
      <c r="FI102" s="76"/>
      <c r="FJ102" s="76"/>
      <c r="FK102" s="76"/>
      <c r="FL102" s="76"/>
      <c r="FM102" s="76"/>
      <c r="FN102" s="76"/>
      <c r="FO102" s="76"/>
      <c r="FP102" s="76"/>
      <c r="FQ102" s="76"/>
      <c r="FR102" s="76"/>
      <c r="FS102" s="76"/>
      <c r="FT102" s="76"/>
      <c r="FU102" s="76"/>
      <c r="FV102" s="76"/>
      <c r="FW102" s="76"/>
      <c r="FX102" s="76"/>
      <c r="FY102" s="76"/>
      <c r="FZ102" s="76"/>
      <c r="GA102" s="76"/>
      <c r="GB102" s="76"/>
      <c r="GC102" s="76"/>
      <c r="GD102" s="76"/>
      <c r="GE102" s="76"/>
      <c r="GF102" s="76"/>
      <c r="GG102" s="76"/>
      <c r="GH102" s="76"/>
      <c r="GI102" s="76"/>
      <c r="GJ102" s="76"/>
      <c r="GK102" s="76"/>
      <c r="GL102" s="76"/>
      <c r="GM102" s="76"/>
      <c r="GN102" s="76"/>
      <c r="GO102" s="76"/>
      <c r="GP102" s="76"/>
      <c r="GQ102" s="76"/>
      <c r="GR102" s="76"/>
      <c r="GS102" s="76"/>
      <c r="GT102" s="76"/>
      <c r="GU102" s="76"/>
      <c r="GV102" s="76"/>
      <c r="GW102" s="76"/>
      <c r="GX102" s="76"/>
      <c r="GY102" s="76"/>
      <c r="GZ102" s="76"/>
      <c r="HA102" s="76"/>
      <c r="HB102" s="76"/>
      <c r="HC102" s="76"/>
      <c r="HD102" s="76"/>
      <c r="HE102" s="76"/>
      <c r="HF102" s="76"/>
      <c r="HG102" s="76"/>
      <c r="HH102" s="76"/>
      <c r="HI102" s="76"/>
      <c r="HJ102" s="76"/>
      <c r="HK102" s="76"/>
      <c r="HL102" s="76"/>
      <c r="HM102" s="76"/>
      <c r="HN102" s="76"/>
      <c r="HO102" s="76"/>
      <c r="HP102" s="76"/>
      <c r="HQ102" s="76"/>
      <c r="HR102" s="76"/>
      <c r="HS102" s="76"/>
      <c r="HT102" s="76"/>
      <c r="HU102" s="76"/>
      <c r="HV102" s="76"/>
      <c r="HW102" s="76"/>
      <c r="HX102" s="76"/>
      <c r="HY102" s="76"/>
      <c r="HZ102" s="76"/>
      <c r="IA102" s="76"/>
      <c r="IB102" s="76"/>
      <c r="IC102" s="76"/>
      <c r="ID102" s="76"/>
      <c r="IE102" s="76"/>
      <c r="IF102" s="76"/>
      <c r="IG102" s="76"/>
      <c r="IH102" s="76"/>
      <c r="II102" s="76"/>
      <c r="IJ102" s="76"/>
      <c r="IK102" s="76"/>
      <c r="IL102" s="76"/>
      <c r="IM102" s="76"/>
      <c r="IN102" s="76"/>
      <c r="IO102" s="76"/>
      <c r="IP102" s="76"/>
      <c r="IQ102" s="76"/>
      <c r="IR102" s="76"/>
      <c r="IS102" s="76"/>
      <c r="IT102" s="76"/>
      <c r="IU102" s="76"/>
      <c r="IV102" s="76"/>
      <c r="IW102" s="76"/>
    </row>
    <row r="103" customFormat="false" ht="12.75" hidden="false" customHeight="false" outlineLevel="0" collapsed="false">
      <c r="A103" s="76"/>
      <c r="B103" s="77" t="s">
        <v>201</v>
      </c>
      <c r="C103" s="78" t="s">
        <v>62</v>
      </c>
      <c r="D103" s="78" t="s">
        <v>239</v>
      </c>
      <c r="E103" s="79" t="n">
        <v>36678</v>
      </c>
      <c r="F103" s="79" t="n">
        <v>36707</v>
      </c>
      <c r="G103" s="77" t="s">
        <v>324</v>
      </c>
      <c r="H103" s="77"/>
      <c r="I103" s="78" t="s">
        <v>325</v>
      </c>
      <c r="J103" s="80" t="n">
        <v>0.0079</v>
      </c>
      <c r="K103" s="81" t="n">
        <v>0</v>
      </c>
      <c r="L103" s="81" t="n">
        <v>0.0022</v>
      </c>
      <c r="M103" s="81" t="n">
        <v>0</v>
      </c>
      <c r="N103" s="81" t="n">
        <v>0</v>
      </c>
      <c r="O103" s="82" t="n">
        <v>0</v>
      </c>
      <c r="P103" s="81" t="n">
        <f aca="false">SUM(J103:N103)</f>
        <v>0.0101</v>
      </c>
      <c r="Q103" s="76"/>
      <c r="R103" s="78" t="n">
        <v>376727</v>
      </c>
      <c r="S103" s="77" t="s">
        <v>326</v>
      </c>
      <c r="T103" s="112" t="n">
        <f aca="false">+R103*J103</f>
        <v>2976.1433</v>
      </c>
      <c r="U103" s="84"/>
      <c r="V103" s="85" t="n">
        <v>277979</v>
      </c>
      <c r="W103" s="77"/>
      <c r="X103" s="86"/>
      <c r="Y103" s="8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76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6"/>
      <c r="DM103" s="76"/>
      <c r="DN103" s="76"/>
      <c r="DO103" s="76"/>
      <c r="DP103" s="76"/>
      <c r="DQ103" s="76"/>
      <c r="DR103" s="76"/>
      <c r="DS103" s="76"/>
      <c r="DT103" s="76"/>
      <c r="DU103" s="76"/>
      <c r="DV103" s="76"/>
      <c r="DW103" s="76"/>
      <c r="DX103" s="76"/>
      <c r="DY103" s="76"/>
      <c r="DZ103" s="76"/>
      <c r="EA103" s="76"/>
      <c r="EB103" s="76"/>
      <c r="EC103" s="76"/>
      <c r="ED103" s="76"/>
      <c r="EE103" s="76"/>
      <c r="EF103" s="76"/>
      <c r="EG103" s="76"/>
      <c r="EH103" s="76"/>
      <c r="EI103" s="76"/>
      <c r="EJ103" s="76"/>
      <c r="EK103" s="76"/>
      <c r="EL103" s="76"/>
      <c r="EM103" s="76"/>
      <c r="EN103" s="76"/>
      <c r="EO103" s="76"/>
      <c r="EP103" s="76"/>
      <c r="EQ103" s="76"/>
      <c r="ER103" s="76"/>
      <c r="ES103" s="76"/>
      <c r="ET103" s="76"/>
      <c r="EU103" s="76"/>
      <c r="EV103" s="76"/>
      <c r="EW103" s="76"/>
      <c r="EX103" s="76"/>
      <c r="EY103" s="76"/>
      <c r="EZ103" s="76"/>
      <c r="FA103" s="76"/>
      <c r="FB103" s="76"/>
      <c r="FC103" s="76"/>
      <c r="FD103" s="76"/>
      <c r="FE103" s="76"/>
      <c r="FF103" s="76"/>
      <c r="FG103" s="76"/>
      <c r="FH103" s="76"/>
      <c r="FI103" s="76"/>
      <c r="FJ103" s="76"/>
      <c r="FK103" s="76"/>
      <c r="FL103" s="76"/>
      <c r="FM103" s="76"/>
      <c r="FN103" s="76"/>
      <c r="FO103" s="76"/>
      <c r="FP103" s="76"/>
      <c r="FQ103" s="76"/>
      <c r="FR103" s="76"/>
      <c r="FS103" s="76"/>
      <c r="FT103" s="76"/>
      <c r="FU103" s="76"/>
      <c r="FV103" s="76"/>
      <c r="FW103" s="76"/>
      <c r="FX103" s="76"/>
      <c r="FY103" s="76"/>
      <c r="FZ103" s="76"/>
      <c r="GA103" s="76"/>
      <c r="GB103" s="76"/>
      <c r="GC103" s="76"/>
      <c r="GD103" s="76"/>
      <c r="GE103" s="76"/>
      <c r="GF103" s="76"/>
      <c r="GG103" s="76"/>
      <c r="GH103" s="76"/>
      <c r="GI103" s="76"/>
      <c r="GJ103" s="76"/>
      <c r="GK103" s="76"/>
      <c r="GL103" s="76"/>
      <c r="GM103" s="76"/>
      <c r="GN103" s="76"/>
      <c r="GO103" s="76"/>
      <c r="GP103" s="76"/>
      <c r="GQ103" s="76"/>
      <c r="GR103" s="76"/>
      <c r="GS103" s="76"/>
      <c r="GT103" s="76"/>
      <c r="GU103" s="76"/>
      <c r="GV103" s="76"/>
      <c r="GW103" s="76"/>
      <c r="GX103" s="76"/>
      <c r="GY103" s="76"/>
      <c r="GZ103" s="76"/>
      <c r="HA103" s="76"/>
      <c r="HB103" s="76"/>
      <c r="HC103" s="76"/>
      <c r="HD103" s="76"/>
      <c r="HE103" s="76"/>
      <c r="HF103" s="76"/>
      <c r="HG103" s="76"/>
      <c r="HH103" s="76"/>
      <c r="HI103" s="76"/>
      <c r="HJ103" s="76"/>
      <c r="HK103" s="76"/>
      <c r="HL103" s="76"/>
      <c r="HM103" s="76"/>
      <c r="HN103" s="76"/>
      <c r="HO103" s="76"/>
      <c r="HP103" s="76"/>
      <c r="HQ103" s="76"/>
      <c r="HR103" s="76"/>
      <c r="HS103" s="76"/>
      <c r="HT103" s="76"/>
      <c r="HU103" s="76"/>
      <c r="HV103" s="76"/>
      <c r="HW103" s="76"/>
      <c r="HX103" s="76"/>
      <c r="HY103" s="76"/>
      <c r="HZ103" s="76"/>
      <c r="IA103" s="76"/>
      <c r="IB103" s="76"/>
      <c r="IC103" s="76"/>
      <c r="ID103" s="76"/>
      <c r="IE103" s="76"/>
      <c r="IF103" s="76"/>
      <c r="IG103" s="76"/>
      <c r="IH103" s="76"/>
      <c r="II103" s="76"/>
      <c r="IJ103" s="76"/>
      <c r="IK103" s="76"/>
      <c r="IL103" s="76"/>
      <c r="IM103" s="76"/>
      <c r="IN103" s="76"/>
      <c r="IO103" s="76"/>
      <c r="IP103" s="76"/>
      <c r="IQ103" s="76"/>
      <c r="IR103" s="76"/>
      <c r="IS103" s="76"/>
      <c r="IT103" s="76"/>
      <c r="IU103" s="76"/>
      <c r="IV103" s="76"/>
      <c r="IW103" s="76"/>
    </row>
    <row r="104" customFormat="false" ht="12.75" hidden="false" customHeight="false" outlineLevel="0" collapsed="false">
      <c r="A104" s="76"/>
      <c r="B104" s="77" t="s">
        <v>201</v>
      </c>
      <c r="C104" s="78" t="s">
        <v>62</v>
      </c>
      <c r="D104" s="78" t="s">
        <v>239</v>
      </c>
      <c r="E104" s="79" t="n">
        <v>36678</v>
      </c>
      <c r="F104" s="79" t="n">
        <v>36707</v>
      </c>
      <c r="G104" s="77" t="s">
        <v>327</v>
      </c>
      <c r="H104" s="77"/>
      <c r="I104" s="78" t="s">
        <v>325</v>
      </c>
      <c r="J104" s="80" t="n">
        <v>0.6673</v>
      </c>
      <c r="K104" s="81" t="n">
        <v>0</v>
      </c>
      <c r="L104" s="81" t="n">
        <v>0.0022</v>
      </c>
      <c r="M104" s="81" t="n">
        <v>0</v>
      </c>
      <c r="N104" s="81" t="n">
        <v>0</v>
      </c>
      <c r="O104" s="82" t="n">
        <v>0</v>
      </c>
      <c r="P104" s="81" t="n">
        <f aca="false">SUM(J104:N104)</f>
        <v>0.6695</v>
      </c>
      <c r="Q104" s="76"/>
      <c r="R104" s="78" t="n">
        <v>4432</v>
      </c>
      <c r="S104" s="77"/>
      <c r="T104" s="112" t="n">
        <f aca="false">+R104*J104</f>
        <v>2957.4736</v>
      </c>
      <c r="U104" s="84"/>
      <c r="V104" s="85" t="n">
        <v>277971</v>
      </c>
      <c r="W104" s="77"/>
      <c r="X104" s="86"/>
      <c r="Y104" s="8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6"/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76"/>
      <c r="FK104" s="76"/>
      <c r="FL104" s="76"/>
      <c r="FM104" s="76"/>
      <c r="FN104" s="76"/>
      <c r="FO104" s="76"/>
      <c r="FP104" s="76"/>
      <c r="FQ104" s="76"/>
      <c r="FR104" s="76"/>
      <c r="FS104" s="76"/>
      <c r="FT104" s="76"/>
      <c r="FU104" s="76"/>
      <c r="FV104" s="76"/>
      <c r="FW104" s="76"/>
      <c r="FX104" s="76"/>
      <c r="FY104" s="76"/>
      <c r="FZ104" s="76"/>
      <c r="GA104" s="76"/>
      <c r="GB104" s="76"/>
      <c r="GC104" s="76"/>
      <c r="GD104" s="76"/>
      <c r="GE104" s="76"/>
      <c r="GF104" s="76"/>
      <c r="GG104" s="76"/>
      <c r="GH104" s="76"/>
      <c r="GI104" s="76"/>
      <c r="GJ104" s="76"/>
      <c r="GK104" s="76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  <c r="IO104" s="76"/>
      <c r="IP104" s="76"/>
      <c r="IQ104" s="76"/>
      <c r="IR104" s="76"/>
      <c r="IS104" s="76"/>
      <c r="IT104" s="76"/>
      <c r="IU104" s="76"/>
      <c r="IV104" s="76"/>
      <c r="IW104" s="76"/>
    </row>
    <row r="105" customFormat="false" ht="12.75" hidden="false" customHeight="false" outlineLevel="0" collapsed="false">
      <c r="A105" s="76"/>
      <c r="B105" s="77" t="s">
        <v>201</v>
      </c>
      <c r="C105" s="78" t="s">
        <v>62</v>
      </c>
      <c r="D105" s="78" t="s">
        <v>239</v>
      </c>
      <c r="E105" s="79" t="n">
        <v>36678</v>
      </c>
      <c r="F105" s="79" t="n">
        <v>36707</v>
      </c>
      <c r="G105" s="77" t="s">
        <v>328</v>
      </c>
      <c r="H105" s="77"/>
      <c r="I105" s="78" t="s">
        <v>329</v>
      </c>
      <c r="J105" s="80" t="n">
        <v>0.0481</v>
      </c>
      <c r="K105" s="81" t="n">
        <v>0</v>
      </c>
      <c r="L105" s="81" t="n">
        <v>0.0022</v>
      </c>
      <c r="M105" s="81" t="n">
        <v>0</v>
      </c>
      <c r="N105" s="81" t="n">
        <v>0</v>
      </c>
      <c r="O105" s="82" t="n">
        <v>0</v>
      </c>
      <c r="P105" s="81" t="n">
        <f aca="false">SUM(J105:N105)</f>
        <v>0.0503</v>
      </c>
      <c r="Q105" s="76"/>
      <c r="R105" s="78" t="n">
        <v>19139</v>
      </c>
      <c r="S105" s="77"/>
      <c r="T105" s="112" t="n">
        <f aca="false">+J105*R105</f>
        <v>920.5859</v>
      </c>
      <c r="U105" s="84"/>
      <c r="V105" s="85" t="n">
        <v>277971</v>
      </c>
      <c r="W105" s="77"/>
      <c r="X105" s="86"/>
      <c r="Y105" s="8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6"/>
      <c r="EO105" s="76"/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6"/>
      <c r="FF105" s="76"/>
      <c r="FG105" s="76"/>
      <c r="FH105" s="76"/>
      <c r="FI105" s="76"/>
      <c r="FJ105" s="76"/>
      <c r="FK105" s="76"/>
      <c r="FL105" s="76"/>
      <c r="FM105" s="76"/>
      <c r="FN105" s="76"/>
      <c r="FO105" s="76"/>
      <c r="FP105" s="76"/>
      <c r="FQ105" s="76"/>
      <c r="FR105" s="76"/>
      <c r="FS105" s="76"/>
      <c r="FT105" s="76"/>
      <c r="FU105" s="76"/>
      <c r="FV105" s="76"/>
      <c r="FW105" s="76"/>
      <c r="FX105" s="76"/>
      <c r="FY105" s="76"/>
      <c r="FZ105" s="76"/>
      <c r="GA105" s="76"/>
      <c r="GB105" s="76"/>
      <c r="GC105" s="76"/>
      <c r="GD105" s="76"/>
      <c r="GE105" s="76"/>
      <c r="GF105" s="76"/>
      <c r="GG105" s="76"/>
      <c r="GH105" s="76"/>
      <c r="GI105" s="76"/>
      <c r="GJ105" s="76"/>
      <c r="GK105" s="76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76"/>
      <c r="HB105" s="76"/>
      <c r="HC105" s="76"/>
      <c r="HD105" s="76"/>
      <c r="HE105" s="76"/>
      <c r="HF105" s="76"/>
      <c r="HG105" s="76"/>
      <c r="HH105" s="76"/>
      <c r="HI105" s="76"/>
      <c r="HJ105" s="76"/>
      <c r="HK105" s="76"/>
      <c r="HL105" s="76"/>
      <c r="HM105" s="76"/>
      <c r="HN105" s="76"/>
      <c r="HO105" s="76"/>
      <c r="HP105" s="76"/>
      <c r="HQ105" s="76"/>
      <c r="HR105" s="76"/>
      <c r="HS105" s="76"/>
      <c r="HT105" s="76"/>
      <c r="HU105" s="76"/>
      <c r="HV105" s="76"/>
      <c r="HW105" s="76"/>
      <c r="HX105" s="76"/>
      <c r="HY105" s="76"/>
      <c r="HZ105" s="76"/>
      <c r="IA105" s="76"/>
      <c r="IB105" s="76"/>
      <c r="IC105" s="76"/>
      <c r="ID105" s="76"/>
      <c r="IE105" s="76"/>
      <c r="IF105" s="76"/>
      <c r="IG105" s="76"/>
      <c r="IH105" s="76"/>
      <c r="II105" s="76"/>
      <c r="IJ105" s="76"/>
      <c r="IK105" s="76"/>
      <c r="IL105" s="76"/>
      <c r="IM105" s="76"/>
      <c r="IN105" s="76"/>
      <c r="IO105" s="76"/>
      <c r="IP105" s="76"/>
      <c r="IQ105" s="76"/>
      <c r="IR105" s="76"/>
      <c r="IS105" s="76"/>
      <c r="IT105" s="76"/>
      <c r="IU105" s="76"/>
      <c r="IV105" s="76"/>
      <c r="IW105" s="76"/>
    </row>
    <row r="106" customFormat="false" ht="12.75" hidden="false" customHeight="false" outlineLevel="0" collapsed="false">
      <c r="A106" s="76"/>
      <c r="B106" s="77" t="s">
        <v>201</v>
      </c>
      <c r="C106" s="78" t="s">
        <v>62</v>
      </c>
      <c r="D106" s="78" t="s">
        <v>239</v>
      </c>
      <c r="E106" s="79" t="n">
        <v>36678</v>
      </c>
      <c r="F106" s="79" t="n">
        <v>36707</v>
      </c>
      <c r="G106" s="77" t="s">
        <v>330</v>
      </c>
      <c r="H106" s="77"/>
      <c r="I106" s="78" t="s">
        <v>329</v>
      </c>
      <c r="J106" s="80" t="n">
        <v>0.484</v>
      </c>
      <c r="K106" s="81" t="n">
        <v>0</v>
      </c>
      <c r="L106" s="81" t="n">
        <v>0.0022</v>
      </c>
      <c r="M106" s="81" t="n">
        <v>0</v>
      </c>
      <c r="N106" s="81" t="n">
        <v>0</v>
      </c>
      <c r="O106" s="82" t="n">
        <v>0</v>
      </c>
      <c r="P106" s="81" t="n">
        <f aca="false">SUM(J106:N106)</f>
        <v>0.4862</v>
      </c>
      <c r="Q106" s="76"/>
      <c r="R106" s="78" t="n">
        <v>1902</v>
      </c>
      <c r="S106" s="77" t="s">
        <v>331</v>
      </c>
      <c r="T106" s="112" t="n">
        <f aca="false">+J106*R106</f>
        <v>920.568</v>
      </c>
      <c r="U106" s="84"/>
      <c r="V106" s="85" t="n">
        <v>260640</v>
      </c>
      <c r="W106" s="77"/>
      <c r="X106" s="86"/>
      <c r="Y106" s="8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  <c r="IO106" s="76"/>
      <c r="IP106" s="76"/>
      <c r="IQ106" s="76"/>
      <c r="IR106" s="76"/>
      <c r="IS106" s="76"/>
      <c r="IT106" s="76"/>
      <c r="IU106" s="76"/>
      <c r="IV106" s="76"/>
      <c r="IW106" s="76"/>
    </row>
    <row r="107" customFormat="false" ht="12.75" hidden="false" customHeight="false" outlineLevel="0" collapsed="false">
      <c r="A107" s="76"/>
      <c r="B107" s="77" t="s">
        <v>249</v>
      </c>
      <c r="C107" s="78" t="s">
        <v>62</v>
      </c>
      <c r="D107" s="78" t="s">
        <v>251</v>
      </c>
      <c r="E107" s="79" t="n">
        <v>35977</v>
      </c>
      <c r="F107" s="79" t="n">
        <v>39599</v>
      </c>
      <c r="G107" s="77" t="s">
        <v>332</v>
      </c>
      <c r="H107" s="77" t="s">
        <v>333</v>
      </c>
      <c r="I107" s="78" t="s">
        <v>334</v>
      </c>
      <c r="J107" s="80" t="n">
        <f aca="false">4.7713/J$1</f>
        <v>0.153912903225806</v>
      </c>
      <c r="K107" s="81" t="n">
        <v>0</v>
      </c>
      <c r="L107" s="81" t="n">
        <v>0.0022</v>
      </c>
      <c r="M107" s="81" t="n">
        <v>0</v>
      </c>
      <c r="N107" s="81" t="n">
        <v>0</v>
      </c>
      <c r="O107" s="82" t="n">
        <v>0</v>
      </c>
      <c r="P107" s="81" t="n">
        <f aca="false">SUM(J107:N107)</f>
        <v>0.156112903225806</v>
      </c>
      <c r="Q107" s="83" t="s">
        <v>335</v>
      </c>
      <c r="R107" s="78" t="n">
        <v>15</v>
      </c>
      <c r="S107" s="77" t="s">
        <v>336</v>
      </c>
      <c r="T107" s="109" t="n">
        <f aca="false">J107*J$1*R107</f>
        <v>71.5695</v>
      </c>
      <c r="U107" s="84"/>
      <c r="V107" s="85" t="s">
        <v>337</v>
      </c>
      <c r="W107" s="77"/>
      <c r="X107" s="86"/>
      <c r="Y107" s="8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  <c r="IV107" s="76"/>
      <c r="IW107" s="76"/>
    </row>
    <row r="108" customFormat="false" ht="12.75" hidden="false" customHeight="false" outlineLevel="0" collapsed="false">
      <c r="A108" s="76"/>
      <c r="B108" s="77" t="s">
        <v>249</v>
      </c>
      <c r="C108" s="78" t="s">
        <v>62</v>
      </c>
      <c r="D108" s="78" t="s">
        <v>251</v>
      </c>
      <c r="E108" s="79" t="n">
        <v>36678</v>
      </c>
      <c r="F108" s="79" t="n">
        <v>39599</v>
      </c>
      <c r="G108" s="77" t="s">
        <v>332</v>
      </c>
      <c r="H108" s="77" t="s">
        <v>333</v>
      </c>
      <c r="I108" s="78" t="s">
        <v>334</v>
      </c>
      <c r="J108" s="80" t="n">
        <f aca="false">4.7713/J$1</f>
        <v>0.153912903225806</v>
      </c>
      <c r="K108" s="81" t="n">
        <v>0</v>
      </c>
      <c r="L108" s="81" t="n">
        <v>0.0022</v>
      </c>
      <c r="M108" s="81" t="n">
        <v>0</v>
      </c>
      <c r="N108" s="81" t="n">
        <v>0</v>
      </c>
      <c r="O108" s="82" t="n">
        <v>0</v>
      </c>
      <c r="P108" s="81" t="n">
        <f aca="false">SUM(J108:N108)</f>
        <v>0.156112903225806</v>
      </c>
      <c r="Q108" s="83" t="s">
        <v>338</v>
      </c>
      <c r="R108" s="78" t="n">
        <v>-15</v>
      </c>
      <c r="S108" s="77" t="s">
        <v>339</v>
      </c>
      <c r="T108" s="109" t="n">
        <f aca="false">J108*J$1*R108</f>
        <v>-71.5695</v>
      </c>
      <c r="U108" s="84"/>
      <c r="V108" s="85" t="n">
        <v>282820</v>
      </c>
      <c r="W108" s="77"/>
      <c r="X108" s="86"/>
      <c r="Y108" s="8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  <c r="IW108" s="76"/>
    </row>
    <row r="109" customFormat="false" ht="12.75" hidden="false" customHeight="false" outlineLevel="0" collapsed="false">
      <c r="A109" s="76"/>
      <c r="B109" s="77" t="s">
        <v>249</v>
      </c>
      <c r="C109" s="78" t="s">
        <v>62</v>
      </c>
      <c r="D109" s="78" t="s">
        <v>251</v>
      </c>
      <c r="E109" s="79" t="n">
        <v>36220</v>
      </c>
      <c r="F109" s="79" t="n">
        <v>39599</v>
      </c>
      <c r="G109" s="77" t="s">
        <v>332</v>
      </c>
      <c r="H109" s="77" t="s">
        <v>333</v>
      </c>
      <c r="I109" s="78" t="s">
        <v>334</v>
      </c>
      <c r="J109" s="80" t="n">
        <f aca="false">4.7713/J$1</f>
        <v>0.153912903225806</v>
      </c>
      <c r="K109" s="81" t="n">
        <v>0</v>
      </c>
      <c r="L109" s="81" t="n">
        <v>0.0022</v>
      </c>
      <c r="M109" s="81" t="n">
        <v>0</v>
      </c>
      <c r="N109" s="81" t="n">
        <v>0</v>
      </c>
      <c r="O109" s="82" t="n">
        <v>0</v>
      </c>
      <c r="P109" s="81" t="n">
        <f aca="false">SUM(J109:N109)</f>
        <v>0.156112903225806</v>
      </c>
      <c r="Q109" s="83" t="s">
        <v>340</v>
      </c>
      <c r="R109" s="78" t="n">
        <v>5</v>
      </c>
      <c r="S109" s="77" t="s">
        <v>341</v>
      </c>
      <c r="T109" s="109" t="n">
        <f aca="false">J109*J$1*R109</f>
        <v>23.8565</v>
      </c>
      <c r="U109" s="84"/>
      <c r="V109" s="85" t="s">
        <v>342</v>
      </c>
      <c r="W109" s="77"/>
      <c r="X109" s="86"/>
      <c r="Y109" s="8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  <c r="IV109" s="76"/>
      <c r="IW109" s="76"/>
    </row>
    <row r="110" customFormat="false" ht="12.75" hidden="false" customHeight="false" outlineLevel="0" collapsed="false">
      <c r="A110" s="76"/>
      <c r="B110" s="77" t="s">
        <v>249</v>
      </c>
      <c r="C110" s="78" t="s">
        <v>62</v>
      </c>
      <c r="D110" s="78" t="s">
        <v>251</v>
      </c>
      <c r="E110" s="79" t="n">
        <v>36678</v>
      </c>
      <c r="F110" s="79" t="n">
        <v>39599</v>
      </c>
      <c r="G110" s="77" t="s">
        <v>332</v>
      </c>
      <c r="H110" s="77" t="s">
        <v>333</v>
      </c>
      <c r="I110" s="78" t="s">
        <v>334</v>
      </c>
      <c r="J110" s="80" t="n">
        <f aca="false">4.7713/J$1</f>
        <v>0.153912903225806</v>
      </c>
      <c r="K110" s="81" t="n">
        <v>0</v>
      </c>
      <c r="L110" s="81" t="n">
        <v>0.0022</v>
      </c>
      <c r="M110" s="81" t="n">
        <v>0</v>
      </c>
      <c r="N110" s="81" t="n">
        <v>0</v>
      </c>
      <c r="O110" s="82" t="n">
        <v>0</v>
      </c>
      <c r="P110" s="81" t="n">
        <f aca="false">SUM(J110:N110)</f>
        <v>0.156112903225806</v>
      </c>
      <c r="Q110" s="83" t="s">
        <v>343</v>
      </c>
      <c r="R110" s="78" t="n">
        <v>-5</v>
      </c>
      <c r="S110" s="77" t="s">
        <v>344</v>
      </c>
      <c r="T110" s="109" t="n">
        <f aca="false">J110*J$1*R110</f>
        <v>-23.8565</v>
      </c>
      <c r="U110" s="84"/>
      <c r="V110" s="85" t="n">
        <v>282832</v>
      </c>
      <c r="W110" s="77"/>
      <c r="X110" s="86"/>
      <c r="Y110" s="8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  <c r="IV110" s="76"/>
      <c r="IW110" s="76"/>
    </row>
    <row r="111" customFormat="false" ht="12.75" hidden="false" customHeight="false" outlineLevel="0" collapsed="false">
      <c r="B111" s="40"/>
      <c r="C111" s="44"/>
      <c r="D111" s="44"/>
      <c r="E111" s="45"/>
      <c r="F111" s="45"/>
      <c r="G111" s="46"/>
      <c r="H111" s="46"/>
      <c r="I111" s="44"/>
      <c r="J111" s="58"/>
      <c r="K111" s="49"/>
      <c r="L111" s="49"/>
      <c r="M111" s="49"/>
      <c r="N111" s="49"/>
      <c r="O111" s="50"/>
      <c r="P111" s="49"/>
      <c r="Q111" s="106"/>
      <c r="R111" s="107"/>
      <c r="S111" s="53"/>
      <c r="T111" s="53" t="n">
        <f aca="false">SUM(T93:T110)</f>
        <v>135449.048</v>
      </c>
      <c r="U111" s="53"/>
      <c r="V111" s="54"/>
      <c r="W111" s="55"/>
      <c r="X111" s="56"/>
      <c r="Y111" s="56"/>
    </row>
    <row r="112" customFormat="false" ht="12.75" hidden="false" customHeight="false" outlineLevel="0" collapsed="false">
      <c r="B112" s="40"/>
      <c r="C112" s="44"/>
      <c r="D112" s="44"/>
      <c r="E112" s="45"/>
      <c r="F112" s="45"/>
      <c r="G112" s="46"/>
      <c r="H112" s="46"/>
      <c r="I112" s="44"/>
      <c r="J112" s="49"/>
      <c r="K112" s="49"/>
      <c r="L112" s="49"/>
      <c r="M112" s="49"/>
      <c r="N112" s="49"/>
      <c r="O112" s="50"/>
      <c r="P112" s="49"/>
      <c r="Q112" s="106"/>
      <c r="R112" s="107"/>
      <c r="S112" s="53"/>
      <c r="T112" s="53"/>
      <c r="U112" s="53"/>
      <c r="V112" s="54"/>
      <c r="W112" s="55"/>
      <c r="X112" s="56"/>
      <c r="Y112" s="56"/>
    </row>
    <row r="113" customFormat="false" ht="12.75" hidden="false" customHeight="false" outlineLevel="0" collapsed="false">
      <c r="B113" s="40"/>
      <c r="C113" s="44"/>
      <c r="D113" s="44"/>
      <c r="E113" s="45"/>
      <c r="F113" s="45"/>
      <c r="G113" s="46"/>
      <c r="H113" s="46"/>
      <c r="I113" s="44"/>
      <c r="J113" s="58"/>
      <c r="K113" s="49"/>
      <c r="L113" s="49"/>
      <c r="M113" s="49"/>
      <c r="N113" s="49"/>
      <c r="O113" s="50"/>
      <c r="P113" s="49"/>
      <c r="Q113" s="106"/>
      <c r="R113" s="107"/>
      <c r="S113" s="53"/>
      <c r="T113" s="53"/>
      <c r="U113" s="53"/>
      <c r="V113" s="54"/>
      <c r="W113" s="55"/>
      <c r="X113" s="56"/>
      <c r="Y113" s="56"/>
    </row>
    <row r="114" customFormat="false" ht="13.5" hidden="false" customHeight="false" outlineLevel="0" collapsed="false">
      <c r="B114" s="40"/>
      <c r="C114" s="44"/>
      <c r="D114" s="44"/>
      <c r="E114" s="45"/>
      <c r="F114" s="45"/>
      <c r="G114" s="46"/>
      <c r="H114" s="46"/>
      <c r="I114" s="44"/>
      <c r="J114" s="49"/>
      <c r="K114" s="49"/>
      <c r="L114" s="49"/>
      <c r="M114" s="49"/>
      <c r="N114" s="49"/>
      <c r="O114" s="50"/>
      <c r="P114" s="49"/>
      <c r="Q114" s="106"/>
      <c r="R114" s="107"/>
      <c r="S114" s="53"/>
      <c r="T114" s="113" t="n">
        <f aca="false">SUM(T111,T91,T86,T56,T45,T34)</f>
        <v>756023.305695484</v>
      </c>
      <c r="U114" s="53" t="s">
        <v>345</v>
      </c>
      <c r="V114" s="54"/>
      <c r="W114" s="55"/>
      <c r="X114" s="56"/>
      <c r="Y114" s="56"/>
    </row>
    <row r="115" customFormat="false" ht="13.5" hidden="false" customHeight="false" outlineLevel="0" collapsed="false">
      <c r="B115" s="40"/>
      <c r="C115" s="44"/>
      <c r="D115" s="44"/>
      <c r="E115" s="45"/>
      <c r="F115" s="45"/>
      <c r="G115" s="46"/>
      <c r="H115" s="46"/>
      <c r="I115" s="44"/>
      <c r="J115" s="49"/>
      <c r="K115" s="49"/>
      <c r="L115" s="49"/>
      <c r="M115" s="49"/>
      <c r="N115" s="49"/>
      <c r="O115" s="50"/>
      <c r="P115" s="49"/>
      <c r="Q115" s="106"/>
      <c r="R115" s="107"/>
      <c r="S115" s="53"/>
      <c r="T115" s="53"/>
      <c r="U115" s="55" t="s">
        <v>346</v>
      </c>
      <c r="V115" s="54"/>
      <c r="W115" s="55"/>
      <c r="X115" s="108"/>
      <c r="Y115" s="56"/>
    </row>
    <row r="116" customFormat="false" ht="12.75" hidden="false" customHeight="false" outlineLevel="0" collapsed="false">
      <c r="B116" s="40"/>
      <c r="C116" s="44"/>
      <c r="D116" s="44"/>
      <c r="E116" s="45"/>
      <c r="F116" s="45"/>
      <c r="G116" s="46"/>
      <c r="H116" s="46"/>
      <c r="I116" s="44"/>
      <c r="J116" s="49"/>
      <c r="K116" s="49"/>
      <c r="L116" s="49"/>
      <c r="M116" s="49"/>
      <c r="N116" s="49"/>
      <c r="O116" s="50"/>
      <c r="P116" s="49"/>
      <c r="Q116" s="106"/>
      <c r="R116" s="107"/>
      <c r="S116" s="53"/>
      <c r="T116" s="53"/>
      <c r="U116" s="53"/>
      <c r="V116" s="54"/>
      <c r="W116" s="55"/>
      <c r="X116" s="56"/>
      <c r="Y116" s="56"/>
    </row>
    <row r="117" customFormat="false" ht="12.75" hidden="false" customHeight="false" outlineLevel="0" collapsed="false">
      <c r="B117" s="40"/>
      <c r="C117" s="44"/>
      <c r="D117" s="44"/>
      <c r="E117" s="45"/>
      <c r="F117" s="45"/>
      <c r="G117" s="46"/>
      <c r="H117" s="46"/>
      <c r="I117" s="44"/>
      <c r="J117" s="49"/>
      <c r="K117" s="49"/>
      <c r="L117" s="49"/>
      <c r="M117" s="49"/>
      <c r="N117" s="49"/>
      <c r="O117" s="50"/>
      <c r="P117" s="49"/>
      <c r="Q117" s="106"/>
      <c r="R117" s="107"/>
      <c r="S117" s="53"/>
      <c r="T117" s="53"/>
      <c r="U117" s="53"/>
      <c r="V117" s="54"/>
      <c r="W117" s="55"/>
      <c r="X117" s="56"/>
      <c r="Y117" s="56"/>
    </row>
    <row r="118" customFormat="false" ht="12.75" hidden="false" customHeight="false" outlineLevel="0" collapsed="false">
      <c r="B118" s="40"/>
      <c r="C118" s="44"/>
      <c r="D118" s="44"/>
      <c r="E118" s="45"/>
      <c r="F118" s="45"/>
      <c r="G118" s="46"/>
      <c r="H118" s="46"/>
      <c r="I118" s="44"/>
      <c r="J118" s="58"/>
      <c r="K118" s="49"/>
      <c r="L118" s="49"/>
      <c r="M118" s="49"/>
      <c r="N118" s="49"/>
      <c r="O118" s="50"/>
      <c r="P118" s="49"/>
      <c r="Q118" s="106"/>
      <c r="R118" s="107"/>
      <c r="S118" s="108"/>
      <c r="T118" s="53"/>
      <c r="U118" s="53"/>
      <c r="V118" s="54"/>
      <c r="W118" s="55"/>
      <c r="X118" s="56"/>
      <c r="Y118" s="56"/>
    </row>
    <row r="119" customFormat="false" ht="12.75" hidden="false" customHeight="false" outlineLevel="0" collapsed="false">
      <c r="B119" s="40"/>
      <c r="C119" s="44"/>
      <c r="D119" s="44"/>
      <c r="E119" s="45"/>
      <c r="F119" s="45"/>
      <c r="G119" s="46"/>
      <c r="H119" s="46"/>
      <c r="I119" s="44"/>
      <c r="J119" s="58"/>
      <c r="K119" s="49"/>
      <c r="L119" s="49"/>
      <c r="M119" s="49"/>
      <c r="N119" s="49"/>
      <c r="O119" s="50"/>
      <c r="P119" s="49"/>
      <c r="Q119" s="106"/>
      <c r="R119" s="107"/>
      <c r="S119" s="108"/>
      <c r="T119" s="53"/>
      <c r="U119" s="53"/>
      <c r="V119" s="54"/>
      <c r="W119" s="55"/>
      <c r="X119" s="56"/>
      <c r="Y119" s="56"/>
    </row>
    <row r="120" customFormat="false" ht="12.75" hidden="false" customHeight="false" outlineLevel="0" collapsed="false">
      <c r="Q120" s="35"/>
      <c r="R120" s="35"/>
      <c r="S120" s="35"/>
      <c r="T120" s="35"/>
      <c r="U120" s="35"/>
      <c r="V120" s="114"/>
      <c r="W120" s="115"/>
      <c r="X120" s="114"/>
    </row>
    <row r="121" customFormat="false" ht="12.75" hidden="false" customHeight="false" outlineLevel="0" collapsed="false">
      <c r="Q121" s="35"/>
      <c r="R121" s="35"/>
      <c r="S121" s="35"/>
      <c r="T121" s="35"/>
      <c r="U121" s="35"/>
      <c r="V121" s="114"/>
      <c r="W121" s="115"/>
      <c r="X121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false" showOutlineSymbols="true" defaultGridColor="true" view="normal" topLeftCell="D20" colorId="64" zoomScale="100" zoomScaleNormal="100" zoomScalePageLayoutView="100" workbookViewId="0">
      <selection pane="topLeft" activeCell="R27" activeCellId="0" sqref="R27:R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99"/>
    <col collapsed="false" customWidth="false" hidden="false" outlineLevel="0" max="3" min="3" style="33" width="9.14"/>
    <col collapsed="false" customWidth="true" hidden="false" outlineLevel="0" max="4" min="4" style="33" width="10.56"/>
    <col collapsed="false" customWidth="true" hidden="false" outlineLevel="0" max="5" min="5" style="33" width="9.28"/>
    <col collapsed="false" customWidth="true" hidden="false" outlineLevel="0" max="6" min="6" style="33" width="9.56"/>
    <col collapsed="false" customWidth="true" hidden="false" outlineLevel="0" max="7" min="7" style="40" width="12.42"/>
    <col collapsed="false" customWidth="true" hidden="false" outlineLevel="0" max="8" min="8" style="40" width="16.42"/>
    <col collapsed="false" customWidth="true" hidden="false" outlineLevel="0" max="9" min="9" style="33" width="12.99"/>
    <col collapsed="false" customWidth="true" hidden="false" outlineLevel="0" max="10" min="10" style="33" width="7.7"/>
    <col collapsed="false" customWidth="true" hidden="true" outlineLevel="0" max="14" min="11" style="33" width="9.06"/>
    <col collapsed="false" customWidth="true" hidden="true" outlineLevel="0" max="15" min="15" style="41" width="9.06"/>
    <col collapsed="false" customWidth="true" hidden="true" outlineLevel="0" max="16" min="16" style="33" width="9.06"/>
    <col collapsed="false" customWidth="true" hidden="false" outlineLevel="0" max="17" min="17" style="33" width="14.28"/>
    <col collapsed="false" customWidth="true" hidden="false" outlineLevel="0" max="18" min="18" style="33" width="10.85"/>
    <col collapsed="false" customWidth="true" hidden="false" outlineLevel="0" max="19" min="19" style="33" width="12.28"/>
    <col collapsed="false" customWidth="true" hidden="false" outlineLevel="0" max="20" min="20" style="33" width="10.71"/>
    <col collapsed="false" customWidth="true" hidden="false" outlineLevel="0" max="21" min="21" style="33" width="11.85"/>
    <col collapsed="false" customWidth="true" hidden="false" outlineLevel="0" max="22" min="22" style="42" width="14.85"/>
    <col collapsed="false" customWidth="true" hidden="false" outlineLevel="0" max="23" min="23" style="40" width="42.28"/>
    <col collapsed="false" customWidth="false" hidden="false" outlineLevel="0" max="25" min="24" style="42" width="9.14"/>
    <col collapsed="false" customWidth="true" hidden="false" outlineLevel="0" max="26" min="26" style="33" width="12.42"/>
    <col collapsed="false" customWidth="false" hidden="false" outlineLevel="0" max="257" min="27" style="33" width="9.14"/>
  </cols>
  <sheetData>
    <row r="1" customFormat="false" ht="12.75" hidden="false" customHeight="false" outlineLevel="0" collapsed="false">
      <c r="B1" s="43" t="s">
        <v>173</v>
      </c>
      <c r="C1" s="44"/>
      <c r="D1" s="44"/>
      <c r="E1" s="45"/>
      <c r="F1" s="45"/>
      <c r="G1" s="46"/>
      <c r="H1" s="46"/>
      <c r="I1" s="44" t="s">
        <v>174</v>
      </c>
      <c r="J1" s="47" t="n">
        <v>31</v>
      </c>
      <c r="K1" s="48" t="s">
        <v>175</v>
      </c>
      <c r="L1" s="49"/>
      <c r="M1" s="49"/>
      <c r="N1" s="49"/>
      <c r="O1" s="50"/>
      <c r="P1" s="49"/>
      <c r="Q1" s="51"/>
      <c r="R1" s="52"/>
      <c r="S1" s="53"/>
      <c r="T1" s="53"/>
      <c r="U1" s="53"/>
      <c r="V1" s="54"/>
      <c r="W1" s="55"/>
      <c r="X1" s="56"/>
      <c r="Y1" s="56"/>
    </row>
    <row r="2" customFormat="false" ht="12.75" hidden="false" customHeight="false" outlineLevel="0" collapsed="false">
      <c r="B2" s="46" t="s">
        <v>176</v>
      </c>
      <c r="C2" s="46"/>
      <c r="D2" s="46"/>
      <c r="E2" s="45"/>
      <c r="F2" s="45"/>
      <c r="G2" s="46"/>
      <c r="H2" s="46"/>
      <c r="I2" s="44"/>
      <c r="J2" s="47"/>
      <c r="K2" s="48" t="s">
        <v>177</v>
      </c>
      <c r="L2" s="49"/>
      <c r="M2" s="49"/>
      <c r="N2" s="49"/>
      <c r="O2" s="50"/>
      <c r="P2" s="49"/>
      <c r="Q2" s="51"/>
      <c r="R2" s="52"/>
      <c r="S2" s="53"/>
      <c r="T2" s="53"/>
      <c r="U2" s="53"/>
      <c r="V2" s="54"/>
      <c r="W2" s="55"/>
      <c r="X2" s="56"/>
      <c r="Y2" s="56"/>
    </row>
    <row r="3" customFormat="false" ht="12.75" hidden="false" customHeight="false" outlineLevel="0" collapsed="false">
      <c r="B3" s="46" t="s">
        <v>178</v>
      </c>
      <c r="C3" s="46"/>
      <c r="D3" s="46"/>
      <c r="E3" s="45"/>
      <c r="F3" s="45"/>
      <c r="G3" s="57" t="s">
        <v>113</v>
      </c>
      <c r="H3" s="46" t="s">
        <v>113</v>
      </c>
      <c r="I3" s="52" t="s">
        <v>113</v>
      </c>
      <c r="J3" s="58"/>
      <c r="K3" s="59" t="s">
        <v>113</v>
      </c>
      <c r="L3" s="49"/>
      <c r="M3" s="59" t="s">
        <v>113</v>
      </c>
      <c r="N3" s="49"/>
      <c r="O3" s="50"/>
      <c r="P3" s="59" t="s">
        <v>113</v>
      </c>
      <c r="Q3" s="51"/>
      <c r="R3" s="52"/>
      <c r="S3" s="53"/>
      <c r="T3" s="53"/>
      <c r="U3" s="53"/>
      <c r="V3" s="54"/>
      <c r="W3" s="55"/>
      <c r="X3" s="56"/>
      <c r="Y3" s="56"/>
    </row>
    <row r="4" customFormat="false" ht="12.75" hidden="false" customHeight="false" outlineLevel="0" collapsed="false">
      <c r="B4" s="46"/>
      <c r="C4" s="44"/>
      <c r="D4" s="44"/>
      <c r="E4" s="45"/>
      <c r="F4" s="45"/>
      <c r="G4" s="60"/>
      <c r="H4" s="46"/>
      <c r="I4" s="60"/>
      <c r="J4" s="58"/>
      <c r="K4" s="60"/>
      <c r="L4" s="49"/>
      <c r="M4" s="60"/>
      <c r="N4" s="52"/>
      <c r="O4" s="50"/>
      <c r="P4" s="52"/>
      <c r="Q4" s="51"/>
      <c r="R4" s="52"/>
      <c r="S4" s="53"/>
      <c r="T4" s="61"/>
      <c r="U4" s="61"/>
      <c r="V4" s="62"/>
      <c r="W4" s="55"/>
      <c r="X4" s="56"/>
      <c r="Y4" s="56"/>
    </row>
    <row r="5" customFormat="false" ht="12.75" hidden="false" customHeight="false" outlineLevel="0" collapsed="false">
      <c r="B5" s="46" t="s">
        <v>179</v>
      </c>
      <c r="C5" s="44"/>
      <c r="D5" s="46"/>
      <c r="E5" s="45"/>
      <c r="F5" s="45"/>
      <c r="G5" s="60"/>
      <c r="H5" s="46"/>
      <c r="I5" s="60"/>
      <c r="J5" s="58"/>
      <c r="K5" s="60"/>
      <c r="L5" s="49"/>
      <c r="M5" s="60"/>
      <c r="N5" s="52"/>
      <c r="O5" s="50"/>
      <c r="P5" s="52"/>
      <c r="Q5" s="51"/>
      <c r="R5" s="52"/>
      <c r="S5" s="53"/>
      <c r="T5" s="61"/>
      <c r="U5" s="61"/>
      <c r="V5" s="62"/>
      <c r="W5" s="55"/>
      <c r="X5" s="56"/>
      <c r="Y5" s="56"/>
    </row>
    <row r="6" customFormat="false" ht="12.75" hidden="false" customHeight="false" outlineLevel="0" collapsed="false">
      <c r="B6" s="46"/>
      <c r="C6" s="44" t="s">
        <v>180</v>
      </c>
      <c r="D6" s="44"/>
      <c r="E6" s="45"/>
      <c r="F6" s="45"/>
      <c r="G6" s="60"/>
      <c r="H6" s="46"/>
      <c r="I6" s="60"/>
      <c r="J6" s="58"/>
      <c r="K6" s="60"/>
      <c r="L6" s="49"/>
      <c r="M6" s="60"/>
      <c r="N6" s="52"/>
      <c r="O6" s="50"/>
      <c r="P6" s="52"/>
      <c r="Q6" s="51"/>
      <c r="R6" s="52"/>
      <c r="S6" s="53"/>
      <c r="T6" s="61"/>
      <c r="U6" s="61"/>
      <c r="V6" s="62"/>
      <c r="W6" s="55"/>
      <c r="X6" s="56"/>
      <c r="Y6" s="56"/>
    </row>
    <row r="7" customFormat="false" ht="12.75" hidden="false" customHeight="false" outlineLevel="0" collapsed="false">
      <c r="B7" s="46"/>
      <c r="C7" s="44"/>
      <c r="D7" s="44"/>
      <c r="E7" s="45"/>
      <c r="F7" s="45"/>
      <c r="G7" s="60"/>
      <c r="H7" s="46"/>
      <c r="I7" s="60"/>
      <c r="J7" s="58"/>
      <c r="K7" s="60"/>
      <c r="L7" s="49"/>
      <c r="M7" s="60"/>
      <c r="N7" s="52"/>
      <c r="O7" s="50"/>
      <c r="P7" s="52"/>
      <c r="Q7" s="51"/>
      <c r="R7" s="52"/>
      <c r="S7" s="53"/>
      <c r="T7" s="61"/>
      <c r="U7" s="61"/>
      <c r="V7" s="62"/>
      <c r="W7" s="55"/>
      <c r="X7" s="56"/>
      <c r="Y7" s="56"/>
    </row>
    <row r="8" customFormat="false" ht="12.75" hidden="false" customHeight="false" outlineLevel="0" collapsed="false">
      <c r="B8" s="46"/>
      <c r="C8" s="44"/>
      <c r="D8" s="44"/>
      <c r="E8" s="45"/>
      <c r="F8" s="45"/>
      <c r="G8" s="60"/>
      <c r="H8" s="46"/>
      <c r="I8" s="60"/>
      <c r="J8" s="58"/>
      <c r="K8" s="60"/>
      <c r="L8" s="49"/>
      <c r="M8" s="60"/>
      <c r="N8" s="52"/>
      <c r="O8" s="50"/>
      <c r="P8" s="52"/>
      <c r="Q8" s="51"/>
      <c r="R8" s="52"/>
      <c r="S8" s="53"/>
      <c r="T8" s="61"/>
      <c r="U8" s="61"/>
      <c r="V8" s="62"/>
      <c r="W8" s="55"/>
      <c r="X8" s="56"/>
      <c r="Y8" s="56"/>
    </row>
    <row r="9" customFormat="false" ht="12.75" hidden="false" customHeight="false" outlineLevel="0" collapsed="false">
      <c r="B9" s="46"/>
      <c r="C9" s="44"/>
      <c r="D9" s="44"/>
      <c r="E9" s="45"/>
      <c r="F9" s="45"/>
      <c r="G9" s="60"/>
      <c r="H9" s="46"/>
      <c r="I9" s="60"/>
      <c r="J9" s="58"/>
      <c r="K9" s="60"/>
      <c r="L9" s="49"/>
      <c r="M9" s="60"/>
      <c r="N9" s="52"/>
      <c r="O9" s="50"/>
      <c r="P9" s="52"/>
      <c r="Q9" s="51"/>
      <c r="R9" s="52"/>
      <c r="S9" s="53"/>
      <c r="T9" s="61"/>
      <c r="U9" s="61"/>
      <c r="V9" s="62"/>
      <c r="W9" s="55"/>
      <c r="X9" s="56"/>
      <c r="Y9" s="56"/>
    </row>
    <row r="10" customFormat="false" ht="12.75" hidden="false" customHeight="false" outlineLevel="0" collapsed="false">
      <c r="B10" s="46"/>
      <c r="C10" s="44"/>
      <c r="D10" s="44"/>
      <c r="E10" s="45"/>
      <c r="F10" s="45"/>
      <c r="G10" s="60"/>
      <c r="H10" s="46"/>
      <c r="I10" s="60"/>
      <c r="J10" s="58"/>
      <c r="K10" s="60"/>
      <c r="L10" s="49"/>
      <c r="M10" s="60"/>
      <c r="N10" s="52"/>
      <c r="O10" s="50"/>
      <c r="P10" s="52"/>
      <c r="Q10" s="51"/>
      <c r="R10" s="52"/>
      <c r="S10" s="53"/>
      <c r="T10" s="61"/>
      <c r="U10" s="61"/>
      <c r="V10" s="62"/>
      <c r="W10" s="55"/>
      <c r="X10" s="56"/>
      <c r="Y10" s="56"/>
    </row>
    <row r="11" customFormat="false" ht="12.75" hidden="false" customHeight="false" outlineLevel="0" collapsed="false">
      <c r="B11" s="63" t="s">
        <v>181</v>
      </c>
      <c r="C11" s="64" t="s">
        <v>182</v>
      </c>
      <c r="D11" s="64" t="s">
        <v>347</v>
      </c>
      <c r="E11" s="65" t="s">
        <v>184</v>
      </c>
      <c r="F11" s="65"/>
      <c r="G11" s="63" t="s">
        <v>185</v>
      </c>
      <c r="H11" s="63" t="s">
        <v>186</v>
      </c>
      <c r="I11" s="64" t="s">
        <v>187</v>
      </c>
      <c r="J11" s="66" t="s">
        <v>188</v>
      </c>
      <c r="K11" s="64" t="s">
        <v>189</v>
      </c>
      <c r="L11" s="64" t="s">
        <v>190</v>
      </c>
      <c r="M11" s="64" t="s">
        <v>191</v>
      </c>
      <c r="N11" s="64" t="s">
        <v>192</v>
      </c>
      <c r="O11" s="67" t="s">
        <v>193</v>
      </c>
      <c r="P11" s="64" t="s">
        <v>194</v>
      </c>
      <c r="Q11" s="68" t="s">
        <v>195</v>
      </c>
      <c r="R11" s="64" t="s">
        <v>196</v>
      </c>
      <c r="S11" s="63" t="s">
        <v>197</v>
      </c>
      <c r="T11" s="69" t="s">
        <v>198</v>
      </c>
      <c r="U11" s="69" t="s">
        <v>199</v>
      </c>
      <c r="V11" s="70" t="s">
        <v>200</v>
      </c>
      <c r="W11" s="71" t="s">
        <v>348</v>
      </c>
      <c r="X11" s="72"/>
      <c r="Y11" s="72"/>
    </row>
    <row r="12" customFormat="false" ht="12.75" hidden="false" customHeight="false" outlineLevel="0" collapsed="false">
      <c r="A12" s="73"/>
      <c r="B12" s="46" t="s">
        <v>201</v>
      </c>
      <c r="C12" s="44" t="s">
        <v>21</v>
      </c>
      <c r="D12" s="44" t="s">
        <v>349</v>
      </c>
      <c r="E12" s="45" t="n">
        <v>36617</v>
      </c>
      <c r="F12" s="45" t="n">
        <v>41213</v>
      </c>
      <c r="G12" s="46" t="s">
        <v>350</v>
      </c>
      <c r="H12" s="46" t="s">
        <v>351</v>
      </c>
      <c r="I12" s="44" t="s">
        <v>352</v>
      </c>
      <c r="J12" s="58" t="n">
        <f aca="false">(6.138+0.2)/J1</f>
        <v>0.204451612903226</v>
      </c>
      <c r="K12" s="49"/>
      <c r="L12" s="49"/>
      <c r="M12" s="49"/>
      <c r="N12" s="49"/>
      <c r="O12" s="50"/>
      <c r="P12" s="49"/>
      <c r="Q12" s="51" t="n">
        <v>771151</v>
      </c>
      <c r="R12" s="44" t="n">
        <v>62</v>
      </c>
      <c r="S12" s="46"/>
      <c r="T12" s="74" t="n">
        <f aca="false">J12*J$1*R12</f>
        <v>392.956</v>
      </c>
      <c r="U12" s="74"/>
      <c r="V12" s="75" t="n">
        <v>232609</v>
      </c>
      <c r="W12" s="116"/>
      <c r="X12" s="72"/>
      <c r="Y12" s="72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customFormat="false" ht="12.75" hidden="false" customHeight="false" outlineLevel="0" collapsed="false">
      <c r="A13" s="73"/>
      <c r="B13" s="46" t="s">
        <v>201</v>
      </c>
      <c r="C13" s="44" t="s">
        <v>21</v>
      </c>
      <c r="D13" s="44" t="s">
        <v>349</v>
      </c>
      <c r="E13" s="45" t="n">
        <v>36617</v>
      </c>
      <c r="F13" s="45" t="n">
        <v>38656</v>
      </c>
      <c r="G13" s="46" t="s">
        <v>353</v>
      </c>
      <c r="H13" s="46" t="s">
        <v>354</v>
      </c>
      <c r="I13" s="44" t="s">
        <v>355</v>
      </c>
      <c r="J13" s="58" t="n">
        <f aca="false">(6.5854+0.2)/+J1</f>
        <v>0.218883870967742</v>
      </c>
      <c r="K13" s="49"/>
      <c r="L13" s="49"/>
      <c r="M13" s="49"/>
      <c r="N13" s="49"/>
      <c r="O13" s="50"/>
      <c r="P13" s="49"/>
      <c r="Q13" s="51" t="n">
        <v>771156</v>
      </c>
      <c r="R13" s="44" t="n">
        <v>120</v>
      </c>
      <c r="S13" s="46"/>
      <c r="T13" s="74" t="n">
        <f aca="false">J13*J$1*R13</f>
        <v>814.248</v>
      </c>
      <c r="U13" s="74"/>
      <c r="V13" s="75" t="n">
        <v>232622</v>
      </c>
      <c r="W13" s="116" t="s">
        <v>356</v>
      </c>
      <c r="X13" s="72"/>
      <c r="Y13" s="72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</row>
    <row r="14" customFormat="false" ht="12.75" hidden="false" customHeight="false" outlineLevel="0" collapsed="false">
      <c r="A14" s="73"/>
      <c r="B14" s="46" t="s">
        <v>201</v>
      </c>
      <c r="C14" s="44" t="s">
        <v>21</v>
      </c>
      <c r="D14" s="44" t="s">
        <v>349</v>
      </c>
      <c r="E14" s="45" t="n">
        <v>36617</v>
      </c>
      <c r="F14" s="45" t="n">
        <v>38656</v>
      </c>
      <c r="G14" s="46" t="s">
        <v>357</v>
      </c>
      <c r="H14" s="46" t="s">
        <v>358</v>
      </c>
      <c r="I14" s="44" t="s">
        <v>359</v>
      </c>
      <c r="J14" s="58" t="n">
        <f aca="false">+(6.5854+0.2)/+J1</f>
        <v>0.218883870967742</v>
      </c>
      <c r="K14" s="49"/>
      <c r="L14" s="49"/>
      <c r="M14" s="49"/>
      <c r="N14" s="49"/>
      <c r="O14" s="50"/>
      <c r="P14" s="49"/>
      <c r="Q14" s="51" t="n">
        <v>771157</v>
      </c>
      <c r="R14" s="44" t="n">
        <v>160</v>
      </c>
      <c r="S14" s="46"/>
      <c r="T14" s="74" t="n">
        <f aca="false">J14*J$1*R14</f>
        <v>1085.664</v>
      </c>
      <c r="U14" s="74"/>
      <c r="V14" s="75" t="n">
        <v>232646</v>
      </c>
      <c r="W14" s="116" t="s">
        <v>360</v>
      </c>
      <c r="X14" s="72"/>
      <c r="Y14" s="72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2.75" hidden="false" customHeight="false" outlineLevel="0" collapsed="false">
      <c r="A15" s="73"/>
      <c r="B15" s="46" t="s">
        <v>201</v>
      </c>
      <c r="C15" s="44" t="s">
        <v>21</v>
      </c>
      <c r="D15" s="44" t="s">
        <v>349</v>
      </c>
      <c r="E15" s="45" t="n">
        <v>36617</v>
      </c>
      <c r="F15" s="45" t="n">
        <v>40117</v>
      </c>
      <c r="G15" s="46" t="s">
        <v>358</v>
      </c>
      <c r="H15" s="46" t="s">
        <v>351</v>
      </c>
      <c r="I15" s="44" t="s">
        <v>361</v>
      </c>
      <c r="J15" s="58" t="n">
        <f aca="false">+(6.5854+0.2)/+J1</f>
        <v>0.218883870967742</v>
      </c>
      <c r="K15" s="49"/>
      <c r="L15" s="49"/>
      <c r="M15" s="49"/>
      <c r="N15" s="49"/>
      <c r="O15" s="50"/>
      <c r="P15" s="49"/>
      <c r="Q15" s="51" t="n">
        <v>771152</v>
      </c>
      <c r="R15" s="44" t="n">
        <v>86</v>
      </c>
      <c r="S15" s="46"/>
      <c r="T15" s="74" t="n">
        <f aca="false">J15*J$1*R15</f>
        <v>583.5444</v>
      </c>
      <c r="U15" s="74"/>
      <c r="V15" s="75" t="n">
        <v>232657</v>
      </c>
      <c r="W15" s="116"/>
      <c r="X15" s="72"/>
      <c r="Y15" s="72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customFormat="false" ht="12.75" hidden="false" customHeight="false" outlineLevel="0" collapsed="false">
      <c r="A16" s="73"/>
      <c r="B16" s="46" t="s">
        <v>201</v>
      </c>
      <c r="C16" s="44" t="s">
        <v>21</v>
      </c>
      <c r="D16" s="44" t="s">
        <v>349</v>
      </c>
      <c r="E16" s="45" t="n">
        <v>36617</v>
      </c>
      <c r="F16" s="45" t="n">
        <v>39021</v>
      </c>
      <c r="G16" s="46" t="s">
        <v>358</v>
      </c>
      <c r="H16" s="46" t="s">
        <v>362</v>
      </c>
      <c r="I16" s="44" t="s">
        <v>363</v>
      </c>
      <c r="J16" s="58" t="n">
        <f aca="false">+(11.8368+0.2)/+J1</f>
        <v>0.388283870967742</v>
      </c>
      <c r="K16" s="49"/>
      <c r="L16" s="49"/>
      <c r="M16" s="49"/>
      <c r="N16" s="49"/>
      <c r="O16" s="50"/>
      <c r="P16" s="49"/>
      <c r="Q16" s="51" t="n">
        <v>771153</v>
      </c>
      <c r="R16" s="44" t="n">
        <v>65</v>
      </c>
      <c r="S16" s="46"/>
      <c r="T16" s="74" t="n">
        <f aca="false">J16*J$1*R16</f>
        <v>782.392</v>
      </c>
      <c r="U16" s="74"/>
      <c r="V16" s="75" t="n">
        <v>232680</v>
      </c>
      <c r="W16" s="116"/>
      <c r="X16" s="72"/>
      <c r="Y16" s="72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customFormat="false" ht="12.75" hidden="false" customHeight="false" outlineLevel="0" collapsed="false">
      <c r="A17" s="73"/>
      <c r="B17" s="46" t="s">
        <v>201</v>
      </c>
      <c r="C17" s="44" t="s">
        <v>21</v>
      </c>
      <c r="D17" s="44" t="s">
        <v>349</v>
      </c>
      <c r="E17" s="45" t="n">
        <v>36617</v>
      </c>
      <c r="F17" s="45" t="n">
        <v>36830</v>
      </c>
      <c r="G17" s="46" t="s">
        <v>358</v>
      </c>
      <c r="H17" s="46" t="s">
        <v>364</v>
      </c>
      <c r="I17" s="44" t="s">
        <v>365</v>
      </c>
      <c r="J17" s="58" t="n">
        <f aca="false">(6.5854+0.2)/+J1</f>
        <v>0.218883870967742</v>
      </c>
      <c r="K17" s="49"/>
      <c r="L17" s="49"/>
      <c r="M17" s="49"/>
      <c r="N17" s="49"/>
      <c r="O17" s="50"/>
      <c r="P17" s="49"/>
      <c r="Q17" s="51" t="n">
        <v>771154</v>
      </c>
      <c r="R17" s="44" t="n">
        <v>10</v>
      </c>
      <c r="S17" s="46"/>
      <c r="T17" s="74" t="n">
        <f aca="false">J17*J$1*R17</f>
        <v>67.854</v>
      </c>
      <c r="U17" s="74"/>
      <c r="V17" s="75" t="n">
        <v>232686</v>
      </c>
      <c r="W17" s="116"/>
      <c r="X17" s="72"/>
      <c r="Y17" s="72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customFormat="false" ht="12.75" hidden="false" customHeight="false" outlineLevel="0" collapsed="false">
      <c r="A18" s="73"/>
      <c r="B18" s="46" t="s">
        <v>201</v>
      </c>
      <c r="C18" s="44" t="s">
        <v>21</v>
      </c>
      <c r="D18" s="44" t="s">
        <v>349</v>
      </c>
      <c r="E18" s="45" t="n">
        <v>36617</v>
      </c>
      <c r="F18" s="45" t="n">
        <v>36830</v>
      </c>
      <c r="G18" s="46" t="s">
        <v>358</v>
      </c>
      <c r="H18" s="46" t="s">
        <v>357</v>
      </c>
      <c r="I18" s="44" t="s">
        <v>365</v>
      </c>
      <c r="J18" s="58" t="n">
        <f aca="false">+(6.5854+0.2)/J1</f>
        <v>0.218883870967742</v>
      </c>
      <c r="K18" s="49"/>
      <c r="L18" s="49"/>
      <c r="M18" s="49"/>
      <c r="N18" s="49"/>
      <c r="O18" s="50"/>
      <c r="P18" s="49"/>
      <c r="Q18" s="51" t="n">
        <v>771155</v>
      </c>
      <c r="R18" s="44" t="n">
        <v>62</v>
      </c>
      <c r="S18" s="46"/>
      <c r="T18" s="74" t="n">
        <f aca="false">J18*J$1*R18</f>
        <v>420.6948</v>
      </c>
      <c r="U18" s="74"/>
      <c r="V18" s="75" t="n">
        <v>233314</v>
      </c>
      <c r="W18" s="116" t="s">
        <v>366</v>
      </c>
      <c r="X18" s="72"/>
      <c r="Y18" s="72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2.75" hidden="false" customHeight="false" outlineLevel="0" collapsed="false">
      <c r="A19" s="117"/>
      <c r="B19" s="46" t="s">
        <v>249</v>
      </c>
      <c r="C19" s="44" t="s">
        <v>21</v>
      </c>
      <c r="D19" s="44" t="s">
        <v>236</v>
      </c>
      <c r="E19" s="45" t="n">
        <v>36479</v>
      </c>
      <c r="F19" s="45" t="s">
        <v>367</v>
      </c>
      <c r="G19" s="46" t="s">
        <v>368</v>
      </c>
      <c r="H19" s="46" t="s">
        <v>369</v>
      </c>
      <c r="I19" s="44" t="s">
        <v>370</v>
      </c>
      <c r="J19" s="58" t="n">
        <f aca="false">6.7854/J$1</f>
        <v>0.218883870967742</v>
      </c>
      <c r="K19" s="49" t="n">
        <v>0.0112</v>
      </c>
      <c r="L19" s="49" t="n">
        <v>0.0022</v>
      </c>
      <c r="M19" s="49" t="n">
        <v>0.0072</v>
      </c>
      <c r="N19" s="49" t="n">
        <v>0</v>
      </c>
      <c r="O19" s="50" t="n">
        <v>0.0111</v>
      </c>
      <c r="P19" s="49" t="n">
        <f aca="false">SUM(J19:N19)</f>
        <v>0.239483870967742</v>
      </c>
      <c r="Q19" s="51" t="n">
        <v>771013</v>
      </c>
      <c r="R19" s="44" t="n">
        <v>69</v>
      </c>
      <c r="S19" s="46"/>
      <c r="T19" s="74" t="n">
        <f aca="false">J19*J$1*R19</f>
        <v>468.1926</v>
      </c>
      <c r="U19" s="74"/>
      <c r="V19" s="75" t="n">
        <v>142030</v>
      </c>
      <c r="W19" s="116" t="n">
        <v>771013</v>
      </c>
      <c r="X19" s="72"/>
      <c r="Y19" s="72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2.75" hidden="false" customHeight="false" outlineLevel="0" collapsed="false">
      <c r="B20" s="118" t="s">
        <v>113</v>
      </c>
      <c r="C20" s="119" t="s">
        <v>113</v>
      </c>
      <c r="D20" s="120" t="s">
        <v>113</v>
      </c>
      <c r="E20" s="121" t="s">
        <v>113</v>
      </c>
      <c r="F20" s="121"/>
      <c r="G20" s="118" t="s">
        <v>113</v>
      </c>
      <c r="H20" s="122" t="s">
        <v>113</v>
      </c>
      <c r="I20" s="119" t="s">
        <v>113</v>
      </c>
      <c r="J20" s="123"/>
      <c r="K20" s="124"/>
      <c r="L20" s="124"/>
      <c r="M20" s="124"/>
      <c r="N20" s="124"/>
      <c r="O20" s="125"/>
      <c r="P20" s="124"/>
      <c r="Q20" s="126" t="s">
        <v>113</v>
      </c>
      <c r="R20" s="119" t="n">
        <f aca="false">SUM(R12:R19)</f>
        <v>634</v>
      </c>
      <c r="S20" s="118" t="s">
        <v>113</v>
      </c>
      <c r="T20" s="127" t="n">
        <f aca="false">SUM(T12:T19)</f>
        <v>4615.5458</v>
      </c>
      <c r="U20" s="127" t="n">
        <f aca="false">SUM(U12:U19)</f>
        <v>0</v>
      </c>
      <c r="V20" s="128"/>
      <c r="W20" s="118"/>
      <c r="X20" s="72"/>
      <c r="Y20" s="72"/>
    </row>
    <row r="21" customFormat="false" ht="12.75" hidden="false" customHeight="false" outlineLevel="0" collapsed="false">
      <c r="B21" s="63" t="s">
        <v>181</v>
      </c>
      <c r="C21" s="64" t="s">
        <v>182</v>
      </c>
      <c r="D21" s="64" t="s">
        <v>347</v>
      </c>
      <c r="E21" s="65" t="s">
        <v>184</v>
      </c>
      <c r="F21" s="65"/>
      <c r="G21" s="63" t="s">
        <v>185</v>
      </c>
      <c r="H21" s="63" t="s">
        <v>186</v>
      </c>
      <c r="I21" s="64" t="s">
        <v>187</v>
      </c>
      <c r="J21" s="66" t="s">
        <v>188</v>
      </c>
      <c r="K21" s="64" t="s">
        <v>189</v>
      </c>
      <c r="L21" s="64" t="s">
        <v>190</v>
      </c>
      <c r="M21" s="64" t="s">
        <v>191</v>
      </c>
      <c r="N21" s="64" t="s">
        <v>192</v>
      </c>
      <c r="O21" s="67" t="s">
        <v>193</v>
      </c>
      <c r="P21" s="64" t="s">
        <v>194</v>
      </c>
      <c r="Q21" s="68" t="s">
        <v>195</v>
      </c>
      <c r="R21" s="64" t="s">
        <v>196</v>
      </c>
      <c r="S21" s="63" t="s">
        <v>197</v>
      </c>
      <c r="T21" s="69" t="s">
        <v>198</v>
      </c>
      <c r="U21" s="69" t="s">
        <v>199</v>
      </c>
      <c r="V21" s="70" t="s">
        <v>200</v>
      </c>
      <c r="W21" s="71" t="s">
        <v>348</v>
      </c>
      <c r="X21" s="72"/>
      <c r="Y21" s="72"/>
    </row>
    <row r="22" customFormat="false" ht="12.75" hidden="false" customHeight="false" outlineLevel="0" collapsed="false">
      <c r="A22" s="88"/>
      <c r="B22" s="89" t="s">
        <v>201</v>
      </c>
      <c r="C22" s="90" t="s">
        <v>125</v>
      </c>
      <c r="D22" s="90" t="s">
        <v>371</v>
      </c>
      <c r="E22" s="91" t="n">
        <v>36647</v>
      </c>
      <c r="F22" s="91" t="n">
        <v>36677</v>
      </c>
      <c r="G22" s="89" t="s">
        <v>372</v>
      </c>
      <c r="H22" s="89" t="s">
        <v>373</v>
      </c>
      <c r="I22" s="90" t="s">
        <v>374</v>
      </c>
      <c r="J22" s="92" t="n">
        <f aca="false">5.7114/J$1</f>
        <v>0.184238709677419</v>
      </c>
      <c r="K22" s="93" t="n">
        <v>0.0434</v>
      </c>
      <c r="L22" s="93" t="n">
        <v>0.0022</v>
      </c>
      <c r="M22" s="93" t="n">
        <v>0</v>
      </c>
      <c r="N22" s="93" t="n">
        <v>0</v>
      </c>
      <c r="O22" s="94" t="n">
        <v>0.0228</v>
      </c>
      <c r="P22" s="93" t="n">
        <f aca="false">SUM(J22:N22)</f>
        <v>0.229838709677419</v>
      </c>
      <c r="Q22" s="95" t="s">
        <v>375</v>
      </c>
      <c r="R22" s="90" t="n">
        <v>645</v>
      </c>
      <c r="S22" s="89" t="s">
        <v>376</v>
      </c>
      <c r="T22" s="96" t="n">
        <f aca="false">J22*J$1*R22</f>
        <v>3683.853</v>
      </c>
      <c r="U22" s="96"/>
      <c r="V22" s="97" t="n">
        <v>251967</v>
      </c>
      <c r="W22" s="89"/>
      <c r="X22" s="98"/>
      <c r="Y22" s="9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customFormat="false" ht="12.75" hidden="false" customHeight="false" outlineLevel="0" collapsed="false">
      <c r="A23" s="88"/>
      <c r="B23" s="89" t="s">
        <v>201</v>
      </c>
      <c r="C23" s="90" t="s">
        <v>125</v>
      </c>
      <c r="D23" s="90" t="s">
        <v>349</v>
      </c>
      <c r="E23" s="91" t="n">
        <v>36220</v>
      </c>
      <c r="F23" s="91" t="n">
        <v>38807</v>
      </c>
      <c r="G23" s="89" t="s">
        <v>377</v>
      </c>
      <c r="H23" s="89"/>
      <c r="I23" s="90" t="s">
        <v>378</v>
      </c>
      <c r="J23" s="92" t="n">
        <f aca="false">1.8533/J$1</f>
        <v>0.0597838709677419</v>
      </c>
      <c r="K23" s="93" t="n">
        <v>0</v>
      </c>
      <c r="L23" s="93" t="n">
        <v>0</v>
      </c>
      <c r="M23" s="93" t="n">
        <v>0</v>
      </c>
      <c r="N23" s="93" t="n">
        <v>0</v>
      </c>
      <c r="O23" s="94" t="n">
        <v>0</v>
      </c>
      <c r="P23" s="93" t="n">
        <f aca="false">SUM(J23:N23)</f>
        <v>0.0597838709677419</v>
      </c>
      <c r="Q23" s="95" t="n">
        <v>560092</v>
      </c>
      <c r="R23" s="90" t="n">
        <v>147</v>
      </c>
      <c r="S23" s="89" t="s">
        <v>379</v>
      </c>
      <c r="T23" s="129" t="n">
        <f aca="false">J23*J$1*R23</f>
        <v>272.4351</v>
      </c>
      <c r="U23" s="96"/>
      <c r="V23" s="97" t="n">
        <v>157045</v>
      </c>
      <c r="W23" s="89"/>
      <c r="X23" s="98"/>
      <c r="Y23" s="9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  <row r="24" customFormat="false" ht="12.75" hidden="false" customHeight="false" outlineLevel="0" collapsed="false">
      <c r="A24" s="88"/>
      <c r="B24" s="89" t="s">
        <v>201</v>
      </c>
      <c r="C24" s="90" t="s">
        <v>125</v>
      </c>
      <c r="D24" s="90" t="s">
        <v>349</v>
      </c>
      <c r="E24" s="91" t="n">
        <v>36220</v>
      </c>
      <c r="F24" s="91" t="n">
        <v>38807</v>
      </c>
      <c r="G24" s="89" t="s">
        <v>380</v>
      </c>
      <c r="H24" s="89"/>
      <c r="I24" s="90" t="s">
        <v>378</v>
      </c>
      <c r="J24" s="92" t="n">
        <v>0.0137</v>
      </c>
      <c r="K24" s="93" t="n">
        <v>0</v>
      </c>
      <c r="L24" s="93" t="n">
        <v>0</v>
      </c>
      <c r="M24" s="93" t="n">
        <v>0</v>
      </c>
      <c r="N24" s="93" t="n">
        <v>0</v>
      </c>
      <c r="O24" s="94" t="n">
        <v>0</v>
      </c>
      <c r="P24" s="93" t="n">
        <f aca="false">SUM(J24:N24)</f>
        <v>0.0137</v>
      </c>
      <c r="Q24" s="95" t="n">
        <v>560092</v>
      </c>
      <c r="R24" s="90" t="n">
        <v>16275</v>
      </c>
      <c r="S24" s="89" t="s">
        <v>379</v>
      </c>
      <c r="T24" s="129" t="n">
        <f aca="false">+R24*J24</f>
        <v>222.9675</v>
      </c>
      <c r="U24" s="96"/>
      <c r="V24" s="97" t="n">
        <v>157045</v>
      </c>
      <c r="W24" s="89"/>
      <c r="X24" s="98"/>
      <c r="Y24" s="9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</row>
    <row r="25" customFormat="false" ht="13.5" hidden="false" customHeight="true" outlineLevel="0" collapsed="false">
      <c r="A25" s="88"/>
      <c r="B25" s="89" t="s">
        <v>201</v>
      </c>
      <c r="C25" s="90" t="s">
        <v>125</v>
      </c>
      <c r="D25" s="90" t="s">
        <v>349</v>
      </c>
      <c r="E25" s="91" t="n">
        <v>36617</v>
      </c>
      <c r="F25" s="91" t="n">
        <v>38807</v>
      </c>
      <c r="G25" s="89" t="s">
        <v>377</v>
      </c>
      <c r="H25" s="89"/>
      <c r="I25" s="90" t="s">
        <v>378</v>
      </c>
      <c r="J25" s="92" t="n">
        <v>1.8373</v>
      </c>
      <c r="K25" s="93" t="n">
        <v>0</v>
      </c>
      <c r="L25" s="93" t="n">
        <v>0</v>
      </c>
      <c r="M25" s="93" t="n">
        <v>0</v>
      </c>
      <c r="N25" s="93" t="n">
        <v>0</v>
      </c>
      <c r="O25" s="94" t="n">
        <v>0</v>
      </c>
      <c r="P25" s="93" t="n">
        <f aca="false">SUM(J25:N25)</f>
        <v>1.8373</v>
      </c>
      <c r="Q25" s="95" t="n">
        <v>560104</v>
      </c>
      <c r="R25" s="90" t="n">
        <v>132</v>
      </c>
      <c r="S25" s="89" t="s">
        <v>381</v>
      </c>
      <c r="T25" s="129" t="n">
        <f aca="false">J25*R25</f>
        <v>242.5236</v>
      </c>
      <c r="U25" s="96"/>
      <c r="V25" s="97" t="n">
        <v>231301</v>
      </c>
      <c r="W25" s="89"/>
      <c r="X25" s="98"/>
      <c r="Y25" s="9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  <c r="IW25" s="88"/>
    </row>
    <row r="26" customFormat="false" ht="13.5" hidden="false" customHeight="true" outlineLevel="0" collapsed="false">
      <c r="A26" s="88"/>
      <c r="B26" s="89" t="s">
        <v>201</v>
      </c>
      <c r="C26" s="90" t="s">
        <v>125</v>
      </c>
      <c r="D26" s="90" t="s">
        <v>349</v>
      </c>
      <c r="E26" s="91" t="n">
        <v>36617</v>
      </c>
      <c r="F26" s="91" t="n">
        <v>38807</v>
      </c>
      <c r="G26" s="89" t="s">
        <v>380</v>
      </c>
      <c r="H26" s="89"/>
      <c r="I26" s="90" t="s">
        <v>378</v>
      </c>
      <c r="J26" s="92" t="n">
        <v>0.0137</v>
      </c>
      <c r="K26" s="93" t="n">
        <v>0</v>
      </c>
      <c r="L26" s="93" t="n">
        <v>0</v>
      </c>
      <c r="M26" s="93" t="n">
        <v>0</v>
      </c>
      <c r="N26" s="93" t="n">
        <v>0</v>
      </c>
      <c r="O26" s="94" t="n">
        <v>0</v>
      </c>
      <c r="P26" s="93" t="n">
        <f aca="false">SUM(J26:N26)</f>
        <v>0.0137</v>
      </c>
      <c r="Q26" s="95" t="n">
        <v>560104</v>
      </c>
      <c r="R26" s="90" t="n">
        <v>14661</v>
      </c>
      <c r="S26" s="89" t="s">
        <v>381</v>
      </c>
      <c r="T26" s="129" t="n">
        <f aca="false">+R26*J26</f>
        <v>200.8557</v>
      </c>
      <c r="U26" s="96"/>
      <c r="V26" s="97" t="n">
        <v>231301</v>
      </c>
      <c r="W26" s="89"/>
      <c r="X26" s="98"/>
      <c r="Y26" s="9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  <c r="IW26" s="88"/>
    </row>
    <row r="27" customFormat="false" ht="12.75" hidden="false" customHeight="false" outlineLevel="0" collapsed="false">
      <c r="A27" s="88"/>
      <c r="B27" s="89" t="s">
        <v>201</v>
      </c>
      <c r="C27" s="90" t="s">
        <v>125</v>
      </c>
      <c r="D27" s="90" t="s">
        <v>349</v>
      </c>
      <c r="E27" s="91" t="n">
        <v>36617</v>
      </c>
      <c r="F27" s="91" t="n">
        <v>37711</v>
      </c>
      <c r="G27" s="89" t="s">
        <v>382</v>
      </c>
      <c r="H27" s="89"/>
      <c r="I27" s="90" t="s">
        <v>374</v>
      </c>
      <c r="J27" s="92" t="n">
        <f aca="false">5.5884/$J$1</f>
        <v>0.180270967741936</v>
      </c>
      <c r="K27" s="93"/>
      <c r="L27" s="93"/>
      <c r="M27" s="93"/>
      <c r="N27" s="93"/>
      <c r="O27" s="94"/>
      <c r="P27" s="93"/>
      <c r="Q27" s="95" t="s">
        <v>383</v>
      </c>
      <c r="R27" s="90" t="n">
        <v>15</v>
      </c>
      <c r="S27" s="89" t="s">
        <v>384</v>
      </c>
      <c r="T27" s="129" t="n">
        <f aca="false">+R27*J27*$J$1</f>
        <v>83.826</v>
      </c>
      <c r="U27" s="96"/>
      <c r="V27" s="97" t="n">
        <v>231285</v>
      </c>
      <c r="W27" s="89"/>
      <c r="X27" s="98"/>
      <c r="Y27" s="9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  <c r="IW27" s="88"/>
    </row>
    <row r="28" customFormat="false" ht="12.75" hidden="false" customHeight="false" outlineLevel="0" collapsed="false">
      <c r="A28" s="88"/>
      <c r="B28" s="89" t="s">
        <v>201</v>
      </c>
      <c r="C28" s="90" t="s">
        <v>125</v>
      </c>
      <c r="D28" s="90" t="s">
        <v>349</v>
      </c>
      <c r="E28" s="91" t="n">
        <v>36617</v>
      </c>
      <c r="F28" s="91" t="n">
        <v>37711</v>
      </c>
      <c r="G28" s="89" t="s">
        <v>385</v>
      </c>
      <c r="H28" s="89"/>
      <c r="I28" s="90" t="s">
        <v>374</v>
      </c>
      <c r="J28" s="92" t="n">
        <f aca="false">5.5884/$J$1</f>
        <v>0.180270967741936</v>
      </c>
      <c r="K28" s="93"/>
      <c r="L28" s="93"/>
      <c r="M28" s="93"/>
      <c r="N28" s="93"/>
      <c r="O28" s="94"/>
      <c r="P28" s="93"/>
      <c r="Q28" s="95" t="s">
        <v>383</v>
      </c>
      <c r="R28" s="90" t="n">
        <v>41</v>
      </c>
      <c r="S28" s="89" t="s">
        <v>384</v>
      </c>
      <c r="T28" s="129" t="n">
        <f aca="false">+R28*J28*$J$1</f>
        <v>229.1244</v>
      </c>
      <c r="U28" s="96"/>
      <c r="V28" s="97" t="n">
        <v>231285</v>
      </c>
      <c r="W28" s="89"/>
      <c r="X28" s="98"/>
      <c r="Y28" s="9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  <c r="IW28" s="88"/>
    </row>
    <row r="29" customFormat="false" ht="12.75" hidden="false" customHeight="false" outlineLevel="0" collapsed="false">
      <c r="A29" s="88"/>
      <c r="B29" s="89" t="s">
        <v>201</v>
      </c>
      <c r="C29" s="90" t="s">
        <v>125</v>
      </c>
      <c r="D29" s="90" t="s">
        <v>349</v>
      </c>
      <c r="E29" s="91" t="n">
        <v>36617</v>
      </c>
      <c r="F29" s="91" t="n">
        <v>37711</v>
      </c>
      <c r="G29" s="89" t="s">
        <v>386</v>
      </c>
      <c r="H29" s="89"/>
      <c r="I29" s="90" t="s">
        <v>374</v>
      </c>
      <c r="J29" s="92" t="n">
        <f aca="false">5.5884/$J$1</f>
        <v>0.180270967741936</v>
      </c>
      <c r="K29" s="93"/>
      <c r="L29" s="93"/>
      <c r="M29" s="93"/>
      <c r="N29" s="93"/>
      <c r="O29" s="94"/>
      <c r="P29" s="93"/>
      <c r="Q29" s="95" t="s">
        <v>383</v>
      </c>
      <c r="R29" s="90" t="n">
        <v>11</v>
      </c>
      <c r="S29" s="89" t="s">
        <v>384</v>
      </c>
      <c r="T29" s="129" t="n">
        <f aca="false">+R29*J29*$J$1</f>
        <v>61.4724</v>
      </c>
      <c r="U29" s="96"/>
      <c r="V29" s="97" t="n">
        <v>231285</v>
      </c>
      <c r="W29" s="89"/>
      <c r="X29" s="98"/>
      <c r="Y29" s="9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</row>
    <row r="30" customFormat="false" ht="12.75" hidden="false" customHeight="false" outlineLevel="0" collapsed="false">
      <c r="A30" s="88"/>
      <c r="B30" s="89" t="s">
        <v>201</v>
      </c>
      <c r="C30" s="90" t="s">
        <v>125</v>
      </c>
      <c r="D30" s="90" t="s">
        <v>236</v>
      </c>
      <c r="E30" s="91" t="n">
        <v>36557</v>
      </c>
      <c r="F30" s="91" t="n">
        <v>36677</v>
      </c>
      <c r="G30" s="89" t="s">
        <v>372</v>
      </c>
      <c r="H30" s="89" t="s">
        <v>387</v>
      </c>
      <c r="I30" s="90" t="s">
        <v>374</v>
      </c>
      <c r="J30" s="92" t="n">
        <f aca="false">5.75/J$1</f>
        <v>0.185483870967742</v>
      </c>
      <c r="K30" s="93" t="n">
        <v>0.0434</v>
      </c>
      <c r="L30" s="93" t="n">
        <v>0.0022</v>
      </c>
      <c r="M30" s="93" t="n">
        <v>0</v>
      </c>
      <c r="N30" s="93" t="n">
        <v>0</v>
      </c>
      <c r="O30" s="94" t="n">
        <v>0.0228</v>
      </c>
      <c r="P30" s="93" t="n">
        <f aca="false">SUM(J30:N30)</f>
        <v>0.231083870967742</v>
      </c>
      <c r="Q30" s="95" t="s">
        <v>388</v>
      </c>
      <c r="R30" s="90" t="n">
        <v>186</v>
      </c>
      <c r="S30" s="89" t="s">
        <v>389</v>
      </c>
      <c r="T30" s="96" t="n">
        <f aca="false">J30*J$1*R30</f>
        <v>1069.5</v>
      </c>
      <c r="U30" s="96"/>
      <c r="V30" s="97" t="n">
        <v>156559</v>
      </c>
      <c r="W30" s="89"/>
      <c r="X30" s="98"/>
      <c r="Y30" s="9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  <row r="31" customFormat="false" ht="12.75" hidden="false" customHeight="false" outlineLevel="0" collapsed="false">
      <c r="A31" s="88"/>
      <c r="B31" s="89" t="s">
        <v>201</v>
      </c>
      <c r="C31" s="90" t="s">
        <v>125</v>
      </c>
      <c r="D31" s="90" t="s">
        <v>239</v>
      </c>
      <c r="E31" s="91" t="n">
        <v>36678</v>
      </c>
      <c r="F31" s="91" t="n">
        <v>36707</v>
      </c>
      <c r="G31" s="130" t="n">
        <v>10001</v>
      </c>
      <c r="H31" s="130" t="n">
        <v>10001</v>
      </c>
      <c r="I31" s="90" t="s">
        <v>378</v>
      </c>
      <c r="J31" s="92" t="n">
        <v>0.0137</v>
      </c>
      <c r="K31" s="93"/>
      <c r="L31" s="93"/>
      <c r="M31" s="93"/>
      <c r="N31" s="93"/>
      <c r="O31" s="94"/>
      <c r="P31" s="93"/>
      <c r="Q31" s="95" t="n">
        <v>530669</v>
      </c>
      <c r="R31" s="90" t="n">
        <v>13471</v>
      </c>
      <c r="S31" s="89" t="s">
        <v>390</v>
      </c>
      <c r="T31" s="96" t="n">
        <f aca="false">J31*1*R31</f>
        <v>184.5527</v>
      </c>
      <c r="U31" s="96"/>
      <c r="V31" s="97" t="n">
        <v>276543</v>
      </c>
      <c r="W31" s="89"/>
      <c r="X31" s="98"/>
      <c r="Y31" s="9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  <c r="IW31" s="88"/>
    </row>
    <row r="32" customFormat="false" ht="12.75" hidden="false" customHeight="false" outlineLevel="0" collapsed="false">
      <c r="A32" s="88"/>
      <c r="B32" s="89" t="s">
        <v>201</v>
      </c>
      <c r="C32" s="90" t="s">
        <v>125</v>
      </c>
      <c r="D32" s="90" t="s">
        <v>239</v>
      </c>
      <c r="E32" s="91" t="n">
        <v>36678</v>
      </c>
      <c r="F32" s="91" t="n">
        <v>36707</v>
      </c>
      <c r="G32" s="130" t="n">
        <v>10001</v>
      </c>
      <c r="H32" s="130" t="n">
        <v>10001</v>
      </c>
      <c r="I32" s="90" t="s">
        <v>378</v>
      </c>
      <c r="J32" s="92" t="n">
        <v>1.8373</v>
      </c>
      <c r="K32" s="93"/>
      <c r="L32" s="93"/>
      <c r="M32" s="93"/>
      <c r="N32" s="93"/>
      <c r="O32" s="94"/>
      <c r="P32" s="93"/>
      <c r="Q32" s="95" t="n">
        <v>530669</v>
      </c>
      <c r="R32" s="90" t="n">
        <v>220</v>
      </c>
      <c r="S32" s="89" t="s">
        <v>390</v>
      </c>
      <c r="T32" s="96" t="n">
        <f aca="false">J32*1*R32</f>
        <v>404.206</v>
      </c>
      <c r="U32" s="96"/>
      <c r="V32" s="97" t="n">
        <v>276543</v>
      </c>
      <c r="W32" s="89"/>
      <c r="X32" s="98"/>
      <c r="Y32" s="9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  <c r="IW32" s="88"/>
    </row>
    <row r="33" customFormat="false" ht="12.75" hidden="false" customHeight="false" outlineLevel="0" collapsed="false">
      <c r="B33" s="118" t="s">
        <v>113</v>
      </c>
      <c r="C33" s="119" t="s">
        <v>113</v>
      </c>
      <c r="D33" s="120" t="s">
        <v>113</v>
      </c>
      <c r="E33" s="121" t="s">
        <v>113</v>
      </c>
      <c r="F33" s="121"/>
      <c r="G33" s="118" t="s">
        <v>113</v>
      </c>
      <c r="H33" s="122" t="s">
        <v>113</v>
      </c>
      <c r="I33" s="119" t="s">
        <v>113</v>
      </c>
      <c r="J33" s="123"/>
      <c r="K33" s="124"/>
      <c r="L33" s="124"/>
      <c r="M33" s="124"/>
      <c r="N33" s="124"/>
      <c r="O33" s="125"/>
      <c r="P33" s="124"/>
      <c r="Q33" s="126" t="s">
        <v>113</v>
      </c>
      <c r="R33" s="119" t="n">
        <f aca="false">SUM(R22:R30)</f>
        <v>32113</v>
      </c>
      <c r="S33" s="118" t="s">
        <v>113</v>
      </c>
      <c r="T33" s="127" t="n">
        <f aca="false">SUM(T22:T32)</f>
        <v>6655.3164</v>
      </c>
      <c r="U33" s="127" t="n">
        <f aca="false">SUM(U22:U30)</f>
        <v>0</v>
      </c>
      <c r="V33" s="128"/>
      <c r="W33" s="118"/>
      <c r="X33" s="72"/>
      <c r="Y33" s="72"/>
    </row>
    <row r="34" customFormat="false" ht="12.75" hidden="false" customHeight="false" outlineLevel="0" collapsed="false">
      <c r="B34" s="63" t="s">
        <v>181</v>
      </c>
      <c r="C34" s="64" t="s">
        <v>182</v>
      </c>
      <c r="D34" s="64" t="s">
        <v>183</v>
      </c>
      <c r="E34" s="65" t="s">
        <v>184</v>
      </c>
      <c r="F34" s="65"/>
      <c r="G34" s="63" t="s">
        <v>185</v>
      </c>
      <c r="H34" s="63" t="s">
        <v>186</v>
      </c>
      <c r="I34" s="64" t="s">
        <v>187</v>
      </c>
      <c r="J34" s="66" t="s">
        <v>188</v>
      </c>
      <c r="K34" s="64" t="s">
        <v>189</v>
      </c>
      <c r="L34" s="64" t="s">
        <v>190</v>
      </c>
      <c r="M34" s="64" t="s">
        <v>191</v>
      </c>
      <c r="N34" s="64" t="s">
        <v>192</v>
      </c>
      <c r="O34" s="67" t="s">
        <v>193</v>
      </c>
      <c r="P34" s="64" t="s">
        <v>194</v>
      </c>
      <c r="Q34" s="68" t="s">
        <v>195</v>
      </c>
      <c r="R34" s="64" t="s">
        <v>196</v>
      </c>
      <c r="S34" s="63" t="s">
        <v>197</v>
      </c>
      <c r="T34" s="69" t="s">
        <v>198</v>
      </c>
      <c r="U34" s="69" t="s">
        <v>199</v>
      </c>
      <c r="V34" s="70" t="s">
        <v>200</v>
      </c>
      <c r="W34" s="71" t="str">
        <f aca="false">+W21</f>
        <v>Questions</v>
      </c>
      <c r="X34" s="72"/>
      <c r="Y34" s="72"/>
    </row>
    <row r="35" customFormat="false" ht="12.75" hidden="false" customHeight="false" outlineLevel="0" collapsed="false">
      <c r="A35" s="131"/>
      <c r="B35" s="132" t="s">
        <v>201</v>
      </c>
      <c r="C35" s="133" t="s">
        <v>391</v>
      </c>
      <c r="D35" s="133" t="s">
        <v>392</v>
      </c>
      <c r="E35" s="134" t="n">
        <v>36617</v>
      </c>
      <c r="F35" s="134" t="n">
        <v>36830</v>
      </c>
      <c r="G35" s="132" t="s">
        <v>393</v>
      </c>
      <c r="H35" s="132" t="s">
        <v>394</v>
      </c>
      <c r="I35" s="133" t="s">
        <v>395</v>
      </c>
      <c r="J35" s="135" t="n">
        <f aca="false">6.238/J1</f>
        <v>0.201225806451613</v>
      </c>
      <c r="K35" s="136" t="n">
        <v>0</v>
      </c>
      <c r="L35" s="136" t="n">
        <v>0</v>
      </c>
      <c r="M35" s="136" t="n">
        <v>0</v>
      </c>
      <c r="N35" s="136" t="n">
        <v>0</v>
      </c>
      <c r="O35" s="137" t="n">
        <v>0</v>
      </c>
      <c r="P35" s="136" t="n">
        <f aca="false">SUM(J35:N35)</f>
        <v>0.201225806451613</v>
      </c>
      <c r="Q35" s="138" t="n">
        <v>51407</v>
      </c>
      <c r="R35" s="133" t="n">
        <v>73754</v>
      </c>
      <c r="S35" s="132" t="s">
        <v>396</v>
      </c>
      <c r="T35" s="139"/>
      <c r="U35" s="139"/>
      <c r="V35" s="140" t="n">
        <v>156569</v>
      </c>
      <c r="W35" s="132"/>
      <c r="X35" s="141"/>
      <c r="Y35" s="14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1"/>
      <c r="HW35" s="131"/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1"/>
      <c r="II35" s="131"/>
      <c r="IJ35" s="131"/>
      <c r="IK35" s="131"/>
      <c r="IL35" s="131"/>
      <c r="IM35" s="131"/>
      <c r="IN35" s="131"/>
      <c r="IO35" s="131"/>
      <c r="IP35" s="131"/>
      <c r="IQ35" s="131"/>
      <c r="IR35" s="131"/>
      <c r="IS35" s="131"/>
      <c r="IT35" s="131"/>
      <c r="IU35" s="131"/>
      <c r="IV35" s="131"/>
      <c r="IW35" s="131"/>
    </row>
    <row r="36" customFormat="false" ht="12.75" hidden="false" customHeight="false" outlineLevel="0" collapsed="false">
      <c r="A36" s="131"/>
      <c r="B36" s="132" t="s">
        <v>201</v>
      </c>
      <c r="C36" s="133" t="s">
        <v>391</v>
      </c>
      <c r="D36" s="133" t="s">
        <v>392</v>
      </c>
      <c r="E36" s="134" t="n">
        <v>36617</v>
      </c>
      <c r="F36" s="134" t="n">
        <v>36830</v>
      </c>
      <c r="G36" s="132" t="s">
        <v>393</v>
      </c>
      <c r="H36" s="132" t="s">
        <v>397</v>
      </c>
      <c r="I36" s="133" t="s">
        <v>395</v>
      </c>
      <c r="J36" s="135" t="n">
        <f aca="false">1.512/J1</f>
        <v>0.0487741935483871</v>
      </c>
      <c r="K36" s="136" t="n">
        <v>0</v>
      </c>
      <c r="L36" s="136" t="n">
        <v>0</v>
      </c>
      <c r="M36" s="136" t="n">
        <v>0</v>
      </c>
      <c r="N36" s="136" t="n">
        <v>0</v>
      </c>
      <c r="O36" s="137" t="n">
        <v>0</v>
      </c>
      <c r="P36" s="136" t="n">
        <f aca="false">SUM(J36:N36)</f>
        <v>0.0487741935483871</v>
      </c>
      <c r="Q36" s="138" t="n">
        <v>51407</v>
      </c>
      <c r="R36" s="133" t="n">
        <v>73754</v>
      </c>
      <c r="S36" s="132" t="s">
        <v>396</v>
      </c>
      <c r="T36" s="139"/>
      <c r="U36" s="139"/>
      <c r="V36" s="140" t="n">
        <v>156569</v>
      </c>
      <c r="W36" s="132"/>
      <c r="X36" s="141"/>
      <c r="Y36" s="14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  <c r="IW36" s="131"/>
    </row>
    <row r="37" customFormat="false" ht="12.75" hidden="false" customHeight="false" outlineLevel="0" collapsed="false">
      <c r="A37" s="76"/>
      <c r="B37" s="77" t="s">
        <v>201</v>
      </c>
      <c r="C37" s="78" t="s">
        <v>391</v>
      </c>
      <c r="D37" s="78"/>
      <c r="E37" s="79" t="n">
        <v>36100</v>
      </c>
      <c r="F37" s="79" t="n">
        <v>36830</v>
      </c>
      <c r="G37" s="77" t="s">
        <v>398</v>
      </c>
      <c r="H37" s="77" t="s">
        <v>399</v>
      </c>
      <c r="I37" s="78" t="s">
        <v>117</v>
      </c>
      <c r="J37" s="80" t="n">
        <f aca="false">4.56/J$1</f>
        <v>0.147096774193548</v>
      </c>
      <c r="K37" s="81" t="n">
        <v>0.0132</v>
      </c>
      <c r="L37" s="81" t="n">
        <v>0.0022</v>
      </c>
      <c r="M37" s="81" t="n">
        <v>0.0072</v>
      </c>
      <c r="N37" s="81" t="n">
        <v>0</v>
      </c>
      <c r="O37" s="82" t="n">
        <v>0.02116</v>
      </c>
      <c r="P37" s="81" t="n">
        <f aca="false">SUM(J37:N37)</f>
        <v>0.169696774193548</v>
      </c>
      <c r="Q37" s="83" t="n">
        <v>61822</v>
      </c>
      <c r="R37" s="78" t="n">
        <v>4000</v>
      </c>
      <c r="S37" s="77" t="s">
        <v>400</v>
      </c>
      <c r="T37" s="84" t="n">
        <f aca="false">J37*J$1*R37</f>
        <v>18240</v>
      </c>
      <c r="U37" s="84"/>
      <c r="V37" s="85" t="n">
        <v>162284</v>
      </c>
      <c r="W37" s="77"/>
      <c r="X37" s="86"/>
      <c r="Y37" s="8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.75" hidden="false" customHeight="false" outlineLevel="0" collapsed="false">
      <c r="A38" s="76"/>
      <c r="B38" s="77" t="s">
        <v>201</v>
      </c>
      <c r="C38" s="78" t="s">
        <v>391</v>
      </c>
      <c r="D38" s="78" t="s">
        <v>401</v>
      </c>
      <c r="E38" s="79" t="n">
        <v>36526</v>
      </c>
      <c r="F38" s="79" t="n">
        <v>36830</v>
      </c>
      <c r="G38" s="77" t="s">
        <v>402</v>
      </c>
      <c r="H38" s="77" t="s">
        <v>403</v>
      </c>
      <c r="I38" s="78" t="s">
        <v>117</v>
      </c>
      <c r="J38" s="80" t="n">
        <f aca="false">4.56/J$1</f>
        <v>0.147096774193548</v>
      </c>
      <c r="K38" s="81" t="n">
        <v>0.0132</v>
      </c>
      <c r="L38" s="81" t="n">
        <v>0.0022</v>
      </c>
      <c r="M38" s="81" t="n">
        <v>0.0075</v>
      </c>
      <c r="N38" s="81" t="n">
        <v>0</v>
      </c>
      <c r="O38" s="82" t="n">
        <v>0.02116</v>
      </c>
      <c r="P38" s="81" t="n">
        <f aca="false">SUM(J38:N38)</f>
        <v>0.169996774193548</v>
      </c>
      <c r="Q38" s="83" t="n">
        <v>61825</v>
      </c>
      <c r="R38" s="78" t="n">
        <v>2000</v>
      </c>
      <c r="S38" s="77" t="s">
        <v>404</v>
      </c>
      <c r="T38" s="84" t="n">
        <f aca="false">J38*J$1*R38</f>
        <v>9120</v>
      </c>
      <c r="U38" s="84"/>
      <c r="V38" s="85" t="n">
        <v>156570</v>
      </c>
      <c r="W38" s="84"/>
      <c r="X38" s="86"/>
      <c r="Y38" s="8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.75" hidden="false" customHeight="false" outlineLevel="0" collapsed="false">
      <c r="A39" s="76"/>
      <c r="B39" s="77" t="s">
        <v>201</v>
      </c>
      <c r="C39" s="78" t="s">
        <v>391</v>
      </c>
      <c r="D39" s="78" t="s">
        <v>401</v>
      </c>
      <c r="E39" s="79" t="n">
        <v>36526</v>
      </c>
      <c r="F39" s="79" t="n">
        <v>36830</v>
      </c>
      <c r="G39" s="77" t="s">
        <v>405</v>
      </c>
      <c r="H39" s="77" t="s">
        <v>403</v>
      </c>
      <c r="I39" s="78" t="s">
        <v>117</v>
      </c>
      <c r="J39" s="80" t="n">
        <f aca="false">4.56/J$1</f>
        <v>0.147096774193548</v>
      </c>
      <c r="K39" s="81" t="n">
        <v>0.0132</v>
      </c>
      <c r="L39" s="81" t="n">
        <v>0.0022</v>
      </c>
      <c r="M39" s="81" t="n">
        <v>0.0075</v>
      </c>
      <c r="N39" s="81" t="n">
        <v>0</v>
      </c>
      <c r="O39" s="82" t="n">
        <v>0.02116</v>
      </c>
      <c r="P39" s="81" t="n">
        <f aca="false">SUM(J39:N39)</f>
        <v>0.169996774193548</v>
      </c>
      <c r="Q39" s="83" t="n">
        <v>61825</v>
      </c>
      <c r="R39" s="78" t="n">
        <v>5000</v>
      </c>
      <c r="S39" s="77" t="s">
        <v>404</v>
      </c>
      <c r="T39" s="84" t="n">
        <f aca="false">J39*J$1*R39</f>
        <v>22800</v>
      </c>
      <c r="U39" s="84"/>
      <c r="V39" s="85" t="n">
        <v>156570</v>
      </c>
      <c r="W39" s="84"/>
      <c r="X39" s="86"/>
      <c r="Y39" s="8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  <c r="IW39" s="76"/>
    </row>
    <row r="40" customFormat="false" ht="12.75" hidden="false" customHeight="false" outlineLevel="0" collapsed="false">
      <c r="A40" s="76"/>
      <c r="B40" s="77" t="s">
        <v>201</v>
      </c>
      <c r="C40" s="78" t="s">
        <v>391</v>
      </c>
      <c r="D40" s="78" t="s">
        <v>401</v>
      </c>
      <c r="E40" s="79" t="n">
        <v>36526</v>
      </c>
      <c r="F40" s="79" t="n">
        <v>36830</v>
      </c>
      <c r="G40" s="77" t="s">
        <v>406</v>
      </c>
      <c r="H40" s="77" t="s">
        <v>403</v>
      </c>
      <c r="I40" s="78" t="s">
        <v>117</v>
      </c>
      <c r="J40" s="80" t="n">
        <f aca="false">4.56/J$1</f>
        <v>0.147096774193548</v>
      </c>
      <c r="K40" s="81" t="n">
        <v>0.0132</v>
      </c>
      <c r="L40" s="81" t="n">
        <v>0.0022</v>
      </c>
      <c r="M40" s="81" t="n">
        <v>0.0075</v>
      </c>
      <c r="N40" s="81" t="n">
        <v>0</v>
      </c>
      <c r="O40" s="82" t="n">
        <v>0.02116</v>
      </c>
      <c r="P40" s="81" t="n">
        <f aca="false">SUM(J40:N40)</f>
        <v>0.169996774193548</v>
      </c>
      <c r="Q40" s="83" t="n">
        <v>61825</v>
      </c>
      <c r="R40" s="78" t="n">
        <v>1000</v>
      </c>
      <c r="S40" s="77" t="s">
        <v>404</v>
      </c>
      <c r="T40" s="84" t="n">
        <f aca="false">J40*J$1*R40</f>
        <v>4560</v>
      </c>
      <c r="U40" s="84"/>
      <c r="V40" s="85" t="n">
        <v>156570</v>
      </c>
      <c r="W40" s="84"/>
      <c r="X40" s="86"/>
      <c r="Y40" s="8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A41" s="76"/>
      <c r="B41" s="77" t="s">
        <v>201</v>
      </c>
      <c r="C41" s="78" t="s">
        <v>391</v>
      </c>
      <c r="D41" s="78"/>
      <c r="E41" s="79" t="n">
        <v>36100</v>
      </c>
      <c r="F41" s="79" t="n">
        <v>36830</v>
      </c>
      <c r="G41" s="77" t="s">
        <v>402</v>
      </c>
      <c r="H41" s="77" t="s">
        <v>407</v>
      </c>
      <c r="I41" s="78" t="s">
        <v>117</v>
      </c>
      <c r="J41" s="80" t="n">
        <f aca="false">4.56/J$1</f>
        <v>0.147096774193548</v>
      </c>
      <c r="K41" s="81" t="n">
        <v>0.0132</v>
      </c>
      <c r="L41" s="81" t="n">
        <v>0.0022</v>
      </c>
      <c r="M41" s="81" t="n">
        <v>0.0072</v>
      </c>
      <c r="N41" s="81" t="n">
        <v>0</v>
      </c>
      <c r="O41" s="82" t="n">
        <v>0.02116</v>
      </c>
      <c r="P41" s="81" t="n">
        <f aca="false">SUM(J41:N41)</f>
        <v>0.169696774193548</v>
      </c>
      <c r="Q41" s="83" t="n">
        <v>61838</v>
      </c>
      <c r="R41" s="78" t="n">
        <v>1000</v>
      </c>
      <c r="S41" s="77" t="s">
        <v>408</v>
      </c>
      <c r="T41" s="84" t="n">
        <f aca="false">J41*J$1*R41</f>
        <v>4560</v>
      </c>
      <c r="U41" s="84"/>
      <c r="V41" s="85" t="n">
        <v>156571</v>
      </c>
      <c r="W41" s="77"/>
      <c r="X41" s="86"/>
      <c r="Y41" s="8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.75" hidden="false" customHeight="false" outlineLevel="0" collapsed="false">
      <c r="A42" s="76"/>
      <c r="B42" s="77" t="s">
        <v>201</v>
      </c>
      <c r="C42" s="78" t="s">
        <v>391</v>
      </c>
      <c r="D42" s="78" t="s">
        <v>401</v>
      </c>
      <c r="E42" s="79" t="n">
        <v>36526</v>
      </c>
      <c r="F42" s="79" t="n">
        <v>36830</v>
      </c>
      <c r="G42" s="77" t="s">
        <v>402</v>
      </c>
      <c r="H42" s="77" t="s">
        <v>409</v>
      </c>
      <c r="I42" s="78" t="s">
        <v>117</v>
      </c>
      <c r="J42" s="80" t="n">
        <f aca="false">4.56/J$1</f>
        <v>0.147096774193548</v>
      </c>
      <c r="K42" s="81" t="n">
        <v>0.0132</v>
      </c>
      <c r="L42" s="81" t="n">
        <v>0.0022</v>
      </c>
      <c r="M42" s="81" t="n">
        <v>0.0075</v>
      </c>
      <c r="N42" s="81" t="n">
        <v>0</v>
      </c>
      <c r="O42" s="82" t="n">
        <v>0.02116</v>
      </c>
      <c r="P42" s="81" t="n">
        <f aca="false">SUM(J42:N42)</f>
        <v>0.169996774193548</v>
      </c>
      <c r="Q42" s="83" t="n">
        <v>61990</v>
      </c>
      <c r="R42" s="78" t="n">
        <v>2000</v>
      </c>
      <c r="S42" s="77" t="s">
        <v>410</v>
      </c>
      <c r="T42" s="84" t="n">
        <f aca="false">J42*J$1*R42</f>
        <v>9120</v>
      </c>
      <c r="U42" s="84"/>
      <c r="V42" s="85" t="n">
        <v>156573</v>
      </c>
      <c r="W42" s="84"/>
      <c r="X42" s="86"/>
      <c r="Y42" s="8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.75" hidden="false" customHeight="false" outlineLevel="0" collapsed="false">
      <c r="A43" s="76"/>
      <c r="B43" s="77" t="s">
        <v>201</v>
      </c>
      <c r="C43" s="78" t="s">
        <v>391</v>
      </c>
      <c r="D43" s="78" t="s">
        <v>401</v>
      </c>
      <c r="E43" s="79" t="n">
        <v>36465</v>
      </c>
      <c r="F43" s="79" t="n">
        <v>36891</v>
      </c>
      <c r="G43" s="77"/>
      <c r="H43" s="77"/>
      <c r="I43" s="78" t="s">
        <v>117</v>
      </c>
      <c r="J43" s="80" t="n">
        <f aca="false">3.0417/30.417</f>
        <v>0.1</v>
      </c>
      <c r="K43" s="81" t="n">
        <v>0.0132</v>
      </c>
      <c r="L43" s="81" t="n">
        <v>0.0022</v>
      </c>
      <c r="M43" s="81" t="n">
        <v>0.0075</v>
      </c>
      <c r="N43" s="81" t="n">
        <v>0</v>
      </c>
      <c r="O43" s="82" t="n">
        <v>0.02116</v>
      </c>
      <c r="P43" s="81" t="n">
        <f aca="false">SUM(J43:N43)</f>
        <v>0.1229</v>
      </c>
      <c r="Q43" s="83" t="n">
        <v>62164</v>
      </c>
      <c r="R43" s="78" t="n">
        <v>2000</v>
      </c>
      <c r="S43" s="77" t="s">
        <v>411</v>
      </c>
      <c r="T43" s="84" t="n">
        <f aca="false">J43*J$1*R43</f>
        <v>6200</v>
      </c>
      <c r="U43" s="85"/>
      <c r="V43" s="86" t="s">
        <v>412</v>
      </c>
      <c r="W43" s="8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.75" hidden="false" customHeight="false" outlineLevel="0" collapsed="false">
      <c r="A44" s="88"/>
      <c r="B44" s="89" t="s">
        <v>201</v>
      </c>
      <c r="C44" s="90" t="s">
        <v>391</v>
      </c>
      <c r="D44" s="90" t="s">
        <v>392</v>
      </c>
      <c r="E44" s="91" t="n">
        <v>36617</v>
      </c>
      <c r="F44" s="91" t="n">
        <v>36799</v>
      </c>
      <c r="G44" s="89" t="s">
        <v>393</v>
      </c>
      <c r="H44" s="89" t="s">
        <v>413</v>
      </c>
      <c r="I44" s="90" t="s">
        <v>414</v>
      </c>
      <c r="J44" s="92" t="n">
        <f aca="false">6.029/J$1</f>
        <v>0.194483870967742</v>
      </c>
      <c r="K44" s="93" t="n">
        <v>0.013</v>
      </c>
      <c r="L44" s="93" t="n">
        <v>0.0022</v>
      </c>
      <c r="M44" s="93" t="n">
        <v>0.0072</v>
      </c>
      <c r="N44" s="93" t="n">
        <v>0</v>
      </c>
      <c r="O44" s="94" t="n">
        <v>0.02116</v>
      </c>
      <c r="P44" s="93" t="n">
        <f aca="false">SUM(J44:N44)</f>
        <v>0.216883870967742</v>
      </c>
      <c r="Q44" s="95" t="n">
        <v>67693</v>
      </c>
      <c r="R44" s="90" t="n">
        <v>54327</v>
      </c>
      <c r="S44" s="89" t="s">
        <v>415</v>
      </c>
      <c r="T44" s="96" t="n">
        <f aca="false">J44*J$1*R44</f>
        <v>327537.483</v>
      </c>
      <c r="U44" s="96"/>
      <c r="V44" s="97" t="n">
        <v>231378</v>
      </c>
      <c r="W44" s="89"/>
      <c r="X44" s="98"/>
      <c r="Y44" s="9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  <c r="IW44" s="88"/>
    </row>
    <row r="45" customFormat="false" ht="12.75" hidden="false" customHeight="false" outlineLevel="0" collapsed="false">
      <c r="A45" s="88"/>
      <c r="B45" s="89" t="s">
        <v>201</v>
      </c>
      <c r="C45" s="90" t="s">
        <v>391</v>
      </c>
      <c r="D45" s="90" t="s">
        <v>392</v>
      </c>
      <c r="E45" s="91" t="n">
        <v>36678</v>
      </c>
      <c r="F45" s="91" t="n">
        <v>36707</v>
      </c>
      <c r="G45" s="89" t="s">
        <v>393</v>
      </c>
      <c r="H45" s="89" t="s">
        <v>416</v>
      </c>
      <c r="I45" s="90" t="s">
        <v>414</v>
      </c>
      <c r="J45" s="92"/>
      <c r="K45" s="93" t="n">
        <v>0.013</v>
      </c>
      <c r="L45" s="93" t="n">
        <v>0.0022</v>
      </c>
      <c r="M45" s="93" t="n">
        <v>0.0072</v>
      </c>
      <c r="N45" s="93" t="n">
        <v>0</v>
      </c>
      <c r="O45" s="94" t="n">
        <v>0.02116</v>
      </c>
      <c r="P45" s="93" t="n">
        <f aca="false">SUM(J45:N45)</f>
        <v>0.0224</v>
      </c>
      <c r="Q45" s="95" t="n">
        <v>67693</v>
      </c>
      <c r="R45" s="90" t="n">
        <v>-15000</v>
      </c>
      <c r="S45" s="89" t="s">
        <v>415</v>
      </c>
      <c r="T45" s="96" t="n">
        <f aca="false">J45*J$1*R45</f>
        <v>-0</v>
      </c>
      <c r="U45" s="96"/>
      <c r="V45" s="97" t="n">
        <v>231378</v>
      </c>
      <c r="W45" s="89"/>
      <c r="X45" s="98"/>
      <c r="Y45" s="9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  <c r="IW45" s="88"/>
    </row>
    <row r="46" customFormat="false" ht="12.75" hidden="false" customHeight="false" outlineLevel="0" collapsed="false">
      <c r="A46" s="88"/>
      <c r="B46" s="89" t="s">
        <v>201</v>
      </c>
      <c r="C46" s="90" t="s">
        <v>391</v>
      </c>
      <c r="D46" s="90" t="s">
        <v>392</v>
      </c>
      <c r="E46" s="91" t="n">
        <v>36617</v>
      </c>
      <c r="F46" s="91" t="n">
        <v>36981</v>
      </c>
      <c r="G46" s="89" t="s">
        <v>393</v>
      </c>
      <c r="H46" s="89" t="s">
        <v>394</v>
      </c>
      <c r="I46" s="90" t="s">
        <v>395</v>
      </c>
      <c r="J46" s="92" t="n">
        <v>0.0291</v>
      </c>
      <c r="K46" s="93" t="n">
        <v>0</v>
      </c>
      <c r="L46" s="93" t="n">
        <v>0</v>
      </c>
      <c r="M46" s="93" t="n">
        <v>0</v>
      </c>
      <c r="N46" s="93" t="n">
        <v>0</v>
      </c>
      <c r="O46" s="94" t="n">
        <v>0</v>
      </c>
      <c r="P46" s="93" t="n">
        <f aca="false">SUM(J46:N46)</f>
        <v>0.0291</v>
      </c>
      <c r="Q46" s="95" t="n">
        <v>67713</v>
      </c>
      <c r="R46" s="90" t="n">
        <v>6050607</v>
      </c>
      <c r="S46" s="89" t="s">
        <v>417</v>
      </c>
      <c r="T46" s="96" t="n">
        <f aca="false">J46*R46</f>
        <v>176072.6637</v>
      </c>
      <c r="U46" s="96"/>
      <c r="V46" s="97" t="n">
        <v>235876</v>
      </c>
      <c r="W46" s="89"/>
      <c r="X46" s="98"/>
      <c r="Y46" s="9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  <c r="IW46" s="88"/>
    </row>
    <row r="47" customFormat="false" ht="12.75" hidden="false" customHeight="false" outlineLevel="0" collapsed="false">
      <c r="A47" s="88"/>
      <c r="B47" s="89" t="s">
        <v>201</v>
      </c>
      <c r="C47" s="90" t="s">
        <v>391</v>
      </c>
      <c r="D47" s="90" t="s">
        <v>392</v>
      </c>
      <c r="E47" s="91" t="n">
        <v>36617</v>
      </c>
      <c r="F47" s="91" t="n">
        <v>36981</v>
      </c>
      <c r="G47" s="89" t="s">
        <v>393</v>
      </c>
      <c r="H47" s="89" t="s">
        <v>397</v>
      </c>
      <c r="I47" s="90" t="s">
        <v>395</v>
      </c>
      <c r="J47" s="92" t="n">
        <v>1.524</v>
      </c>
      <c r="K47" s="93" t="n">
        <v>0</v>
      </c>
      <c r="L47" s="93" t="n">
        <v>0</v>
      </c>
      <c r="M47" s="93" t="n">
        <v>0</v>
      </c>
      <c r="N47" s="93" t="n">
        <v>0</v>
      </c>
      <c r="O47" s="94" t="n">
        <v>0</v>
      </c>
      <c r="P47" s="93" t="n">
        <f aca="false">SUM(J47:N47)</f>
        <v>1.524</v>
      </c>
      <c r="Q47" s="95" t="n">
        <v>67713</v>
      </c>
      <c r="R47" s="90" t="n">
        <v>108648</v>
      </c>
      <c r="S47" s="89" t="s">
        <v>417</v>
      </c>
      <c r="T47" s="96" t="n">
        <f aca="false">J47*R47</f>
        <v>165579.552</v>
      </c>
      <c r="U47" s="96"/>
      <c r="V47" s="97" t="n">
        <v>235876</v>
      </c>
      <c r="W47" s="89"/>
      <c r="X47" s="98"/>
      <c r="Y47" s="9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  <c r="IW47" s="88"/>
    </row>
    <row r="48" customFormat="false" ht="12.75" hidden="false" customHeight="false" outlineLevel="0" collapsed="false">
      <c r="A48" s="73"/>
      <c r="B48" s="46" t="s">
        <v>201</v>
      </c>
      <c r="C48" s="44" t="s">
        <v>391</v>
      </c>
      <c r="D48" s="44" t="s">
        <v>418</v>
      </c>
      <c r="E48" s="45" t="n">
        <v>36281</v>
      </c>
      <c r="F48" s="45" t="n">
        <v>36646</v>
      </c>
      <c r="G48" s="46" t="s">
        <v>419</v>
      </c>
      <c r="H48" s="46" t="s">
        <v>420</v>
      </c>
      <c r="I48" s="44" t="s">
        <v>117</v>
      </c>
      <c r="J48" s="58" t="n">
        <f aca="false">6.449/J$1</f>
        <v>0.208032258064516</v>
      </c>
      <c r="K48" s="49" t="n">
        <v>0.0132</v>
      </c>
      <c r="L48" s="49" t="n">
        <v>0.0022</v>
      </c>
      <c r="M48" s="49" t="n">
        <v>0.0072</v>
      </c>
      <c r="N48" s="49" t="n">
        <v>0</v>
      </c>
      <c r="O48" s="50" t="n">
        <v>0.02116</v>
      </c>
      <c r="P48" s="49" t="n">
        <f aca="false">SUM(J48:N48)</f>
        <v>0.230632258064516</v>
      </c>
      <c r="Q48" s="51" t="n">
        <v>63557</v>
      </c>
      <c r="R48" s="44" t="n">
        <v>33</v>
      </c>
      <c r="S48" s="46" t="s">
        <v>421</v>
      </c>
      <c r="T48" s="74" t="n">
        <f aca="false">J48*J$1*R48</f>
        <v>212.817</v>
      </c>
      <c r="U48" s="74"/>
      <c r="V48" s="75" t="n">
        <v>156581</v>
      </c>
      <c r="W48" s="46"/>
      <c r="X48" s="72"/>
      <c r="Y48" s="72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3"/>
      <c r="IV48" s="73"/>
      <c r="IW48" s="73"/>
    </row>
    <row r="49" customFormat="false" ht="12.75" hidden="false" customHeight="false" outlineLevel="0" collapsed="false">
      <c r="A49" s="76"/>
      <c r="B49" s="77" t="s">
        <v>201</v>
      </c>
      <c r="C49" s="78" t="s">
        <v>391</v>
      </c>
      <c r="D49" s="78" t="s">
        <v>418</v>
      </c>
      <c r="E49" s="79" t="n">
        <v>36678</v>
      </c>
      <c r="F49" s="79" t="n">
        <v>37042</v>
      </c>
      <c r="G49" s="77" t="s">
        <v>419</v>
      </c>
      <c r="H49" s="77" t="s">
        <v>420</v>
      </c>
      <c r="I49" s="78" t="s">
        <v>117</v>
      </c>
      <c r="J49" s="80" t="n">
        <f aca="false">6.401/J$1</f>
        <v>0.206483870967742</v>
      </c>
      <c r="K49" s="81" t="n">
        <v>0.0132</v>
      </c>
      <c r="L49" s="81" t="n">
        <v>0.0022</v>
      </c>
      <c r="M49" s="81" t="n">
        <v>0.0072</v>
      </c>
      <c r="N49" s="81" t="n">
        <v>0</v>
      </c>
      <c r="O49" s="82" t="n">
        <v>0.02116</v>
      </c>
      <c r="P49" s="81" t="n">
        <f aca="false">SUM(J49:N49)</f>
        <v>0.229083870967742</v>
      </c>
      <c r="Q49" s="83" t="n">
        <v>68359</v>
      </c>
      <c r="R49" s="78" t="n">
        <v>303</v>
      </c>
      <c r="S49" s="77" t="s">
        <v>422</v>
      </c>
      <c r="T49" s="84" t="n">
        <f aca="false">J49*J$1*R49</f>
        <v>1939.503</v>
      </c>
      <c r="U49" s="84"/>
      <c r="V49" s="85" t="n">
        <v>271307</v>
      </c>
      <c r="W49" s="77"/>
      <c r="X49" s="86"/>
      <c r="Y49" s="8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  <c r="IW49" s="76"/>
    </row>
    <row r="50" customFormat="false" ht="12.75" hidden="false" customHeight="false" outlineLevel="0" collapsed="false">
      <c r="A50" s="76"/>
      <c r="B50" s="77" t="s">
        <v>201</v>
      </c>
      <c r="C50" s="78" t="s">
        <v>391</v>
      </c>
      <c r="D50" s="78" t="s">
        <v>423</v>
      </c>
      <c r="E50" s="79" t="n">
        <v>36678</v>
      </c>
      <c r="F50" s="79" t="n">
        <v>37042</v>
      </c>
      <c r="G50" s="77" t="s">
        <v>419</v>
      </c>
      <c r="H50" s="77" t="s">
        <v>424</v>
      </c>
      <c r="I50" s="78" t="s">
        <v>117</v>
      </c>
      <c r="J50" s="80" t="n">
        <f aca="false">6.401/J$1</f>
        <v>0.206483870967742</v>
      </c>
      <c r="K50" s="81" t="n">
        <v>0.0132</v>
      </c>
      <c r="L50" s="81" t="n">
        <v>0.0022</v>
      </c>
      <c r="M50" s="81" t="n">
        <v>0.0072</v>
      </c>
      <c r="N50" s="81" t="n">
        <v>0</v>
      </c>
      <c r="O50" s="82" t="n">
        <v>0.02116</v>
      </c>
      <c r="P50" s="81" t="n">
        <f aca="false">SUM(J50:N50)</f>
        <v>0.229083870967742</v>
      </c>
      <c r="Q50" s="83" t="n">
        <v>68384</v>
      </c>
      <c r="R50" s="78" t="n">
        <v>218</v>
      </c>
      <c r="S50" s="77" t="s">
        <v>425</v>
      </c>
      <c r="T50" s="84" t="n">
        <f aca="false">J50*J$1*R50</f>
        <v>1395.418</v>
      </c>
      <c r="U50" s="84"/>
      <c r="V50" s="85" t="n">
        <v>280570</v>
      </c>
      <c r="W50" s="77"/>
      <c r="X50" s="86"/>
      <c r="Y50" s="8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</row>
    <row r="51" customFormat="false" ht="12.75" hidden="false" customHeight="false" outlineLevel="0" collapsed="false">
      <c r="A51" s="76"/>
      <c r="B51" s="77" t="s">
        <v>201</v>
      </c>
      <c r="C51" s="78" t="s">
        <v>391</v>
      </c>
      <c r="D51" s="78" t="s">
        <v>418</v>
      </c>
      <c r="E51" s="79" t="n">
        <v>36342</v>
      </c>
      <c r="F51" s="79" t="n">
        <v>36707</v>
      </c>
      <c r="G51" s="77" t="s">
        <v>419</v>
      </c>
      <c r="H51" s="77" t="s">
        <v>420</v>
      </c>
      <c r="I51" s="78" t="s">
        <v>117</v>
      </c>
      <c r="J51" s="80" t="n">
        <f aca="false">6.449/J$1</f>
        <v>0.208032258064516</v>
      </c>
      <c r="K51" s="81" t="n">
        <v>0.0132</v>
      </c>
      <c r="L51" s="81" t="n">
        <v>0.0022</v>
      </c>
      <c r="M51" s="81" t="n">
        <v>0.0072</v>
      </c>
      <c r="N51" s="81" t="n">
        <v>0</v>
      </c>
      <c r="O51" s="82" t="n">
        <v>0.02116</v>
      </c>
      <c r="P51" s="81" t="n">
        <f aca="false">SUM(J51:N51)</f>
        <v>0.230632258064516</v>
      </c>
      <c r="Q51" s="83" t="n">
        <v>64034</v>
      </c>
      <c r="R51" s="78" t="n">
        <v>911</v>
      </c>
      <c r="S51" s="77" t="s">
        <v>426</v>
      </c>
      <c r="T51" s="84" t="n">
        <f aca="false">J51*J$1*R51</f>
        <v>5875.039</v>
      </c>
      <c r="U51" s="84"/>
      <c r="V51" s="85" t="n">
        <v>156585</v>
      </c>
      <c r="W51" s="77"/>
      <c r="X51" s="86"/>
      <c r="Y51" s="8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</row>
    <row r="52" customFormat="false" ht="12.75" hidden="false" customHeight="false" outlineLevel="0" collapsed="false">
      <c r="A52" s="76"/>
      <c r="B52" s="77" t="s">
        <v>201</v>
      </c>
      <c r="C52" s="78" t="s">
        <v>391</v>
      </c>
      <c r="D52" s="78" t="s">
        <v>423</v>
      </c>
      <c r="E52" s="79" t="n">
        <v>36342</v>
      </c>
      <c r="F52" s="79" t="n">
        <v>36707</v>
      </c>
      <c r="G52" s="77" t="s">
        <v>419</v>
      </c>
      <c r="H52" s="77" t="s">
        <v>427</v>
      </c>
      <c r="I52" s="78" t="s">
        <v>117</v>
      </c>
      <c r="J52" s="80" t="n">
        <f aca="false">6.449/J$1</f>
        <v>0.208032258064516</v>
      </c>
      <c r="K52" s="81" t="n">
        <v>0.0132</v>
      </c>
      <c r="L52" s="81" t="n">
        <v>0.0022</v>
      </c>
      <c r="M52" s="81" t="n">
        <v>0.0072</v>
      </c>
      <c r="N52" s="81" t="n">
        <v>0</v>
      </c>
      <c r="O52" s="82" t="n">
        <v>0.02116</v>
      </c>
      <c r="P52" s="81" t="n">
        <f aca="false">SUM(J52:N52)</f>
        <v>0.230632258064516</v>
      </c>
      <c r="Q52" s="83" t="n">
        <v>64036</v>
      </c>
      <c r="R52" s="78" t="n">
        <v>1</v>
      </c>
      <c r="S52" s="77" t="s">
        <v>428</v>
      </c>
      <c r="T52" s="84" t="n">
        <f aca="false">J52*J$1*R52</f>
        <v>6.449</v>
      </c>
      <c r="U52" s="84"/>
      <c r="V52" s="85" t="n">
        <v>156586</v>
      </c>
      <c r="W52" s="77"/>
      <c r="X52" s="86"/>
      <c r="Y52" s="8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</row>
    <row r="53" customFormat="false" ht="12.75" hidden="false" customHeight="false" outlineLevel="0" collapsed="false">
      <c r="A53" s="76"/>
      <c r="B53" s="77" t="s">
        <v>201</v>
      </c>
      <c r="C53" s="78" t="s">
        <v>391</v>
      </c>
      <c r="D53" s="78" t="s">
        <v>418</v>
      </c>
      <c r="E53" s="79" t="n">
        <v>36373</v>
      </c>
      <c r="F53" s="79" t="n">
        <v>36738</v>
      </c>
      <c r="G53" s="77" t="s">
        <v>419</v>
      </c>
      <c r="H53" s="77" t="s">
        <v>420</v>
      </c>
      <c r="I53" s="78" t="s">
        <v>117</v>
      </c>
      <c r="J53" s="80" t="n">
        <f aca="false">6.449/J$1</f>
        <v>0.208032258064516</v>
      </c>
      <c r="K53" s="81" t="n">
        <v>0.0132</v>
      </c>
      <c r="L53" s="81" t="n">
        <v>0.0022</v>
      </c>
      <c r="M53" s="81" t="n">
        <v>0.0072</v>
      </c>
      <c r="N53" s="81" t="n">
        <v>0</v>
      </c>
      <c r="O53" s="82" t="n">
        <v>0.02116</v>
      </c>
      <c r="P53" s="81" t="n">
        <f aca="false">SUM(J53:N53)</f>
        <v>0.230632258064516</v>
      </c>
      <c r="Q53" s="83" t="n">
        <v>64328</v>
      </c>
      <c r="R53" s="78" t="n">
        <v>51</v>
      </c>
      <c r="S53" s="77" t="s">
        <v>429</v>
      </c>
      <c r="T53" s="84" t="n">
        <f aca="false">J53*J$1*R53</f>
        <v>328.899</v>
      </c>
      <c r="U53" s="84"/>
      <c r="V53" s="85" t="n">
        <v>156588</v>
      </c>
      <c r="W53" s="77"/>
      <c r="X53" s="86"/>
      <c r="Y53" s="8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</row>
    <row r="54" customFormat="false" ht="12.75" hidden="false" customHeight="false" outlineLevel="0" collapsed="false">
      <c r="A54" s="76"/>
      <c r="B54" s="77" t="s">
        <v>201</v>
      </c>
      <c r="C54" s="78" t="s">
        <v>391</v>
      </c>
      <c r="D54" s="78" t="s">
        <v>423</v>
      </c>
      <c r="E54" s="79" t="n">
        <v>36373</v>
      </c>
      <c r="F54" s="79" t="n">
        <v>36738</v>
      </c>
      <c r="G54" s="77" t="s">
        <v>419</v>
      </c>
      <c r="H54" s="77" t="s">
        <v>424</v>
      </c>
      <c r="I54" s="78" t="s">
        <v>117</v>
      </c>
      <c r="J54" s="80" t="n">
        <f aca="false">6.449/J$1</f>
        <v>0.208032258064516</v>
      </c>
      <c r="K54" s="81" t="n">
        <v>0.0132</v>
      </c>
      <c r="L54" s="81" t="n">
        <v>0.0022</v>
      </c>
      <c r="M54" s="81" t="n">
        <v>0.0072</v>
      </c>
      <c r="N54" s="81" t="n">
        <v>0</v>
      </c>
      <c r="O54" s="82" t="n">
        <v>0.02116</v>
      </c>
      <c r="P54" s="81" t="n">
        <f aca="false">SUM(J54:N54)</f>
        <v>0.230632258064516</v>
      </c>
      <c r="Q54" s="83" t="n">
        <v>64329</v>
      </c>
      <c r="R54" s="78" t="n">
        <v>12</v>
      </c>
      <c r="S54" s="77" t="s">
        <v>430</v>
      </c>
      <c r="T54" s="84" t="n">
        <f aca="false">J54*J$1*R54</f>
        <v>77.388</v>
      </c>
      <c r="U54" s="84"/>
      <c r="V54" s="85" t="n">
        <v>156590</v>
      </c>
      <c r="W54" s="77"/>
      <c r="X54" s="86"/>
      <c r="Y54" s="8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</row>
    <row r="55" customFormat="false" ht="12.75" hidden="false" customHeight="false" outlineLevel="0" collapsed="false">
      <c r="A55" s="73"/>
      <c r="B55" s="46" t="s">
        <v>201</v>
      </c>
      <c r="C55" s="44" t="s">
        <v>391</v>
      </c>
      <c r="D55" s="44" t="s">
        <v>423</v>
      </c>
      <c r="E55" s="45" t="n">
        <v>36404</v>
      </c>
      <c r="F55" s="45" t="n">
        <v>36769</v>
      </c>
      <c r="G55" s="46" t="s">
        <v>419</v>
      </c>
      <c r="H55" s="46" t="s">
        <v>424</v>
      </c>
      <c r="I55" s="44" t="s">
        <v>117</v>
      </c>
      <c r="J55" s="58" t="n">
        <f aca="false">6.449/J$1</f>
        <v>0.208032258064516</v>
      </c>
      <c r="K55" s="49" t="n">
        <v>0.0132</v>
      </c>
      <c r="L55" s="49" t="n">
        <v>0.0022</v>
      </c>
      <c r="M55" s="49" t="n">
        <v>0.0072</v>
      </c>
      <c r="N55" s="49" t="n">
        <v>0</v>
      </c>
      <c r="O55" s="50" t="n">
        <v>0.02116</v>
      </c>
      <c r="P55" s="49" t="n">
        <f aca="false">SUM(J55:N55)</f>
        <v>0.230632258064516</v>
      </c>
      <c r="Q55" s="51" t="n">
        <v>64651</v>
      </c>
      <c r="R55" s="44" t="n">
        <v>64</v>
      </c>
      <c r="S55" s="46" t="s">
        <v>431</v>
      </c>
      <c r="T55" s="74" t="n">
        <f aca="false">J55*J$1*R55</f>
        <v>412.736</v>
      </c>
      <c r="U55" s="74"/>
      <c r="V55" s="75" t="n">
        <v>156591</v>
      </c>
      <c r="W55" s="46"/>
      <c r="X55" s="72"/>
      <c r="Y55" s="72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3"/>
      <c r="IV55" s="73"/>
      <c r="IW55" s="73"/>
    </row>
    <row r="56" customFormat="false" ht="12.75" hidden="false" customHeight="false" outlineLevel="0" collapsed="false">
      <c r="A56" s="73"/>
      <c r="B56" s="46" t="s">
        <v>201</v>
      </c>
      <c r="C56" s="44" t="s">
        <v>391</v>
      </c>
      <c r="D56" s="44" t="s">
        <v>423</v>
      </c>
      <c r="E56" s="45" t="n">
        <v>36434</v>
      </c>
      <c r="F56" s="45" t="n">
        <v>36799</v>
      </c>
      <c r="G56" s="46" t="s">
        <v>419</v>
      </c>
      <c r="H56" s="46" t="s">
        <v>427</v>
      </c>
      <c r="I56" s="44" t="s">
        <v>117</v>
      </c>
      <c r="J56" s="58" t="n">
        <f aca="false">6.449/J$1</f>
        <v>0.208032258064516</v>
      </c>
      <c r="K56" s="49" t="n">
        <v>0.0132</v>
      </c>
      <c r="L56" s="49" t="n">
        <v>0.0022</v>
      </c>
      <c r="M56" s="49" t="n">
        <v>0.0072</v>
      </c>
      <c r="N56" s="49" t="n">
        <v>0</v>
      </c>
      <c r="O56" s="50" t="n">
        <v>0.02116</v>
      </c>
      <c r="P56" s="49" t="n">
        <f aca="false">SUM(J56:N56)</f>
        <v>0.230632258064516</v>
      </c>
      <c r="Q56" s="51" t="n">
        <v>64862</v>
      </c>
      <c r="R56" s="44" t="n">
        <v>13</v>
      </c>
      <c r="S56" s="46" t="s">
        <v>432</v>
      </c>
      <c r="T56" s="74" t="n">
        <f aca="false">J56*J$1*R56</f>
        <v>83.837</v>
      </c>
      <c r="U56" s="74"/>
      <c r="V56" s="75" t="n">
        <v>156592</v>
      </c>
      <c r="W56" s="46"/>
      <c r="X56" s="72"/>
      <c r="Y56" s="72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  <c r="IV56" s="73"/>
      <c r="IW56" s="73"/>
    </row>
    <row r="57" customFormat="false" ht="12.75" hidden="false" customHeight="false" outlineLevel="0" collapsed="false">
      <c r="A57" s="73"/>
      <c r="B57" s="46" t="s">
        <v>201</v>
      </c>
      <c r="C57" s="44" t="s">
        <v>391</v>
      </c>
      <c r="D57" s="44" t="s">
        <v>392</v>
      </c>
      <c r="E57" s="45" t="n">
        <v>36434</v>
      </c>
      <c r="F57" s="45" t="n">
        <v>36799</v>
      </c>
      <c r="G57" s="46" t="s">
        <v>419</v>
      </c>
      <c r="H57" s="46" t="s">
        <v>433</v>
      </c>
      <c r="I57" s="44" t="s">
        <v>117</v>
      </c>
      <c r="J57" s="58" t="n">
        <f aca="false">6.372/J$1</f>
        <v>0.205548387096774</v>
      </c>
      <c r="K57" s="49" t="n">
        <v>0.0132</v>
      </c>
      <c r="L57" s="49" t="n">
        <v>0.0022</v>
      </c>
      <c r="M57" s="49" t="n">
        <v>0.0072</v>
      </c>
      <c r="N57" s="49" t="n">
        <v>0</v>
      </c>
      <c r="O57" s="50" t="n">
        <v>0.02116</v>
      </c>
      <c r="P57" s="49" t="n">
        <f aca="false">SUM(J57:N57)</f>
        <v>0.228148387096774</v>
      </c>
      <c r="Q57" s="51" t="n">
        <v>64939</v>
      </c>
      <c r="R57" s="44" t="n">
        <v>2300</v>
      </c>
      <c r="S57" s="46" t="s">
        <v>434</v>
      </c>
      <c r="T57" s="74" t="n">
        <f aca="false">J57*J$1*R57</f>
        <v>14655.6</v>
      </c>
      <c r="U57" s="74"/>
      <c r="V57" s="75" t="n">
        <v>156593</v>
      </c>
      <c r="W57" s="46"/>
      <c r="X57" s="72"/>
      <c r="Y57" s="72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3"/>
      <c r="IV57" s="73"/>
      <c r="IW57" s="73"/>
    </row>
    <row r="58" customFormat="false" ht="12.75" hidden="false" customHeight="false" outlineLevel="0" collapsed="false">
      <c r="A58" s="73"/>
      <c r="B58" s="46" t="s">
        <v>201</v>
      </c>
      <c r="C58" s="44" t="s">
        <v>391</v>
      </c>
      <c r="D58" s="44" t="s">
        <v>423</v>
      </c>
      <c r="E58" s="45" t="n">
        <v>36465</v>
      </c>
      <c r="F58" s="45" t="n">
        <v>36830</v>
      </c>
      <c r="G58" s="46" t="s">
        <v>419</v>
      </c>
      <c r="H58" s="46" t="s">
        <v>424</v>
      </c>
      <c r="I58" s="44" t="s">
        <v>117</v>
      </c>
      <c r="J58" s="58" t="n">
        <f aca="false">6.449/J$1</f>
        <v>0.208032258064516</v>
      </c>
      <c r="K58" s="49" t="n">
        <v>0.0132</v>
      </c>
      <c r="L58" s="49" t="n">
        <v>0.0022</v>
      </c>
      <c r="M58" s="49" t="n">
        <v>0.0072</v>
      </c>
      <c r="N58" s="49" t="n">
        <v>0</v>
      </c>
      <c r="O58" s="50" t="n">
        <v>0.02116</v>
      </c>
      <c r="P58" s="49" t="n">
        <f aca="false">SUM(J58:N58)</f>
        <v>0.230632258064516</v>
      </c>
      <c r="Q58" s="51" t="n">
        <v>65026</v>
      </c>
      <c r="R58" s="44" t="n">
        <v>128</v>
      </c>
      <c r="S58" s="46" t="s">
        <v>435</v>
      </c>
      <c r="T58" s="74" t="n">
        <f aca="false">J58*J$1*R58</f>
        <v>825.472</v>
      </c>
      <c r="U58" s="74"/>
      <c r="V58" s="75" t="n">
        <v>162286</v>
      </c>
      <c r="W58" s="46"/>
      <c r="X58" s="72"/>
      <c r="Y58" s="72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3"/>
      <c r="IV58" s="73"/>
      <c r="IW58" s="73"/>
    </row>
    <row r="59" customFormat="false" ht="12.75" hidden="false" customHeight="false" outlineLevel="0" collapsed="false">
      <c r="A59" s="73"/>
      <c r="B59" s="46" t="s">
        <v>201</v>
      </c>
      <c r="C59" s="44" t="s">
        <v>391</v>
      </c>
      <c r="D59" s="44" t="s">
        <v>436</v>
      </c>
      <c r="E59" s="45" t="n">
        <v>36465</v>
      </c>
      <c r="F59" s="45" t="n">
        <v>36830</v>
      </c>
      <c r="G59" s="46" t="s">
        <v>419</v>
      </c>
      <c r="H59" s="46" t="s">
        <v>437</v>
      </c>
      <c r="I59" s="44" t="s">
        <v>117</v>
      </c>
      <c r="J59" s="58" t="n">
        <f aca="false">6.449/J$1</f>
        <v>0.208032258064516</v>
      </c>
      <c r="K59" s="49" t="n">
        <v>0.0132</v>
      </c>
      <c r="L59" s="49" t="n">
        <v>0.0022</v>
      </c>
      <c r="M59" s="49" t="n">
        <v>0.0072</v>
      </c>
      <c r="N59" s="49" t="n">
        <v>0</v>
      </c>
      <c r="O59" s="50" t="n">
        <v>0.02116</v>
      </c>
      <c r="P59" s="49" t="n">
        <f aca="false">SUM(J59:N59)</f>
        <v>0.230632258064516</v>
      </c>
      <c r="Q59" s="51" t="n">
        <v>65041</v>
      </c>
      <c r="R59" s="44" t="n">
        <v>9619</v>
      </c>
      <c r="S59" s="46" t="s">
        <v>438</v>
      </c>
      <c r="T59" s="74" t="n">
        <f aca="false">J59*J$1*R59</f>
        <v>62032.931</v>
      </c>
      <c r="U59" s="74"/>
      <c r="V59" s="75" t="n">
        <v>162285</v>
      </c>
      <c r="W59" s="46"/>
      <c r="X59" s="72"/>
      <c r="Y59" s="72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</row>
    <row r="60" customFormat="false" ht="12.75" hidden="false" customHeight="false" outlineLevel="0" collapsed="false">
      <c r="A60" s="73"/>
      <c r="B60" s="46" t="s">
        <v>201</v>
      </c>
      <c r="C60" s="44" t="s">
        <v>391</v>
      </c>
      <c r="D60" s="44" t="s">
        <v>436</v>
      </c>
      <c r="E60" s="45" t="n">
        <v>36465</v>
      </c>
      <c r="F60" s="45" t="n">
        <v>36830</v>
      </c>
      <c r="G60" s="46" t="s">
        <v>419</v>
      </c>
      <c r="H60" s="46" t="s">
        <v>439</v>
      </c>
      <c r="I60" s="44" t="s">
        <v>117</v>
      </c>
      <c r="J60" s="58" t="n">
        <f aca="false">6.449/J$1</f>
        <v>0.208032258064516</v>
      </c>
      <c r="K60" s="49" t="n">
        <v>0.0132</v>
      </c>
      <c r="L60" s="49" t="n">
        <v>0.0022</v>
      </c>
      <c r="M60" s="49" t="n">
        <v>0.0072</v>
      </c>
      <c r="N60" s="49" t="n">
        <v>0</v>
      </c>
      <c r="O60" s="50" t="n">
        <v>0.02116</v>
      </c>
      <c r="P60" s="49" t="n">
        <f aca="false">SUM(J60:N60)</f>
        <v>0.230632258064516</v>
      </c>
      <c r="Q60" s="51" t="n">
        <v>65042</v>
      </c>
      <c r="R60" s="44" t="n">
        <v>4427</v>
      </c>
      <c r="S60" s="46" t="s">
        <v>440</v>
      </c>
      <c r="T60" s="74" t="n">
        <f aca="false">J60*J$1*R60</f>
        <v>28549.723</v>
      </c>
      <c r="U60" s="74"/>
      <c r="V60" s="75" t="n">
        <v>162287</v>
      </c>
      <c r="W60" s="46"/>
      <c r="X60" s="72"/>
      <c r="Y60" s="72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  <c r="IV60" s="73"/>
      <c r="IW60" s="73"/>
    </row>
    <row r="61" customFormat="false" ht="12.75" hidden="false" customHeight="false" outlineLevel="0" collapsed="false">
      <c r="A61" s="73"/>
      <c r="B61" s="46" t="s">
        <v>201</v>
      </c>
      <c r="C61" s="44" t="s">
        <v>391</v>
      </c>
      <c r="D61" s="44" t="s">
        <v>441</v>
      </c>
      <c r="E61" s="45" t="n">
        <v>36465</v>
      </c>
      <c r="F61" s="45" t="n">
        <v>37011</v>
      </c>
      <c r="G61" s="46" t="s">
        <v>419</v>
      </c>
      <c r="H61" s="46" t="s">
        <v>442</v>
      </c>
      <c r="I61" s="44" t="s">
        <v>117</v>
      </c>
      <c r="J61" s="58" t="n">
        <f aca="false">6.449/J$1</f>
        <v>0.208032258064516</v>
      </c>
      <c r="K61" s="49" t="n">
        <v>0.0132</v>
      </c>
      <c r="L61" s="49" t="n">
        <v>0.0022</v>
      </c>
      <c r="M61" s="49" t="n">
        <v>0.0072</v>
      </c>
      <c r="N61" s="49" t="n">
        <v>0</v>
      </c>
      <c r="O61" s="50" t="n">
        <v>0.02116</v>
      </c>
      <c r="P61" s="49" t="n">
        <f aca="false">SUM(J61:N61)</f>
        <v>0.230632258064516</v>
      </c>
      <c r="Q61" s="51" t="n">
        <v>65108</v>
      </c>
      <c r="R61" s="44" t="n">
        <v>5000</v>
      </c>
      <c r="S61" s="46" t="s">
        <v>443</v>
      </c>
      <c r="T61" s="74" t="n">
        <f aca="false">J61*J$1*R61</f>
        <v>32245</v>
      </c>
      <c r="U61" s="74"/>
      <c r="V61" s="75" t="n">
        <v>163001</v>
      </c>
      <c r="W61" s="46"/>
      <c r="X61" s="72"/>
      <c r="Y61" s="72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  <c r="IV61" s="73"/>
      <c r="IW61" s="73"/>
    </row>
    <row r="62" customFormat="false" ht="12.75" hidden="false" customHeight="false" outlineLevel="0" collapsed="false">
      <c r="A62" s="76"/>
      <c r="B62" s="77" t="s">
        <v>201</v>
      </c>
      <c r="C62" s="78" t="s">
        <v>391</v>
      </c>
      <c r="D62" s="78" t="s">
        <v>37</v>
      </c>
      <c r="E62" s="79" t="n">
        <v>36465</v>
      </c>
      <c r="F62" s="79" t="n">
        <v>36830</v>
      </c>
      <c r="G62" s="77" t="s">
        <v>402</v>
      </c>
      <c r="H62" s="77" t="s">
        <v>444</v>
      </c>
      <c r="I62" s="78" t="s">
        <v>117</v>
      </c>
      <c r="J62" s="80" t="n">
        <f aca="false">3.65/J$1</f>
        <v>0.117741935483871</v>
      </c>
      <c r="K62" s="81" t="n">
        <v>0.0132</v>
      </c>
      <c r="L62" s="81" t="n">
        <v>0.0022</v>
      </c>
      <c r="M62" s="81" t="n">
        <v>0.0075</v>
      </c>
      <c r="N62" s="81" t="n">
        <v>0</v>
      </c>
      <c r="O62" s="82" t="n">
        <v>0.02116</v>
      </c>
      <c r="P62" s="81" t="n">
        <f aca="false">SUM(J62:N62)</f>
        <v>0.140641935483871</v>
      </c>
      <c r="Q62" s="83" t="n">
        <v>65402</v>
      </c>
      <c r="R62" s="78" t="n">
        <v>20000</v>
      </c>
      <c r="S62" s="77" t="s">
        <v>445</v>
      </c>
      <c r="T62" s="84" t="n">
        <f aca="false">J62*J$1*R62</f>
        <v>73000</v>
      </c>
      <c r="U62" s="84"/>
      <c r="V62" s="85" t="n">
        <v>156596</v>
      </c>
      <c r="W62" s="77"/>
      <c r="X62" s="86"/>
      <c r="Y62" s="8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</row>
    <row r="63" customFormat="false" ht="12.75" hidden="false" customHeight="false" outlineLevel="0" collapsed="false">
      <c r="A63" s="76"/>
      <c r="B63" s="77" t="s">
        <v>201</v>
      </c>
      <c r="C63" s="78" t="s">
        <v>391</v>
      </c>
      <c r="D63" s="78" t="s">
        <v>37</v>
      </c>
      <c r="E63" s="79" t="n">
        <v>36678</v>
      </c>
      <c r="F63" s="79" t="n">
        <v>36830</v>
      </c>
      <c r="G63" s="77" t="s">
        <v>402</v>
      </c>
      <c r="H63" s="77" t="s">
        <v>444</v>
      </c>
      <c r="I63" s="78" t="s">
        <v>117</v>
      </c>
      <c r="J63" s="80" t="n">
        <v>-0.03</v>
      </c>
      <c r="K63" s="81" t="n">
        <v>0.0132</v>
      </c>
      <c r="L63" s="81" t="n">
        <v>0.0022</v>
      </c>
      <c r="M63" s="81" t="n">
        <v>0.0075</v>
      </c>
      <c r="N63" s="81" t="n">
        <v>0</v>
      </c>
      <c r="O63" s="82" t="n">
        <v>0.02116</v>
      </c>
      <c r="P63" s="81" t="n">
        <f aca="false">SUM(J63:N63)</f>
        <v>-0.0071</v>
      </c>
      <c r="Q63" s="83" t="n">
        <v>65402</v>
      </c>
      <c r="R63" s="78" t="n">
        <v>20000</v>
      </c>
      <c r="S63" s="77" t="s">
        <v>446</v>
      </c>
      <c r="T63" s="84" t="n">
        <f aca="false">J63*J$1*R63</f>
        <v>-18600</v>
      </c>
      <c r="U63" s="84"/>
      <c r="V63" s="85" t="n">
        <v>280583</v>
      </c>
      <c r="W63" s="77" t="s">
        <v>447</v>
      </c>
      <c r="X63" s="86"/>
      <c r="Y63" s="8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</row>
    <row r="64" customFormat="false" ht="12.75" hidden="false" customHeight="false" outlineLevel="0" collapsed="false">
      <c r="A64" s="88"/>
      <c r="B64" s="89" t="s">
        <v>201</v>
      </c>
      <c r="C64" s="90" t="s">
        <v>391</v>
      </c>
      <c r="D64" s="90" t="s">
        <v>37</v>
      </c>
      <c r="E64" s="91" t="n">
        <v>36465</v>
      </c>
      <c r="F64" s="91" t="n">
        <v>37011</v>
      </c>
      <c r="G64" s="89" t="s">
        <v>419</v>
      </c>
      <c r="H64" s="89" t="s">
        <v>448</v>
      </c>
      <c r="I64" s="90" t="s">
        <v>117</v>
      </c>
      <c r="J64" s="92" t="n">
        <f aca="false">4.8621/+J$1</f>
        <v>0.156841935483871</v>
      </c>
      <c r="K64" s="93"/>
      <c r="L64" s="93"/>
      <c r="M64" s="93"/>
      <c r="N64" s="93"/>
      <c r="O64" s="94"/>
      <c r="P64" s="93"/>
      <c r="Q64" s="95" t="n">
        <v>65403</v>
      </c>
      <c r="R64" s="90" t="n">
        <v>19293</v>
      </c>
      <c r="S64" s="89" t="s">
        <v>449</v>
      </c>
      <c r="T64" s="96" t="n">
        <f aca="false">J64*J$1*R64</f>
        <v>93804.4953</v>
      </c>
      <c r="U64" s="96"/>
      <c r="V64" s="97" t="s">
        <v>450</v>
      </c>
      <c r="W64" s="89"/>
      <c r="X64" s="98"/>
      <c r="Y64" s="9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  <c r="GT64" s="88"/>
      <c r="GU64" s="88"/>
      <c r="GV64" s="88"/>
      <c r="GW64" s="88"/>
      <c r="GX64" s="88"/>
      <c r="GY64" s="88"/>
      <c r="GZ64" s="88"/>
      <c r="HA64" s="88"/>
      <c r="HB64" s="88"/>
      <c r="HC64" s="88"/>
      <c r="HD64" s="88"/>
      <c r="HE64" s="88"/>
      <c r="HF64" s="88"/>
      <c r="HG64" s="88"/>
      <c r="HH64" s="88"/>
      <c r="HI64" s="88"/>
      <c r="HJ64" s="88"/>
      <c r="HK64" s="88"/>
      <c r="HL64" s="88"/>
      <c r="HM64" s="88"/>
      <c r="HN64" s="88"/>
      <c r="HO64" s="88"/>
      <c r="HP64" s="88"/>
      <c r="HQ64" s="88"/>
      <c r="HR64" s="88"/>
      <c r="HS64" s="88"/>
      <c r="HT64" s="88"/>
      <c r="HU64" s="88"/>
      <c r="HV64" s="88"/>
      <c r="HW64" s="88"/>
      <c r="HX64" s="88"/>
      <c r="HY64" s="88"/>
      <c r="HZ64" s="88"/>
      <c r="IA64" s="88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  <c r="IW64" s="88"/>
    </row>
    <row r="65" customFormat="false" ht="12.75" hidden="false" customHeight="false" outlineLevel="0" collapsed="false">
      <c r="A65" s="88"/>
      <c r="B65" s="89" t="s">
        <v>201</v>
      </c>
      <c r="C65" s="90" t="s">
        <v>391</v>
      </c>
      <c r="D65" s="90" t="s">
        <v>37</v>
      </c>
      <c r="E65" s="91" t="n">
        <v>36312</v>
      </c>
      <c r="F65" s="91" t="n">
        <v>37011</v>
      </c>
      <c r="G65" s="89" t="s">
        <v>419</v>
      </c>
      <c r="H65" s="89" t="s">
        <v>448</v>
      </c>
      <c r="I65" s="90" t="s">
        <v>117</v>
      </c>
      <c r="J65" s="92" t="n">
        <v>0.18</v>
      </c>
      <c r="K65" s="93"/>
      <c r="L65" s="93"/>
      <c r="M65" s="93"/>
      <c r="N65" s="93"/>
      <c r="O65" s="94"/>
      <c r="P65" s="93"/>
      <c r="Q65" s="95" t="n">
        <v>65403</v>
      </c>
      <c r="R65" s="90" t="n">
        <v>-19293</v>
      </c>
      <c r="S65" s="89" t="s">
        <v>451</v>
      </c>
      <c r="T65" s="96" t="n">
        <f aca="false">J65*J$1*R65</f>
        <v>-107654.94</v>
      </c>
      <c r="U65" s="96"/>
      <c r="V65" s="97"/>
      <c r="W65" s="89"/>
      <c r="X65" s="98"/>
      <c r="Y65" s="9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  <c r="IW65" s="88"/>
    </row>
    <row r="66" customFormat="false" ht="12.75" hidden="false" customHeight="false" outlineLevel="0" collapsed="false">
      <c r="A66" s="73"/>
      <c r="B66" s="46" t="s">
        <v>201</v>
      </c>
      <c r="C66" s="44" t="s">
        <v>391</v>
      </c>
      <c r="D66" s="44" t="s">
        <v>236</v>
      </c>
      <c r="E66" s="45" t="n">
        <v>36557</v>
      </c>
      <c r="F66" s="45" t="n">
        <v>36677</v>
      </c>
      <c r="G66" s="46" t="s">
        <v>452</v>
      </c>
      <c r="H66" s="46" t="s">
        <v>453</v>
      </c>
      <c r="I66" s="44" t="s">
        <v>117</v>
      </c>
      <c r="J66" s="58" t="n">
        <f aca="false">6.423/J$1</f>
        <v>0.207193548387097</v>
      </c>
      <c r="K66" s="49" t="n">
        <v>0.0132</v>
      </c>
      <c r="L66" s="49" t="n">
        <v>0.0022</v>
      </c>
      <c r="M66" s="49" t="n">
        <v>0.0072</v>
      </c>
      <c r="N66" s="49" t="n">
        <v>0</v>
      </c>
      <c r="O66" s="50" t="n">
        <v>0.02116</v>
      </c>
      <c r="P66" s="49" t="n">
        <f aca="false">SUM(J66:N66)</f>
        <v>0.229793548387097</v>
      </c>
      <c r="Q66" s="51" t="n">
        <v>65404</v>
      </c>
      <c r="R66" s="44" t="n">
        <v>34</v>
      </c>
      <c r="S66" s="46" t="s">
        <v>454</v>
      </c>
      <c r="T66" s="74" t="n">
        <f aca="false">J66*J$1*R66</f>
        <v>218.382</v>
      </c>
      <c r="U66" s="74"/>
      <c r="V66" s="75" t="n">
        <v>156597</v>
      </c>
      <c r="W66" s="46"/>
      <c r="X66" s="72"/>
      <c r="Y66" s="72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  <c r="IV66" s="73"/>
      <c r="IW66" s="73"/>
    </row>
    <row r="67" customFormat="false" ht="12.75" hidden="false" customHeight="false" outlineLevel="0" collapsed="false">
      <c r="A67" s="73"/>
      <c r="B67" s="46" t="s">
        <v>201</v>
      </c>
      <c r="C67" s="44" t="s">
        <v>391</v>
      </c>
      <c r="D67" s="44"/>
      <c r="E67" s="45" t="n">
        <v>36557</v>
      </c>
      <c r="F67" s="45" t="n">
        <v>36830</v>
      </c>
      <c r="G67" s="46" t="s">
        <v>405</v>
      </c>
      <c r="H67" s="46" t="s">
        <v>399</v>
      </c>
      <c r="I67" s="44" t="s">
        <v>117</v>
      </c>
      <c r="J67" s="58" t="n">
        <f aca="false">4.563/J$1</f>
        <v>0.147193548387097</v>
      </c>
      <c r="K67" s="49" t="n">
        <v>0.0132</v>
      </c>
      <c r="L67" s="49" t="n">
        <v>0.0022</v>
      </c>
      <c r="M67" s="49" t="n">
        <v>0.0072</v>
      </c>
      <c r="N67" s="49" t="n">
        <v>0</v>
      </c>
      <c r="O67" s="50" t="n">
        <v>0.02116</v>
      </c>
      <c r="P67" s="49" t="n">
        <f aca="false">SUM(J67:N67)</f>
        <v>0.169793548387097</v>
      </c>
      <c r="Q67" s="51" t="n">
        <v>65418</v>
      </c>
      <c r="R67" s="44" t="n">
        <v>500</v>
      </c>
      <c r="S67" s="46" t="s">
        <v>455</v>
      </c>
      <c r="T67" s="74" t="n">
        <f aca="false">J67*J$1*R67</f>
        <v>2281.5</v>
      </c>
      <c r="U67" s="74"/>
      <c r="V67" s="75" t="n">
        <v>156599</v>
      </c>
      <c r="W67" s="46"/>
      <c r="X67" s="72"/>
      <c r="Y67" s="72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3"/>
      <c r="IV67" s="73"/>
      <c r="IW67" s="73"/>
    </row>
    <row r="68" customFormat="false" ht="12.75" hidden="false" customHeight="false" outlineLevel="0" collapsed="false">
      <c r="A68" s="73"/>
      <c r="B68" s="46" t="s">
        <v>201</v>
      </c>
      <c r="C68" s="44" t="s">
        <v>391</v>
      </c>
      <c r="D68" s="44"/>
      <c r="E68" s="45" t="n">
        <v>36557</v>
      </c>
      <c r="F68" s="45" t="n">
        <v>36677</v>
      </c>
      <c r="G68" s="46" t="s">
        <v>452</v>
      </c>
      <c r="H68" s="46" t="s">
        <v>453</v>
      </c>
      <c r="I68" s="44" t="s">
        <v>117</v>
      </c>
      <c r="J68" s="58" t="n">
        <f aca="false">6.372/J$1</f>
        <v>0.205548387096774</v>
      </c>
      <c r="K68" s="49"/>
      <c r="L68" s="49"/>
      <c r="M68" s="49"/>
      <c r="N68" s="49"/>
      <c r="O68" s="50"/>
      <c r="P68" s="49"/>
      <c r="Q68" s="51" t="n">
        <v>65534</v>
      </c>
      <c r="R68" s="44" t="n">
        <v>3</v>
      </c>
      <c r="S68" s="46" t="s">
        <v>456</v>
      </c>
      <c r="T68" s="74" t="n">
        <f aca="false">J68*J$1*R68</f>
        <v>19.116</v>
      </c>
      <c r="U68" s="74"/>
      <c r="V68" s="75" t="n">
        <v>149349</v>
      </c>
      <c r="W68" s="46"/>
      <c r="X68" s="72"/>
      <c r="Y68" s="72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3"/>
      <c r="IV68" s="73"/>
      <c r="IW68" s="73"/>
    </row>
    <row r="69" customFormat="false" ht="12.75" hidden="false" customHeight="false" outlineLevel="0" collapsed="false">
      <c r="A69" s="73"/>
      <c r="B69" s="46" t="s">
        <v>201</v>
      </c>
      <c r="C69" s="44" t="s">
        <v>391</v>
      </c>
      <c r="D69" s="44" t="s">
        <v>423</v>
      </c>
      <c r="E69" s="45" t="n">
        <v>36557</v>
      </c>
      <c r="F69" s="45" t="n">
        <v>36860</v>
      </c>
      <c r="G69" s="46" t="s">
        <v>419</v>
      </c>
      <c r="H69" s="46" t="s">
        <v>424</v>
      </c>
      <c r="I69" s="44" t="s">
        <v>117</v>
      </c>
      <c r="J69" s="58" t="n">
        <f aca="false">6.449/J$1</f>
        <v>0.208032258064516</v>
      </c>
      <c r="K69" s="49" t="n">
        <v>0.0132</v>
      </c>
      <c r="L69" s="49" t="n">
        <v>0.0022</v>
      </c>
      <c r="M69" s="49" t="n">
        <v>0.0072</v>
      </c>
      <c r="N69" s="49" t="n">
        <v>0</v>
      </c>
      <c r="O69" s="50" t="n">
        <v>0.02116</v>
      </c>
      <c r="P69" s="49" t="n">
        <f aca="false">SUM(J69:N69)</f>
        <v>0.230632258064516</v>
      </c>
      <c r="Q69" s="51" t="n">
        <v>65556</v>
      </c>
      <c r="R69" s="44" t="n">
        <v>3</v>
      </c>
      <c r="S69" s="46" t="s">
        <v>457</v>
      </c>
      <c r="T69" s="74" t="n">
        <f aca="false">J69*J$1*R69</f>
        <v>19.347</v>
      </c>
      <c r="U69" s="74"/>
      <c r="V69" s="75" t="n">
        <v>156602</v>
      </c>
      <c r="W69" s="46"/>
      <c r="X69" s="72"/>
      <c r="Y69" s="72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3"/>
      <c r="IV69" s="73"/>
      <c r="IW69" s="73"/>
    </row>
    <row r="70" customFormat="false" ht="12.75" hidden="false" customHeight="false" outlineLevel="0" collapsed="false">
      <c r="A70" s="73"/>
      <c r="B70" s="46" t="s">
        <v>201</v>
      </c>
      <c r="C70" s="44" t="s">
        <v>391</v>
      </c>
      <c r="D70" s="44" t="s">
        <v>207</v>
      </c>
      <c r="E70" s="45" t="n">
        <v>36557</v>
      </c>
      <c r="F70" s="45" t="n">
        <v>36922</v>
      </c>
      <c r="G70" s="46" t="s">
        <v>458</v>
      </c>
      <c r="H70" s="46" t="s">
        <v>459</v>
      </c>
      <c r="I70" s="44" t="s">
        <v>117</v>
      </c>
      <c r="J70" s="58" t="n">
        <f aca="false">6.449/J$1</f>
        <v>0.208032258064516</v>
      </c>
      <c r="K70" s="49"/>
      <c r="L70" s="49"/>
      <c r="M70" s="49"/>
      <c r="N70" s="49"/>
      <c r="O70" s="50"/>
      <c r="P70" s="49"/>
      <c r="Q70" s="51" t="n">
        <v>66280</v>
      </c>
      <c r="R70" s="44" t="n">
        <v>1</v>
      </c>
      <c r="S70" s="46" t="s">
        <v>460</v>
      </c>
      <c r="T70" s="74" t="n">
        <f aca="false">J70*J$1*R70</f>
        <v>6.449</v>
      </c>
      <c r="U70" s="74"/>
      <c r="V70" s="75" t="n">
        <v>156606</v>
      </c>
      <c r="W70" s="46"/>
      <c r="X70" s="72"/>
      <c r="Y70" s="72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3"/>
      <c r="IV70" s="73"/>
      <c r="IW70" s="73"/>
    </row>
    <row r="71" customFormat="false" ht="12.75" hidden="false" customHeight="false" outlineLevel="0" collapsed="false">
      <c r="A71" s="73"/>
      <c r="B71" s="46" t="s">
        <v>201</v>
      </c>
      <c r="C71" s="44" t="s">
        <v>391</v>
      </c>
      <c r="D71" s="44" t="s">
        <v>207</v>
      </c>
      <c r="E71" s="45" t="n">
        <v>36557</v>
      </c>
      <c r="F71" s="45" t="n">
        <v>36922</v>
      </c>
      <c r="G71" s="46" t="s">
        <v>458</v>
      </c>
      <c r="H71" s="46" t="s">
        <v>461</v>
      </c>
      <c r="I71" s="44" t="s">
        <v>117</v>
      </c>
      <c r="J71" s="58" t="n">
        <f aca="false">6.449/J$1</f>
        <v>0.208032258064516</v>
      </c>
      <c r="K71" s="49"/>
      <c r="L71" s="49"/>
      <c r="M71" s="49"/>
      <c r="N71" s="49"/>
      <c r="O71" s="50"/>
      <c r="P71" s="49"/>
      <c r="Q71" s="51" t="n">
        <v>66280</v>
      </c>
      <c r="R71" s="44" t="n">
        <v>4</v>
      </c>
      <c r="S71" s="46" t="s">
        <v>460</v>
      </c>
      <c r="T71" s="74" t="n">
        <f aca="false">J71*J$1*R71</f>
        <v>25.796</v>
      </c>
      <c r="U71" s="74"/>
      <c r="V71" s="75" t="n">
        <v>156606</v>
      </c>
      <c r="W71" s="46"/>
      <c r="X71" s="72"/>
      <c r="Y71" s="72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3"/>
      <c r="IV71" s="73"/>
      <c r="IW71" s="73"/>
    </row>
    <row r="72" customFormat="false" ht="12.75" hidden="false" customHeight="false" outlineLevel="0" collapsed="false">
      <c r="A72" s="88"/>
      <c r="B72" s="89" t="s">
        <v>201</v>
      </c>
      <c r="C72" s="90" t="s">
        <v>391</v>
      </c>
      <c r="D72" s="90" t="s">
        <v>207</v>
      </c>
      <c r="E72" s="91" t="n">
        <v>36656</v>
      </c>
      <c r="F72" s="91" t="n">
        <v>36950</v>
      </c>
      <c r="G72" s="89" t="s">
        <v>458</v>
      </c>
      <c r="H72" s="89" t="s">
        <v>459</v>
      </c>
      <c r="I72" s="90" t="s">
        <v>117</v>
      </c>
      <c r="J72" s="92" t="n">
        <v>6.449</v>
      </c>
      <c r="K72" s="93"/>
      <c r="L72" s="93"/>
      <c r="M72" s="93"/>
      <c r="N72" s="93"/>
      <c r="O72" s="94"/>
      <c r="P72" s="93"/>
      <c r="Q72" s="95" t="n">
        <v>68308</v>
      </c>
      <c r="R72" s="90" t="n">
        <v>5</v>
      </c>
      <c r="S72" s="89" t="s">
        <v>462</v>
      </c>
      <c r="T72" s="96" t="n">
        <f aca="false">+R72*J72</f>
        <v>32.245</v>
      </c>
      <c r="U72" s="96"/>
      <c r="V72" s="97" t="n">
        <v>262094</v>
      </c>
      <c r="W72" s="89"/>
      <c r="X72" s="98"/>
      <c r="Y72" s="9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  <c r="GT72" s="88"/>
      <c r="GU72" s="88"/>
      <c r="GV72" s="88"/>
      <c r="GW72" s="88"/>
      <c r="GX72" s="88"/>
      <c r="GY72" s="88"/>
      <c r="GZ72" s="88"/>
      <c r="HA72" s="88"/>
      <c r="HB72" s="88"/>
      <c r="HC72" s="88"/>
      <c r="HD72" s="88"/>
      <c r="HE72" s="88"/>
      <c r="HF72" s="88"/>
      <c r="HG72" s="88"/>
      <c r="HH72" s="88"/>
      <c r="HI72" s="88"/>
      <c r="HJ72" s="88"/>
      <c r="HK72" s="88"/>
      <c r="HL72" s="88"/>
      <c r="HM72" s="88"/>
      <c r="HN72" s="88"/>
      <c r="HO72" s="88"/>
      <c r="HP72" s="88"/>
      <c r="HQ72" s="88"/>
      <c r="HR72" s="88"/>
      <c r="HS72" s="88"/>
      <c r="HT72" s="88"/>
      <c r="HU72" s="88"/>
      <c r="HV72" s="88"/>
      <c r="HW72" s="88"/>
      <c r="HX72" s="88"/>
      <c r="HY72" s="88"/>
      <c r="HZ72" s="88"/>
      <c r="IA72" s="88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  <c r="IW72" s="88"/>
    </row>
    <row r="73" customFormat="false" ht="12.75" hidden="false" customHeight="false" outlineLevel="0" collapsed="false">
      <c r="A73" s="88"/>
      <c r="B73" s="89" t="s">
        <v>201</v>
      </c>
      <c r="C73" s="90" t="s">
        <v>391</v>
      </c>
      <c r="D73" s="90" t="s">
        <v>207</v>
      </c>
      <c r="E73" s="91" t="n">
        <v>36656</v>
      </c>
      <c r="F73" s="91" t="n">
        <v>36950</v>
      </c>
      <c r="G73" s="89" t="s">
        <v>458</v>
      </c>
      <c r="H73" s="89" t="s">
        <v>461</v>
      </c>
      <c r="I73" s="90" t="s">
        <v>117</v>
      </c>
      <c r="J73" s="92" t="n">
        <v>6.449</v>
      </c>
      <c r="K73" s="93"/>
      <c r="L73" s="93"/>
      <c r="M73" s="93"/>
      <c r="N73" s="93"/>
      <c r="O73" s="94"/>
      <c r="P73" s="93"/>
      <c r="Q73" s="95" t="n">
        <v>68308</v>
      </c>
      <c r="R73" s="90" t="n">
        <v>4</v>
      </c>
      <c r="S73" s="89" t="s">
        <v>462</v>
      </c>
      <c r="T73" s="96" t="n">
        <f aca="false">+R73*J73</f>
        <v>25.796</v>
      </c>
      <c r="U73" s="96"/>
      <c r="V73" s="97" t="n">
        <v>262094</v>
      </c>
      <c r="W73" s="89"/>
      <c r="X73" s="98"/>
      <c r="Y73" s="9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  <c r="GT73" s="88"/>
      <c r="GU73" s="88"/>
      <c r="GV73" s="88"/>
      <c r="GW73" s="88"/>
      <c r="GX73" s="88"/>
      <c r="GY73" s="88"/>
      <c r="GZ73" s="88"/>
      <c r="HA73" s="88"/>
      <c r="HB73" s="88"/>
      <c r="HC73" s="88"/>
      <c r="HD73" s="88"/>
      <c r="HE73" s="88"/>
      <c r="HF73" s="88"/>
      <c r="HG73" s="88"/>
      <c r="HH73" s="88"/>
      <c r="HI73" s="88"/>
      <c r="HJ73" s="88"/>
      <c r="HK73" s="88"/>
      <c r="HL73" s="88"/>
      <c r="HM73" s="88"/>
      <c r="HN73" s="88"/>
      <c r="HO73" s="88"/>
      <c r="HP73" s="88"/>
      <c r="HQ73" s="88"/>
      <c r="HR73" s="88"/>
      <c r="HS73" s="88"/>
      <c r="HT73" s="88"/>
      <c r="HU73" s="88"/>
      <c r="HV73" s="88"/>
      <c r="HW73" s="88"/>
      <c r="HX73" s="88"/>
      <c r="HY73" s="88"/>
      <c r="HZ73" s="88"/>
      <c r="IA73" s="88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  <c r="IW73" s="88"/>
    </row>
    <row r="74" customFormat="false" ht="12.75" hidden="false" customHeight="false" outlineLevel="0" collapsed="false">
      <c r="A74" s="88"/>
      <c r="B74" s="89" t="s">
        <v>249</v>
      </c>
      <c r="C74" s="90" t="s">
        <v>391</v>
      </c>
      <c r="D74" s="90" t="s">
        <v>207</v>
      </c>
      <c r="E74" s="91" t="n">
        <v>36617</v>
      </c>
      <c r="F74" s="91" t="n">
        <v>36655</v>
      </c>
      <c r="G74" s="89" t="s">
        <v>458</v>
      </c>
      <c r="H74" s="89" t="s">
        <v>459</v>
      </c>
      <c r="I74" s="90" t="s">
        <v>117</v>
      </c>
      <c r="J74" s="92" t="n">
        <v>6.449</v>
      </c>
      <c r="K74" s="93"/>
      <c r="L74" s="93"/>
      <c r="M74" s="93"/>
      <c r="N74" s="93"/>
      <c r="O74" s="94"/>
      <c r="P74" s="93"/>
      <c r="Q74" s="95" t="n">
        <v>66679</v>
      </c>
      <c r="R74" s="90" t="n">
        <v>5</v>
      </c>
      <c r="S74" s="89"/>
      <c r="T74" s="96" t="n">
        <f aca="false">+R74*J74</f>
        <v>32.245</v>
      </c>
      <c r="U74" s="96"/>
      <c r="V74" s="97" t="n">
        <v>262093</v>
      </c>
      <c r="W74" s="89"/>
      <c r="X74" s="98"/>
      <c r="Y74" s="9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  <c r="GT74" s="88"/>
      <c r="GU74" s="88"/>
      <c r="GV74" s="88"/>
      <c r="GW74" s="88"/>
      <c r="GX74" s="88"/>
      <c r="GY74" s="88"/>
      <c r="GZ74" s="88"/>
      <c r="HA74" s="88"/>
      <c r="HB74" s="88"/>
      <c r="HC74" s="88"/>
      <c r="HD74" s="88"/>
      <c r="HE74" s="88"/>
      <c r="HF74" s="88"/>
      <c r="HG74" s="88"/>
      <c r="HH74" s="88"/>
      <c r="HI74" s="88"/>
      <c r="HJ74" s="88"/>
      <c r="HK74" s="88"/>
      <c r="HL74" s="88"/>
      <c r="HM74" s="88"/>
      <c r="HN74" s="88"/>
      <c r="HO74" s="88"/>
      <c r="HP74" s="88"/>
      <c r="HQ74" s="88"/>
      <c r="HR74" s="88"/>
      <c r="HS74" s="88"/>
      <c r="HT74" s="88"/>
      <c r="HU74" s="88"/>
      <c r="HV74" s="88"/>
      <c r="HW74" s="88"/>
      <c r="HX74" s="88"/>
      <c r="HY74" s="88"/>
      <c r="HZ74" s="88"/>
      <c r="IA74" s="88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  <c r="IW74" s="88"/>
    </row>
    <row r="75" customFormat="false" ht="12.75" hidden="false" customHeight="false" outlineLevel="0" collapsed="false">
      <c r="A75" s="88"/>
      <c r="B75" s="89" t="s">
        <v>249</v>
      </c>
      <c r="C75" s="90" t="s">
        <v>391</v>
      </c>
      <c r="D75" s="90" t="s">
        <v>207</v>
      </c>
      <c r="E75" s="91" t="n">
        <v>36617</v>
      </c>
      <c r="F75" s="91" t="n">
        <v>36655</v>
      </c>
      <c r="G75" s="89" t="s">
        <v>458</v>
      </c>
      <c r="H75" s="89" t="s">
        <v>461</v>
      </c>
      <c r="I75" s="90" t="s">
        <v>117</v>
      </c>
      <c r="J75" s="92" t="n">
        <v>6.449</v>
      </c>
      <c r="K75" s="93"/>
      <c r="L75" s="93"/>
      <c r="M75" s="93"/>
      <c r="N75" s="93"/>
      <c r="O75" s="94"/>
      <c r="P75" s="93"/>
      <c r="Q75" s="95" t="n">
        <v>66679</v>
      </c>
      <c r="R75" s="90" t="n">
        <v>4</v>
      </c>
      <c r="S75" s="89"/>
      <c r="T75" s="96" t="n">
        <f aca="false">+R75*J75</f>
        <v>25.796</v>
      </c>
      <c r="U75" s="96"/>
      <c r="V75" s="97" t="n">
        <v>262093</v>
      </c>
      <c r="W75" s="89"/>
      <c r="X75" s="98"/>
      <c r="Y75" s="9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  <c r="GN75" s="88"/>
      <c r="GO75" s="88"/>
      <c r="GP75" s="88"/>
      <c r="GQ75" s="88"/>
      <c r="GR75" s="88"/>
      <c r="GS75" s="88"/>
      <c r="GT75" s="88"/>
      <c r="GU75" s="88"/>
      <c r="GV75" s="88"/>
      <c r="GW75" s="88"/>
      <c r="GX75" s="88"/>
      <c r="GY75" s="88"/>
      <c r="GZ75" s="88"/>
      <c r="HA75" s="88"/>
      <c r="HB75" s="88"/>
      <c r="HC75" s="88"/>
      <c r="HD75" s="88"/>
      <c r="HE75" s="88"/>
      <c r="HF75" s="88"/>
      <c r="HG75" s="88"/>
      <c r="HH75" s="88"/>
      <c r="HI75" s="88"/>
      <c r="HJ75" s="88"/>
      <c r="HK75" s="88"/>
      <c r="HL75" s="88"/>
      <c r="HM75" s="88"/>
      <c r="HN75" s="88"/>
      <c r="HO75" s="88"/>
      <c r="HP75" s="88"/>
      <c r="HQ75" s="88"/>
      <c r="HR75" s="88"/>
      <c r="HS75" s="88"/>
      <c r="HT75" s="88"/>
      <c r="HU75" s="88"/>
      <c r="HV75" s="88"/>
      <c r="HW75" s="88"/>
      <c r="HX75" s="88"/>
      <c r="HY75" s="88"/>
      <c r="HZ75" s="88"/>
      <c r="IA75" s="88"/>
      <c r="IB75" s="88"/>
      <c r="IC75" s="88"/>
      <c r="ID75" s="88"/>
      <c r="IE75" s="88"/>
      <c r="IF75" s="88"/>
      <c r="IG75" s="88"/>
      <c r="IH75" s="88"/>
      <c r="II75" s="88"/>
      <c r="IJ75" s="88"/>
      <c r="IK75" s="88"/>
      <c r="IL75" s="88"/>
      <c r="IM75" s="88"/>
      <c r="IN75" s="88"/>
      <c r="IO75" s="88"/>
      <c r="IP75" s="88"/>
      <c r="IQ75" s="88"/>
      <c r="IR75" s="88"/>
      <c r="IS75" s="88"/>
      <c r="IT75" s="88"/>
      <c r="IU75" s="88"/>
      <c r="IV75" s="88"/>
      <c r="IW75" s="88"/>
    </row>
    <row r="76" customFormat="false" ht="12.75" hidden="false" customHeight="false" outlineLevel="0" collapsed="false">
      <c r="A76" s="73"/>
      <c r="B76" s="46" t="s">
        <v>201</v>
      </c>
      <c r="C76" s="44" t="s">
        <v>391</v>
      </c>
      <c r="D76" s="44" t="s">
        <v>463</v>
      </c>
      <c r="E76" s="45" t="n">
        <v>36617</v>
      </c>
      <c r="F76" s="45" t="s">
        <v>464</v>
      </c>
      <c r="G76" s="46" t="s">
        <v>465</v>
      </c>
      <c r="H76" s="46"/>
      <c r="I76" s="44" t="s">
        <v>466</v>
      </c>
      <c r="J76" s="58"/>
      <c r="K76" s="49"/>
      <c r="L76" s="49"/>
      <c r="M76" s="49"/>
      <c r="N76" s="49"/>
      <c r="O76" s="50"/>
      <c r="P76" s="49"/>
      <c r="Q76" s="51" t="n">
        <v>66917</v>
      </c>
      <c r="R76" s="44"/>
      <c r="S76" s="46"/>
      <c r="T76" s="74"/>
      <c r="U76" s="74"/>
      <c r="V76" s="75" t="n">
        <v>228085</v>
      </c>
      <c r="W76" s="46"/>
      <c r="X76" s="72"/>
      <c r="Y76" s="72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3"/>
      <c r="IV76" s="73"/>
      <c r="IW76" s="73"/>
    </row>
    <row r="77" customFormat="false" ht="12.75" hidden="false" customHeight="false" outlineLevel="0" collapsed="false">
      <c r="A77" s="73"/>
      <c r="B77" s="46" t="s">
        <v>201</v>
      </c>
      <c r="C77" s="44" t="s">
        <v>391</v>
      </c>
      <c r="D77" s="44" t="s">
        <v>207</v>
      </c>
      <c r="E77" s="45" t="n">
        <v>36617</v>
      </c>
      <c r="F77" s="45" t="n">
        <v>36981</v>
      </c>
      <c r="G77" s="46" t="s">
        <v>458</v>
      </c>
      <c r="H77" s="46" t="s">
        <v>459</v>
      </c>
      <c r="I77" s="44" t="s">
        <v>117</v>
      </c>
      <c r="J77" s="58" t="n">
        <v>6.401</v>
      </c>
      <c r="K77" s="49"/>
      <c r="L77" s="49"/>
      <c r="M77" s="49"/>
      <c r="N77" s="49"/>
      <c r="O77" s="50"/>
      <c r="P77" s="49"/>
      <c r="Q77" s="51" t="n">
        <v>66939</v>
      </c>
      <c r="R77" s="44" t="n">
        <v>5</v>
      </c>
      <c r="S77" s="46" t="s">
        <v>467</v>
      </c>
      <c r="T77" s="74" t="n">
        <f aca="false">+R77*J77</f>
        <v>32.005</v>
      </c>
      <c r="U77" s="74"/>
      <c r="V77" s="75"/>
      <c r="W77" s="46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3"/>
      <c r="IV77" s="73"/>
      <c r="IW77" s="73"/>
    </row>
    <row r="78" customFormat="false" ht="12.75" hidden="false" customHeight="false" outlineLevel="0" collapsed="false">
      <c r="A78" s="73"/>
      <c r="B78" s="46" t="s">
        <v>201</v>
      </c>
      <c r="C78" s="44" t="s">
        <v>391</v>
      </c>
      <c r="D78" s="44" t="s">
        <v>207</v>
      </c>
      <c r="E78" s="45" t="n">
        <v>36617</v>
      </c>
      <c r="F78" s="45" t="n">
        <v>36981</v>
      </c>
      <c r="G78" s="46" t="s">
        <v>458</v>
      </c>
      <c r="H78" s="46" t="s">
        <v>461</v>
      </c>
      <c r="I78" s="44" t="s">
        <v>117</v>
      </c>
      <c r="J78" s="58" t="n">
        <v>6.401</v>
      </c>
      <c r="K78" s="49"/>
      <c r="L78" s="49"/>
      <c r="M78" s="49"/>
      <c r="N78" s="49"/>
      <c r="O78" s="50"/>
      <c r="P78" s="49"/>
      <c r="Q78" s="51" t="n">
        <v>66939</v>
      </c>
      <c r="R78" s="44" t="n">
        <v>27</v>
      </c>
      <c r="S78" s="46" t="s">
        <v>467</v>
      </c>
      <c r="T78" s="74" t="n">
        <f aca="false">+R78*J78</f>
        <v>172.827</v>
      </c>
      <c r="U78" s="74"/>
      <c r="V78" s="75"/>
      <c r="W78" s="46"/>
      <c r="X78" s="72"/>
      <c r="Y78" s="72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3"/>
      <c r="IV78" s="73"/>
      <c r="IW78" s="73"/>
    </row>
    <row r="79" customFormat="false" ht="12.75" hidden="false" customHeight="false" outlineLevel="0" collapsed="false">
      <c r="A79" s="73"/>
      <c r="B79" s="46" t="s">
        <v>201</v>
      </c>
      <c r="C79" s="44" t="s">
        <v>391</v>
      </c>
      <c r="D79" s="44" t="s">
        <v>207</v>
      </c>
      <c r="E79" s="45" t="n">
        <v>36617</v>
      </c>
      <c r="F79" s="45" t="n">
        <v>36981</v>
      </c>
      <c r="G79" s="46" t="s">
        <v>458</v>
      </c>
      <c r="H79" s="46" t="s">
        <v>468</v>
      </c>
      <c r="I79" s="44" t="s">
        <v>117</v>
      </c>
      <c r="J79" s="58" t="n">
        <v>6.401</v>
      </c>
      <c r="K79" s="49"/>
      <c r="L79" s="49"/>
      <c r="M79" s="49"/>
      <c r="N79" s="49"/>
      <c r="O79" s="50"/>
      <c r="P79" s="49"/>
      <c r="Q79" s="51" t="n">
        <v>66939</v>
      </c>
      <c r="R79" s="44" t="n">
        <v>3</v>
      </c>
      <c r="S79" s="46" t="s">
        <v>467</v>
      </c>
      <c r="T79" s="74" t="n">
        <f aca="false">+R79*J79</f>
        <v>19.203</v>
      </c>
      <c r="U79" s="74"/>
      <c r="V79" s="75"/>
      <c r="W79" s="46"/>
      <c r="X79" s="72"/>
      <c r="Y79" s="72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3"/>
      <c r="IV79" s="73"/>
      <c r="IW79" s="73"/>
    </row>
    <row r="80" customFormat="false" ht="12.75" hidden="false" customHeight="false" outlineLevel="0" collapsed="false">
      <c r="A80" s="73"/>
      <c r="B80" s="46" t="s">
        <v>201</v>
      </c>
      <c r="C80" s="44" t="s">
        <v>391</v>
      </c>
      <c r="D80" s="44" t="s">
        <v>207</v>
      </c>
      <c r="E80" s="45" t="n">
        <v>36617</v>
      </c>
      <c r="F80" s="45" t="n">
        <v>36981</v>
      </c>
      <c r="G80" s="46" t="s">
        <v>458</v>
      </c>
      <c r="H80" s="46" t="s">
        <v>469</v>
      </c>
      <c r="I80" s="44" t="s">
        <v>117</v>
      </c>
      <c r="J80" s="58" t="n">
        <v>6.401</v>
      </c>
      <c r="K80" s="49"/>
      <c r="L80" s="49"/>
      <c r="M80" s="49"/>
      <c r="N80" s="49"/>
      <c r="O80" s="50"/>
      <c r="P80" s="49"/>
      <c r="Q80" s="51" t="n">
        <v>66939</v>
      </c>
      <c r="R80" s="44" t="n">
        <v>17</v>
      </c>
      <c r="S80" s="46" t="s">
        <v>467</v>
      </c>
      <c r="T80" s="74" t="n">
        <f aca="false">+R80*J80</f>
        <v>108.817</v>
      </c>
      <c r="U80" s="74"/>
      <c r="V80" s="75"/>
      <c r="W80" s="46"/>
      <c r="X80" s="72"/>
      <c r="Y80" s="72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3"/>
      <c r="IV80" s="73"/>
      <c r="IW80" s="73"/>
    </row>
    <row r="81" customFormat="false" ht="12.75" hidden="false" customHeight="false" outlineLevel="0" collapsed="false">
      <c r="A81" s="73"/>
      <c r="B81" s="46" t="s">
        <v>201</v>
      </c>
      <c r="C81" s="44" t="s">
        <v>391</v>
      </c>
      <c r="D81" s="44" t="s">
        <v>211</v>
      </c>
      <c r="E81" s="45" t="n">
        <v>36617</v>
      </c>
      <c r="F81" s="45" t="n">
        <v>36646</v>
      </c>
      <c r="G81" s="46" t="s">
        <v>458</v>
      </c>
      <c r="H81" s="46" t="n">
        <v>54</v>
      </c>
      <c r="I81" s="44" t="s">
        <v>117</v>
      </c>
      <c r="J81" s="58" t="n">
        <v>6.401</v>
      </c>
      <c r="K81" s="49"/>
      <c r="L81" s="49"/>
      <c r="M81" s="49"/>
      <c r="N81" s="49"/>
      <c r="O81" s="50"/>
      <c r="P81" s="49"/>
      <c r="Q81" s="51" t="n">
        <v>66936</v>
      </c>
      <c r="R81" s="44" t="n">
        <v>168</v>
      </c>
      <c r="S81" s="46"/>
      <c r="T81" s="74" t="n">
        <f aca="false">+R81*J81</f>
        <v>1075.368</v>
      </c>
      <c r="U81" s="74"/>
      <c r="V81" s="75" t="n">
        <v>228176</v>
      </c>
      <c r="W81" s="46"/>
      <c r="X81" s="72"/>
      <c r="Y81" s="72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3"/>
      <c r="IV81" s="73"/>
      <c r="IW81" s="73"/>
    </row>
    <row r="82" customFormat="false" ht="12.75" hidden="false" customHeight="false" outlineLevel="0" collapsed="false">
      <c r="A82" s="73"/>
      <c r="B82" s="46" t="s">
        <v>201</v>
      </c>
      <c r="C82" s="44" t="s">
        <v>391</v>
      </c>
      <c r="D82" s="44" t="s">
        <v>470</v>
      </c>
      <c r="E82" s="45" t="n">
        <v>36617</v>
      </c>
      <c r="F82" s="45" t="n">
        <v>36981</v>
      </c>
      <c r="G82" s="46" t="s">
        <v>458</v>
      </c>
      <c r="H82" s="46" t="s">
        <v>471</v>
      </c>
      <c r="I82" s="44" t="s">
        <v>117</v>
      </c>
      <c r="J82" s="58" t="n">
        <v>6.401</v>
      </c>
      <c r="K82" s="49"/>
      <c r="L82" s="49"/>
      <c r="M82" s="49"/>
      <c r="N82" s="49"/>
      <c r="O82" s="50"/>
      <c r="P82" s="49"/>
      <c r="Q82" s="51" t="n">
        <v>66940</v>
      </c>
      <c r="R82" s="44" t="n">
        <v>1</v>
      </c>
      <c r="S82" s="89" t="s">
        <v>472</v>
      </c>
      <c r="T82" s="74" t="n">
        <f aca="false">+R82*J82</f>
        <v>6.401</v>
      </c>
      <c r="U82" s="74"/>
      <c r="V82" s="75" t="n">
        <v>228134</v>
      </c>
      <c r="W82" s="46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3"/>
      <c r="IV82" s="73"/>
      <c r="IW82" s="73"/>
    </row>
    <row r="83" customFormat="false" ht="12.75" hidden="false" customHeight="false" outlineLevel="0" collapsed="false">
      <c r="A83" s="73"/>
      <c r="B83" s="46" t="s">
        <v>201</v>
      </c>
      <c r="C83" s="44" t="s">
        <v>391</v>
      </c>
      <c r="D83" s="44" t="s">
        <v>470</v>
      </c>
      <c r="E83" s="45" t="n">
        <v>36617</v>
      </c>
      <c r="F83" s="45" t="n">
        <v>36981</v>
      </c>
      <c r="G83" s="46" t="s">
        <v>458</v>
      </c>
      <c r="H83" s="46" t="s">
        <v>473</v>
      </c>
      <c r="I83" s="44" t="s">
        <v>117</v>
      </c>
      <c r="J83" s="58" t="n">
        <v>6.401</v>
      </c>
      <c r="K83" s="49"/>
      <c r="L83" s="49"/>
      <c r="M83" s="49"/>
      <c r="N83" s="49"/>
      <c r="O83" s="50"/>
      <c r="P83" s="49"/>
      <c r="Q83" s="51" t="n">
        <v>66940</v>
      </c>
      <c r="R83" s="44" t="n">
        <v>1</v>
      </c>
      <c r="S83" s="89" t="s">
        <v>472</v>
      </c>
      <c r="T83" s="74" t="n">
        <f aca="false">+R83*J83</f>
        <v>6.401</v>
      </c>
      <c r="U83" s="74"/>
      <c r="V83" s="75" t="n">
        <v>228134</v>
      </c>
      <c r="W83" s="46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3"/>
      <c r="IV83" s="73"/>
      <c r="IW83" s="73"/>
    </row>
    <row r="84" customFormat="false" ht="12.75" hidden="false" customHeight="false" outlineLevel="0" collapsed="false">
      <c r="A84" s="76"/>
      <c r="B84" s="77" t="s">
        <v>201</v>
      </c>
      <c r="C84" s="78" t="s">
        <v>391</v>
      </c>
      <c r="D84" s="78" t="s">
        <v>474</v>
      </c>
      <c r="E84" s="79" t="n">
        <v>36647</v>
      </c>
      <c r="F84" s="79" t="n">
        <v>36677</v>
      </c>
      <c r="G84" s="77" t="s">
        <v>458</v>
      </c>
      <c r="H84" s="77" t="n">
        <v>22</v>
      </c>
      <c r="I84" s="78" t="s">
        <v>117</v>
      </c>
      <c r="J84" s="80" t="n">
        <v>0.01</v>
      </c>
      <c r="K84" s="81"/>
      <c r="L84" s="81"/>
      <c r="M84" s="81"/>
      <c r="N84" s="81"/>
      <c r="O84" s="82"/>
      <c r="P84" s="81"/>
      <c r="Q84" s="83" t="n">
        <v>67832</v>
      </c>
      <c r="R84" s="78" t="n">
        <v>8527</v>
      </c>
      <c r="S84" s="77"/>
      <c r="T84" s="84" t="n">
        <f aca="false">+J84*R84*13</f>
        <v>1108.51</v>
      </c>
      <c r="U84" s="84"/>
      <c r="V84" s="85" t="n">
        <v>242666</v>
      </c>
      <c r="W84" s="77"/>
      <c r="X84" s="86"/>
      <c r="Y84" s="8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  <c r="EM84" s="76"/>
      <c r="EN84" s="76"/>
      <c r="EO84" s="76"/>
      <c r="EP84" s="76"/>
      <c r="EQ84" s="76"/>
      <c r="ER84" s="76"/>
      <c r="ES84" s="76"/>
      <c r="ET84" s="76"/>
      <c r="EU84" s="76"/>
      <c r="EV84" s="76"/>
      <c r="EW84" s="76"/>
      <c r="EX84" s="76"/>
      <c r="EY84" s="76"/>
      <c r="EZ84" s="76"/>
      <c r="FA84" s="76"/>
      <c r="FB84" s="76"/>
      <c r="FC84" s="76"/>
      <c r="FD84" s="76"/>
      <c r="FE84" s="76"/>
      <c r="FF84" s="76"/>
      <c r="FG84" s="76"/>
      <c r="FH84" s="76"/>
      <c r="FI84" s="76"/>
      <c r="FJ84" s="76"/>
      <c r="FK84" s="76"/>
      <c r="FL84" s="76"/>
      <c r="FM84" s="76"/>
      <c r="FN84" s="76"/>
      <c r="FO84" s="76"/>
      <c r="FP84" s="76"/>
      <c r="FQ84" s="76"/>
      <c r="FR84" s="76"/>
      <c r="FS84" s="76"/>
      <c r="FT84" s="76"/>
      <c r="FU84" s="76"/>
      <c r="FV84" s="76"/>
      <c r="FW84" s="76"/>
      <c r="FX84" s="76"/>
      <c r="FY84" s="76"/>
      <c r="FZ84" s="76"/>
      <c r="GA84" s="76"/>
      <c r="GB84" s="76"/>
      <c r="GC84" s="76"/>
      <c r="GD84" s="76"/>
      <c r="GE84" s="76"/>
      <c r="GF84" s="76"/>
      <c r="GG84" s="76"/>
      <c r="GH84" s="76"/>
      <c r="GI84" s="76"/>
      <c r="GJ84" s="76"/>
      <c r="GK84" s="76"/>
      <c r="GL84" s="76"/>
      <c r="GM84" s="76"/>
      <c r="GN84" s="76"/>
      <c r="GO84" s="76"/>
      <c r="GP84" s="76"/>
      <c r="GQ84" s="76"/>
      <c r="GR84" s="76"/>
      <c r="GS84" s="76"/>
      <c r="GT84" s="76"/>
      <c r="GU84" s="76"/>
      <c r="GV84" s="76"/>
      <c r="GW84" s="76"/>
      <c r="GX84" s="76"/>
      <c r="GY84" s="76"/>
      <c r="GZ84" s="76"/>
      <c r="HA84" s="76"/>
      <c r="HB84" s="76"/>
      <c r="HC84" s="76"/>
      <c r="HD84" s="76"/>
      <c r="HE84" s="76"/>
      <c r="HF84" s="76"/>
      <c r="HG84" s="76"/>
      <c r="HH84" s="76"/>
      <c r="HI84" s="76"/>
      <c r="HJ84" s="76"/>
      <c r="HK84" s="76"/>
      <c r="HL84" s="76"/>
      <c r="HM84" s="76"/>
      <c r="HN84" s="76"/>
      <c r="HO84" s="76"/>
      <c r="HP84" s="76"/>
      <c r="HQ84" s="76"/>
      <c r="HR84" s="76"/>
      <c r="HS84" s="76"/>
      <c r="HT84" s="76"/>
      <c r="HU84" s="76"/>
      <c r="HV84" s="76"/>
      <c r="HW84" s="76"/>
      <c r="HX84" s="76"/>
      <c r="HY84" s="76"/>
      <c r="HZ84" s="76"/>
      <c r="IA84" s="76"/>
      <c r="IB84" s="76"/>
      <c r="IC84" s="76"/>
      <c r="ID84" s="76"/>
      <c r="IE84" s="76"/>
      <c r="IF84" s="76"/>
      <c r="IG84" s="76"/>
      <c r="IH84" s="76"/>
      <c r="II84" s="76"/>
      <c r="IJ84" s="76"/>
      <c r="IK84" s="76"/>
      <c r="IL84" s="76"/>
      <c r="IM84" s="76"/>
      <c r="IN84" s="76"/>
      <c r="IO84" s="76"/>
      <c r="IP84" s="76"/>
      <c r="IQ84" s="76"/>
      <c r="IR84" s="76"/>
      <c r="IS84" s="76"/>
      <c r="IT84" s="76"/>
      <c r="IU84" s="76"/>
      <c r="IV84" s="76"/>
      <c r="IW84" s="76"/>
    </row>
    <row r="85" customFormat="false" ht="12.75" hidden="false" customHeight="false" outlineLevel="0" collapsed="false">
      <c r="A85" s="76"/>
      <c r="B85" s="77" t="s">
        <v>201</v>
      </c>
      <c r="C85" s="78" t="s">
        <v>391</v>
      </c>
      <c r="D85" s="78" t="s">
        <v>474</v>
      </c>
      <c r="E85" s="79" t="n">
        <v>36647</v>
      </c>
      <c r="F85" s="79" t="n">
        <v>36677</v>
      </c>
      <c r="G85" s="77" t="s">
        <v>458</v>
      </c>
      <c r="H85" s="77" t="n">
        <v>22</v>
      </c>
      <c r="I85" s="78" t="s">
        <v>117</v>
      </c>
      <c r="J85" s="80" t="n">
        <v>0.01</v>
      </c>
      <c r="K85" s="81"/>
      <c r="L85" s="81"/>
      <c r="M85" s="81"/>
      <c r="N85" s="81"/>
      <c r="O85" s="82"/>
      <c r="P85" s="81"/>
      <c r="Q85" s="83" t="n">
        <v>67833</v>
      </c>
      <c r="R85" s="78" t="n">
        <v>3000</v>
      </c>
      <c r="S85" s="77"/>
      <c r="T85" s="84" t="n">
        <f aca="false">+J85*R85*13</f>
        <v>390</v>
      </c>
      <c r="U85" s="84"/>
      <c r="V85" s="85" t="n">
        <v>242667</v>
      </c>
      <c r="W85" s="77"/>
      <c r="X85" s="86"/>
      <c r="Y85" s="8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76"/>
      <c r="IA85" s="76"/>
      <c r="IB85" s="76"/>
      <c r="IC85" s="76"/>
      <c r="ID85" s="76"/>
      <c r="IE85" s="76"/>
      <c r="IF85" s="76"/>
      <c r="IG85" s="76"/>
      <c r="IH85" s="76"/>
      <c r="II85" s="76"/>
      <c r="IJ85" s="76"/>
      <c r="IK85" s="76"/>
      <c r="IL85" s="76"/>
      <c r="IM85" s="76"/>
      <c r="IN85" s="76"/>
      <c r="IO85" s="76"/>
      <c r="IP85" s="76"/>
      <c r="IQ85" s="76"/>
      <c r="IR85" s="76"/>
      <c r="IS85" s="76"/>
      <c r="IT85" s="76"/>
      <c r="IU85" s="76"/>
      <c r="IV85" s="76"/>
      <c r="IW85" s="76"/>
    </row>
    <row r="86" customFormat="false" ht="12.75" hidden="false" customHeight="false" outlineLevel="0" collapsed="false">
      <c r="A86" s="76"/>
      <c r="B86" s="77" t="s">
        <v>201</v>
      </c>
      <c r="C86" s="78" t="s">
        <v>391</v>
      </c>
      <c r="D86" s="78" t="s">
        <v>474</v>
      </c>
      <c r="E86" s="79" t="n">
        <v>36647</v>
      </c>
      <c r="F86" s="79" t="n">
        <v>36677</v>
      </c>
      <c r="G86" s="77" t="s">
        <v>458</v>
      </c>
      <c r="H86" s="77" t="n">
        <v>22</v>
      </c>
      <c r="I86" s="78" t="s">
        <v>117</v>
      </c>
      <c r="J86" s="80" t="n">
        <v>0.01</v>
      </c>
      <c r="K86" s="81"/>
      <c r="L86" s="81"/>
      <c r="M86" s="81"/>
      <c r="N86" s="81"/>
      <c r="O86" s="82"/>
      <c r="P86" s="81"/>
      <c r="Q86" s="83" t="n">
        <v>67834</v>
      </c>
      <c r="R86" s="78" t="n">
        <v>3473</v>
      </c>
      <c r="S86" s="77"/>
      <c r="T86" s="84" t="n">
        <f aca="false">+J86*R86*13</f>
        <v>451.49</v>
      </c>
      <c r="U86" s="84"/>
      <c r="V86" s="85" t="n">
        <v>242669</v>
      </c>
      <c r="W86" s="77"/>
      <c r="X86" s="86"/>
      <c r="Y86" s="8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6"/>
      <c r="GE86" s="76"/>
      <c r="GF86" s="76"/>
      <c r="GG86" s="76"/>
      <c r="GH86" s="76"/>
      <c r="GI86" s="76"/>
      <c r="GJ86" s="76"/>
      <c r="GK86" s="76"/>
      <c r="GL86" s="76"/>
      <c r="GM86" s="76"/>
      <c r="GN86" s="76"/>
      <c r="GO86" s="76"/>
      <c r="GP86" s="76"/>
      <c r="GQ86" s="76"/>
      <c r="GR86" s="76"/>
      <c r="GS86" s="76"/>
      <c r="GT86" s="76"/>
      <c r="GU86" s="76"/>
      <c r="GV86" s="76"/>
      <c r="GW86" s="76"/>
      <c r="GX86" s="76"/>
      <c r="GY86" s="76"/>
      <c r="GZ86" s="76"/>
      <c r="HA86" s="76"/>
      <c r="HB86" s="76"/>
      <c r="HC86" s="76"/>
      <c r="HD86" s="76"/>
      <c r="HE86" s="76"/>
      <c r="HF86" s="76"/>
      <c r="HG86" s="76"/>
      <c r="HH86" s="76"/>
      <c r="HI86" s="76"/>
      <c r="HJ86" s="76"/>
      <c r="HK86" s="76"/>
      <c r="HL86" s="76"/>
      <c r="HM86" s="76"/>
      <c r="HN86" s="76"/>
      <c r="HO86" s="76"/>
      <c r="HP86" s="76"/>
      <c r="HQ86" s="76"/>
      <c r="HR86" s="76"/>
      <c r="HS86" s="76"/>
      <c r="HT86" s="76"/>
      <c r="HU86" s="76"/>
      <c r="HV86" s="76"/>
      <c r="HW86" s="76"/>
      <c r="HX86" s="76"/>
      <c r="HY86" s="76"/>
      <c r="HZ86" s="76"/>
      <c r="IA86" s="76"/>
      <c r="IB86" s="76"/>
      <c r="IC86" s="76"/>
      <c r="ID86" s="76"/>
      <c r="IE86" s="76"/>
      <c r="IF86" s="76"/>
      <c r="IG86" s="76"/>
      <c r="IH86" s="76"/>
      <c r="II86" s="76"/>
      <c r="IJ86" s="76"/>
      <c r="IK86" s="76"/>
      <c r="IL86" s="76"/>
      <c r="IM86" s="76"/>
      <c r="IN86" s="76"/>
      <c r="IO86" s="76"/>
      <c r="IP86" s="76"/>
      <c r="IQ86" s="76"/>
      <c r="IR86" s="76"/>
      <c r="IS86" s="76"/>
      <c r="IT86" s="76"/>
      <c r="IU86" s="76"/>
      <c r="IV86" s="76"/>
      <c r="IW86" s="76"/>
    </row>
    <row r="87" customFormat="false" ht="12.75" hidden="false" customHeight="false" outlineLevel="0" collapsed="false">
      <c r="A87" s="76"/>
      <c r="B87" s="77" t="s">
        <v>201</v>
      </c>
      <c r="C87" s="78" t="s">
        <v>391</v>
      </c>
      <c r="D87" s="78" t="s">
        <v>470</v>
      </c>
      <c r="E87" s="79" t="n">
        <v>36647</v>
      </c>
      <c r="F87" s="79" t="n">
        <v>37011</v>
      </c>
      <c r="G87" s="77" t="s">
        <v>475</v>
      </c>
      <c r="H87" s="77" t="s">
        <v>476</v>
      </c>
      <c r="I87" s="78" t="s">
        <v>117</v>
      </c>
      <c r="J87" s="80" t="n">
        <f aca="false">6.401/J1</f>
        <v>0.206483870967742</v>
      </c>
      <c r="K87" s="81"/>
      <c r="L87" s="81"/>
      <c r="M87" s="81"/>
      <c r="N87" s="81"/>
      <c r="O87" s="82"/>
      <c r="P87" s="81"/>
      <c r="Q87" s="83" t="n">
        <v>68188</v>
      </c>
      <c r="R87" s="78" t="n">
        <v>1</v>
      </c>
      <c r="S87" s="77" t="s">
        <v>477</v>
      </c>
      <c r="T87" s="84" t="n">
        <f aca="false">+J87*R87*13</f>
        <v>2.68429032258065</v>
      </c>
      <c r="U87" s="84"/>
      <c r="V87" s="85" t="n">
        <v>253195</v>
      </c>
      <c r="W87" s="77"/>
      <c r="X87" s="86"/>
      <c r="Y87" s="8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  <c r="EM87" s="76"/>
      <c r="EN87" s="76"/>
      <c r="EO87" s="76"/>
      <c r="EP87" s="76"/>
      <c r="EQ87" s="76"/>
      <c r="ER87" s="76"/>
      <c r="ES87" s="76"/>
      <c r="ET87" s="76"/>
      <c r="EU87" s="76"/>
      <c r="EV87" s="76"/>
      <c r="EW87" s="76"/>
      <c r="EX87" s="76"/>
      <c r="EY87" s="76"/>
      <c r="EZ87" s="76"/>
      <c r="FA87" s="76"/>
      <c r="FB87" s="76"/>
      <c r="FC87" s="76"/>
      <c r="FD87" s="76"/>
      <c r="FE87" s="76"/>
      <c r="FF87" s="76"/>
      <c r="FG87" s="76"/>
      <c r="FH87" s="76"/>
      <c r="FI87" s="76"/>
      <c r="FJ87" s="76"/>
      <c r="FK87" s="76"/>
      <c r="FL87" s="76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6"/>
      <c r="GE87" s="76"/>
      <c r="GF87" s="76"/>
      <c r="GG87" s="76"/>
      <c r="GH87" s="76"/>
      <c r="GI87" s="76"/>
      <c r="GJ87" s="76"/>
      <c r="GK87" s="76"/>
      <c r="GL87" s="76"/>
      <c r="GM87" s="76"/>
      <c r="GN87" s="76"/>
      <c r="GO87" s="76"/>
      <c r="GP87" s="76"/>
      <c r="GQ87" s="76"/>
      <c r="GR87" s="76"/>
      <c r="GS87" s="76"/>
      <c r="GT87" s="76"/>
      <c r="GU87" s="76"/>
      <c r="GV87" s="76"/>
      <c r="GW87" s="76"/>
      <c r="GX87" s="76"/>
      <c r="GY87" s="76"/>
      <c r="GZ87" s="76"/>
      <c r="HA87" s="76"/>
      <c r="HB87" s="76"/>
      <c r="HC87" s="76"/>
      <c r="HD87" s="76"/>
      <c r="HE87" s="76"/>
      <c r="HF87" s="76"/>
      <c r="HG87" s="76"/>
      <c r="HH87" s="76"/>
      <c r="HI87" s="76"/>
      <c r="HJ87" s="76"/>
      <c r="HK87" s="76"/>
      <c r="HL87" s="76"/>
      <c r="HM87" s="76"/>
      <c r="HN87" s="76"/>
      <c r="HO87" s="76"/>
      <c r="HP87" s="76"/>
      <c r="HQ87" s="76"/>
      <c r="HR87" s="76"/>
      <c r="HS87" s="76"/>
      <c r="HT87" s="76"/>
      <c r="HU87" s="76"/>
      <c r="HV87" s="76"/>
      <c r="HW87" s="76"/>
      <c r="HX87" s="76"/>
      <c r="HY87" s="76"/>
      <c r="HZ87" s="76"/>
      <c r="IA87" s="76"/>
      <c r="IB87" s="76"/>
      <c r="IC87" s="76"/>
      <c r="ID87" s="76"/>
      <c r="IE87" s="76"/>
      <c r="IF87" s="76"/>
      <c r="IG87" s="76"/>
      <c r="IH87" s="76"/>
      <c r="II87" s="76"/>
      <c r="IJ87" s="76"/>
      <c r="IK87" s="76"/>
      <c r="IL87" s="76"/>
      <c r="IM87" s="76"/>
      <c r="IN87" s="76"/>
      <c r="IO87" s="76"/>
      <c r="IP87" s="76"/>
      <c r="IQ87" s="76"/>
      <c r="IR87" s="76"/>
      <c r="IS87" s="76"/>
      <c r="IT87" s="76"/>
      <c r="IU87" s="76"/>
      <c r="IV87" s="76"/>
      <c r="IW87" s="76"/>
    </row>
    <row r="88" customFormat="false" ht="12.75" hidden="false" customHeight="false" outlineLevel="0" collapsed="false">
      <c r="A88" s="73"/>
      <c r="B88" s="46" t="s">
        <v>201</v>
      </c>
      <c r="C88" s="44" t="s">
        <v>391</v>
      </c>
      <c r="D88" s="44" t="s">
        <v>470</v>
      </c>
      <c r="E88" s="45" t="n">
        <v>36617</v>
      </c>
      <c r="F88" s="45" t="n">
        <v>36981</v>
      </c>
      <c r="G88" s="46" t="s">
        <v>458</v>
      </c>
      <c r="H88" s="46" t="s">
        <v>478</v>
      </c>
      <c r="I88" s="44" t="s">
        <v>117</v>
      </c>
      <c r="J88" s="58" t="n">
        <v>6.401</v>
      </c>
      <c r="K88" s="49"/>
      <c r="L88" s="49"/>
      <c r="M88" s="49"/>
      <c r="N88" s="49"/>
      <c r="O88" s="50"/>
      <c r="P88" s="49"/>
      <c r="Q88" s="51" t="n">
        <v>66940</v>
      </c>
      <c r="R88" s="44" t="n">
        <v>2</v>
      </c>
      <c r="S88" s="46" t="s">
        <v>472</v>
      </c>
      <c r="T88" s="74" t="n">
        <f aca="false">+R88*J88</f>
        <v>12.802</v>
      </c>
      <c r="U88" s="74"/>
      <c r="V88" s="75"/>
      <c r="W88" s="46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  <c r="IT88" s="73"/>
      <c r="IU88" s="73"/>
      <c r="IV88" s="73"/>
      <c r="IW88" s="73"/>
    </row>
    <row r="89" customFormat="false" ht="12.75" hidden="false" customHeight="false" outlineLevel="0" collapsed="false">
      <c r="A89" s="76"/>
      <c r="B89" s="77" t="s">
        <v>201</v>
      </c>
      <c r="C89" s="78" t="s">
        <v>391</v>
      </c>
      <c r="D89" s="78" t="s">
        <v>203</v>
      </c>
      <c r="E89" s="79" t="n">
        <v>36647</v>
      </c>
      <c r="F89" s="79" t="n">
        <v>37011</v>
      </c>
      <c r="G89" s="77" t="s">
        <v>458</v>
      </c>
      <c r="H89" s="77" t="s">
        <v>479</v>
      </c>
      <c r="I89" s="78" t="s">
        <v>117</v>
      </c>
      <c r="J89" s="80" t="n">
        <v>6.401</v>
      </c>
      <c r="K89" s="81"/>
      <c r="L89" s="81"/>
      <c r="M89" s="81"/>
      <c r="N89" s="81"/>
      <c r="O89" s="82"/>
      <c r="P89" s="81"/>
      <c r="Q89" s="83" t="n">
        <v>68109</v>
      </c>
      <c r="R89" s="78" t="n">
        <v>21</v>
      </c>
      <c r="S89" s="77" t="s">
        <v>480</v>
      </c>
      <c r="T89" s="84" t="n">
        <f aca="false">+R89*J89</f>
        <v>134.421</v>
      </c>
      <c r="U89" s="84"/>
      <c r="V89" s="85" t="n">
        <v>254718</v>
      </c>
      <c r="W89" s="77"/>
      <c r="X89" s="86"/>
      <c r="Y89" s="8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  <c r="IW89" s="76"/>
    </row>
    <row r="90" customFormat="false" ht="12.75" hidden="false" customHeight="false" outlineLevel="0" collapsed="false">
      <c r="T90" s="74" t="n">
        <f aca="false">+R90*J90</f>
        <v>0</v>
      </c>
    </row>
    <row r="91" customFormat="false" ht="12.75" hidden="false" customHeight="false" outlineLevel="0" collapsed="false">
      <c r="B91" s="118" t="s">
        <v>113</v>
      </c>
      <c r="C91" s="119" t="s">
        <v>113</v>
      </c>
      <c r="D91" s="119" t="s">
        <v>113</v>
      </c>
      <c r="E91" s="121" t="s">
        <v>113</v>
      </c>
      <c r="F91" s="121" t="s">
        <v>113</v>
      </c>
      <c r="G91" s="118" t="s">
        <v>113</v>
      </c>
      <c r="H91" s="122" t="s">
        <v>113</v>
      </c>
      <c r="I91" s="119" t="s">
        <v>113</v>
      </c>
      <c r="J91" s="123"/>
      <c r="K91" s="124"/>
      <c r="L91" s="124"/>
      <c r="M91" s="124"/>
      <c r="N91" s="124"/>
      <c r="O91" s="125"/>
      <c r="P91" s="124"/>
      <c r="Q91" s="126" t="s">
        <v>113</v>
      </c>
      <c r="R91" s="119" t="n">
        <f aca="false">SUM(R46:R89)</f>
        <v>6238144</v>
      </c>
      <c r="S91" s="118" t="s">
        <v>113</v>
      </c>
      <c r="T91" s="127" t="n">
        <f aca="false">SUM(T35:T89)</f>
        <v>939187.667290323</v>
      </c>
      <c r="U91" s="127" t="e">
        <f aca="false">SUM(#REF!)</f>
        <v>#REF!</v>
      </c>
      <c r="V91" s="128"/>
      <c r="W91" s="122"/>
      <c r="X91" s="72"/>
      <c r="Y91" s="72"/>
    </row>
    <row r="92" customFormat="false" ht="12.75" hidden="false" customHeight="false" outlineLevel="0" collapsed="false">
      <c r="B92" s="63" t="s">
        <v>181</v>
      </c>
      <c r="C92" s="64" t="s">
        <v>182</v>
      </c>
      <c r="D92" s="64" t="s">
        <v>183</v>
      </c>
      <c r="E92" s="65" t="s">
        <v>184</v>
      </c>
      <c r="F92" s="65"/>
      <c r="G92" s="63" t="s">
        <v>185</v>
      </c>
      <c r="H92" s="63" t="s">
        <v>186</v>
      </c>
      <c r="I92" s="64" t="s">
        <v>187</v>
      </c>
      <c r="J92" s="66" t="s">
        <v>188</v>
      </c>
      <c r="K92" s="64" t="s">
        <v>189</v>
      </c>
      <c r="L92" s="64" t="s">
        <v>190</v>
      </c>
      <c r="M92" s="64" t="s">
        <v>191</v>
      </c>
      <c r="N92" s="64" t="s">
        <v>192</v>
      </c>
      <c r="O92" s="67" t="s">
        <v>193</v>
      </c>
      <c r="P92" s="64" t="s">
        <v>194</v>
      </c>
      <c r="Q92" s="68" t="s">
        <v>195</v>
      </c>
      <c r="R92" s="64" t="s">
        <v>196</v>
      </c>
      <c r="S92" s="63" t="s">
        <v>197</v>
      </c>
      <c r="T92" s="69" t="s">
        <v>198</v>
      </c>
      <c r="U92" s="69" t="s">
        <v>199</v>
      </c>
      <c r="V92" s="70" t="s">
        <v>200</v>
      </c>
      <c r="W92" s="71" t="n">
        <f aca="false">+W54</f>
        <v>0</v>
      </c>
      <c r="X92" s="72"/>
      <c r="Y92" s="72"/>
    </row>
    <row r="93" customFormat="false" ht="12" hidden="false" customHeight="true" outlineLevel="0" collapsed="false">
      <c r="A93" s="76"/>
      <c r="B93" s="77" t="s">
        <v>201</v>
      </c>
      <c r="C93" s="78" t="s">
        <v>481</v>
      </c>
      <c r="D93" s="78" t="s">
        <v>482</v>
      </c>
      <c r="E93" s="79" t="n">
        <v>35612</v>
      </c>
      <c r="F93" s="79" t="n">
        <v>37437</v>
      </c>
      <c r="G93" s="77" t="s">
        <v>483</v>
      </c>
      <c r="H93" s="77" t="s">
        <v>484</v>
      </c>
      <c r="I93" s="78" t="s">
        <v>117</v>
      </c>
      <c r="J93" s="80" t="n">
        <f aca="false">+(5.6195+1.3875+0.2)/J$1</f>
        <v>0.232483870967742</v>
      </c>
      <c r="K93" s="81" t="n">
        <v>0</v>
      </c>
      <c r="L93" s="81" t="n">
        <v>0.0022</v>
      </c>
      <c r="M93" s="81" t="n">
        <v>0.0072</v>
      </c>
      <c r="N93" s="81" t="n">
        <v>0</v>
      </c>
      <c r="O93" s="82" t="n">
        <v>0</v>
      </c>
      <c r="P93" s="81" t="n">
        <f aca="false">SUM(J93:N93)</f>
        <v>0.241883870967742</v>
      </c>
      <c r="Q93" s="83" t="n">
        <v>270</v>
      </c>
      <c r="R93" s="78" t="n">
        <v>1000</v>
      </c>
      <c r="S93" s="77"/>
      <c r="T93" s="84" t="n">
        <f aca="false">J93*J$1*R93</f>
        <v>7207</v>
      </c>
      <c r="U93" s="84"/>
      <c r="V93" s="85" t="n">
        <v>149901</v>
      </c>
      <c r="W93" s="77" t="s">
        <v>485</v>
      </c>
      <c r="X93" s="86"/>
      <c r="Y93" s="8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  <c r="IO93" s="76"/>
      <c r="IP93" s="76"/>
      <c r="IQ93" s="76"/>
      <c r="IR93" s="76"/>
      <c r="IS93" s="76"/>
      <c r="IT93" s="76"/>
      <c r="IU93" s="76"/>
      <c r="IV93" s="76"/>
      <c r="IW93" s="76"/>
    </row>
    <row r="94" customFormat="false" ht="12" hidden="false" customHeight="true" outlineLevel="0" collapsed="false">
      <c r="A94" s="73"/>
      <c r="B94" s="46"/>
      <c r="C94" s="44"/>
      <c r="D94" s="44"/>
      <c r="E94" s="45"/>
      <c r="F94" s="45"/>
      <c r="G94" s="46"/>
      <c r="H94" s="46"/>
      <c r="I94" s="44"/>
      <c r="J94" s="58"/>
      <c r="K94" s="49"/>
      <c r="L94" s="49"/>
      <c r="M94" s="49"/>
      <c r="N94" s="49"/>
      <c r="O94" s="50"/>
      <c r="P94" s="49"/>
      <c r="Q94" s="51"/>
      <c r="R94" s="44"/>
      <c r="S94" s="46"/>
      <c r="T94" s="74" t="n">
        <f aca="false">SUM(T93)</f>
        <v>7207</v>
      </c>
      <c r="U94" s="74"/>
      <c r="V94" s="75"/>
      <c r="W94" s="46"/>
      <c r="X94" s="72"/>
      <c r="Y94" s="72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3"/>
      <c r="IQ94" s="73"/>
      <c r="IR94" s="73"/>
      <c r="IS94" s="73"/>
      <c r="IT94" s="73"/>
      <c r="IU94" s="73"/>
      <c r="IV94" s="73"/>
      <c r="IW94" s="73"/>
    </row>
    <row r="95" customFormat="false" ht="12.75" hidden="false" customHeight="false" outlineLevel="0" collapsed="false">
      <c r="B95" s="40"/>
      <c r="C95" s="44"/>
      <c r="D95" s="44"/>
      <c r="E95" s="45"/>
      <c r="F95" s="45"/>
      <c r="G95" s="46"/>
      <c r="H95" s="46"/>
      <c r="I95" s="44"/>
      <c r="J95" s="49"/>
      <c r="K95" s="49"/>
      <c r="L95" s="49"/>
      <c r="M95" s="49"/>
      <c r="N95" s="49"/>
      <c r="O95" s="50"/>
      <c r="P95" s="49"/>
      <c r="Q95" s="106"/>
      <c r="R95" s="107"/>
      <c r="S95" s="53"/>
      <c r="T95" s="53"/>
      <c r="U95" s="53"/>
      <c r="V95" s="54"/>
      <c r="W95" s="55"/>
      <c r="X95" s="56"/>
      <c r="Y95" s="56"/>
    </row>
    <row r="96" customFormat="false" ht="12.75" hidden="false" customHeight="false" outlineLevel="0" collapsed="false">
      <c r="B96" s="40"/>
      <c r="C96" s="44"/>
      <c r="D96" s="44"/>
      <c r="E96" s="45"/>
      <c r="F96" s="45"/>
      <c r="G96" s="46"/>
      <c r="H96" s="46"/>
      <c r="I96" s="44"/>
      <c r="J96" s="58"/>
      <c r="K96" s="49"/>
      <c r="L96" s="49"/>
      <c r="M96" s="49"/>
      <c r="N96" s="49"/>
      <c r="O96" s="50"/>
      <c r="P96" s="49"/>
      <c r="Q96" s="106"/>
      <c r="R96" s="107"/>
      <c r="S96" s="53"/>
      <c r="T96" s="53"/>
      <c r="U96" s="53"/>
      <c r="V96" s="54"/>
      <c r="W96" s="55"/>
      <c r="X96" s="56"/>
      <c r="Y96" s="56"/>
    </row>
    <row r="97" customFormat="false" ht="13.5" hidden="false" customHeight="false" outlineLevel="0" collapsed="false">
      <c r="B97" s="40"/>
      <c r="C97" s="44"/>
      <c r="D97" s="44"/>
      <c r="E97" s="45"/>
      <c r="F97" s="45"/>
      <c r="G97" s="46"/>
      <c r="H97" s="46"/>
      <c r="I97" s="44"/>
      <c r="J97" s="49"/>
      <c r="K97" s="49"/>
      <c r="L97" s="49"/>
      <c r="M97" s="49"/>
      <c r="N97" s="49"/>
      <c r="O97" s="50"/>
      <c r="P97" s="49"/>
      <c r="Q97" s="106"/>
      <c r="R97" s="107"/>
      <c r="S97" s="53"/>
      <c r="T97" s="113" t="n">
        <f aca="false">SUM(T94,T91,T33,T20)</f>
        <v>957665.529490323</v>
      </c>
      <c r="U97" s="53" t="s">
        <v>345</v>
      </c>
      <c r="V97" s="54"/>
      <c r="W97" s="55"/>
      <c r="X97" s="56"/>
      <c r="Y97" s="56"/>
    </row>
    <row r="98" customFormat="false" ht="13.5" hidden="false" customHeight="false" outlineLevel="0" collapsed="false">
      <c r="B98" s="40"/>
      <c r="C98" s="44"/>
      <c r="D98" s="44"/>
      <c r="E98" s="45"/>
      <c r="F98" s="45"/>
      <c r="G98" s="46"/>
      <c r="H98" s="46"/>
      <c r="I98" s="44"/>
      <c r="J98" s="49"/>
      <c r="K98" s="49"/>
      <c r="L98" s="49"/>
      <c r="M98" s="49"/>
      <c r="N98" s="49"/>
      <c r="O98" s="50"/>
      <c r="P98" s="49"/>
      <c r="Q98" s="106"/>
      <c r="R98" s="107"/>
      <c r="S98" s="53"/>
      <c r="T98" s="53"/>
      <c r="U98" s="55" t="s">
        <v>346</v>
      </c>
      <c r="V98" s="54"/>
      <c r="W98" s="55"/>
      <c r="X98" s="108"/>
      <c r="Y98" s="56"/>
    </row>
    <row r="99" customFormat="false" ht="12.75" hidden="false" customHeight="false" outlineLevel="0" collapsed="false">
      <c r="B99" s="40"/>
      <c r="C99" s="44"/>
      <c r="D99" s="44"/>
      <c r="E99" s="45"/>
      <c r="F99" s="45"/>
      <c r="G99" s="46"/>
      <c r="H99" s="46"/>
      <c r="I99" s="44"/>
      <c r="J99" s="49"/>
      <c r="K99" s="49"/>
      <c r="L99" s="49"/>
      <c r="M99" s="49"/>
      <c r="N99" s="49"/>
      <c r="O99" s="50"/>
      <c r="P99" s="49"/>
      <c r="Q99" s="106"/>
      <c r="R99" s="107"/>
      <c r="S99" s="53"/>
      <c r="T99" s="53"/>
      <c r="U99" s="53"/>
      <c r="V99" s="54"/>
      <c r="W99" s="55"/>
      <c r="X99" s="56"/>
      <c r="Y99" s="56"/>
    </row>
    <row r="100" customFormat="false" ht="12.75" hidden="false" customHeight="false" outlineLevel="0" collapsed="false">
      <c r="B100" s="40"/>
      <c r="C100" s="44"/>
      <c r="D100" s="44"/>
      <c r="E100" s="45"/>
      <c r="F100" s="45"/>
      <c r="G100" s="46"/>
      <c r="H100" s="46"/>
      <c r="I100" s="44"/>
      <c r="J100" s="49"/>
      <c r="K100" s="49"/>
      <c r="L100" s="49"/>
      <c r="M100" s="49"/>
      <c r="N100" s="49"/>
      <c r="O100" s="50"/>
      <c r="P100" s="49"/>
      <c r="Q100" s="106"/>
      <c r="R100" s="107"/>
      <c r="S100" s="53"/>
      <c r="T100" s="53"/>
      <c r="U100" s="53"/>
      <c r="V100" s="54"/>
      <c r="W100" s="55"/>
      <c r="X100" s="56"/>
      <c r="Y100" s="56"/>
    </row>
    <row r="101" customFormat="false" ht="12.75" hidden="false" customHeight="false" outlineLevel="0" collapsed="false">
      <c r="B101" s="40"/>
      <c r="C101" s="44"/>
      <c r="D101" s="44"/>
      <c r="E101" s="45"/>
      <c r="F101" s="45"/>
      <c r="G101" s="46"/>
      <c r="H101" s="46"/>
      <c r="I101" s="44"/>
      <c r="J101" s="58"/>
      <c r="K101" s="49"/>
      <c r="L101" s="49"/>
      <c r="M101" s="49"/>
      <c r="N101" s="49"/>
      <c r="O101" s="50"/>
      <c r="P101" s="49"/>
      <c r="Q101" s="106"/>
      <c r="R101" s="107"/>
      <c r="S101" s="108"/>
      <c r="T101" s="53"/>
      <c r="U101" s="53"/>
      <c r="V101" s="54"/>
      <c r="W101" s="55"/>
      <c r="X101" s="56"/>
      <c r="Y101" s="56"/>
    </row>
    <row r="102" customFormat="false" ht="12.75" hidden="false" customHeight="false" outlineLevel="0" collapsed="false">
      <c r="B102" s="40"/>
      <c r="C102" s="44"/>
      <c r="D102" s="44"/>
      <c r="E102" s="45"/>
      <c r="F102" s="45"/>
      <c r="G102" s="46"/>
      <c r="H102" s="46"/>
      <c r="I102" s="44"/>
      <c r="J102" s="58"/>
      <c r="K102" s="49"/>
      <c r="L102" s="49"/>
      <c r="M102" s="49"/>
      <c r="N102" s="49"/>
      <c r="O102" s="50"/>
      <c r="P102" s="49"/>
      <c r="Q102" s="106"/>
      <c r="R102" s="107"/>
      <c r="S102" s="108"/>
      <c r="T102" s="53"/>
      <c r="U102" s="53"/>
      <c r="V102" s="54"/>
      <c r="W102" s="55"/>
      <c r="X102" s="56"/>
      <c r="Y102" s="56"/>
    </row>
    <row r="103" customFormat="false" ht="12.75" hidden="false" customHeight="false" outlineLevel="0" collapsed="false">
      <c r="Q103" s="35"/>
      <c r="R103" s="35"/>
      <c r="S103" s="35"/>
      <c r="T103" s="35"/>
      <c r="U103" s="35"/>
      <c r="V103" s="114"/>
      <c r="W103" s="115"/>
      <c r="X103" s="114"/>
    </row>
    <row r="104" customFormat="false" ht="12.75" hidden="false" customHeight="false" outlineLevel="0" collapsed="false">
      <c r="Q104" s="35"/>
      <c r="R104" s="35"/>
      <c r="S104" s="35"/>
      <c r="T104" s="35"/>
      <c r="U104" s="35"/>
      <c r="V104" s="114"/>
      <c r="W104" s="115"/>
      <c r="X104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Q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7.56"/>
    <col collapsed="false" customWidth="true" hidden="false" outlineLevel="0" max="3" min="3" style="0" width="2.56"/>
    <col collapsed="false" customWidth="true" hidden="false" outlineLevel="0" max="5" min="4" style="0" width="8.85"/>
    <col collapsed="false" customWidth="true" hidden="false" outlineLevel="0" max="6" min="6" style="0" width="3.14"/>
    <col collapsed="false" customWidth="true" hidden="false" outlineLevel="0" max="8" min="8" style="0" width="3.14"/>
    <col collapsed="false" customWidth="true" hidden="false" outlineLevel="0" max="9" min="9" style="0" width="10.28"/>
    <col collapsed="false" customWidth="true" hidden="false" outlineLevel="0" max="10" min="10" style="0" width="3.42"/>
    <col collapsed="false" customWidth="true" hidden="false" outlineLevel="0" max="11" min="11" style="0" width="10.99"/>
    <col collapsed="false" customWidth="true" hidden="false" outlineLevel="0" max="12" min="12" style="0" width="3.42"/>
    <col collapsed="false" customWidth="true" hidden="false" outlineLevel="0" max="13" min="13" style="0" width="13.7"/>
    <col collapsed="false" customWidth="true" hidden="false" outlineLevel="0" max="14" min="14" style="0" width="2.7"/>
    <col collapsed="false" customWidth="true" hidden="false" outlineLevel="0" max="15" min="15" style="0" width="13.41"/>
    <col collapsed="false" customWidth="true" hidden="false" outlineLevel="0" max="16" min="16" style="0" width="2.56"/>
    <col collapsed="false" customWidth="true" hidden="false" outlineLevel="0" max="17" min="17" style="0" width="13.41"/>
  </cols>
  <sheetData>
    <row r="2" customFormat="false" ht="15.75" hidden="false" customHeight="false" outlineLevel="0" collapsed="false">
      <c r="B2" s="142" t="s">
        <v>486</v>
      </c>
      <c r="C2" s="143"/>
      <c r="D2" s="143"/>
      <c r="E2" s="143"/>
      <c r="F2" s="143"/>
    </row>
    <row r="3" customFormat="false" ht="15.75" hidden="false" customHeight="false" outlineLevel="0" collapsed="false">
      <c r="B3" s="144" t="s">
        <v>487</v>
      </c>
    </row>
    <row r="4" customFormat="false" ht="15.75" hidden="false" customHeight="false" outlineLevel="0" collapsed="false">
      <c r="B4" s="144" t="s">
        <v>488</v>
      </c>
    </row>
    <row r="5" customFormat="false" ht="12.75" hidden="false" customHeight="false" outlineLevel="0" collapsed="false">
      <c r="B5" s="0" t="s">
        <v>489</v>
      </c>
    </row>
    <row r="7" customFormat="false" ht="15.75" hidden="false" customHeight="false" outlineLevel="0" collapsed="false">
      <c r="B7" s="145"/>
      <c r="C7" s="145"/>
      <c r="D7" s="145"/>
      <c r="E7" s="145"/>
      <c r="F7" s="145"/>
      <c r="G7" s="145"/>
      <c r="H7" s="145"/>
      <c r="I7" s="145"/>
      <c r="J7" s="145"/>
      <c r="K7" s="146" t="s">
        <v>490</v>
      </c>
      <c r="L7" s="145"/>
      <c r="M7" s="146" t="s">
        <v>490</v>
      </c>
      <c r="N7" s="146" t="s">
        <v>113</v>
      </c>
      <c r="O7" s="146" t="s">
        <v>490</v>
      </c>
      <c r="P7" s="147"/>
      <c r="Q7" s="146" t="s">
        <v>490</v>
      </c>
    </row>
    <row r="8" customFormat="false" ht="13.5" hidden="false" customHeight="false" outlineLevel="0" collapsed="false">
      <c r="B8" s="145"/>
      <c r="C8" s="145"/>
      <c r="D8" s="145"/>
      <c r="E8" s="145"/>
      <c r="F8" s="145"/>
      <c r="G8" s="146" t="s">
        <v>490</v>
      </c>
      <c r="H8" s="145"/>
      <c r="I8" s="146" t="s">
        <v>490</v>
      </c>
      <c r="J8" s="145"/>
      <c r="K8" s="146" t="s">
        <v>491</v>
      </c>
      <c r="L8" s="145"/>
      <c r="M8" s="146" t="s">
        <v>492</v>
      </c>
      <c r="N8" s="146" t="s">
        <v>113</v>
      </c>
      <c r="O8" s="146" t="s">
        <v>491</v>
      </c>
      <c r="Q8" s="146" t="s">
        <v>492</v>
      </c>
    </row>
    <row r="9" customFormat="false" ht="13.5" hidden="false" customHeight="false" outlineLevel="0" collapsed="false">
      <c r="B9" s="146" t="s">
        <v>493</v>
      </c>
      <c r="C9" s="145"/>
      <c r="D9" s="146" t="s">
        <v>494</v>
      </c>
      <c r="E9" s="146"/>
      <c r="F9" s="146"/>
      <c r="G9" s="146" t="s">
        <v>495</v>
      </c>
      <c r="H9" s="146"/>
      <c r="I9" s="146" t="s">
        <v>495</v>
      </c>
      <c r="J9" s="145"/>
      <c r="K9" s="146" t="s">
        <v>496</v>
      </c>
      <c r="L9" s="145"/>
      <c r="M9" s="146" t="s">
        <v>496</v>
      </c>
      <c r="N9" s="146" t="s">
        <v>113</v>
      </c>
      <c r="O9" s="146" t="s">
        <v>497</v>
      </c>
      <c r="Q9" s="146" t="s">
        <v>497</v>
      </c>
    </row>
    <row r="10" customFormat="false" ht="15.75" hidden="false" customHeight="false" outlineLevel="0" collapsed="false">
      <c r="B10" s="148" t="s">
        <v>498</v>
      </c>
      <c r="C10" s="145"/>
      <c r="D10" s="148" t="s">
        <v>499</v>
      </c>
      <c r="E10" s="148" t="s">
        <v>500</v>
      </c>
      <c r="F10" s="145"/>
      <c r="G10" s="149" t="s">
        <v>501</v>
      </c>
      <c r="H10" s="145"/>
      <c r="I10" s="149" t="s">
        <v>502</v>
      </c>
      <c r="J10" s="145"/>
      <c r="K10" s="149" t="s">
        <v>503</v>
      </c>
      <c r="L10" s="145"/>
      <c r="M10" s="149" t="s">
        <v>503</v>
      </c>
      <c r="N10" s="146" t="s">
        <v>113</v>
      </c>
      <c r="O10" s="149" t="s">
        <v>504</v>
      </c>
      <c r="P10" s="144" t="s">
        <v>113</v>
      </c>
      <c r="Q10" s="149" t="s">
        <v>504</v>
      </c>
    </row>
    <row r="11" customFormat="false" ht="13.5" hidden="false" customHeight="false" outlineLevel="0" collapsed="false">
      <c r="B11" s="148"/>
      <c r="C11" s="150"/>
      <c r="D11" s="148"/>
      <c r="E11" s="148"/>
      <c r="F11" s="150"/>
      <c r="G11" s="151"/>
      <c r="H11" s="150"/>
      <c r="I11" s="151"/>
      <c r="J11" s="150"/>
      <c r="K11" s="151"/>
      <c r="L11" s="150"/>
      <c r="M11" s="150"/>
      <c r="N11" s="150"/>
      <c r="O11" s="150"/>
    </row>
    <row r="12" customFormat="false" ht="12.75" hidden="false" customHeight="false" outlineLevel="0" collapsed="false">
      <c r="B12" s="0" t="n">
        <v>3</v>
      </c>
      <c r="D12" s="0" t="n">
        <v>15</v>
      </c>
      <c r="E12" s="152" t="n">
        <v>22</v>
      </c>
      <c r="G12" s="0" t="n">
        <v>8</v>
      </c>
      <c r="I12" s="0" t="n">
        <f aca="false">G12*30</f>
        <v>240</v>
      </c>
      <c r="K12" s="0" t="n">
        <v>0</v>
      </c>
      <c r="M12" s="0" t="n">
        <v>0</v>
      </c>
      <c r="N12" s="0" t="s">
        <v>113</v>
      </c>
      <c r="O12" s="0" t="n">
        <f aca="false">G12-K12</f>
        <v>8</v>
      </c>
      <c r="Q12" s="0" t="n">
        <f aca="false">I12-M12</f>
        <v>240</v>
      </c>
    </row>
    <row r="13" customFormat="false" ht="12.75" hidden="false" customHeight="false" outlineLevel="0" collapsed="false">
      <c r="B13" s="0" t="n">
        <v>5</v>
      </c>
      <c r="D13" s="0" t="n">
        <v>2</v>
      </c>
      <c r="E13" s="0" t="s">
        <v>505</v>
      </c>
      <c r="G13" s="0" t="n">
        <v>1577</v>
      </c>
      <c r="I13" s="0" t="n">
        <f aca="false">G13*30</f>
        <v>47310</v>
      </c>
      <c r="K13" s="0" t="n">
        <f aca="false">ROUND(M13/30,0)</f>
        <v>552</v>
      </c>
      <c r="M13" s="153" t="n">
        <v>16560</v>
      </c>
      <c r="O13" s="0" t="n">
        <f aca="false">G13-K13</f>
        <v>1025</v>
      </c>
      <c r="Q13" s="0" t="n">
        <f aca="false">I13-M13</f>
        <v>30750</v>
      </c>
    </row>
    <row r="14" customFormat="false" ht="12.75" hidden="false" customHeight="false" outlineLevel="0" collapsed="false">
      <c r="B14" s="0" t="n">
        <v>5</v>
      </c>
      <c r="D14" s="0" t="n">
        <v>7</v>
      </c>
      <c r="E14" s="0" t="s">
        <v>506</v>
      </c>
      <c r="G14" s="0" t="n">
        <v>3</v>
      </c>
      <c r="I14" s="0" t="n">
        <f aca="false">G14*30</f>
        <v>90</v>
      </c>
      <c r="K14" s="0" t="n">
        <f aca="false">ROUND(M14/30,0)</f>
        <v>0</v>
      </c>
      <c r="M14" s="0" t="n">
        <v>0</v>
      </c>
      <c r="O14" s="0" t="n">
        <f aca="false">G14-K14</f>
        <v>3</v>
      </c>
      <c r="Q14" s="0" t="n">
        <f aca="false">I14-M14</f>
        <v>90</v>
      </c>
    </row>
    <row r="15" customFormat="false" ht="12.75" hidden="false" customHeight="false" outlineLevel="0" collapsed="false">
      <c r="B15" s="0" t="n">
        <v>7</v>
      </c>
      <c r="D15" s="0" t="n">
        <v>1</v>
      </c>
      <c r="E15" s="152" t="s">
        <v>416</v>
      </c>
      <c r="G15" s="0" t="n">
        <v>627</v>
      </c>
      <c r="I15" s="0" t="n">
        <f aca="false">G15*30</f>
        <v>18810</v>
      </c>
      <c r="K15" s="0" t="n">
        <f aca="false">ROUND(M15/30,0)</f>
        <v>333</v>
      </c>
      <c r="M15" s="153" t="n">
        <v>9990</v>
      </c>
      <c r="O15" s="0" t="n">
        <f aca="false">G15-K15</f>
        <v>294</v>
      </c>
      <c r="Q15" s="0" t="n">
        <f aca="false">I15-M15</f>
        <v>8820</v>
      </c>
    </row>
    <row r="16" customFormat="false" ht="12.75" hidden="false" customHeight="false" outlineLevel="0" collapsed="false">
      <c r="B16" s="0" t="n">
        <v>7</v>
      </c>
      <c r="D16" s="0" t="n">
        <v>3</v>
      </c>
      <c r="E16" s="152" t="s">
        <v>507</v>
      </c>
      <c r="G16" s="0" t="n">
        <v>88</v>
      </c>
      <c r="I16" s="0" t="n">
        <f aca="false">G16*30</f>
        <v>2640</v>
      </c>
      <c r="K16" s="0" t="n">
        <f aca="false">ROUND(M16/30,0)</f>
        <v>0</v>
      </c>
      <c r="M16" s="153" t="n">
        <v>0</v>
      </c>
      <c r="O16" s="0" t="n">
        <f aca="false">G16-K16</f>
        <v>88</v>
      </c>
      <c r="Q16" s="0" t="n">
        <f aca="false">I16-M16</f>
        <v>2640</v>
      </c>
    </row>
    <row r="17" customFormat="false" ht="12.75" hidden="false" customHeight="false" outlineLevel="0" collapsed="false">
      <c r="B17" s="0" t="n">
        <v>7</v>
      </c>
      <c r="D17" s="0" t="n">
        <v>4</v>
      </c>
      <c r="E17" s="0" t="s">
        <v>508</v>
      </c>
      <c r="G17" s="0" t="n">
        <v>1280</v>
      </c>
      <c r="I17" s="0" t="n">
        <f aca="false">G17*30</f>
        <v>38400</v>
      </c>
      <c r="K17" s="0" t="n">
        <f aca="false">ROUND(M17/30,0)</f>
        <v>127</v>
      </c>
      <c r="M17" s="153" t="n">
        <v>3810</v>
      </c>
      <c r="O17" s="0" t="n">
        <f aca="false">G17-K17</f>
        <v>1153</v>
      </c>
      <c r="Q17" s="0" t="n">
        <f aca="false">I17-M17</f>
        <v>34590</v>
      </c>
    </row>
    <row r="18" customFormat="false" ht="12.75" hidden="false" customHeight="false" outlineLevel="0" collapsed="false">
      <c r="B18" s="0" t="n">
        <v>7</v>
      </c>
      <c r="D18" s="0" t="n">
        <v>5</v>
      </c>
      <c r="E18" s="0" t="s">
        <v>509</v>
      </c>
      <c r="G18" s="0" t="n">
        <v>1689</v>
      </c>
      <c r="I18" s="0" t="n">
        <f aca="false">G18*30</f>
        <v>50670</v>
      </c>
      <c r="K18" s="0" t="n">
        <f aca="false">ROUND(M18/30,0)</f>
        <v>667</v>
      </c>
      <c r="M18" s="153" t="n">
        <v>20010</v>
      </c>
      <c r="O18" s="0" t="n">
        <f aca="false">G18-K18</f>
        <v>1022</v>
      </c>
      <c r="Q18" s="0" t="n">
        <f aca="false">I18-M18</f>
        <v>30660</v>
      </c>
    </row>
    <row r="19" customFormat="false" ht="12.75" hidden="false" customHeight="false" outlineLevel="0" collapsed="false">
      <c r="B19" s="0" t="n">
        <v>7</v>
      </c>
      <c r="D19" s="0" t="n">
        <v>6</v>
      </c>
      <c r="E19" s="0" t="s">
        <v>510</v>
      </c>
      <c r="G19" s="0" t="n">
        <v>101</v>
      </c>
      <c r="I19" s="0" t="n">
        <f aca="false">G19*30</f>
        <v>3030</v>
      </c>
      <c r="K19" s="0" t="n">
        <f aca="false">ROUND(M19/30,0)</f>
        <v>101</v>
      </c>
      <c r="M19" s="153" t="n">
        <v>3030</v>
      </c>
      <c r="O19" s="0" t="n">
        <f aca="false">G19-K19</f>
        <v>0</v>
      </c>
      <c r="Q19" s="0" t="n">
        <f aca="false">I19-M19</f>
        <v>0</v>
      </c>
    </row>
    <row r="20" customFormat="false" ht="12.75" hidden="false" customHeight="false" outlineLevel="0" collapsed="false">
      <c r="B20" s="0" t="n">
        <v>7</v>
      </c>
      <c r="D20" s="0" t="n">
        <v>8</v>
      </c>
      <c r="E20" s="0" t="s">
        <v>511</v>
      </c>
      <c r="G20" s="0" t="n">
        <v>772</v>
      </c>
      <c r="I20" s="0" t="n">
        <f aca="false">G20*30</f>
        <v>23160</v>
      </c>
      <c r="K20" s="0" t="n">
        <f aca="false">ROUND(M20/30,0)</f>
        <v>301</v>
      </c>
      <c r="M20" s="153" t="n">
        <v>9030</v>
      </c>
      <c r="O20" s="0" t="n">
        <f aca="false">G20-K20</f>
        <v>471</v>
      </c>
      <c r="Q20" s="0" t="n">
        <f aca="false">I20-M20</f>
        <v>14130</v>
      </c>
    </row>
    <row r="21" customFormat="false" ht="12.75" hidden="false" customHeight="false" outlineLevel="0" collapsed="false">
      <c r="B21" s="0" t="n">
        <v>7</v>
      </c>
      <c r="D21" s="0" t="n">
        <v>9</v>
      </c>
      <c r="E21" s="0" t="s">
        <v>512</v>
      </c>
      <c r="G21" s="0" t="n">
        <v>3605</v>
      </c>
      <c r="I21" s="0" t="n">
        <f aca="false">G21*30</f>
        <v>108150</v>
      </c>
      <c r="K21" s="0" t="n">
        <f aca="false">ROUND(M21/30,0)</f>
        <v>1253</v>
      </c>
      <c r="M21" s="153" t="n">
        <v>37590</v>
      </c>
      <c r="O21" s="0" t="n">
        <f aca="false">G21-K21</f>
        <v>2352</v>
      </c>
      <c r="Q21" s="0" t="n">
        <f aca="false">I21-M21</f>
        <v>70560</v>
      </c>
    </row>
    <row r="22" customFormat="false" ht="12.75" hidden="false" customHeight="false" outlineLevel="0" collapsed="false">
      <c r="B22" s="0" t="n">
        <v>8</v>
      </c>
      <c r="D22" s="0" t="n">
        <v>35</v>
      </c>
      <c r="E22" s="0" t="s">
        <v>513</v>
      </c>
      <c r="G22" s="154" t="n">
        <f aca="false">1500+870</f>
        <v>2370</v>
      </c>
      <c r="I22" s="155" t="n">
        <f aca="false">G22*30</f>
        <v>71100</v>
      </c>
      <c r="K22" s="155" t="n">
        <f aca="false">ROUND(M22/30,0)</f>
        <v>0</v>
      </c>
      <c r="M22" s="156" t="n">
        <v>0</v>
      </c>
      <c r="O22" s="155" t="n">
        <f aca="false">G22-K22</f>
        <v>2370</v>
      </c>
      <c r="Q22" s="154" t="n">
        <f aca="false">I22-M22</f>
        <v>71100</v>
      </c>
    </row>
    <row r="23" customFormat="false" ht="12.75" hidden="false" customHeight="false" outlineLevel="0" collapsed="false">
      <c r="K23" s="0" t="s">
        <v>113</v>
      </c>
      <c r="Q23" s="157"/>
    </row>
    <row r="24" customFormat="false" ht="13.5" hidden="false" customHeight="false" outlineLevel="0" collapsed="false">
      <c r="G24" s="158" t="n">
        <f aca="false">SUM(G12:G23)</f>
        <v>12120</v>
      </c>
      <c r="I24" s="158" t="n">
        <f aca="false">SUM(I12:I23)</f>
        <v>363600</v>
      </c>
      <c r="K24" s="158" t="n">
        <f aca="false">SUM(K12:K23)</f>
        <v>3334</v>
      </c>
      <c r="M24" s="158" t="n">
        <f aca="false">SUM(M12:M23)</f>
        <v>100020</v>
      </c>
      <c r="O24" s="158" t="n">
        <f aca="false">SUM(O12:O23)</f>
        <v>8786</v>
      </c>
      <c r="Q24" s="158" t="n">
        <f aca="false">SUM(Q12:Q23)</f>
        <v>263580</v>
      </c>
    </row>
    <row r="25" customFormat="false" ht="13.5" hidden="false" customHeight="false" outlineLevel="0" collapsed="false"/>
    <row r="26" customFormat="false" ht="12.75" hidden="false" customHeight="false" outlineLevel="0" collapsed="false">
      <c r="K26" s="0" t="s">
        <v>113</v>
      </c>
    </row>
    <row r="27" customFormat="false" ht="12.75" hidden="false" customHeight="false" outlineLevel="0" collapsed="false">
      <c r="D27" s="0" t="s">
        <v>514</v>
      </c>
    </row>
    <row r="28" customFormat="false" ht="12.75" hidden="false" customHeight="false" outlineLevel="0" collapsed="false">
      <c r="K28" s="0" t="s">
        <v>113</v>
      </c>
    </row>
    <row r="29" customFormat="false" ht="12.75" hidden="false" customHeight="false" outlineLevel="0" collapsed="false">
      <c r="K29" s="0" t="s">
        <v>113</v>
      </c>
    </row>
    <row r="30" customFormat="false" ht="12.75" hidden="false" customHeight="false" outlineLevel="0" collapsed="false">
      <c r="K30" s="0" t="s">
        <v>113</v>
      </c>
    </row>
    <row r="31" customFormat="false" ht="12.75" hidden="false" customHeight="false" outlineLevel="0" collapsed="false">
      <c r="K31" s="0" t="s">
        <v>113</v>
      </c>
    </row>
    <row r="32" customFormat="false" ht="12.75" hidden="false" customHeight="false" outlineLevel="0" collapsed="false">
      <c r="K32" s="0" t="s">
        <v>113</v>
      </c>
    </row>
    <row r="33" customFormat="false" ht="12.75" hidden="false" customHeight="false" outlineLevel="0" collapsed="false">
      <c r="K33" s="0" t="s">
        <v>113</v>
      </c>
    </row>
    <row r="34" customFormat="false" ht="12.75" hidden="false" customHeight="false" outlineLevel="0" collapsed="false">
      <c r="K34" s="0" t="s">
        <v>113</v>
      </c>
    </row>
    <row r="35" customFormat="false" ht="12.75" hidden="false" customHeight="false" outlineLevel="0" collapsed="false">
      <c r="K35" s="0" t="s">
        <v>113</v>
      </c>
    </row>
    <row r="36" customFormat="false" ht="12.75" hidden="false" customHeight="false" outlineLevel="0" collapsed="false">
      <c r="K36" s="0" t="s">
        <v>113</v>
      </c>
    </row>
    <row r="37" customFormat="false" ht="12.75" hidden="false" customHeight="false" outlineLevel="0" collapsed="false">
      <c r="K37" s="0" t="s">
        <v>113</v>
      </c>
    </row>
    <row r="38" customFormat="false" ht="12.75" hidden="false" customHeight="false" outlineLevel="0" collapsed="false">
      <c r="K38" s="0" t="s">
        <v>113</v>
      </c>
    </row>
    <row r="39" customFormat="false" ht="12.75" hidden="false" customHeight="false" outlineLevel="0" collapsed="false">
      <c r="K39" s="0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4"/>
  <sheetViews>
    <sheetView showFormulas="false" showGridLines="true" showRowColHeaders="true" showZeros="true" rightToLeft="false" tabSelected="false" showOutlineSymbols="true" defaultGridColor="true" view="normal" topLeftCell="B195" colorId="64" zoomScale="100" zoomScaleNormal="100" zoomScalePageLayoutView="100" workbookViewId="0">
      <selection pane="topLeft" activeCell="H180" activeCellId="0" sqref="H18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99"/>
    <col collapsed="false" customWidth="false" hidden="false" outlineLevel="0" max="3" min="3" style="33" width="9.14"/>
    <col collapsed="false" customWidth="true" hidden="false" outlineLevel="0" max="4" min="4" style="33" width="10.56"/>
    <col collapsed="false" customWidth="true" hidden="false" outlineLevel="0" max="5" min="5" style="33" width="9.28"/>
    <col collapsed="false" customWidth="true" hidden="false" outlineLevel="0" max="6" min="6" style="33" width="9.56"/>
    <col collapsed="false" customWidth="true" hidden="false" outlineLevel="0" max="7" min="7" style="40" width="12.42"/>
    <col collapsed="false" customWidth="true" hidden="false" outlineLevel="0" max="8" min="8" style="40" width="16.42"/>
    <col collapsed="false" customWidth="true" hidden="false" outlineLevel="0" max="9" min="9" style="33" width="12.99"/>
    <col collapsed="false" customWidth="true" hidden="false" outlineLevel="0" max="10" min="10" style="33" width="7.7"/>
    <col collapsed="false" customWidth="true" hidden="true" outlineLevel="0" max="14" min="11" style="33" width="9.06"/>
    <col collapsed="false" customWidth="true" hidden="true" outlineLevel="0" max="15" min="15" style="41" width="9.06"/>
    <col collapsed="false" customWidth="true" hidden="true" outlineLevel="0" max="16" min="16" style="33" width="9.06"/>
    <col collapsed="false" customWidth="true" hidden="false" outlineLevel="0" max="17" min="17" style="33" width="14.28"/>
    <col collapsed="false" customWidth="true" hidden="false" outlineLevel="0" max="18" min="18" style="33" width="10.85"/>
    <col collapsed="false" customWidth="true" hidden="false" outlineLevel="0" max="19" min="19" style="33" width="12.28"/>
    <col collapsed="false" customWidth="true" hidden="false" outlineLevel="0" max="20" min="20" style="33" width="10.71"/>
    <col collapsed="false" customWidth="true" hidden="false" outlineLevel="0" max="21" min="21" style="33" width="11.85"/>
    <col collapsed="false" customWidth="true" hidden="false" outlineLevel="0" max="22" min="22" style="42" width="14.85"/>
    <col collapsed="false" customWidth="true" hidden="false" outlineLevel="0" max="23" min="23" style="40" width="42.28"/>
    <col collapsed="false" customWidth="false" hidden="false" outlineLevel="0" max="25" min="24" style="42" width="9.14"/>
    <col collapsed="false" customWidth="true" hidden="false" outlineLevel="0" max="26" min="26" style="33" width="12.42"/>
    <col collapsed="false" customWidth="false" hidden="false" outlineLevel="0" max="257" min="27" style="33" width="9.14"/>
  </cols>
  <sheetData>
    <row r="1" customFormat="false" ht="12.75" hidden="false" customHeight="false" outlineLevel="0" collapsed="false">
      <c r="B1" s="43" t="s">
        <v>515</v>
      </c>
      <c r="C1" s="44"/>
      <c r="D1" s="44"/>
      <c r="E1" s="45"/>
      <c r="F1" s="45"/>
      <c r="G1" s="46"/>
      <c r="H1" s="46"/>
      <c r="I1" s="44" t="s">
        <v>174</v>
      </c>
      <c r="J1" s="47" t="n">
        <v>30</v>
      </c>
      <c r="K1" s="48" t="s">
        <v>175</v>
      </c>
      <c r="L1" s="49"/>
      <c r="M1" s="49"/>
      <c r="N1" s="49"/>
      <c r="O1" s="50"/>
      <c r="P1" s="49"/>
      <c r="Q1" s="51"/>
      <c r="R1" s="52"/>
      <c r="S1" s="53"/>
      <c r="T1" s="53"/>
      <c r="U1" s="53"/>
      <c r="V1" s="54"/>
      <c r="W1" s="55"/>
      <c r="X1" s="56"/>
      <c r="Y1" s="56"/>
    </row>
    <row r="2" customFormat="false" ht="12.75" hidden="false" customHeight="false" outlineLevel="0" collapsed="false">
      <c r="B2" s="46" t="s">
        <v>176</v>
      </c>
      <c r="C2" s="46"/>
      <c r="D2" s="46"/>
      <c r="E2" s="45"/>
      <c r="F2" s="45"/>
      <c r="G2" s="46"/>
      <c r="H2" s="46"/>
      <c r="I2" s="44"/>
      <c r="J2" s="47"/>
      <c r="K2" s="48" t="s">
        <v>177</v>
      </c>
      <c r="L2" s="49"/>
      <c r="M2" s="49"/>
      <c r="N2" s="49"/>
      <c r="O2" s="50"/>
      <c r="P2" s="49"/>
      <c r="Q2" s="51"/>
      <c r="R2" s="52"/>
      <c r="S2" s="53"/>
      <c r="T2" s="53"/>
      <c r="U2" s="53"/>
      <c r="V2" s="54"/>
      <c r="W2" s="55"/>
      <c r="X2" s="56"/>
      <c r="Y2" s="56"/>
    </row>
    <row r="3" customFormat="false" ht="12.75" hidden="false" customHeight="false" outlineLevel="0" collapsed="false">
      <c r="B3" s="46" t="s">
        <v>178</v>
      </c>
      <c r="C3" s="46"/>
      <c r="D3" s="46"/>
      <c r="E3" s="45"/>
      <c r="F3" s="45"/>
      <c r="G3" s="57" t="s">
        <v>113</v>
      </c>
      <c r="H3" s="46" t="s">
        <v>113</v>
      </c>
      <c r="I3" s="52" t="s">
        <v>113</v>
      </c>
      <c r="J3" s="58"/>
      <c r="K3" s="59" t="s">
        <v>113</v>
      </c>
      <c r="L3" s="49"/>
      <c r="M3" s="59" t="s">
        <v>113</v>
      </c>
      <c r="N3" s="49"/>
      <c r="O3" s="50"/>
      <c r="P3" s="59" t="s">
        <v>113</v>
      </c>
      <c r="Q3" s="51"/>
      <c r="R3" s="52"/>
      <c r="S3" s="53"/>
      <c r="T3" s="53"/>
      <c r="U3" s="53"/>
      <c r="V3" s="54"/>
      <c r="W3" s="55"/>
      <c r="X3" s="56"/>
      <c r="Y3" s="56"/>
    </row>
    <row r="4" customFormat="false" ht="12.75" hidden="false" customHeight="false" outlineLevel="0" collapsed="false">
      <c r="B4" s="46"/>
      <c r="C4" s="44"/>
      <c r="D4" s="44"/>
      <c r="E4" s="45"/>
      <c r="F4" s="45"/>
      <c r="G4" s="60"/>
      <c r="H4" s="46"/>
      <c r="I4" s="60"/>
      <c r="J4" s="58"/>
      <c r="K4" s="60"/>
      <c r="L4" s="49"/>
      <c r="M4" s="60"/>
      <c r="N4" s="52"/>
      <c r="O4" s="50"/>
      <c r="P4" s="52"/>
      <c r="Q4" s="51"/>
      <c r="R4" s="52"/>
      <c r="S4" s="53"/>
      <c r="T4" s="61"/>
      <c r="U4" s="61"/>
      <c r="V4" s="62"/>
      <c r="W4" s="55"/>
      <c r="X4" s="56"/>
      <c r="Y4" s="56"/>
    </row>
    <row r="5" customFormat="false" ht="12.75" hidden="false" customHeight="false" outlineLevel="0" collapsed="false">
      <c r="B5" s="46" t="s">
        <v>179</v>
      </c>
      <c r="C5" s="44"/>
      <c r="D5" s="46"/>
      <c r="E5" s="45"/>
      <c r="F5" s="45"/>
      <c r="G5" s="60"/>
      <c r="H5" s="46"/>
      <c r="I5" s="60"/>
      <c r="J5" s="58"/>
      <c r="K5" s="60"/>
      <c r="L5" s="49"/>
      <c r="M5" s="60"/>
      <c r="N5" s="52"/>
      <c r="O5" s="50"/>
      <c r="P5" s="52"/>
      <c r="Q5" s="51"/>
      <c r="R5" s="52"/>
      <c r="S5" s="53"/>
      <c r="T5" s="61"/>
      <c r="U5" s="61"/>
      <c r="V5" s="62"/>
      <c r="W5" s="55"/>
      <c r="X5" s="56"/>
      <c r="Y5" s="56"/>
    </row>
    <row r="6" customFormat="false" ht="12.75" hidden="false" customHeight="false" outlineLevel="0" collapsed="false">
      <c r="B6" s="46"/>
      <c r="C6" s="44" t="s">
        <v>180</v>
      </c>
      <c r="D6" s="44"/>
      <c r="E6" s="45"/>
      <c r="F6" s="45"/>
      <c r="G6" s="60"/>
      <c r="H6" s="46"/>
      <c r="I6" s="60"/>
      <c r="J6" s="58"/>
      <c r="K6" s="60"/>
      <c r="L6" s="49"/>
      <c r="M6" s="60"/>
      <c r="N6" s="52"/>
      <c r="O6" s="50"/>
      <c r="P6" s="52"/>
      <c r="Q6" s="51"/>
      <c r="R6" s="52"/>
      <c r="S6" s="53"/>
      <c r="T6" s="61"/>
      <c r="U6" s="61"/>
      <c r="V6" s="62"/>
      <c r="W6" s="55"/>
      <c r="X6" s="56"/>
      <c r="Y6" s="56"/>
    </row>
    <row r="7" customFormat="false" ht="12.75" hidden="false" customHeight="false" outlineLevel="0" collapsed="false">
      <c r="B7" s="46"/>
      <c r="C7" s="44"/>
      <c r="D7" s="44"/>
      <c r="E7" s="45"/>
      <c r="F7" s="45"/>
      <c r="G7" s="60"/>
      <c r="H7" s="46"/>
      <c r="I7" s="60"/>
      <c r="J7" s="58"/>
      <c r="K7" s="60"/>
      <c r="L7" s="49"/>
      <c r="M7" s="60"/>
      <c r="N7" s="52"/>
      <c r="O7" s="50"/>
      <c r="P7" s="52"/>
      <c r="Q7" s="51"/>
      <c r="R7" s="52"/>
      <c r="S7" s="53"/>
      <c r="T7" s="61"/>
      <c r="U7" s="61"/>
      <c r="V7" s="62"/>
      <c r="W7" s="55"/>
      <c r="X7" s="56"/>
      <c r="Y7" s="56"/>
    </row>
    <row r="8" customFormat="false" ht="12.75" hidden="false" customHeight="false" outlineLevel="0" collapsed="false">
      <c r="B8" s="46"/>
      <c r="C8" s="44"/>
      <c r="D8" s="44"/>
      <c r="E8" s="45"/>
      <c r="F8" s="45"/>
      <c r="G8" s="60"/>
      <c r="H8" s="46"/>
      <c r="I8" s="60"/>
      <c r="J8" s="58"/>
      <c r="K8" s="60"/>
      <c r="L8" s="49"/>
      <c r="M8" s="60"/>
      <c r="N8" s="52"/>
      <c r="O8" s="50"/>
      <c r="P8" s="52"/>
      <c r="Q8" s="51"/>
      <c r="R8" s="52"/>
      <c r="S8" s="53"/>
      <c r="T8" s="61"/>
      <c r="U8" s="61"/>
      <c r="V8" s="62"/>
      <c r="W8" s="55"/>
      <c r="X8" s="56"/>
      <c r="Y8" s="56"/>
    </row>
    <row r="9" customFormat="false" ht="12.75" hidden="false" customHeight="false" outlineLevel="0" collapsed="false">
      <c r="B9" s="46"/>
      <c r="C9" s="44"/>
      <c r="D9" s="44"/>
      <c r="E9" s="45"/>
      <c r="F9" s="45"/>
      <c r="G9" s="60"/>
      <c r="H9" s="46"/>
      <c r="I9" s="60"/>
      <c r="J9" s="58"/>
      <c r="K9" s="60"/>
      <c r="L9" s="49"/>
      <c r="M9" s="60"/>
      <c r="N9" s="52"/>
      <c r="O9" s="50"/>
      <c r="P9" s="52"/>
      <c r="Q9" s="51"/>
      <c r="R9" s="52"/>
      <c r="S9" s="53"/>
      <c r="T9" s="61"/>
      <c r="U9" s="61"/>
      <c r="V9" s="62"/>
      <c r="W9" s="55"/>
      <c r="X9" s="56"/>
      <c r="Y9" s="56"/>
    </row>
    <row r="10" customFormat="false" ht="12.75" hidden="false" customHeight="false" outlineLevel="0" collapsed="false">
      <c r="B10" s="46"/>
      <c r="C10" s="44"/>
      <c r="D10" s="44"/>
      <c r="E10" s="45"/>
      <c r="F10" s="45"/>
      <c r="G10" s="60"/>
      <c r="H10" s="46"/>
      <c r="I10" s="60"/>
      <c r="J10" s="58"/>
      <c r="K10" s="60"/>
      <c r="L10" s="49"/>
      <c r="M10" s="60"/>
      <c r="N10" s="52"/>
      <c r="O10" s="50"/>
      <c r="P10" s="52"/>
      <c r="Q10" s="51"/>
      <c r="R10" s="52"/>
      <c r="S10" s="53"/>
      <c r="T10" s="61"/>
      <c r="U10" s="61"/>
      <c r="V10" s="62"/>
      <c r="W10" s="55"/>
      <c r="X10" s="56"/>
      <c r="Y10" s="56"/>
    </row>
    <row r="11" customFormat="false" ht="12.75" hidden="false" customHeight="false" outlineLevel="0" collapsed="false">
      <c r="B11" s="63" t="s">
        <v>181</v>
      </c>
      <c r="C11" s="64" t="s">
        <v>182</v>
      </c>
      <c r="D11" s="64" t="s">
        <v>347</v>
      </c>
      <c r="E11" s="65" t="s">
        <v>184</v>
      </c>
      <c r="F11" s="65"/>
      <c r="G11" s="63" t="s">
        <v>185</v>
      </c>
      <c r="H11" s="63" t="s">
        <v>186</v>
      </c>
      <c r="I11" s="64" t="s">
        <v>187</v>
      </c>
      <c r="J11" s="66" t="s">
        <v>188</v>
      </c>
      <c r="K11" s="64" t="s">
        <v>189</v>
      </c>
      <c r="L11" s="64" t="s">
        <v>190</v>
      </c>
      <c r="M11" s="64" t="s">
        <v>191</v>
      </c>
      <c r="N11" s="64" t="s">
        <v>192</v>
      </c>
      <c r="O11" s="67" t="s">
        <v>193</v>
      </c>
      <c r="P11" s="64" t="s">
        <v>194</v>
      </c>
      <c r="Q11" s="68" t="s">
        <v>195</v>
      </c>
      <c r="R11" s="64" t="s">
        <v>196</v>
      </c>
      <c r="S11" s="63" t="s">
        <v>197</v>
      </c>
      <c r="T11" s="69" t="s">
        <v>198</v>
      </c>
      <c r="U11" s="69" t="s">
        <v>199</v>
      </c>
      <c r="V11" s="70" t="s">
        <v>200</v>
      </c>
      <c r="W11" s="71" t="s">
        <v>348</v>
      </c>
      <c r="X11" s="72"/>
      <c r="Y11" s="72"/>
    </row>
    <row r="12" customFormat="false" ht="12.75" hidden="false" customHeight="false" outlineLevel="0" collapsed="false">
      <c r="A12" s="73"/>
      <c r="B12" s="46" t="s">
        <v>201</v>
      </c>
      <c r="C12" s="44" t="s">
        <v>21</v>
      </c>
      <c r="D12" s="44" t="s">
        <v>349</v>
      </c>
      <c r="E12" s="45" t="n">
        <v>36617</v>
      </c>
      <c r="F12" s="45" t="n">
        <v>41213</v>
      </c>
      <c r="G12" s="46" t="s">
        <v>350</v>
      </c>
      <c r="H12" s="46" t="s">
        <v>351</v>
      </c>
      <c r="I12" s="44" t="s">
        <v>352</v>
      </c>
      <c r="J12" s="58" t="n">
        <f aca="false">(6.138+0.2)/J1</f>
        <v>0.211266666666667</v>
      </c>
      <c r="K12" s="49"/>
      <c r="L12" s="49"/>
      <c r="M12" s="49"/>
      <c r="N12" s="49"/>
      <c r="O12" s="50"/>
      <c r="P12" s="49"/>
      <c r="Q12" s="51" t="n">
        <v>771151</v>
      </c>
      <c r="R12" s="44" t="n">
        <v>62</v>
      </c>
      <c r="S12" s="46"/>
      <c r="T12" s="74" t="n">
        <f aca="false">J12*J$1*R12</f>
        <v>392.956</v>
      </c>
      <c r="U12" s="74"/>
      <c r="V12" s="75" t="n">
        <v>232609</v>
      </c>
      <c r="W12" s="116"/>
      <c r="X12" s="72"/>
      <c r="Y12" s="72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customFormat="false" ht="12.75" hidden="false" customHeight="false" outlineLevel="0" collapsed="false">
      <c r="A13" s="73"/>
      <c r="B13" s="46" t="s">
        <v>201</v>
      </c>
      <c r="C13" s="44" t="s">
        <v>21</v>
      </c>
      <c r="D13" s="44" t="s">
        <v>349</v>
      </c>
      <c r="E13" s="45" t="n">
        <v>36617</v>
      </c>
      <c r="F13" s="45" t="n">
        <v>38656</v>
      </c>
      <c r="G13" s="46" t="s">
        <v>353</v>
      </c>
      <c r="H13" s="46" t="s">
        <v>354</v>
      </c>
      <c r="I13" s="44" t="s">
        <v>355</v>
      </c>
      <c r="J13" s="58" t="n">
        <f aca="false">(6.5854+0.2)/+J1</f>
        <v>0.22618</v>
      </c>
      <c r="K13" s="49"/>
      <c r="L13" s="49"/>
      <c r="M13" s="49"/>
      <c r="N13" s="49"/>
      <c r="O13" s="50"/>
      <c r="P13" s="49"/>
      <c r="Q13" s="51" t="n">
        <v>771156</v>
      </c>
      <c r="R13" s="44" t="n">
        <v>120</v>
      </c>
      <c r="S13" s="46"/>
      <c r="T13" s="74" t="n">
        <f aca="false">J13*J$1*R13</f>
        <v>814.248</v>
      </c>
      <c r="U13" s="74"/>
      <c r="V13" s="75" t="n">
        <v>232622</v>
      </c>
      <c r="W13" s="116" t="s">
        <v>356</v>
      </c>
      <c r="X13" s="72"/>
      <c r="Y13" s="72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</row>
    <row r="14" customFormat="false" ht="12.75" hidden="false" customHeight="false" outlineLevel="0" collapsed="false">
      <c r="A14" s="73"/>
      <c r="B14" s="46" t="s">
        <v>201</v>
      </c>
      <c r="C14" s="44" t="s">
        <v>21</v>
      </c>
      <c r="D14" s="44" t="s">
        <v>349</v>
      </c>
      <c r="E14" s="45" t="n">
        <v>36617</v>
      </c>
      <c r="F14" s="45" t="n">
        <v>38656</v>
      </c>
      <c r="G14" s="46" t="s">
        <v>357</v>
      </c>
      <c r="H14" s="46" t="s">
        <v>358</v>
      </c>
      <c r="I14" s="44" t="s">
        <v>359</v>
      </c>
      <c r="J14" s="58" t="n">
        <f aca="false">+(6.5854+0.2)/+J1</f>
        <v>0.22618</v>
      </c>
      <c r="K14" s="49"/>
      <c r="L14" s="49"/>
      <c r="M14" s="49"/>
      <c r="N14" s="49"/>
      <c r="O14" s="50"/>
      <c r="P14" s="49"/>
      <c r="Q14" s="51" t="n">
        <v>771157</v>
      </c>
      <c r="R14" s="44" t="n">
        <v>160</v>
      </c>
      <c r="S14" s="46"/>
      <c r="T14" s="74" t="n">
        <f aca="false">J14*J$1*R14</f>
        <v>1085.664</v>
      </c>
      <c r="U14" s="74"/>
      <c r="V14" s="75" t="n">
        <v>232646</v>
      </c>
      <c r="W14" s="116" t="s">
        <v>360</v>
      </c>
      <c r="X14" s="72"/>
      <c r="Y14" s="72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2.75" hidden="false" customHeight="false" outlineLevel="0" collapsed="false">
      <c r="A15" s="73"/>
      <c r="B15" s="46" t="s">
        <v>201</v>
      </c>
      <c r="C15" s="44" t="s">
        <v>21</v>
      </c>
      <c r="D15" s="44" t="s">
        <v>349</v>
      </c>
      <c r="E15" s="45" t="n">
        <v>36617</v>
      </c>
      <c r="F15" s="45" t="n">
        <v>40117</v>
      </c>
      <c r="G15" s="46" t="s">
        <v>358</v>
      </c>
      <c r="H15" s="46" t="s">
        <v>351</v>
      </c>
      <c r="I15" s="44" t="s">
        <v>361</v>
      </c>
      <c r="J15" s="58" t="n">
        <f aca="false">+(6.5854+0.2)/+J1</f>
        <v>0.22618</v>
      </c>
      <c r="K15" s="49"/>
      <c r="L15" s="49"/>
      <c r="M15" s="49"/>
      <c r="N15" s="49"/>
      <c r="O15" s="50"/>
      <c r="P15" s="49"/>
      <c r="Q15" s="51" t="n">
        <v>771152</v>
      </c>
      <c r="R15" s="44" t="n">
        <v>86</v>
      </c>
      <c r="S15" s="46"/>
      <c r="T15" s="74" t="n">
        <f aca="false">J15*J$1*R15</f>
        <v>583.5444</v>
      </c>
      <c r="U15" s="74"/>
      <c r="V15" s="75" t="n">
        <v>232657</v>
      </c>
      <c r="W15" s="116"/>
      <c r="X15" s="72"/>
      <c r="Y15" s="72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customFormat="false" ht="12.75" hidden="false" customHeight="false" outlineLevel="0" collapsed="false">
      <c r="A16" s="73"/>
      <c r="B16" s="46" t="s">
        <v>201</v>
      </c>
      <c r="C16" s="44" t="s">
        <v>21</v>
      </c>
      <c r="D16" s="44" t="s">
        <v>349</v>
      </c>
      <c r="E16" s="45" t="n">
        <v>36617</v>
      </c>
      <c r="F16" s="45" t="n">
        <v>39021</v>
      </c>
      <c r="G16" s="46" t="s">
        <v>358</v>
      </c>
      <c r="H16" s="46" t="s">
        <v>362</v>
      </c>
      <c r="I16" s="44" t="s">
        <v>363</v>
      </c>
      <c r="J16" s="58" t="n">
        <f aca="false">+(11.8368+0.2)/+J1</f>
        <v>0.401226666666667</v>
      </c>
      <c r="K16" s="49"/>
      <c r="L16" s="49"/>
      <c r="M16" s="49"/>
      <c r="N16" s="49"/>
      <c r="O16" s="50"/>
      <c r="P16" s="49"/>
      <c r="Q16" s="51" t="n">
        <v>771153</v>
      </c>
      <c r="R16" s="44" t="n">
        <v>65</v>
      </c>
      <c r="S16" s="46"/>
      <c r="T16" s="74" t="n">
        <f aca="false">J16*J$1*R16</f>
        <v>782.392</v>
      </c>
      <c r="U16" s="74"/>
      <c r="V16" s="75" t="n">
        <v>232680</v>
      </c>
      <c r="W16" s="116"/>
      <c r="X16" s="72"/>
      <c r="Y16" s="72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customFormat="false" ht="12.75" hidden="false" customHeight="false" outlineLevel="0" collapsed="false">
      <c r="A17" s="73"/>
      <c r="B17" s="46" t="s">
        <v>201</v>
      </c>
      <c r="C17" s="44" t="s">
        <v>21</v>
      </c>
      <c r="D17" s="44" t="s">
        <v>349</v>
      </c>
      <c r="E17" s="45" t="n">
        <v>36617</v>
      </c>
      <c r="F17" s="45" t="n">
        <v>36830</v>
      </c>
      <c r="G17" s="46" t="s">
        <v>358</v>
      </c>
      <c r="H17" s="46" t="s">
        <v>364</v>
      </c>
      <c r="I17" s="44" t="s">
        <v>365</v>
      </c>
      <c r="J17" s="58" t="n">
        <f aca="false">(6.5854+0.2)/+J1</f>
        <v>0.22618</v>
      </c>
      <c r="K17" s="49"/>
      <c r="L17" s="49"/>
      <c r="M17" s="49"/>
      <c r="N17" s="49"/>
      <c r="O17" s="50"/>
      <c r="P17" s="49"/>
      <c r="Q17" s="51" t="n">
        <v>771154</v>
      </c>
      <c r="R17" s="44" t="n">
        <v>10</v>
      </c>
      <c r="S17" s="46"/>
      <c r="T17" s="74" t="n">
        <f aca="false">J17*J$1*R17</f>
        <v>67.854</v>
      </c>
      <c r="U17" s="74"/>
      <c r="V17" s="75" t="n">
        <v>232686</v>
      </c>
      <c r="W17" s="116"/>
      <c r="X17" s="72"/>
      <c r="Y17" s="72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customFormat="false" ht="12.75" hidden="false" customHeight="false" outlineLevel="0" collapsed="false">
      <c r="A18" s="73"/>
      <c r="B18" s="46" t="s">
        <v>201</v>
      </c>
      <c r="C18" s="44" t="s">
        <v>21</v>
      </c>
      <c r="D18" s="44" t="s">
        <v>349</v>
      </c>
      <c r="E18" s="45" t="n">
        <v>36617</v>
      </c>
      <c r="F18" s="45" t="n">
        <v>36830</v>
      </c>
      <c r="G18" s="46" t="s">
        <v>358</v>
      </c>
      <c r="H18" s="46" t="s">
        <v>357</v>
      </c>
      <c r="I18" s="44" t="s">
        <v>365</v>
      </c>
      <c r="J18" s="58" t="n">
        <f aca="false">+(6.5854+0.2)/J1</f>
        <v>0.22618</v>
      </c>
      <c r="K18" s="49"/>
      <c r="L18" s="49"/>
      <c r="M18" s="49"/>
      <c r="N18" s="49"/>
      <c r="O18" s="50"/>
      <c r="P18" s="49"/>
      <c r="Q18" s="51" t="n">
        <v>771155</v>
      </c>
      <c r="R18" s="44" t="n">
        <v>62</v>
      </c>
      <c r="S18" s="46"/>
      <c r="T18" s="74" t="n">
        <f aca="false">J18*J$1*R18</f>
        <v>420.6948</v>
      </c>
      <c r="U18" s="74"/>
      <c r="V18" s="75" t="n">
        <v>233314</v>
      </c>
      <c r="W18" s="116" t="s">
        <v>366</v>
      </c>
      <c r="X18" s="72"/>
      <c r="Y18" s="72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2.75" hidden="false" customHeight="false" outlineLevel="0" collapsed="false">
      <c r="A19" s="159"/>
      <c r="B19" s="89" t="s">
        <v>249</v>
      </c>
      <c r="C19" s="90" t="s">
        <v>21</v>
      </c>
      <c r="D19" s="90" t="s">
        <v>236</v>
      </c>
      <c r="E19" s="91" t="n">
        <v>36479</v>
      </c>
      <c r="F19" s="91" t="s">
        <v>367</v>
      </c>
      <c r="G19" s="89" t="s">
        <v>368</v>
      </c>
      <c r="H19" s="89" t="s">
        <v>369</v>
      </c>
      <c r="I19" s="90" t="s">
        <v>370</v>
      </c>
      <c r="J19" s="92" t="n">
        <f aca="false">6.7854/J$1</f>
        <v>0.22618</v>
      </c>
      <c r="K19" s="93" t="n">
        <v>0.0112</v>
      </c>
      <c r="L19" s="93" t="n">
        <v>0.0022</v>
      </c>
      <c r="M19" s="93" t="n">
        <v>0.0072</v>
      </c>
      <c r="N19" s="93" t="n">
        <v>0</v>
      </c>
      <c r="O19" s="94" t="n">
        <v>0.0111</v>
      </c>
      <c r="P19" s="93" t="n">
        <f aca="false">SUM(J19:N19)</f>
        <v>0.24678</v>
      </c>
      <c r="Q19" s="95" t="n">
        <v>771013</v>
      </c>
      <c r="R19" s="90" t="n">
        <v>0</v>
      </c>
      <c r="S19" s="89"/>
      <c r="T19" s="96" t="n">
        <f aca="false">J19*J$1*R19</f>
        <v>0</v>
      </c>
      <c r="U19" s="96"/>
      <c r="V19" s="97" t="n">
        <v>142030</v>
      </c>
      <c r="W19" s="160" t="n">
        <v>771013</v>
      </c>
      <c r="X19" s="98"/>
      <c r="Y19" s="9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customFormat="false" ht="12.75" hidden="false" customHeight="false" outlineLevel="0" collapsed="false">
      <c r="B20" s="118" t="s">
        <v>113</v>
      </c>
      <c r="C20" s="119" t="s">
        <v>113</v>
      </c>
      <c r="D20" s="120" t="s">
        <v>113</v>
      </c>
      <c r="E20" s="121" t="s">
        <v>113</v>
      </c>
      <c r="F20" s="121"/>
      <c r="G20" s="118" t="s">
        <v>113</v>
      </c>
      <c r="H20" s="122" t="s">
        <v>113</v>
      </c>
      <c r="I20" s="119" t="s">
        <v>113</v>
      </c>
      <c r="J20" s="123"/>
      <c r="K20" s="124"/>
      <c r="L20" s="124"/>
      <c r="M20" s="124"/>
      <c r="N20" s="124"/>
      <c r="O20" s="125"/>
      <c r="P20" s="124"/>
      <c r="Q20" s="126" t="s">
        <v>113</v>
      </c>
      <c r="R20" s="119" t="n">
        <f aca="false">SUM(R12:R19)</f>
        <v>565</v>
      </c>
      <c r="S20" s="118" t="s">
        <v>113</v>
      </c>
      <c r="T20" s="127" t="n">
        <f aca="false">SUM(T12:T19)</f>
        <v>4147.3532</v>
      </c>
      <c r="U20" s="127" t="n">
        <f aca="false">SUM(U12:U19)</f>
        <v>0</v>
      </c>
      <c r="V20" s="128"/>
      <c r="W20" s="118"/>
      <c r="X20" s="72"/>
      <c r="Y20" s="72"/>
    </row>
    <row r="21" customFormat="false" ht="12.75" hidden="false" customHeight="false" outlineLevel="0" collapsed="false">
      <c r="B21" s="63" t="s">
        <v>181</v>
      </c>
      <c r="C21" s="64" t="s">
        <v>182</v>
      </c>
      <c r="D21" s="64" t="s">
        <v>347</v>
      </c>
      <c r="E21" s="65" t="s">
        <v>184</v>
      </c>
      <c r="F21" s="65"/>
      <c r="G21" s="63" t="s">
        <v>185</v>
      </c>
      <c r="H21" s="63" t="s">
        <v>186</v>
      </c>
      <c r="I21" s="64" t="s">
        <v>187</v>
      </c>
      <c r="J21" s="66" t="s">
        <v>188</v>
      </c>
      <c r="K21" s="64" t="s">
        <v>189</v>
      </c>
      <c r="L21" s="64" t="s">
        <v>190</v>
      </c>
      <c r="M21" s="64" t="s">
        <v>191</v>
      </c>
      <c r="N21" s="64" t="s">
        <v>192</v>
      </c>
      <c r="O21" s="67" t="s">
        <v>193</v>
      </c>
      <c r="P21" s="64" t="s">
        <v>194</v>
      </c>
      <c r="Q21" s="68" t="s">
        <v>195</v>
      </c>
      <c r="R21" s="64" t="s">
        <v>196</v>
      </c>
      <c r="S21" s="63" t="s">
        <v>197</v>
      </c>
      <c r="T21" s="69" t="s">
        <v>198</v>
      </c>
      <c r="U21" s="69" t="s">
        <v>199</v>
      </c>
      <c r="V21" s="70" t="s">
        <v>200</v>
      </c>
      <c r="W21" s="71" t="s">
        <v>348</v>
      </c>
      <c r="X21" s="72"/>
      <c r="Y21" s="72"/>
    </row>
    <row r="22" customFormat="false" ht="12.75" hidden="false" customHeight="false" outlineLevel="0" collapsed="false">
      <c r="A22" s="88"/>
      <c r="B22" s="89" t="s">
        <v>201</v>
      </c>
      <c r="C22" s="90" t="s">
        <v>125</v>
      </c>
      <c r="D22" s="90" t="s">
        <v>371</v>
      </c>
      <c r="E22" s="91" t="n">
        <v>36647</v>
      </c>
      <c r="F22" s="91" t="n">
        <v>36677</v>
      </c>
      <c r="G22" s="89" t="s">
        <v>372</v>
      </c>
      <c r="H22" s="89" t="s">
        <v>373</v>
      </c>
      <c r="I22" s="90" t="s">
        <v>374</v>
      </c>
      <c r="J22" s="92" t="n">
        <f aca="false">5.7114/J$1</f>
        <v>0.19038</v>
      </c>
      <c r="K22" s="93" t="n">
        <v>0.0434</v>
      </c>
      <c r="L22" s="93" t="n">
        <v>0.0022</v>
      </c>
      <c r="M22" s="93" t="n">
        <v>0</v>
      </c>
      <c r="N22" s="93" t="n">
        <v>0</v>
      </c>
      <c r="O22" s="94" t="n">
        <v>0.0228</v>
      </c>
      <c r="P22" s="93" t="n">
        <f aca="false">SUM(J22:N22)</f>
        <v>0.23598</v>
      </c>
      <c r="Q22" s="95" t="s">
        <v>375</v>
      </c>
      <c r="R22" s="90" t="n">
        <v>645</v>
      </c>
      <c r="S22" s="89" t="s">
        <v>376</v>
      </c>
      <c r="T22" s="96" t="n">
        <f aca="false">J22*J$1*R22</f>
        <v>3683.853</v>
      </c>
      <c r="U22" s="96"/>
      <c r="V22" s="97" t="n">
        <v>251967</v>
      </c>
      <c r="W22" s="89"/>
      <c r="X22" s="98"/>
      <c r="Y22" s="9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customFormat="false" ht="12.75" hidden="false" customHeight="false" outlineLevel="0" collapsed="false">
      <c r="A23" s="73"/>
      <c r="B23" s="46" t="s">
        <v>201</v>
      </c>
      <c r="C23" s="44" t="s">
        <v>125</v>
      </c>
      <c r="D23" s="44" t="s">
        <v>349</v>
      </c>
      <c r="E23" s="45" t="n">
        <v>36220</v>
      </c>
      <c r="F23" s="45" t="n">
        <v>37711</v>
      </c>
      <c r="G23" s="46" t="s">
        <v>516</v>
      </c>
      <c r="H23" s="46" t="s">
        <v>517</v>
      </c>
      <c r="I23" s="44" t="s">
        <v>374</v>
      </c>
      <c r="J23" s="58" t="n">
        <f aca="false">5.627/J$1</f>
        <v>0.187566666666667</v>
      </c>
      <c r="K23" s="49" t="n">
        <v>0.0434</v>
      </c>
      <c r="L23" s="49" t="n">
        <v>0.0022</v>
      </c>
      <c r="M23" s="49" t="n">
        <v>0</v>
      </c>
      <c r="N23" s="49" t="n">
        <v>0</v>
      </c>
      <c r="O23" s="50" t="n">
        <v>0.0228</v>
      </c>
      <c r="P23" s="49" t="n">
        <f aca="false">SUM(J23:N23)</f>
        <v>0.233166666666667</v>
      </c>
      <c r="Q23" s="51" t="s">
        <v>518</v>
      </c>
      <c r="R23" s="44" t="n">
        <v>12</v>
      </c>
      <c r="S23" s="46" t="s">
        <v>519</v>
      </c>
      <c r="T23" s="74" t="n">
        <f aca="false">J23*J$1*R23</f>
        <v>67.524</v>
      </c>
      <c r="U23" s="74"/>
      <c r="V23" s="75" t="n">
        <v>157024</v>
      </c>
      <c r="W23" s="46"/>
      <c r="X23" s="72"/>
      <c r="Y23" s="72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</row>
    <row r="24" customFormat="false" ht="12.75" hidden="false" customHeight="false" outlineLevel="0" collapsed="false">
      <c r="A24" s="73"/>
      <c r="B24" s="46" t="s">
        <v>201</v>
      </c>
      <c r="C24" s="44" t="s">
        <v>125</v>
      </c>
      <c r="D24" s="44" t="s">
        <v>349</v>
      </c>
      <c r="E24" s="45" t="n">
        <v>36220</v>
      </c>
      <c r="F24" s="45" t="n">
        <v>37711</v>
      </c>
      <c r="G24" s="46" t="s">
        <v>520</v>
      </c>
      <c r="H24" s="46" t="s">
        <v>517</v>
      </c>
      <c r="I24" s="44" t="s">
        <v>374</v>
      </c>
      <c r="J24" s="58" t="n">
        <f aca="false">5.627/J$1</f>
        <v>0.187566666666667</v>
      </c>
      <c r="K24" s="49" t="n">
        <v>0.0434</v>
      </c>
      <c r="L24" s="49" t="n">
        <v>0.0022</v>
      </c>
      <c r="M24" s="49" t="n">
        <v>0</v>
      </c>
      <c r="N24" s="49" t="n">
        <v>0</v>
      </c>
      <c r="O24" s="50" t="n">
        <v>0.0228</v>
      </c>
      <c r="P24" s="49" t="n">
        <f aca="false">SUM(J24:N24)</f>
        <v>0.233166666666667</v>
      </c>
      <c r="Q24" s="51" t="s">
        <v>518</v>
      </c>
      <c r="R24" s="44" t="n">
        <v>16</v>
      </c>
      <c r="S24" s="46" t="s">
        <v>519</v>
      </c>
      <c r="T24" s="74" t="n">
        <f aca="false">J24*J$1*R24</f>
        <v>90.032</v>
      </c>
      <c r="U24" s="74"/>
      <c r="V24" s="75" t="n">
        <v>157024</v>
      </c>
      <c r="W24" s="46"/>
      <c r="X24" s="72"/>
      <c r="Y24" s="72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</row>
    <row r="25" customFormat="false" ht="12.75" hidden="false" customHeight="false" outlineLevel="0" collapsed="false">
      <c r="A25" s="73"/>
      <c r="B25" s="46" t="s">
        <v>201</v>
      </c>
      <c r="C25" s="44" t="s">
        <v>125</v>
      </c>
      <c r="D25" s="44" t="s">
        <v>349</v>
      </c>
      <c r="E25" s="45" t="n">
        <v>36220</v>
      </c>
      <c r="F25" s="45" t="n">
        <v>37711</v>
      </c>
      <c r="G25" s="46" t="s">
        <v>372</v>
      </c>
      <c r="H25" s="46" t="s">
        <v>517</v>
      </c>
      <c r="I25" s="44" t="s">
        <v>374</v>
      </c>
      <c r="J25" s="58" t="n">
        <f aca="false">5.627/J$1</f>
        <v>0.187566666666667</v>
      </c>
      <c r="K25" s="49" t="n">
        <v>0.0434</v>
      </c>
      <c r="L25" s="49" t="n">
        <v>0.0022</v>
      </c>
      <c r="M25" s="49" t="n">
        <v>0</v>
      </c>
      <c r="N25" s="49" t="n">
        <v>0</v>
      </c>
      <c r="O25" s="50" t="n">
        <v>0.0228</v>
      </c>
      <c r="P25" s="49" t="n">
        <f aca="false">SUM(J25:N25)</f>
        <v>0.233166666666667</v>
      </c>
      <c r="Q25" s="51" t="s">
        <v>518</v>
      </c>
      <c r="R25" s="44" t="n">
        <v>46</v>
      </c>
      <c r="S25" s="46" t="s">
        <v>519</v>
      </c>
      <c r="T25" s="74" t="n">
        <f aca="false">J25*J$1*R25</f>
        <v>258.842</v>
      </c>
      <c r="U25" s="74"/>
      <c r="V25" s="75" t="n">
        <v>157024</v>
      </c>
      <c r="W25" s="46"/>
      <c r="X25" s="72"/>
      <c r="Y25" s="72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</row>
    <row r="26" customFormat="false" ht="12.75" hidden="false" customHeight="false" outlineLevel="0" collapsed="false">
      <c r="A26" s="73"/>
      <c r="B26" s="46" t="s">
        <v>201</v>
      </c>
      <c r="C26" s="44" t="s">
        <v>125</v>
      </c>
      <c r="D26" s="44" t="s">
        <v>349</v>
      </c>
      <c r="E26" s="45" t="n">
        <v>36220</v>
      </c>
      <c r="F26" s="45" t="n">
        <v>38807</v>
      </c>
      <c r="G26" s="46" t="s">
        <v>377</v>
      </c>
      <c r="H26" s="46"/>
      <c r="I26" s="44" t="s">
        <v>378</v>
      </c>
      <c r="J26" s="58" t="n">
        <f aca="false">1.8533/J$1</f>
        <v>0.0617766666666667</v>
      </c>
      <c r="K26" s="49" t="n">
        <v>0</v>
      </c>
      <c r="L26" s="49" t="n">
        <v>0</v>
      </c>
      <c r="M26" s="49" t="n">
        <v>0</v>
      </c>
      <c r="N26" s="49" t="n">
        <v>0</v>
      </c>
      <c r="O26" s="50" t="n">
        <v>0</v>
      </c>
      <c r="P26" s="49" t="n">
        <f aca="false">SUM(J26:N26)</f>
        <v>0.0617766666666667</v>
      </c>
      <c r="Q26" s="51" t="n">
        <v>560092</v>
      </c>
      <c r="R26" s="44" t="n">
        <v>147</v>
      </c>
      <c r="S26" s="46" t="s">
        <v>379</v>
      </c>
      <c r="T26" s="87" t="n">
        <f aca="false">J26*J$1*R26</f>
        <v>272.4351</v>
      </c>
      <c r="U26" s="74"/>
      <c r="V26" s="75" t="n">
        <v>157045</v>
      </c>
      <c r="W26" s="46"/>
      <c r="X26" s="72"/>
      <c r="Y26" s="72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</row>
    <row r="27" customFormat="false" ht="12.75" hidden="false" customHeight="false" outlineLevel="0" collapsed="false">
      <c r="A27" s="73"/>
      <c r="B27" s="46" t="s">
        <v>201</v>
      </c>
      <c r="C27" s="44" t="s">
        <v>125</v>
      </c>
      <c r="D27" s="44" t="s">
        <v>349</v>
      </c>
      <c r="E27" s="45" t="n">
        <v>36220</v>
      </c>
      <c r="F27" s="45" t="n">
        <v>38807</v>
      </c>
      <c r="G27" s="46" t="s">
        <v>380</v>
      </c>
      <c r="H27" s="46"/>
      <c r="I27" s="44" t="s">
        <v>378</v>
      </c>
      <c r="J27" s="58" t="n">
        <v>0.0137</v>
      </c>
      <c r="K27" s="49" t="n">
        <v>0</v>
      </c>
      <c r="L27" s="49" t="n">
        <v>0</v>
      </c>
      <c r="M27" s="49" t="n">
        <v>0</v>
      </c>
      <c r="N27" s="49" t="n">
        <v>0</v>
      </c>
      <c r="O27" s="50" t="n">
        <v>0</v>
      </c>
      <c r="P27" s="49" t="n">
        <f aca="false">SUM(J27:N27)</f>
        <v>0.0137</v>
      </c>
      <c r="Q27" s="51" t="n">
        <v>560092</v>
      </c>
      <c r="R27" s="44" t="n">
        <v>16275</v>
      </c>
      <c r="S27" s="46" t="s">
        <v>379</v>
      </c>
      <c r="T27" s="87" t="n">
        <f aca="false">+R27*J27</f>
        <v>222.9675</v>
      </c>
      <c r="U27" s="74"/>
      <c r="V27" s="75" t="n">
        <v>157045</v>
      </c>
      <c r="W27" s="46"/>
      <c r="X27" s="72"/>
      <c r="Y27" s="72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</row>
    <row r="28" customFormat="false" ht="13.5" hidden="false" customHeight="true" outlineLevel="0" collapsed="false">
      <c r="A28" s="73"/>
      <c r="B28" s="46" t="s">
        <v>201</v>
      </c>
      <c r="C28" s="44" t="s">
        <v>125</v>
      </c>
      <c r="D28" s="44" t="s">
        <v>349</v>
      </c>
      <c r="E28" s="45" t="n">
        <v>36617</v>
      </c>
      <c r="F28" s="45" t="n">
        <v>38807</v>
      </c>
      <c r="G28" s="46" t="s">
        <v>377</v>
      </c>
      <c r="H28" s="46"/>
      <c r="I28" s="44" t="s">
        <v>378</v>
      </c>
      <c r="J28" s="58" t="n">
        <v>1.8373</v>
      </c>
      <c r="K28" s="49" t="n">
        <v>0</v>
      </c>
      <c r="L28" s="49" t="n">
        <v>0</v>
      </c>
      <c r="M28" s="49" t="n">
        <v>0</v>
      </c>
      <c r="N28" s="49" t="n">
        <v>0</v>
      </c>
      <c r="O28" s="50" t="n">
        <v>0</v>
      </c>
      <c r="P28" s="49" t="n">
        <f aca="false">SUM(J28:N28)</f>
        <v>1.8373</v>
      </c>
      <c r="Q28" s="51" t="n">
        <v>560104</v>
      </c>
      <c r="R28" s="44" t="n">
        <v>132</v>
      </c>
      <c r="S28" s="46" t="s">
        <v>381</v>
      </c>
      <c r="T28" s="87" t="n">
        <f aca="false">J28*J$1*R28</f>
        <v>7275.708</v>
      </c>
      <c r="U28" s="74"/>
      <c r="V28" s="75" t="n">
        <v>231301</v>
      </c>
      <c r="W28" s="46"/>
      <c r="X28" s="72"/>
      <c r="Y28" s="72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3.5" hidden="false" customHeight="true" outlineLevel="0" collapsed="false">
      <c r="A29" s="73"/>
      <c r="B29" s="46" t="s">
        <v>201</v>
      </c>
      <c r="C29" s="44" t="s">
        <v>125</v>
      </c>
      <c r="D29" s="44" t="s">
        <v>349</v>
      </c>
      <c r="E29" s="45" t="n">
        <v>36617</v>
      </c>
      <c r="F29" s="45" t="n">
        <v>38807</v>
      </c>
      <c r="G29" s="46" t="s">
        <v>380</v>
      </c>
      <c r="H29" s="46"/>
      <c r="I29" s="44" t="s">
        <v>378</v>
      </c>
      <c r="J29" s="58" t="n">
        <v>0.0137</v>
      </c>
      <c r="K29" s="49" t="n">
        <v>0</v>
      </c>
      <c r="L29" s="49" t="n">
        <v>0</v>
      </c>
      <c r="M29" s="49" t="n">
        <v>0</v>
      </c>
      <c r="N29" s="49" t="n">
        <v>0</v>
      </c>
      <c r="O29" s="50" t="n">
        <v>0</v>
      </c>
      <c r="P29" s="49" t="n">
        <f aca="false">SUM(J29:N29)</f>
        <v>0.0137</v>
      </c>
      <c r="Q29" s="51" t="n">
        <v>560104</v>
      </c>
      <c r="R29" s="44" t="n">
        <v>14661</v>
      </c>
      <c r="S29" s="46" t="s">
        <v>381</v>
      </c>
      <c r="T29" s="87" t="n">
        <f aca="false">+R29*J29</f>
        <v>200.8557</v>
      </c>
      <c r="U29" s="74"/>
      <c r="V29" s="75" t="n">
        <v>231301</v>
      </c>
      <c r="W29" s="46"/>
      <c r="X29" s="72"/>
      <c r="Y29" s="72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2.75" hidden="false" customHeight="false" outlineLevel="0" collapsed="false">
      <c r="A30" s="73"/>
      <c r="B30" s="46" t="s">
        <v>201</v>
      </c>
      <c r="C30" s="44" t="s">
        <v>125</v>
      </c>
      <c r="D30" s="44" t="s">
        <v>349</v>
      </c>
      <c r="E30" s="45" t="n">
        <v>36617</v>
      </c>
      <c r="F30" s="45" t="n">
        <v>37711</v>
      </c>
      <c r="G30" s="46" t="s">
        <v>382</v>
      </c>
      <c r="H30" s="46"/>
      <c r="I30" s="44" t="s">
        <v>374</v>
      </c>
      <c r="J30" s="58" t="n">
        <f aca="false">5.5884/$J$1</f>
        <v>0.18628</v>
      </c>
      <c r="K30" s="49"/>
      <c r="L30" s="49"/>
      <c r="M30" s="49"/>
      <c r="N30" s="49"/>
      <c r="O30" s="50"/>
      <c r="P30" s="49"/>
      <c r="Q30" s="51" t="s">
        <v>383</v>
      </c>
      <c r="R30" s="44" t="n">
        <v>15</v>
      </c>
      <c r="S30" s="46" t="s">
        <v>384</v>
      </c>
      <c r="T30" s="87" t="n">
        <f aca="false">+R30*J30*$J$1</f>
        <v>83.826</v>
      </c>
      <c r="U30" s="74"/>
      <c r="V30" s="75" t="n">
        <v>231285</v>
      </c>
      <c r="W30" s="46"/>
      <c r="X30" s="72"/>
      <c r="Y30" s="72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2.75" hidden="false" customHeight="false" outlineLevel="0" collapsed="false">
      <c r="A31" s="73"/>
      <c r="B31" s="46" t="s">
        <v>201</v>
      </c>
      <c r="C31" s="44" t="s">
        <v>125</v>
      </c>
      <c r="D31" s="44" t="s">
        <v>349</v>
      </c>
      <c r="E31" s="45" t="n">
        <v>36617</v>
      </c>
      <c r="F31" s="45" t="n">
        <v>37711</v>
      </c>
      <c r="G31" s="46" t="s">
        <v>385</v>
      </c>
      <c r="H31" s="46"/>
      <c r="I31" s="44" t="s">
        <v>374</v>
      </c>
      <c r="J31" s="58" t="n">
        <f aca="false">5.5884/$J$1</f>
        <v>0.18628</v>
      </c>
      <c r="K31" s="49"/>
      <c r="L31" s="49"/>
      <c r="M31" s="49"/>
      <c r="N31" s="49"/>
      <c r="O31" s="50"/>
      <c r="P31" s="49"/>
      <c r="Q31" s="51" t="s">
        <v>383</v>
      </c>
      <c r="R31" s="44" t="n">
        <v>41</v>
      </c>
      <c r="S31" s="46" t="s">
        <v>384</v>
      </c>
      <c r="T31" s="87" t="n">
        <f aca="false">+R31*J31*$J$1</f>
        <v>229.1244</v>
      </c>
      <c r="U31" s="74"/>
      <c r="V31" s="75" t="n">
        <v>231285</v>
      </c>
      <c r="W31" s="46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</row>
    <row r="32" customFormat="false" ht="12.75" hidden="false" customHeight="false" outlineLevel="0" collapsed="false">
      <c r="A32" s="73"/>
      <c r="B32" s="46" t="s">
        <v>201</v>
      </c>
      <c r="C32" s="44" t="s">
        <v>125</v>
      </c>
      <c r="D32" s="44" t="s">
        <v>349</v>
      </c>
      <c r="E32" s="45" t="n">
        <v>36617</v>
      </c>
      <c r="F32" s="45" t="n">
        <v>37711</v>
      </c>
      <c r="G32" s="46" t="s">
        <v>386</v>
      </c>
      <c r="H32" s="46"/>
      <c r="I32" s="44" t="s">
        <v>374</v>
      </c>
      <c r="J32" s="58" t="n">
        <f aca="false">5.5884/$J$1</f>
        <v>0.18628</v>
      </c>
      <c r="K32" s="49"/>
      <c r="L32" s="49"/>
      <c r="M32" s="49"/>
      <c r="N32" s="49"/>
      <c r="O32" s="50"/>
      <c r="P32" s="49"/>
      <c r="Q32" s="51" t="s">
        <v>383</v>
      </c>
      <c r="R32" s="44" t="n">
        <v>11</v>
      </c>
      <c r="S32" s="46" t="s">
        <v>384</v>
      </c>
      <c r="T32" s="87" t="n">
        <f aca="false">+R32*J32*$J$1</f>
        <v>61.4724</v>
      </c>
      <c r="U32" s="74"/>
      <c r="V32" s="75" t="n">
        <v>231285</v>
      </c>
      <c r="W32" s="46"/>
      <c r="X32" s="72"/>
      <c r="Y32" s="7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</row>
    <row r="33" customFormat="false" ht="12.75" hidden="false" customHeight="false" outlineLevel="0" collapsed="false">
      <c r="A33" s="88"/>
      <c r="B33" s="89" t="s">
        <v>201</v>
      </c>
      <c r="C33" s="90" t="s">
        <v>125</v>
      </c>
      <c r="D33" s="90" t="s">
        <v>236</v>
      </c>
      <c r="E33" s="91" t="n">
        <v>36557</v>
      </c>
      <c r="F33" s="91" t="n">
        <v>36677</v>
      </c>
      <c r="G33" s="89" t="s">
        <v>372</v>
      </c>
      <c r="H33" s="89" t="s">
        <v>387</v>
      </c>
      <c r="I33" s="90" t="s">
        <v>374</v>
      </c>
      <c r="J33" s="92" t="n">
        <f aca="false">5.75/J$1</f>
        <v>0.191666666666667</v>
      </c>
      <c r="K33" s="93" t="n">
        <v>0.0434</v>
      </c>
      <c r="L33" s="93" t="n">
        <v>0.0022</v>
      </c>
      <c r="M33" s="93" t="n">
        <v>0</v>
      </c>
      <c r="N33" s="93" t="n">
        <v>0</v>
      </c>
      <c r="O33" s="94" t="n">
        <v>0.0228</v>
      </c>
      <c r="P33" s="93" t="n">
        <f aca="false">SUM(J33:N33)</f>
        <v>0.237266666666667</v>
      </c>
      <c r="Q33" s="95" t="s">
        <v>388</v>
      </c>
      <c r="R33" s="90" t="n">
        <v>186</v>
      </c>
      <c r="S33" s="89" t="s">
        <v>389</v>
      </c>
      <c r="T33" s="96" t="n">
        <f aca="false">J33*J$1*R33</f>
        <v>1069.5</v>
      </c>
      <c r="U33" s="96"/>
      <c r="V33" s="97" t="n">
        <v>156559</v>
      </c>
      <c r="W33" s="89"/>
      <c r="X33" s="98"/>
      <c r="Y33" s="9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</row>
    <row r="34" customFormat="false" ht="12.75" hidden="false" customHeight="false" outlineLevel="0" collapsed="false">
      <c r="A34" s="73"/>
      <c r="B34" s="46" t="s">
        <v>201</v>
      </c>
      <c r="C34" s="44" t="s">
        <v>125</v>
      </c>
      <c r="D34" s="44" t="s">
        <v>239</v>
      </c>
      <c r="E34" s="45" t="n">
        <v>36647</v>
      </c>
      <c r="F34" s="45" t="n">
        <v>36677</v>
      </c>
      <c r="G34" s="161" t="n">
        <v>10001</v>
      </c>
      <c r="H34" s="161" t="n">
        <v>10001</v>
      </c>
      <c r="I34" s="44" t="s">
        <v>378</v>
      </c>
      <c r="J34" s="58" t="n">
        <v>0.0137</v>
      </c>
      <c r="K34" s="49"/>
      <c r="L34" s="49"/>
      <c r="M34" s="49"/>
      <c r="N34" s="49"/>
      <c r="O34" s="50"/>
      <c r="P34" s="49"/>
      <c r="Q34" s="51" t="n">
        <v>530654</v>
      </c>
      <c r="R34" s="44" t="n">
        <v>13599</v>
      </c>
      <c r="S34" s="46" t="s">
        <v>521</v>
      </c>
      <c r="T34" s="74" t="n">
        <f aca="false">J34*1*R34</f>
        <v>186.3063</v>
      </c>
      <c r="U34" s="74"/>
      <c r="V34" s="75" t="n">
        <v>251978</v>
      </c>
      <c r="W34" s="46"/>
      <c r="X34" s="72"/>
      <c r="Y34" s="72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</row>
    <row r="35" customFormat="false" ht="12.75" hidden="false" customHeight="false" outlineLevel="0" collapsed="false">
      <c r="A35" s="73"/>
      <c r="B35" s="46" t="s">
        <v>201</v>
      </c>
      <c r="C35" s="44" t="s">
        <v>125</v>
      </c>
      <c r="D35" s="44" t="s">
        <v>239</v>
      </c>
      <c r="E35" s="45" t="n">
        <v>36647</v>
      </c>
      <c r="F35" s="45" t="n">
        <v>36677</v>
      </c>
      <c r="G35" s="161" t="n">
        <v>10001</v>
      </c>
      <c r="H35" s="161" t="n">
        <v>10001</v>
      </c>
      <c r="I35" s="44" t="s">
        <v>378</v>
      </c>
      <c r="J35" s="58" t="n">
        <v>1.8373</v>
      </c>
      <c r="K35" s="49"/>
      <c r="L35" s="49"/>
      <c r="M35" s="49"/>
      <c r="N35" s="49"/>
      <c r="O35" s="50"/>
      <c r="P35" s="49"/>
      <c r="Q35" s="51" t="n">
        <v>530654</v>
      </c>
      <c r="R35" s="44" t="n">
        <v>222</v>
      </c>
      <c r="S35" s="46" t="s">
        <v>521</v>
      </c>
      <c r="T35" s="74" t="n">
        <f aca="false">J35*1*R35</f>
        <v>407.8806</v>
      </c>
      <c r="U35" s="74"/>
      <c r="V35" s="75" t="n">
        <v>251978</v>
      </c>
      <c r="W35" s="46"/>
      <c r="X35" s="72"/>
      <c r="Y35" s="72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  <c r="IW35" s="73"/>
    </row>
    <row r="36" customFormat="false" ht="12.75" hidden="false" customHeight="false" outlineLevel="0" collapsed="false">
      <c r="B36" s="118" t="s">
        <v>113</v>
      </c>
      <c r="C36" s="119" t="s">
        <v>113</v>
      </c>
      <c r="D36" s="120" t="s">
        <v>113</v>
      </c>
      <c r="E36" s="121" t="s">
        <v>113</v>
      </c>
      <c r="F36" s="121"/>
      <c r="G36" s="118" t="s">
        <v>113</v>
      </c>
      <c r="H36" s="122" t="s">
        <v>113</v>
      </c>
      <c r="I36" s="119" t="s">
        <v>113</v>
      </c>
      <c r="J36" s="123"/>
      <c r="K36" s="124"/>
      <c r="L36" s="124"/>
      <c r="M36" s="124"/>
      <c r="N36" s="124"/>
      <c r="O36" s="125"/>
      <c r="P36" s="124"/>
      <c r="Q36" s="126" t="s">
        <v>113</v>
      </c>
      <c r="R36" s="119" t="n">
        <f aca="false">SUM(R22:R33)</f>
        <v>32187</v>
      </c>
      <c r="S36" s="118" t="s">
        <v>113</v>
      </c>
      <c r="T36" s="127" t="n">
        <f aca="false">SUM(T22:T35)</f>
        <v>14110.327</v>
      </c>
      <c r="U36" s="127" t="n">
        <f aca="false">SUM(U22:U33)</f>
        <v>0</v>
      </c>
      <c r="V36" s="128"/>
      <c r="W36" s="118"/>
      <c r="X36" s="72"/>
      <c r="Y36" s="72"/>
    </row>
    <row r="37" customFormat="false" ht="12.75" hidden="false" customHeight="false" outlineLevel="0" collapsed="false">
      <c r="B37" s="63" t="s">
        <v>181</v>
      </c>
      <c r="C37" s="64" t="s">
        <v>182</v>
      </c>
      <c r="D37" s="64" t="s">
        <v>183</v>
      </c>
      <c r="E37" s="65" t="s">
        <v>184</v>
      </c>
      <c r="F37" s="65"/>
      <c r="G37" s="63" t="s">
        <v>185</v>
      </c>
      <c r="H37" s="63" t="s">
        <v>186</v>
      </c>
      <c r="I37" s="64" t="s">
        <v>187</v>
      </c>
      <c r="J37" s="66" t="s">
        <v>188</v>
      </c>
      <c r="K37" s="64" t="s">
        <v>189</v>
      </c>
      <c r="L37" s="64" t="s">
        <v>190</v>
      </c>
      <c r="M37" s="64" t="s">
        <v>191</v>
      </c>
      <c r="N37" s="64" t="s">
        <v>192</v>
      </c>
      <c r="O37" s="67" t="s">
        <v>193</v>
      </c>
      <c r="P37" s="64" t="s">
        <v>194</v>
      </c>
      <c r="Q37" s="68" t="s">
        <v>195</v>
      </c>
      <c r="R37" s="64" t="s">
        <v>196</v>
      </c>
      <c r="S37" s="63" t="s">
        <v>197</v>
      </c>
      <c r="T37" s="69" t="s">
        <v>198</v>
      </c>
      <c r="U37" s="69" t="s">
        <v>199</v>
      </c>
      <c r="V37" s="70" t="s">
        <v>200</v>
      </c>
      <c r="W37" s="71" t="str">
        <f aca="false">+W21</f>
        <v>Questions</v>
      </c>
      <c r="X37" s="72"/>
      <c r="Y37" s="72"/>
    </row>
    <row r="38" customFormat="false" ht="12.75" hidden="false" customHeight="false" outlineLevel="0" collapsed="false">
      <c r="A38" s="73"/>
      <c r="B38" s="46" t="s">
        <v>201</v>
      </c>
      <c r="C38" s="44" t="s">
        <v>391</v>
      </c>
      <c r="D38" s="44" t="s">
        <v>392</v>
      </c>
      <c r="E38" s="45" t="n">
        <v>36617</v>
      </c>
      <c r="F38" s="45" t="n">
        <v>36830</v>
      </c>
      <c r="G38" s="46" t="s">
        <v>393</v>
      </c>
      <c r="H38" s="46" t="s">
        <v>394</v>
      </c>
      <c r="I38" s="44" t="s">
        <v>395</v>
      </c>
      <c r="J38" s="58" t="n">
        <f aca="false">6.238/J1</f>
        <v>0.207933333333333</v>
      </c>
      <c r="K38" s="49" t="n">
        <v>0</v>
      </c>
      <c r="L38" s="49" t="n">
        <v>0</v>
      </c>
      <c r="M38" s="49" t="n">
        <v>0</v>
      </c>
      <c r="N38" s="49" t="n">
        <v>0</v>
      </c>
      <c r="O38" s="50" t="n">
        <v>0</v>
      </c>
      <c r="P38" s="49" t="n">
        <f aca="false">SUM(J38:N38)</f>
        <v>0.207933333333333</v>
      </c>
      <c r="Q38" s="51" t="n">
        <v>51407</v>
      </c>
      <c r="R38" s="44" t="n">
        <v>73754</v>
      </c>
      <c r="S38" s="46" t="s">
        <v>396</v>
      </c>
      <c r="T38" s="74"/>
      <c r="U38" s="74"/>
      <c r="V38" s="75" t="n">
        <v>156569</v>
      </c>
      <c r="W38" s="46"/>
      <c r="X38" s="72"/>
      <c r="Y38" s="72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3"/>
      <c r="IV38" s="73"/>
      <c r="IW38" s="73"/>
    </row>
    <row r="39" customFormat="false" ht="12.75" hidden="false" customHeight="false" outlineLevel="0" collapsed="false">
      <c r="A39" s="73"/>
      <c r="B39" s="46" t="s">
        <v>201</v>
      </c>
      <c r="C39" s="44" t="s">
        <v>391</v>
      </c>
      <c r="D39" s="44" t="s">
        <v>392</v>
      </c>
      <c r="E39" s="45" t="n">
        <v>36617</v>
      </c>
      <c r="F39" s="45" t="n">
        <v>36830</v>
      </c>
      <c r="G39" s="46" t="s">
        <v>393</v>
      </c>
      <c r="H39" s="46" t="s">
        <v>397</v>
      </c>
      <c r="I39" s="44" t="s">
        <v>395</v>
      </c>
      <c r="J39" s="58" t="n">
        <f aca="false">1.512/J1</f>
        <v>0.0504</v>
      </c>
      <c r="K39" s="49" t="n">
        <v>0</v>
      </c>
      <c r="L39" s="49" t="n">
        <v>0</v>
      </c>
      <c r="M39" s="49" t="n">
        <v>0</v>
      </c>
      <c r="N39" s="49" t="n">
        <v>0</v>
      </c>
      <c r="O39" s="50" t="n">
        <v>0</v>
      </c>
      <c r="P39" s="49" t="n">
        <f aca="false">SUM(J39:N39)</f>
        <v>0.0504</v>
      </c>
      <c r="Q39" s="51" t="n">
        <v>51407</v>
      </c>
      <c r="R39" s="44" t="n">
        <v>73754</v>
      </c>
      <c r="S39" s="46" t="s">
        <v>396</v>
      </c>
      <c r="T39" s="74"/>
      <c r="U39" s="74"/>
      <c r="V39" s="75" t="n">
        <v>156569</v>
      </c>
      <c r="W39" s="46"/>
      <c r="X39" s="72"/>
      <c r="Y39" s="72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</row>
    <row r="40" customFormat="false" ht="12.75" hidden="false" customHeight="false" outlineLevel="0" collapsed="false">
      <c r="A40" s="73"/>
      <c r="B40" s="46" t="s">
        <v>201</v>
      </c>
      <c r="C40" s="44" t="s">
        <v>391</v>
      </c>
      <c r="D40" s="44"/>
      <c r="E40" s="45" t="n">
        <v>36100</v>
      </c>
      <c r="F40" s="45" t="n">
        <v>36830</v>
      </c>
      <c r="G40" s="46" t="s">
        <v>398</v>
      </c>
      <c r="H40" s="46" t="s">
        <v>399</v>
      </c>
      <c r="I40" s="44" t="s">
        <v>117</v>
      </c>
      <c r="J40" s="58" t="n">
        <f aca="false">4.56/J$1</f>
        <v>0.152</v>
      </c>
      <c r="K40" s="49" t="n">
        <v>0.0132</v>
      </c>
      <c r="L40" s="49" t="n">
        <v>0.0022</v>
      </c>
      <c r="M40" s="49" t="n">
        <v>0.0072</v>
      </c>
      <c r="N40" s="49" t="n">
        <v>0</v>
      </c>
      <c r="O40" s="50" t="n">
        <v>0.02116</v>
      </c>
      <c r="P40" s="49" t="n">
        <f aca="false">SUM(J40:N40)</f>
        <v>0.1746</v>
      </c>
      <c r="Q40" s="51" t="n">
        <v>61822</v>
      </c>
      <c r="R40" s="44" t="n">
        <v>4000</v>
      </c>
      <c r="S40" s="46" t="s">
        <v>400</v>
      </c>
      <c r="T40" s="74" t="n">
        <f aca="false">J40*J$1*R40</f>
        <v>18240</v>
      </c>
      <c r="U40" s="74"/>
      <c r="V40" s="75" t="n">
        <v>162284</v>
      </c>
      <c r="W40" s="46"/>
      <c r="X40" s="72"/>
      <c r="Y40" s="72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  <c r="IW40" s="73"/>
    </row>
    <row r="41" customFormat="false" ht="12.75" hidden="false" customHeight="false" outlineLevel="0" collapsed="false">
      <c r="A41" s="73"/>
      <c r="B41" s="46" t="s">
        <v>201</v>
      </c>
      <c r="C41" s="44" t="s">
        <v>391</v>
      </c>
      <c r="D41" s="44" t="s">
        <v>401</v>
      </c>
      <c r="E41" s="45" t="n">
        <v>36526</v>
      </c>
      <c r="F41" s="45" t="n">
        <v>36830</v>
      </c>
      <c r="G41" s="46" t="s">
        <v>402</v>
      </c>
      <c r="H41" s="46" t="s">
        <v>403</v>
      </c>
      <c r="I41" s="44" t="s">
        <v>117</v>
      </c>
      <c r="J41" s="58" t="n">
        <f aca="false">4.56/J$1</f>
        <v>0.152</v>
      </c>
      <c r="K41" s="49" t="n">
        <v>0.0132</v>
      </c>
      <c r="L41" s="49" t="n">
        <v>0.0022</v>
      </c>
      <c r="M41" s="49" t="n">
        <v>0.0075</v>
      </c>
      <c r="N41" s="49" t="n">
        <v>0</v>
      </c>
      <c r="O41" s="50" t="n">
        <v>0.02116</v>
      </c>
      <c r="P41" s="49" t="n">
        <f aca="false">SUM(J41:N41)</f>
        <v>0.1749</v>
      </c>
      <c r="Q41" s="51" t="n">
        <v>61825</v>
      </c>
      <c r="R41" s="44" t="n">
        <v>2000</v>
      </c>
      <c r="S41" s="46" t="s">
        <v>404</v>
      </c>
      <c r="T41" s="74" t="n">
        <f aca="false">J41*J$1*R41</f>
        <v>9120</v>
      </c>
      <c r="U41" s="74"/>
      <c r="V41" s="75" t="n">
        <v>156570</v>
      </c>
      <c r="W41" s="74"/>
      <c r="X41" s="72"/>
      <c r="Y41" s="72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3"/>
      <c r="IV41" s="73"/>
      <c r="IW41" s="73"/>
    </row>
    <row r="42" customFormat="false" ht="12.75" hidden="false" customHeight="false" outlineLevel="0" collapsed="false">
      <c r="A42" s="73"/>
      <c r="B42" s="46" t="s">
        <v>201</v>
      </c>
      <c r="C42" s="44" t="s">
        <v>391</v>
      </c>
      <c r="D42" s="44" t="s">
        <v>401</v>
      </c>
      <c r="E42" s="45" t="n">
        <v>36526</v>
      </c>
      <c r="F42" s="45" t="n">
        <v>36830</v>
      </c>
      <c r="G42" s="46" t="s">
        <v>405</v>
      </c>
      <c r="H42" s="46" t="s">
        <v>403</v>
      </c>
      <c r="I42" s="44" t="s">
        <v>117</v>
      </c>
      <c r="J42" s="58" t="n">
        <f aca="false">4.56/J$1</f>
        <v>0.152</v>
      </c>
      <c r="K42" s="49" t="n">
        <v>0.0132</v>
      </c>
      <c r="L42" s="49" t="n">
        <v>0.0022</v>
      </c>
      <c r="M42" s="49" t="n">
        <v>0.0075</v>
      </c>
      <c r="N42" s="49" t="n">
        <v>0</v>
      </c>
      <c r="O42" s="50" t="n">
        <v>0.02116</v>
      </c>
      <c r="P42" s="49" t="n">
        <f aca="false">SUM(J42:N42)</f>
        <v>0.1749</v>
      </c>
      <c r="Q42" s="51" t="n">
        <v>61825</v>
      </c>
      <c r="R42" s="44" t="n">
        <v>5000</v>
      </c>
      <c r="S42" s="46" t="s">
        <v>404</v>
      </c>
      <c r="T42" s="74" t="n">
        <f aca="false">J42*J$1*R42</f>
        <v>22800</v>
      </c>
      <c r="U42" s="74"/>
      <c r="V42" s="75" t="n">
        <v>156570</v>
      </c>
      <c r="W42" s="74"/>
      <c r="X42" s="72"/>
      <c r="Y42" s="72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  <c r="IW42" s="73"/>
    </row>
    <row r="43" customFormat="false" ht="12.75" hidden="false" customHeight="false" outlineLevel="0" collapsed="false">
      <c r="A43" s="73"/>
      <c r="B43" s="46" t="s">
        <v>201</v>
      </c>
      <c r="C43" s="44" t="s">
        <v>391</v>
      </c>
      <c r="D43" s="44" t="s">
        <v>401</v>
      </c>
      <c r="E43" s="45" t="n">
        <v>36526</v>
      </c>
      <c r="F43" s="45" t="n">
        <v>36830</v>
      </c>
      <c r="G43" s="46" t="s">
        <v>406</v>
      </c>
      <c r="H43" s="46" t="s">
        <v>403</v>
      </c>
      <c r="I43" s="44" t="s">
        <v>117</v>
      </c>
      <c r="J43" s="58" t="n">
        <f aca="false">4.56/J$1</f>
        <v>0.152</v>
      </c>
      <c r="K43" s="49" t="n">
        <v>0.0132</v>
      </c>
      <c r="L43" s="49" t="n">
        <v>0.0022</v>
      </c>
      <c r="M43" s="49" t="n">
        <v>0.0075</v>
      </c>
      <c r="N43" s="49" t="n">
        <v>0</v>
      </c>
      <c r="O43" s="50" t="n">
        <v>0.02116</v>
      </c>
      <c r="P43" s="49" t="n">
        <f aca="false">SUM(J43:N43)</f>
        <v>0.1749</v>
      </c>
      <c r="Q43" s="51" t="n">
        <v>61825</v>
      </c>
      <c r="R43" s="44" t="n">
        <v>1000</v>
      </c>
      <c r="S43" s="46" t="s">
        <v>404</v>
      </c>
      <c r="T43" s="74" t="n">
        <f aca="false">J43*J$1*R43</f>
        <v>4560</v>
      </c>
      <c r="U43" s="74"/>
      <c r="V43" s="75" t="n">
        <v>156570</v>
      </c>
      <c r="W43" s="74"/>
      <c r="X43" s="72"/>
      <c r="Y43" s="72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3"/>
      <c r="IV43" s="73"/>
      <c r="IW43" s="73"/>
    </row>
    <row r="44" customFormat="false" ht="12.75" hidden="false" customHeight="false" outlineLevel="0" collapsed="false">
      <c r="A44" s="73"/>
      <c r="B44" s="46" t="s">
        <v>201</v>
      </c>
      <c r="C44" s="44" t="s">
        <v>391</v>
      </c>
      <c r="D44" s="44"/>
      <c r="E44" s="45" t="n">
        <v>36100</v>
      </c>
      <c r="F44" s="45" t="n">
        <v>36830</v>
      </c>
      <c r="G44" s="46" t="s">
        <v>402</v>
      </c>
      <c r="H44" s="46" t="s">
        <v>407</v>
      </c>
      <c r="I44" s="44" t="s">
        <v>117</v>
      </c>
      <c r="J44" s="58" t="n">
        <f aca="false">4.56/J$1</f>
        <v>0.152</v>
      </c>
      <c r="K44" s="49" t="n">
        <v>0.0132</v>
      </c>
      <c r="L44" s="49" t="n">
        <v>0.0022</v>
      </c>
      <c r="M44" s="49" t="n">
        <v>0.0072</v>
      </c>
      <c r="N44" s="49" t="n">
        <v>0</v>
      </c>
      <c r="O44" s="50" t="n">
        <v>0.02116</v>
      </c>
      <c r="P44" s="49" t="n">
        <f aca="false">SUM(J44:N44)</f>
        <v>0.1746</v>
      </c>
      <c r="Q44" s="51" t="n">
        <v>61838</v>
      </c>
      <c r="R44" s="44" t="n">
        <v>1000</v>
      </c>
      <c r="S44" s="46" t="s">
        <v>408</v>
      </c>
      <c r="T44" s="74" t="n">
        <f aca="false">J44*J$1*R44</f>
        <v>4560</v>
      </c>
      <c r="U44" s="74"/>
      <c r="V44" s="75" t="n">
        <v>156571</v>
      </c>
      <c r="W44" s="46"/>
      <c r="X44" s="72"/>
      <c r="Y44" s="72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3"/>
      <c r="IV44" s="73"/>
      <c r="IW44" s="73"/>
    </row>
    <row r="45" customFormat="false" ht="12.75" hidden="false" customHeight="false" outlineLevel="0" collapsed="false">
      <c r="A45" s="73"/>
      <c r="B45" s="46" t="s">
        <v>201</v>
      </c>
      <c r="C45" s="44" t="s">
        <v>391</v>
      </c>
      <c r="D45" s="44" t="s">
        <v>401</v>
      </c>
      <c r="E45" s="45" t="n">
        <v>36526</v>
      </c>
      <c r="F45" s="45" t="n">
        <v>36830</v>
      </c>
      <c r="G45" s="46" t="s">
        <v>402</v>
      </c>
      <c r="H45" s="46" t="s">
        <v>409</v>
      </c>
      <c r="I45" s="44" t="s">
        <v>117</v>
      </c>
      <c r="J45" s="58" t="n">
        <f aca="false">4.56/J$1</f>
        <v>0.152</v>
      </c>
      <c r="K45" s="49" t="n">
        <v>0.0132</v>
      </c>
      <c r="L45" s="49" t="n">
        <v>0.0022</v>
      </c>
      <c r="M45" s="49" t="n">
        <v>0.0075</v>
      </c>
      <c r="N45" s="49" t="n">
        <v>0</v>
      </c>
      <c r="O45" s="50" t="n">
        <v>0.02116</v>
      </c>
      <c r="P45" s="49" t="n">
        <f aca="false">SUM(J45:N45)</f>
        <v>0.1749</v>
      </c>
      <c r="Q45" s="51" t="n">
        <v>61990</v>
      </c>
      <c r="R45" s="44" t="n">
        <v>2000</v>
      </c>
      <c r="S45" s="46" t="s">
        <v>410</v>
      </c>
      <c r="T45" s="74" t="n">
        <f aca="false">J45*J$1*R45</f>
        <v>9120</v>
      </c>
      <c r="U45" s="74"/>
      <c r="V45" s="75" t="n">
        <v>156573</v>
      </c>
      <c r="W45" s="74"/>
      <c r="X45" s="72"/>
      <c r="Y45" s="72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3"/>
      <c r="IV45" s="73"/>
      <c r="IW45" s="73"/>
    </row>
    <row r="46" customFormat="false" ht="12.75" hidden="false" customHeight="false" outlineLevel="0" collapsed="false">
      <c r="A46" s="73"/>
      <c r="B46" s="46" t="s">
        <v>201</v>
      </c>
      <c r="C46" s="44" t="s">
        <v>391</v>
      </c>
      <c r="D46" s="44" t="s">
        <v>401</v>
      </c>
      <c r="E46" s="45" t="n">
        <v>36465</v>
      </c>
      <c r="F46" s="45" t="n">
        <v>36891</v>
      </c>
      <c r="G46" s="46"/>
      <c r="H46" s="46"/>
      <c r="I46" s="44" t="s">
        <v>117</v>
      </c>
      <c r="J46" s="58" t="n">
        <f aca="false">3.0417/30.417</f>
        <v>0.1</v>
      </c>
      <c r="K46" s="49" t="n">
        <v>0.0132</v>
      </c>
      <c r="L46" s="49" t="n">
        <v>0.0022</v>
      </c>
      <c r="M46" s="49" t="n">
        <v>0.0075</v>
      </c>
      <c r="N46" s="49" t="n">
        <v>0</v>
      </c>
      <c r="O46" s="50" t="n">
        <v>0.02116</v>
      </c>
      <c r="P46" s="49" t="n">
        <f aca="false">SUM(J46:N46)</f>
        <v>0.1229</v>
      </c>
      <c r="Q46" s="51" t="n">
        <v>62164</v>
      </c>
      <c r="R46" s="44" t="n">
        <v>2000</v>
      </c>
      <c r="S46" s="46" t="s">
        <v>411</v>
      </c>
      <c r="T46" s="74" t="n">
        <f aca="false">J46*J$1*R46</f>
        <v>6000</v>
      </c>
      <c r="U46" s="75"/>
      <c r="V46" s="72" t="s">
        <v>412</v>
      </c>
      <c r="W46" s="72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3"/>
      <c r="IG46" s="73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3"/>
      <c r="IV46" s="73"/>
      <c r="IW46" s="73"/>
    </row>
    <row r="47" customFormat="false" ht="12.75" hidden="false" customHeight="false" outlineLevel="0" collapsed="false">
      <c r="A47" s="73"/>
      <c r="B47" s="46" t="s">
        <v>201</v>
      </c>
      <c r="C47" s="44" t="s">
        <v>391</v>
      </c>
      <c r="D47" s="44" t="s">
        <v>392</v>
      </c>
      <c r="E47" s="45" t="n">
        <v>36617</v>
      </c>
      <c r="F47" s="45" t="n">
        <v>36799</v>
      </c>
      <c r="G47" s="46" t="s">
        <v>393</v>
      </c>
      <c r="H47" s="46" t="s">
        <v>413</v>
      </c>
      <c r="I47" s="44" t="s">
        <v>414</v>
      </c>
      <c r="J47" s="58" t="n">
        <f aca="false">6.029/J$1</f>
        <v>0.200966666666667</v>
      </c>
      <c r="K47" s="49" t="n">
        <v>0.013</v>
      </c>
      <c r="L47" s="49" t="n">
        <v>0.0022</v>
      </c>
      <c r="M47" s="49" t="n">
        <v>0.0072</v>
      </c>
      <c r="N47" s="49" t="n">
        <v>0</v>
      </c>
      <c r="O47" s="50" t="n">
        <v>0.02116</v>
      </c>
      <c r="P47" s="49" t="n">
        <f aca="false">SUM(J47:N47)</f>
        <v>0.223366666666667</v>
      </c>
      <c r="Q47" s="51" t="n">
        <v>67693</v>
      </c>
      <c r="R47" s="44" t="n">
        <v>54327</v>
      </c>
      <c r="S47" s="46" t="s">
        <v>415</v>
      </c>
      <c r="T47" s="74" t="n">
        <f aca="false">J47*J$1*R47</f>
        <v>327537.483</v>
      </c>
      <c r="U47" s="74"/>
      <c r="V47" s="75" t="n">
        <v>231378</v>
      </c>
      <c r="W47" s="46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3"/>
      <c r="IV47" s="73"/>
      <c r="IW47" s="73"/>
    </row>
    <row r="48" customFormat="false" ht="12.75" hidden="false" customHeight="false" outlineLevel="0" collapsed="false">
      <c r="A48" s="73"/>
      <c r="B48" s="46" t="s">
        <v>201</v>
      </c>
      <c r="C48" s="44" t="s">
        <v>391</v>
      </c>
      <c r="D48" s="44" t="s">
        <v>392</v>
      </c>
      <c r="E48" s="45" t="n">
        <v>36617</v>
      </c>
      <c r="F48" s="45" t="n">
        <v>36981</v>
      </c>
      <c r="G48" s="46" t="s">
        <v>393</v>
      </c>
      <c r="H48" s="46" t="s">
        <v>394</v>
      </c>
      <c r="I48" s="44" t="s">
        <v>395</v>
      </c>
      <c r="J48" s="58" t="n">
        <v>0.0291</v>
      </c>
      <c r="K48" s="49" t="n">
        <v>0</v>
      </c>
      <c r="L48" s="49" t="n">
        <v>0</v>
      </c>
      <c r="M48" s="49" t="n">
        <v>0</v>
      </c>
      <c r="N48" s="49" t="n">
        <v>0</v>
      </c>
      <c r="O48" s="50" t="n">
        <v>0</v>
      </c>
      <c r="P48" s="49" t="n">
        <f aca="false">SUM(J48:N48)</f>
        <v>0.0291</v>
      </c>
      <c r="Q48" s="51" t="n">
        <v>67713</v>
      </c>
      <c r="R48" s="44" t="n">
        <v>6050607</v>
      </c>
      <c r="S48" s="46" t="s">
        <v>417</v>
      </c>
      <c r="T48" s="74" t="n">
        <f aca="false">J48*R48</f>
        <v>176072.6637</v>
      </c>
      <c r="U48" s="74"/>
      <c r="V48" s="75" t="n">
        <v>235876</v>
      </c>
      <c r="W48" s="46"/>
      <c r="X48" s="72"/>
      <c r="Y48" s="72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3"/>
      <c r="IV48" s="73"/>
      <c r="IW48" s="73"/>
    </row>
    <row r="49" customFormat="false" ht="12.75" hidden="false" customHeight="false" outlineLevel="0" collapsed="false">
      <c r="A49" s="73"/>
      <c r="B49" s="46" t="s">
        <v>201</v>
      </c>
      <c r="C49" s="44" t="s">
        <v>391</v>
      </c>
      <c r="D49" s="44" t="s">
        <v>392</v>
      </c>
      <c r="E49" s="45" t="n">
        <v>36617</v>
      </c>
      <c r="F49" s="45" t="n">
        <v>36981</v>
      </c>
      <c r="G49" s="46" t="s">
        <v>393</v>
      </c>
      <c r="H49" s="46" t="s">
        <v>397</v>
      </c>
      <c r="I49" s="44" t="s">
        <v>395</v>
      </c>
      <c r="J49" s="58" t="n">
        <v>1.524</v>
      </c>
      <c r="K49" s="49" t="n">
        <v>0</v>
      </c>
      <c r="L49" s="49" t="n">
        <v>0</v>
      </c>
      <c r="M49" s="49" t="n">
        <v>0</v>
      </c>
      <c r="N49" s="49" t="n">
        <v>0</v>
      </c>
      <c r="O49" s="50" t="n">
        <v>0</v>
      </c>
      <c r="P49" s="49" t="n">
        <f aca="false">SUM(J49:N49)</f>
        <v>1.524</v>
      </c>
      <c r="Q49" s="51" t="n">
        <v>67713</v>
      </c>
      <c r="R49" s="44" t="n">
        <v>108648</v>
      </c>
      <c r="S49" s="46" t="s">
        <v>417</v>
      </c>
      <c r="T49" s="74" t="n">
        <f aca="false">J49*R49</f>
        <v>165579.552</v>
      </c>
      <c r="U49" s="74"/>
      <c r="V49" s="75" t="n">
        <v>235876</v>
      </c>
      <c r="W49" s="46"/>
      <c r="X49" s="72"/>
      <c r="Y49" s="72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3"/>
      <c r="IV49" s="73"/>
      <c r="IW49" s="73"/>
    </row>
    <row r="50" customFormat="false" ht="12.75" hidden="false" customHeight="false" outlineLevel="0" collapsed="false">
      <c r="A50" s="73"/>
      <c r="B50" s="46" t="s">
        <v>201</v>
      </c>
      <c r="C50" s="44" t="s">
        <v>391</v>
      </c>
      <c r="D50" s="44" t="s">
        <v>418</v>
      </c>
      <c r="E50" s="45" t="n">
        <v>36281</v>
      </c>
      <c r="F50" s="45" t="n">
        <v>36646</v>
      </c>
      <c r="G50" s="46" t="s">
        <v>419</v>
      </c>
      <c r="H50" s="46" t="s">
        <v>420</v>
      </c>
      <c r="I50" s="44" t="s">
        <v>117</v>
      </c>
      <c r="J50" s="58" t="n">
        <f aca="false">6.449/J$1</f>
        <v>0.214966666666667</v>
      </c>
      <c r="K50" s="49" t="n">
        <v>0.0132</v>
      </c>
      <c r="L50" s="49" t="n">
        <v>0.0022</v>
      </c>
      <c r="M50" s="49" t="n">
        <v>0.0072</v>
      </c>
      <c r="N50" s="49" t="n">
        <v>0</v>
      </c>
      <c r="O50" s="50" t="n">
        <v>0.02116</v>
      </c>
      <c r="P50" s="49" t="n">
        <f aca="false">SUM(J50:N50)</f>
        <v>0.237566666666667</v>
      </c>
      <c r="Q50" s="51" t="n">
        <v>63557</v>
      </c>
      <c r="R50" s="44" t="n">
        <v>33</v>
      </c>
      <c r="S50" s="46" t="s">
        <v>421</v>
      </c>
      <c r="T50" s="74" t="n">
        <f aca="false">J50*J$1*R50</f>
        <v>212.817</v>
      </c>
      <c r="U50" s="74"/>
      <c r="V50" s="75" t="n">
        <v>156581</v>
      </c>
      <c r="W50" s="46"/>
      <c r="X50" s="72"/>
      <c r="Y50" s="72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3"/>
      <c r="IG50" s="73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3"/>
      <c r="IV50" s="73"/>
      <c r="IW50" s="73"/>
    </row>
    <row r="51" customFormat="false" ht="12.75" hidden="false" customHeight="false" outlineLevel="0" collapsed="false">
      <c r="A51" s="73"/>
      <c r="B51" s="46" t="s">
        <v>201</v>
      </c>
      <c r="C51" s="44" t="s">
        <v>391</v>
      </c>
      <c r="D51" s="44" t="s">
        <v>418</v>
      </c>
      <c r="E51" s="45" t="n">
        <v>36312</v>
      </c>
      <c r="F51" s="45" t="n">
        <v>36677</v>
      </c>
      <c r="G51" s="46" t="s">
        <v>419</v>
      </c>
      <c r="H51" s="46" t="s">
        <v>420</v>
      </c>
      <c r="I51" s="44" t="s">
        <v>117</v>
      </c>
      <c r="J51" s="58" t="n">
        <f aca="false">6.449/J$1</f>
        <v>0.214966666666667</v>
      </c>
      <c r="K51" s="49" t="n">
        <v>0.0132</v>
      </c>
      <c r="L51" s="49" t="n">
        <v>0.0022</v>
      </c>
      <c r="M51" s="49" t="n">
        <v>0.0072</v>
      </c>
      <c r="N51" s="49" t="n">
        <v>0</v>
      </c>
      <c r="O51" s="50" t="n">
        <v>0.02116</v>
      </c>
      <c r="P51" s="49" t="n">
        <f aca="false">SUM(J51:N51)</f>
        <v>0.237566666666667</v>
      </c>
      <c r="Q51" s="51" t="n">
        <v>63822</v>
      </c>
      <c r="R51" s="44" t="n">
        <v>303</v>
      </c>
      <c r="S51" s="46" t="s">
        <v>522</v>
      </c>
      <c r="T51" s="74" t="n">
        <f aca="false">J51*J$1*R51</f>
        <v>1954.047</v>
      </c>
      <c r="U51" s="74"/>
      <c r="V51" s="75" t="n">
        <v>156583</v>
      </c>
      <c r="W51" s="46"/>
      <c r="X51" s="72"/>
      <c r="Y51" s="72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3"/>
      <c r="HC51" s="73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3"/>
      <c r="IG51" s="73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3"/>
      <c r="IV51" s="73"/>
      <c r="IW51" s="73"/>
    </row>
    <row r="52" customFormat="false" ht="12.75" hidden="false" customHeight="false" outlineLevel="0" collapsed="false">
      <c r="A52" s="73"/>
      <c r="B52" s="46" t="s">
        <v>201</v>
      </c>
      <c r="C52" s="44" t="s">
        <v>391</v>
      </c>
      <c r="D52" s="44" t="s">
        <v>423</v>
      </c>
      <c r="E52" s="45" t="n">
        <v>36312</v>
      </c>
      <c r="F52" s="45" t="n">
        <v>36677</v>
      </c>
      <c r="G52" s="46" t="s">
        <v>419</v>
      </c>
      <c r="H52" s="46" t="s">
        <v>424</v>
      </c>
      <c r="I52" s="44" t="s">
        <v>117</v>
      </c>
      <c r="J52" s="58" t="n">
        <f aca="false">6.449/J$1</f>
        <v>0.214966666666667</v>
      </c>
      <c r="K52" s="49" t="n">
        <v>0.0132</v>
      </c>
      <c r="L52" s="49" t="n">
        <v>0.0022</v>
      </c>
      <c r="M52" s="49" t="n">
        <v>0.0072</v>
      </c>
      <c r="N52" s="49" t="n">
        <v>0</v>
      </c>
      <c r="O52" s="50" t="n">
        <v>0.02116</v>
      </c>
      <c r="P52" s="49" t="n">
        <f aca="false">SUM(J52:N52)</f>
        <v>0.237566666666667</v>
      </c>
      <c r="Q52" s="51" t="n">
        <v>63825</v>
      </c>
      <c r="R52" s="44" t="n">
        <v>213</v>
      </c>
      <c r="S52" s="46" t="s">
        <v>523</v>
      </c>
      <c r="T52" s="74" t="n">
        <f aca="false">J52*J$1*R52</f>
        <v>1373.637</v>
      </c>
      <c r="U52" s="74"/>
      <c r="V52" s="75" t="n">
        <v>156584</v>
      </c>
      <c r="W52" s="46"/>
      <c r="X52" s="72"/>
      <c r="Y52" s="72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3"/>
      <c r="HR52" s="73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3"/>
      <c r="IG52" s="73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3"/>
      <c r="IV52" s="73"/>
      <c r="IW52" s="73"/>
    </row>
    <row r="53" customFormat="false" ht="12.75" hidden="false" customHeight="false" outlineLevel="0" collapsed="false">
      <c r="A53" s="73"/>
      <c r="B53" s="46" t="s">
        <v>201</v>
      </c>
      <c r="C53" s="44" t="s">
        <v>391</v>
      </c>
      <c r="D53" s="44" t="s">
        <v>418</v>
      </c>
      <c r="E53" s="45" t="n">
        <v>36342</v>
      </c>
      <c r="F53" s="45" t="n">
        <v>36707</v>
      </c>
      <c r="G53" s="46" t="s">
        <v>419</v>
      </c>
      <c r="H53" s="46" t="s">
        <v>420</v>
      </c>
      <c r="I53" s="44" t="s">
        <v>117</v>
      </c>
      <c r="J53" s="58" t="n">
        <f aca="false">6.449/J$1</f>
        <v>0.214966666666667</v>
      </c>
      <c r="K53" s="49" t="n">
        <v>0.0132</v>
      </c>
      <c r="L53" s="49" t="n">
        <v>0.0022</v>
      </c>
      <c r="M53" s="49" t="n">
        <v>0.0072</v>
      </c>
      <c r="N53" s="49" t="n">
        <v>0</v>
      </c>
      <c r="O53" s="50" t="n">
        <v>0.02116</v>
      </c>
      <c r="P53" s="49" t="n">
        <f aca="false">SUM(J53:N53)</f>
        <v>0.237566666666667</v>
      </c>
      <c r="Q53" s="51" t="n">
        <v>64034</v>
      </c>
      <c r="R53" s="44" t="n">
        <v>911</v>
      </c>
      <c r="S53" s="46" t="s">
        <v>426</v>
      </c>
      <c r="T53" s="74" t="n">
        <f aca="false">J53*J$1*R53</f>
        <v>5875.039</v>
      </c>
      <c r="U53" s="74"/>
      <c r="V53" s="75" t="n">
        <v>156585</v>
      </c>
      <c r="W53" s="46"/>
      <c r="X53" s="72"/>
      <c r="Y53" s="72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3"/>
      <c r="IV53" s="73"/>
      <c r="IW53" s="73"/>
    </row>
    <row r="54" customFormat="false" ht="12.75" hidden="false" customHeight="false" outlineLevel="0" collapsed="false">
      <c r="A54" s="73"/>
      <c r="B54" s="46" t="s">
        <v>201</v>
      </c>
      <c r="C54" s="44" t="s">
        <v>391</v>
      </c>
      <c r="D54" s="44" t="s">
        <v>423</v>
      </c>
      <c r="E54" s="45" t="n">
        <v>36342</v>
      </c>
      <c r="F54" s="45" t="n">
        <v>36707</v>
      </c>
      <c r="G54" s="46" t="s">
        <v>419</v>
      </c>
      <c r="H54" s="46" t="s">
        <v>427</v>
      </c>
      <c r="I54" s="44" t="s">
        <v>117</v>
      </c>
      <c r="J54" s="58" t="n">
        <f aca="false">6.449/J$1</f>
        <v>0.214966666666667</v>
      </c>
      <c r="K54" s="49" t="n">
        <v>0.0132</v>
      </c>
      <c r="L54" s="49" t="n">
        <v>0.0022</v>
      </c>
      <c r="M54" s="49" t="n">
        <v>0.0072</v>
      </c>
      <c r="N54" s="49" t="n">
        <v>0</v>
      </c>
      <c r="O54" s="50" t="n">
        <v>0.02116</v>
      </c>
      <c r="P54" s="49" t="n">
        <f aca="false">SUM(J54:N54)</f>
        <v>0.237566666666667</v>
      </c>
      <c r="Q54" s="51" t="n">
        <v>64036</v>
      </c>
      <c r="R54" s="44" t="n">
        <v>1</v>
      </c>
      <c r="S54" s="46" t="s">
        <v>428</v>
      </c>
      <c r="T54" s="74" t="n">
        <f aca="false">J54*J$1*R54</f>
        <v>6.449</v>
      </c>
      <c r="U54" s="74"/>
      <c r="V54" s="75" t="n">
        <v>156586</v>
      </c>
      <c r="W54" s="46"/>
      <c r="X54" s="72"/>
      <c r="Y54" s="72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</row>
    <row r="55" customFormat="false" ht="12.75" hidden="false" customHeight="false" outlineLevel="0" collapsed="false">
      <c r="A55" s="73"/>
      <c r="B55" s="46" t="s">
        <v>201</v>
      </c>
      <c r="C55" s="44" t="s">
        <v>391</v>
      </c>
      <c r="D55" s="44" t="s">
        <v>418</v>
      </c>
      <c r="E55" s="45" t="n">
        <v>36373</v>
      </c>
      <c r="F55" s="45" t="n">
        <v>36738</v>
      </c>
      <c r="G55" s="46" t="s">
        <v>419</v>
      </c>
      <c r="H55" s="46" t="s">
        <v>420</v>
      </c>
      <c r="I55" s="44" t="s">
        <v>117</v>
      </c>
      <c r="J55" s="58" t="n">
        <f aca="false">6.449/J$1</f>
        <v>0.214966666666667</v>
      </c>
      <c r="K55" s="49" t="n">
        <v>0.0132</v>
      </c>
      <c r="L55" s="49" t="n">
        <v>0.0022</v>
      </c>
      <c r="M55" s="49" t="n">
        <v>0.0072</v>
      </c>
      <c r="N55" s="49" t="n">
        <v>0</v>
      </c>
      <c r="O55" s="50" t="n">
        <v>0.02116</v>
      </c>
      <c r="P55" s="49" t="n">
        <f aca="false">SUM(J55:N55)</f>
        <v>0.237566666666667</v>
      </c>
      <c r="Q55" s="51" t="n">
        <v>64328</v>
      </c>
      <c r="R55" s="44" t="n">
        <v>51</v>
      </c>
      <c r="S55" s="46" t="s">
        <v>429</v>
      </c>
      <c r="T55" s="74" t="n">
        <f aca="false">J55*J$1*R55</f>
        <v>328.899</v>
      </c>
      <c r="U55" s="74"/>
      <c r="V55" s="75" t="n">
        <v>156588</v>
      </c>
      <c r="W55" s="46"/>
      <c r="X55" s="72"/>
      <c r="Y55" s="72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3"/>
      <c r="IV55" s="73"/>
      <c r="IW55" s="73"/>
    </row>
    <row r="56" customFormat="false" ht="12.75" hidden="false" customHeight="false" outlineLevel="0" collapsed="false">
      <c r="A56" s="73"/>
      <c r="B56" s="46" t="s">
        <v>201</v>
      </c>
      <c r="C56" s="44" t="s">
        <v>391</v>
      </c>
      <c r="D56" s="44" t="s">
        <v>423</v>
      </c>
      <c r="E56" s="45" t="n">
        <v>36373</v>
      </c>
      <c r="F56" s="45" t="n">
        <v>36738</v>
      </c>
      <c r="G56" s="46" t="s">
        <v>419</v>
      </c>
      <c r="H56" s="46" t="s">
        <v>424</v>
      </c>
      <c r="I56" s="44" t="s">
        <v>117</v>
      </c>
      <c r="J56" s="58" t="n">
        <f aca="false">6.449/J$1</f>
        <v>0.214966666666667</v>
      </c>
      <c r="K56" s="49" t="n">
        <v>0.0132</v>
      </c>
      <c r="L56" s="49" t="n">
        <v>0.0022</v>
      </c>
      <c r="M56" s="49" t="n">
        <v>0.0072</v>
      </c>
      <c r="N56" s="49" t="n">
        <v>0</v>
      </c>
      <c r="O56" s="50" t="n">
        <v>0.02116</v>
      </c>
      <c r="P56" s="49" t="n">
        <f aca="false">SUM(J56:N56)</f>
        <v>0.237566666666667</v>
      </c>
      <c r="Q56" s="51" t="n">
        <v>64329</v>
      </c>
      <c r="R56" s="44" t="n">
        <v>12</v>
      </c>
      <c r="S56" s="46" t="s">
        <v>430</v>
      </c>
      <c r="T56" s="74" t="n">
        <f aca="false">J56*J$1*R56</f>
        <v>77.388</v>
      </c>
      <c r="U56" s="74"/>
      <c r="V56" s="75" t="n">
        <v>156590</v>
      </c>
      <c r="W56" s="46"/>
      <c r="X56" s="72"/>
      <c r="Y56" s="72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  <c r="IV56" s="73"/>
      <c r="IW56" s="73"/>
    </row>
    <row r="57" customFormat="false" ht="12.75" hidden="false" customHeight="false" outlineLevel="0" collapsed="false">
      <c r="A57" s="73"/>
      <c r="B57" s="46" t="s">
        <v>201</v>
      </c>
      <c r="C57" s="44" t="s">
        <v>391</v>
      </c>
      <c r="D57" s="44" t="s">
        <v>423</v>
      </c>
      <c r="E57" s="45" t="n">
        <v>36404</v>
      </c>
      <c r="F57" s="45" t="n">
        <v>36769</v>
      </c>
      <c r="G57" s="46" t="s">
        <v>419</v>
      </c>
      <c r="H57" s="46" t="s">
        <v>424</v>
      </c>
      <c r="I57" s="44" t="s">
        <v>117</v>
      </c>
      <c r="J57" s="58" t="n">
        <f aca="false">6.449/J$1</f>
        <v>0.214966666666667</v>
      </c>
      <c r="K57" s="49" t="n">
        <v>0.0132</v>
      </c>
      <c r="L57" s="49" t="n">
        <v>0.0022</v>
      </c>
      <c r="M57" s="49" t="n">
        <v>0.0072</v>
      </c>
      <c r="N57" s="49" t="n">
        <v>0</v>
      </c>
      <c r="O57" s="50" t="n">
        <v>0.02116</v>
      </c>
      <c r="P57" s="49" t="n">
        <f aca="false">SUM(J57:N57)</f>
        <v>0.237566666666667</v>
      </c>
      <c r="Q57" s="51" t="n">
        <v>64651</v>
      </c>
      <c r="R57" s="44" t="n">
        <v>64</v>
      </c>
      <c r="S57" s="46" t="s">
        <v>431</v>
      </c>
      <c r="T57" s="74" t="n">
        <f aca="false">J57*J$1*R57</f>
        <v>412.736</v>
      </c>
      <c r="U57" s="74"/>
      <c r="V57" s="75" t="n">
        <v>156591</v>
      </c>
      <c r="W57" s="46"/>
      <c r="X57" s="72"/>
      <c r="Y57" s="72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3"/>
      <c r="IV57" s="73"/>
      <c r="IW57" s="73"/>
    </row>
    <row r="58" customFormat="false" ht="12.75" hidden="false" customHeight="false" outlineLevel="0" collapsed="false">
      <c r="A58" s="73"/>
      <c r="B58" s="46" t="s">
        <v>201</v>
      </c>
      <c r="C58" s="44" t="s">
        <v>391</v>
      </c>
      <c r="D58" s="44" t="s">
        <v>423</v>
      </c>
      <c r="E58" s="45" t="n">
        <v>36434</v>
      </c>
      <c r="F58" s="45" t="n">
        <v>36799</v>
      </c>
      <c r="G58" s="46" t="s">
        <v>419</v>
      </c>
      <c r="H58" s="46" t="s">
        <v>427</v>
      </c>
      <c r="I58" s="44" t="s">
        <v>117</v>
      </c>
      <c r="J58" s="58" t="n">
        <f aca="false">6.449/J$1</f>
        <v>0.214966666666667</v>
      </c>
      <c r="K58" s="49" t="n">
        <v>0.0132</v>
      </c>
      <c r="L58" s="49" t="n">
        <v>0.0022</v>
      </c>
      <c r="M58" s="49" t="n">
        <v>0.0072</v>
      </c>
      <c r="N58" s="49" t="n">
        <v>0</v>
      </c>
      <c r="O58" s="50" t="n">
        <v>0.02116</v>
      </c>
      <c r="P58" s="49" t="n">
        <f aca="false">SUM(J58:N58)</f>
        <v>0.237566666666667</v>
      </c>
      <c r="Q58" s="51" t="n">
        <v>64862</v>
      </c>
      <c r="R58" s="44" t="n">
        <v>13</v>
      </c>
      <c r="S58" s="46" t="s">
        <v>432</v>
      </c>
      <c r="T58" s="74" t="n">
        <f aca="false">J58*J$1*R58</f>
        <v>83.837</v>
      </c>
      <c r="U58" s="74"/>
      <c r="V58" s="75" t="n">
        <v>156592</v>
      </c>
      <c r="W58" s="46"/>
      <c r="X58" s="72"/>
      <c r="Y58" s="72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3"/>
      <c r="IV58" s="73"/>
      <c r="IW58" s="73"/>
    </row>
    <row r="59" customFormat="false" ht="12.75" hidden="false" customHeight="false" outlineLevel="0" collapsed="false">
      <c r="A59" s="73"/>
      <c r="B59" s="46" t="s">
        <v>201</v>
      </c>
      <c r="C59" s="44" t="s">
        <v>391</v>
      </c>
      <c r="D59" s="44" t="s">
        <v>392</v>
      </c>
      <c r="E59" s="45" t="n">
        <v>36434</v>
      </c>
      <c r="F59" s="45" t="n">
        <v>36799</v>
      </c>
      <c r="G59" s="46" t="s">
        <v>419</v>
      </c>
      <c r="H59" s="46" t="s">
        <v>433</v>
      </c>
      <c r="I59" s="44" t="s">
        <v>117</v>
      </c>
      <c r="J59" s="58" t="n">
        <f aca="false">6.372/J$1</f>
        <v>0.2124</v>
      </c>
      <c r="K59" s="49" t="n">
        <v>0.0132</v>
      </c>
      <c r="L59" s="49" t="n">
        <v>0.0022</v>
      </c>
      <c r="M59" s="49" t="n">
        <v>0.0072</v>
      </c>
      <c r="N59" s="49" t="n">
        <v>0</v>
      </c>
      <c r="O59" s="50" t="n">
        <v>0.02116</v>
      </c>
      <c r="P59" s="49" t="n">
        <f aca="false">SUM(J59:N59)</f>
        <v>0.235</v>
      </c>
      <c r="Q59" s="51" t="n">
        <v>64939</v>
      </c>
      <c r="R59" s="44" t="n">
        <v>2300</v>
      </c>
      <c r="S59" s="46" t="s">
        <v>434</v>
      </c>
      <c r="T59" s="74" t="n">
        <f aca="false">J59*J$1*R59</f>
        <v>14655.6</v>
      </c>
      <c r="U59" s="74"/>
      <c r="V59" s="75" t="n">
        <v>156593</v>
      </c>
      <c r="W59" s="46"/>
      <c r="X59" s="72"/>
      <c r="Y59" s="72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</row>
    <row r="60" customFormat="false" ht="12.75" hidden="false" customHeight="false" outlineLevel="0" collapsed="false">
      <c r="A60" s="73"/>
      <c r="B60" s="46" t="s">
        <v>201</v>
      </c>
      <c r="C60" s="44" t="s">
        <v>391</v>
      </c>
      <c r="D60" s="44" t="s">
        <v>423</v>
      </c>
      <c r="E60" s="45" t="n">
        <v>36465</v>
      </c>
      <c r="F60" s="45" t="n">
        <v>36830</v>
      </c>
      <c r="G60" s="46" t="s">
        <v>419</v>
      </c>
      <c r="H60" s="46" t="s">
        <v>424</v>
      </c>
      <c r="I60" s="44" t="s">
        <v>117</v>
      </c>
      <c r="J60" s="58" t="n">
        <f aca="false">6.449/J$1</f>
        <v>0.214966666666667</v>
      </c>
      <c r="K60" s="49" t="n">
        <v>0.0132</v>
      </c>
      <c r="L60" s="49" t="n">
        <v>0.0022</v>
      </c>
      <c r="M60" s="49" t="n">
        <v>0.0072</v>
      </c>
      <c r="N60" s="49" t="n">
        <v>0</v>
      </c>
      <c r="O60" s="50" t="n">
        <v>0.02116</v>
      </c>
      <c r="P60" s="49" t="n">
        <f aca="false">SUM(J60:N60)</f>
        <v>0.237566666666667</v>
      </c>
      <c r="Q60" s="51" t="n">
        <v>65026</v>
      </c>
      <c r="R60" s="44" t="n">
        <v>128</v>
      </c>
      <c r="S60" s="46" t="s">
        <v>435</v>
      </c>
      <c r="T60" s="74" t="n">
        <f aca="false">J60*J$1*R60</f>
        <v>825.472</v>
      </c>
      <c r="U60" s="74"/>
      <c r="V60" s="75" t="n">
        <v>162286</v>
      </c>
      <c r="W60" s="46"/>
      <c r="X60" s="72"/>
      <c r="Y60" s="72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  <c r="IV60" s="73"/>
      <c r="IW60" s="73"/>
    </row>
    <row r="61" customFormat="false" ht="12.75" hidden="false" customHeight="false" outlineLevel="0" collapsed="false">
      <c r="A61" s="73"/>
      <c r="B61" s="46" t="s">
        <v>201</v>
      </c>
      <c r="C61" s="44" t="s">
        <v>391</v>
      </c>
      <c r="D61" s="44" t="s">
        <v>436</v>
      </c>
      <c r="E61" s="45" t="n">
        <v>36465</v>
      </c>
      <c r="F61" s="45" t="n">
        <v>36830</v>
      </c>
      <c r="G61" s="46" t="s">
        <v>419</v>
      </c>
      <c r="H61" s="46" t="s">
        <v>437</v>
      </c>
      <c r="I61" s="44" t="s">
        <v>117</v>
      </c>
      <c r="J61" s="58" t="n">
        <f aca="false">6.449/J$1</f>
        <v>0.214966666666667</v>
      </c>
      <c r="K61" s="49" t="n">
        <v>0.0132</v>
      </c>
      <c r="L61" s="49" t="n">
        <v>0.0022</v>
      </c>
      <c r="M61" s="49" t="n">
        <v>0.0072</v>
      </c>
      <c r="N61" s="49" t="n">
        <v>0</v>
      </c>
      <c r="O61" s="50" t="n">
        <v>0.02116</v>
      </c>
      <c r="P61" s="49" t="n">
        <f aca="false">SUM(J61:N61)</f>
        <v>0.237566666666667</v>
      </c>
      <c r="Q61" s="51" t="n">
        <v>65041</v>
      </c>
      <c r="R61" s="44" t="n">
        <v>9619</v>
      </c>
      <c r="S61" s="46" t="s">
        <v>438</v>
      </c>
      <c r="T61" s="74" t="n">
        <f aca="false">J61*J$1*R61</f>
        <v>62032.931</v>
      </c>
      <c r="U61" s="74"/>
      <c r="V61" s="75" t="n">
        <v>162285</v>
      </c>
      <c r="W61" s="46"/>
      <c r="X61" s="72"/>
      <c r="Y61" s="72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  <c r="IV61" s="73"/>
      <c r="IW61" s="73"/>
    </row>
    <row r="62" customFormat="false" ht="12.75" hidden="false" customHeight="false" outlineLevel="0" collapsed="false">
      <c r="A62" s="73"/>
      <c r="B62" s="46" t="s">
        <v>201</v>
      </c>
      <c r="C62" s="44" t="s">
        <v>391</v>
      </c>
      <c r="D62" s="44" t="s">
        <v>436</v>
      </c>
      <c r="E62" s="45" t="n">
        <v>36465</v>
      </c>
      <c r="F62" s="45" t="n">
        <v>36830</v>
      </c>
      <c r="G62" s="46" t="s">
        <v>419</v>
      </c>
      <c r="H62" s="46" t="s">
        <v>439</v>
      </c>
      <c r="I62" s="44" t="s">
        <v>117</v>
      </c>
      <c r="J62" s="58" t="n">
        <f aca="false">6.449/J$1</f>
        <v>0.214966666666667</v>
      </c>
      <c r="K62" s="49" t="n">
        <v>0.0132</v>
      </c>
      <c r="L62" s="49" t="n">
        <v>0.0022</v>
      </c>
      <c r="M62" s="49" t="n">
        <v>0.0072</v>
      </c>
      <c r="N62" s="49" t="n">
        <v>0</v>
      </c>
      <c r="O62" s="50" t="n">
        <v>0.02116</v>
      </c>
      <c r="P62" s="49" t="n">
        <f aca="false">SUM(J62:N62)</f>
        <v>0.237566666666667</v>
      </c>
      <c r="Q62" s="51" t="n">
        <v>65042</v>
      </c>
      <c r="R62" s="44" t="n">
        <v>4427</v>
      </c>
      <c r="S62" s="46" t="s">
        <v>440</v>
      </c>
      <c r="T62" s="74" t="n">
        <f aca="false">J62*J$1*R62</f>
        <v>28549.723</v>
      </c>
      <c r="U62" s="74"/>
      <c r="V62" s="75" t="n">
        <v>162287</v>
      </c>
      <c r="W62" s="46"/>
      <c r="X62" s="72"/>
      <c r="Y62" s="72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  <c r="IV62" s="73"/>
      <c r="IW62" s="73"/>
    </row>
    <row r="63" customFormat="false" ht="12.75" hidden="false" customHeight="false" outlineLevel="0" collapsed="false">
      <c r="A63" s="73"/>
      <c r="B63" s="46" t="s">
        <v>201</v>
      </c>
      <c r="C63" s="44" t="s">
        <v>391</v>
      </c>
      <c r="D63" s="44" t="s">
        <v>441</v>
      </c>
      <c r="E63" s="45" t="n">
        <v>36465</v>
      </c>
      <c r="F63" s="45" t="n">
        <v>37011</v>
      </c>
      <c r="G63" s="46" t="s">
        <v>419</v>
      </c>
      <c r="H63" s="46" t="s">
        <v>442</v>
      </c>
      <c r="I63" s="44" t="s">
        <v>117</v>
      </c>
      <c r="J63" s="58" t="n">
        <f aca="false">6.449/J$1</f>
        <v>0.214966666666667</v>
      </c>
      <c r="K63" s="49" t="n">
        <v>0.0132</v>
      </c>
      <c r="L63" s="49" t="n">
        <v>0.0022</v>
      </c>
      <c r="M63" s="49" t="n">
        <v>0.0072</v>
      </c>
      <c r="N63" s="49" t="n">
        <v>0</v>
      </c>
      <c r="O63" s="50" t="n">
        <v>0.02116</v>
      </c>
      <c r="P63" s="49" t="n">
        <f aca="false">SUM(J63:N63)</f>
        <v>0.237566666666667</v>
      </c>
      <c r="Q63" s="51" t="n">
        <v>65108</v>
      </c>
      <c r="R63" s="44" t="n">
        <v>5000</v>
      </c>
      <c r="S63" s="46" t="s">
        <v>443</v>
      </c>
      <c r="T63" s="74" t="n">
        <f aca="false">J63*J$1*R63</f>
        <v>32245</v>
      </c>
      <c r="U63" s="74"/>
      <c r="V63" s="75" t="n">
        <v>163001</v>
      </c>
      <c r="W63" s="46"/>
      <c r="X63" s="72"/>
      <c r="Y63" s="72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  <c r="IW63" s="73"/>
    </row>
    <row r="64" customFormat="false" ht="12.75" hidden="false" customHeight="false" outlineLevel="0" collapsed="false">
      <c r="A64" s="73"/>
      <c r="B64" s="46" t="s">
        <v>201</v>
      </c>
      <c r="C64" s="44" t="s">
        <v>391</v>
      </c>
      <c r="D64" s="44" t="s">
        <v>37</v>
      </c>
      <c r="E64" s="45" t="n">
        <v>36465</v>
      </c>
      <c r="F64" s="45" t="n">
        <v>36830</v>
      </c>
      <c r="G64" s="46" t="s">
        <v>402</v>
      </c>
      <c r="H64" s="46" t="s">
        <v>444</v>
      </c>
      <c r="I64" s="44" t="s">
        <v>117</v>
      </c>
      <c r="J64" s="58" t="n">
        <f aca="false">3.65/J$1</f>
        <v>0.121666666666667</v>
      </c>
      <c r="K64" s="49" t="n">
        <v>0.0132</v>
      </c>
      <c r="L64" s="49" t="n">
        <v>0.0022</v>
      </c>
      <c r="M64" s="49" t="n">
        <v>0.0075</v>
      </c>
      <c r="N64" s="49" t="n">
        <v>0</v>
      </c>
      <c r="O64" s="50" t="n">
        <v>0.02116</v>
      </c>
      <c r="P64" s="49" t="n">
        <f aca="false">SUM(J64:N64)</f>
        <v>0.144566666666667</v>
      </c>
      <c r="Q64" s="51" t="n">
        <v>65402</v>
      </c>
      <c r="R64" s="44" t="n">
        <v>20000</v>
      </c>
      <c r="S64" s="46" t="s">
        <v>445</v>
      </c>
      <c r="T64" s="74" t="n">
        <f aca="false">J64*J$1*R64</f>
        <v>73000</v>
      </c>
      <c r="U64" s="74"/>
      <c r="V64" s="75" t="n">
        <v>156596</v>
      </c>
      <c r="W64" s="46"/>
      <c r="X64" s="72"/>
      <c r="Y64" s="72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  <c r="IV64" s="73"/>
      <c r="IW64" s="73"/>
    </row>
    <row r="65" customFormat="false" ht="12.75" hidden="false" customHeight="false" outlineLevel="0" collapsed="false">
      <c r="A65" s="73"/>
      <c r="B65" s="46" t="s">
        <v>201</v>
      </c>
      <c r="C65" s="44" t="s">
        <v>391</v>
      </c>
      <c r="D65" s="44" t="s">
        <v>37</v>
      </c>
      <c r="E65" s="45" t="n">
        <v>36465</v>
      </c>
      <c r="F65" s="45" t="n">
        <v>37011</v>
      </c>
      <c r="G65" s="46" t="s">
        <v>419</v>
      </c>
      <c r="H65" s="46" t="s">
        <v>448</v>
      </c>
      <c r="I65" s="44" t="s">
        <v>117</v>
      </c>
      <c r="J65" s="58" t="n">
        <f aca="false">4.8621/+J$1</f>
        <v>0.16207</v>
      </c>
      <c r="K65" s="49"/>
      <c r="L65" s="49"/>
      <c r="M65" s="49"/>
      <c r="N65" s="49"/>
      <c r="O65" s="50"/>
      <c r="P65" s="49"/>
      <c r="Q65" s="51" t="n">
        <v>65403</v>
      </c>
      <c r="R65" s="44" t="n">
        <v>19293</v>
      </c>
      <c r="S65" s="46" t="s">
        <v>449</v>
      </c>
      <c r="T65" s="74" t="n">
        <f aca="false">J65*J$1*R65</f>
        <v>93804.4953</v>
      </c>
      <c r="U65" s="74"/>
      <c r="V65" s="75" t="s">
        <v>450</v>
      </c>
      <c r="W65" s="46"/>
      <c r="X65" s="72"/>
      <c r="Y65" s="72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  <c r="IV65" s="73"/>
      <c r="IW65" s="73"/>
    </row>
    <row r="66" customFormat="false" ht="12.75" hidden="false" customHeight="false" outlineLevel="0" collapsed="false">
      <c r="A66" s="73"/>
      <c r="B66" s="46" t="s">
        <v>201</v>
      </c>
      <c r="C66" s="44" t="s">
        <v>391</v>
      </c>
      <c r="D66" s="44" t="s">
        <v>236</v>
      </c>
      <c r="E66" s="45" t="n">
        <v>36557</v>
      </c>
      <c r="F66" s="45" t="n">
        <v>36677</v>
      </c>
      <c r="G66" s="46" t="s">
        <v>452</v>
      </c>
      <c r="H66" s="46" t="s">
        <v>453</v>
      </c>
      <c r="I66" s="44" t="s">
        <v>117</v>
      </c>
      <c r="J66" s="58" t="n">
        <f aca="false">6.423/J$1</f>
        <v>0.2141</v>
      </c>
      <c r="K66" s="49" t="n">
        <v>0.0132</v>
      </c>
      <c r="L66" s="49" t="n">
        <v>0.0022</v>
      </c>
      <c r="M66" s="49" t="n">
        <v>0.0072</v>
      </c>
      <c r="N66" s="49" t="n">
        <v>0</v>
      </c>
      <c r="O66" s="50" t="n">
        <v>0.02116</v>
      </c>
      <c r="P66" s="49" t="n">
        <f aca="false">SUM(J66:N66)</f>
        <v>0.2367</v>
      </c>
      <c r="Q66" s="51" t="n">
        <v>65404</v>
      </c>
      <c r="R66" s="44" t="n">
        <v>34</v>
      </c>
      <c r="S66" s="46" t="s">
        <v>454</v>
      </c>
      <c r="T66" s="74" t="n">
        <f aca="false">J66*J$1*R66</f>
        <v>218.382</v>
      </c>
      <c r="U66" s="74"/>
      <c r="V66" s="75" t="n">
        <v>156597</v>
      </c>
      <c r="W66" s="46"/>
      <c r="X66" s="72"/>
      <c r="Y66" s="72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  <c r="IV66" s="73"/>
      <c r="IW66" s="73"/>
    </row>
    <row r="67" customFormat="false" ht="12.75" hidden="false" customHeight="false" outlineLevel="0" collapsed="false">
      <c r="A67" s="73"/>
      <c r="B67" s="46" t="s">
        <v>201</v>
      </c>
      <c r="C67" s="44" t="s">
        <v>391</v>
      </c>
      <c r="D67" s="44"/>
      <c r="E67" s="45" t="n">
        <v>36557</v>
      </c>
      <c r="F67" s="45" t="n">
        <v>36830</v>
      </c>
      <c r="G67" s="46" t="s">
        <v>405</v>
      </c>
      <c r="H67" s="46" t="s">
        <v>399</v>
      </c>
      <c r="I67" s="44" t="s">
        <v>117</v>
      </c>
      <c r="J67" s="58" t="n">
        <f aca="false">4.563/J$1</f>
        <v>0.1521</v>
      </c>
      <c r="K67" s="49" t="n">
        <v>0.0132</v>
      </c>
      <c r="L67" s="49" t="n">
        <v>0.0022</v>
      </c>
      <c r="M67" s="49" t="n">
        <v>0.0072</v>
      </c>
      <c r="N67" s="49" t="n">
        <v>0</v>
      </c>
      <c r="O67" s="50" t="n">
        <v>0.02116</v>
      </c>
      <c r="P67" s="49" t="n">
        <f aca="false">SUM(J67:N67)</f>
        <v>0.1747</v>
      </c>
      <c r="Q67" s="51" t="n">
        <v>65418</v>
      </c>
      <c r="R67" s="44" t="n">
        <v>500</v>
      </c>
      <c r="S67" s="46" t="s">
        <v>455</v>
      </c>
      <c r="T67" s="74" t="n">
        <f aca="false">J67*J$1*R67</f>
        <v>2281.5</v>
      </c>
      <c r="U67" s="74"/>
      <c r="V67" s="75" t="n">
        <v>156599</v>
      </c>
      <c r="W67" s="46"/>
      <c r="X67" s="72"/>
      <c r="Y67" s="72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3"/>
      <c r="IV67" s="73"/>
      <c r="IW67" s="73"/>
    </row>
    <row r="68" customFormat="false" ht="12.75" hidden="false" customHeight="false" outlineLevel="0" collapsed="false">
      <c r="A68" s="73"/>
      <c r="B68" s="46" t="s">
        <v>201</v>
      </c>
      <c r="C68" s="44" t="s">
        <v>391</v>
      </c>
      <c r="D68" s="44"/>
      <c r="E68" s="45" t="n">
        <v>36557</v>
      </c>
      <c r="F68" s="45" t="n">
        <v>36677</v>
      </c>
      <c r="G68" s="46" t="s">
        <v>452</v>
      </c>
      <c r="H68" s="46" t="s">
        <v>453</v>
      </c>
      <c r="I68" s="44" t="s">
        <v>117</v>
      </c>
      <c r="J68" s="58" t="n">
        <f aca="false">6.372/J$1</f>
        <v>0.2124</v>
      </c>
      <c r="K68" s="49"/>
      <c r="L68" s="49"/>
      <c r="M68" s="49"/>
      <c r="N68" s="49"/>
      <c r="O68" s="50"/>
      <c r="P68" s="49"/>
      <c r="Q68" s="51" t="n">
        <v>65534</v>
      </c>
      <c r="R68" s="44" t="n">
        <v>3</v>
      </c>
      <c r="S68" s="46" t="s">
        <v>456</v>
      </c>
      <c r="T68" s="74" t="n">
        <f aca="false">J68*J$1*R68</f>
        <v>19.116</v>
      </c>
      <c r="U68" s="74"/>
      <c r="V68" s="75" t="n">
        <v>149349</v>
      </c>
      <c r="W68" s="46"/>
      <c r="X68" s="72"/>
      <c r="Y68" s="72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3"/>
      <c r="IV68" s="73"/>
      <c r="IW68" s="73"/>
    </row>
    <row r="69" customFormat="false" ht="12.75" hidden="false" customHeight="false" outlineLevel="0" collapsed="false">
      <c r="A69" s="73"/>
      <c r="B69" s="46" t="s">
        <v>201</v>
      </c>
      <c r="C69" s="44" t="s">
        <v>391</v>
      </c>
      <c r="D69" s="44" t="s">
        <v>423</v>
      </c>
      <c r="E69" s="45" t="n">
        <v>36557</v>
      </c>
      <c r="F69" s="45" t="n">
        <v>36860</v>
      </c>
      <c r="G69" s="46" t="s">
        <v>419</v>
      </c>
      <c r="H69" s="46" t="s">
        <v>424</v>
      </c>
      <c r="I69" s="44" t="s">
        <v>117</v>
      </c>
      <c r="J69" s="58" t="n">
        <f aca="false">6.449/J$1</f>
        <v>0.214966666666667</v>
      </c>
      <c r="K69" s="49" t="n">
        <v>0.0132</v>
      </c>
      <c r="L69" s="49" t="n">
        <v>0.0022</v>
      </c>
      <c r="M69" s="49" t="n">
        <v>0.0072</v>
      </c>
      <c r="N69" s="49" t="n">
        <v>0</v>
      </c>
      <c r="O69" s="50" t="n">
        <v>0.02116</v>
      </c>
      <c r="P69" s="49" t="n">
        <f aca="false">SUM(J69:N69)</f>
        <v>0.237566666666667</v>
      </c>
      <c r="Q69" s="51" t="n">
        <v>65556</v>
      </c>
      <c r="R69" s="44" t="n">
        <v>3</v>
      </c>
      <c r="S69" s="46" t="s">
        <v>457</v>
      </c>
      <c r="T69" s="74" t="n">
        <f aca="false">J69*J$1*R69</f>
        <v>19.347</v>
      </c>
      <c r="U69" s="74"/>
      <c r="V69" s="75" t="n">
        <v>156602</v>
      </c>
      <c r="W69" s="46"/>
      <c r="X69" s="72"/>
      <c r="Y69" s="72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3"/>
      <c r="IV69" s="73"/>
      <c r="IW69" s="73"/>
    </row>
    <row r="70" customFormat="false" ht="12.75" hidden="false" customHeight="false" outlineLevel="0" collapsed="false">
      <c r="A70" s="73"/>
      <c r="B70" s="46" t="s">
        <v>201</v>
      </c>
      <c r="C70" s="44" t="s">
        <v>391</v>
      </c>
      <c r="D70" s="44" t="s">
        <v>207</v>
      </c>
      <c r="E70" s="45" t="n">
        <v>36557</v>
      </c>
      <c r="F70" s="45" t="n">
        <v>36922</v>
      </c>
      <c r="G70" s="46" t="s">
        <v>458</v>
      </c>
      <c r="H70" s="46" t="s">
        <v>459</v>
      </c>
      <c r="I70" s="44" t="s">
        <v>117</v>
      </c>
      <c r="J70" s="58" t="n">
        <f aca="false">6.449/J$1</f>
        <v>0.214966666666667</v>
      </c>
      <c r="K70" s="49"/>
      <c r="L70" s="49"/>
      <c r="M70" s="49"/>
      <c r="N70" s="49"/>
      <c r="O70" s="50"/>
      <c r="P70" s="49"/>
      <c r="Q70" s="51" t="n">
        <v>66280</v>
      </c>
      <c r="R70" s="44" t="n">
        <v>1</v>
      </c>
      <c r="S70" s="46" t="s">
        <v>460</v>
      </c>
      <c r="T70" s="74" t="n">
        <f aca="false">J70*J$1*R70</f>
        <v>6.449</v>
      </c>
      <c r="U70" s="74"/>
      <c r="V70" s="75" t="n">
        <v>156606</v>
      </c>
      <c r="W70" s="46"/>
      <c r="X70" s="72"/>
      <c r="Y70" s="72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3"/>
      <c r="IV70" s="73"/>
      <c r="IW70" s="73"/>
    </row>
    <row r="71" customFormat="false" ht="12.75" hidden="false" customHeight="false" outlineLevel="0" collapsed="false">
      <c r="A71" s="73"/>
      <c r="B71" s="46" t="s">
        <v>201</v>
      </c>
      <c r="C71" s="44" t="s">
        <v>391</v>
      </c>
      <c r="D71" s="44" t="s">
        <v>207</v>
      </c>
      <c r="E71" s="45" t="n">
        <v>36557</v>
      </c>
      <c r="F71" s="45" t="n">
        <v>36922</v>
      </c>
      <c r="G71" s="46" t="s">
        <v>458</v>
      </c>
      <c r="H71" s="46" t="s">
        <v>461</v>
      </c>
      <c r="I71" s="44" t="s">
        <v>117</v>
      </c>
      <c r="J71" s="58" t="n">
        <f aca="false">6.449/J$1</f>
        <v>0.214966666666667</v>
      </c>
      <c r="K71" s="49"/>
      <c r="L71" s="49"/>
      <c r="M71" s="49"/>
      <c r="N71" s="49"/>
      <c r="O71" s="50"/>
      <c r="P71" s="49"/>
      <c r="Q71" s="51" t="n">
        <v>66280</v>
      </c>
      <c r="R71" s="44" t="n">
        <v>4</v>
      </c>
      <c r="S71" s="46" t="s">
        <v>460</v>
      </c>
      <c r="T71" s="74" t="n">
        <f aca="false">J71*J$1*R71</f>
        <v>25.796</v>
      </c>
      <c r="U71" s="74"/>
      <c r="V71" s="75" t="n">
        <v>156606</v>
      </c>
      <c r="W71" s="46"/>
      <c r="X71" s="72"/>
      <c r="Y71" s="72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3"/>
      <c r="IV71" s="73"/>
      <c r="IW71" s="73"/>
    </row>
    <row r="72" customFormat="false" ht="12.75" hidden="false" customHeight="false" outlineLevel="0" collapsed="false">
      <c r="A72" s="73"/>
      <c r="B72" s="46" t="s">
        <v>201</v>
      </c>
      <c r="C72" s="44" t="s">
        <v>391</v>
      </c>
      <c r="D72" s="44" t="s">
        <v>207</v>
      </c>
      <c r="E72" s="45" t="n">
        <v>36656</v>
      </c>
      <c r="F72" s="45" t="n">
        <v>36950</v>
      </c>
      <c r="G72" s="46" t="s">
        <v>458</v>
      </c>
      <c r="H72" s="46" t="s">
        <v>459</v>
      </c>
      <c r="I72" s="44" t="s">
        <v>117</v>
      </c>
      <c r="J72" s="58" t="n">
        <v>6.449</v>
      </c>
      <c r="K72" s="49"/>
      <c r="L72" s="49"/>
      <c r="M72" s="49"/>
      <c r="N72" s="49"/>
      <c r="O72" s="50"/>
      <c r="P72" s="49"/>
      <c r="Q72" s="51" t="n">
        <v>68308</v>
      </c>
      <c r="R72" s="44" t="n">
        <v>5</v>
      </c>
      <c r="S72" s="46" t="s">
        <v>462</v>
      </c>
      <c r="T72" s="74" t="n">
        <f aca="false">+R72*J72</f>
        <v>32.245</v>
      </c>
      <c r="U72" s="74"/>
      <c r="V72" s="75" t="n">
        <v>262094</v>
      </c>
      <c r="W72" s="46"/>
      <c r="X72" s="72"/>
      <c r="Y72" s="72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3"/>
      <c r="IV72" s="73"/>
      <c r="IW72" s="73"/>
    </row>
    <row r="73" customFormat="false" ht="12.75" hidden="false" customHeight="false" outlineLevel="0" collapsed="false">
      <c r="A73" s="73"/>
      <c r="B73" s="46" t="s">
        <v>201</v>
      </c>
      <c r="C73" s="44" t="s">
        <v>391</v>
      </c>
      <c r="D73" s="44" t="s">
        <v>207</v>
      </c>
      <c r="E73" s="45" t="n">
        <v>36656</v>
      </c>
      <c r="F73" s="45" t="n">
        <v>36950</v>
      </c>
      <c r="G73" s="46" t="s">
        <v>458</v>
      </c>
      <c r="H73" s="46" t="s">
        <v>461</v>
      </c>
      <c r="I73" s="44" t="s">
        <v>117</v>
      </c>
      <c r="J73" s="58" t="n">
        <v>6.449</v>
      </c>
      <c r="K73" s="49"/>
      <c r="L73" s="49"/>
      <c r="M73" s="49"/>
      <c r="N73" s="49"/>
      <c r="O73" s="50"/>
      <c r="P73" s="49"/>
      <c r="Q73" s="51" t="n">
        <v>68308</v>
      </c>
      <c r="R73" s="44" t="n">
        <v>4</v>
      </c>
      <c r="S73" s="46" t="s">
        <v>462</v>
      </c>
      <c r="T73" s="74" t="n">
        <f aca="false">+R73*J73</f>
        <v>25.796</v>
      </c>
      <c r="U73" s="74"/>
      <c r="V73" s="75" t="n">
        <v>262094</v>
      </c>
      <c r="W73" s="46"/>
      <c r="X73" s="72"/>
      <c r="Y73" s="72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3"/>
      <c r="HC73" s="73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3"/>
      <c r="HR73" s="73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3"/>
      <c r="IG73" s="73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3"/>
      <c r="IV73" s="73"/>
      <c r="IW73" s="73"/>
    </row>
    <row r="74" customFormat="false" ht="12.75" hidden="false" customHeight="false" outlineLevel="0" collapsed="false">
      <c r="A74" s="73"/>
      <c r="B74" s="46" t="s">
        <v>249</v>
      </c>
      <c r="C74" s="44" t="s">
        <v>391</v>
      </c>
      <c r="D74" s="44" t="s">
        <v>207</v>
      </c>
      <c r="E74" s="45" t="n">
        <v>36617</v>
      </c>
      <c r="F74" s="45" t="n">
        <v>36655</v>
      </c>
      <c r="G74" s="46" t="s">
        <v>458</v>
      </c>
      <c r="H74" s="46" t="s">
        <v>459</v>
      </c>
      <c r="I74" s="44" t="s">
        <v>117</v>
      </c>
      <c r="J74" s="58" t="n">
        <v>6.449</v>
      </c>
      <c r="K74" s="49"/>
      <c r="L74" s="49"/>
      <c r="M74" s="49"/>
      <c r="N74" s="49"/>
      <c r="O74" s="50"/>
      <c r="P74" s="49"/>
      <c r="Q74" s="51" t="n">
        <v>66679</v>
      </c>
      <c r="R74" s="44" t="n">
        <v>5</v>
      </c>
      <c r="S74" s="46"/>
      <c r="T74" s="74" t="n">
        <f aca="false">+R74*J74</f>
        <v>32.245</v>
      </c>
      <c r="U74" s="74"/>
      <c r="V74" s="75" t="n">
        <v>262093</v>
      </c>
      <c r="W74" s="46"/>
      <c r="X74" s="72"/>
      <c r="Y74" s="72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3"/>
      <c r="IV74" s="73"/>
      <c r="IW74" s="73"/>
    </row>
    <row r="75" customFormat="false" ht="12.75" hidden="false" customHeight="false" outlineLevel="0" collapsed="false">
      <c r="A75" s="73"/>
      <c r="B75" s="46" t="s">
        <v>249</v>
      </c>
      <c r="C75" s="44" t="s">
        <v>391</v>
      </c>
      <c r="D75" s="44" t="s">
        <v>207</v>
      </c>
      <c r="E75" s="45" t="n">
        <v>36617</v>
      </c>
      <c r="F75" s="45" t="n">
        <v>36655</v>
      </c>
      <c r="G75" s="46" t="s">
        <v>458</v>
      </c>
      <c r="H75" s="46" t="s">
        <v>461</v>
      </c>
      <c r="I75" s="44" t="s">
        <v>117</v>
      </c>
      <c r="J75" s="58" t="n">
        <v>6.449</v>
      </c>
      <c r="K75" s="49"/>
      <c r="L75" s="49"/>
      <c r="M75" s="49"/>
      <c r="N75" s="49"/>
      <c r="O75" s="50"/>
      <c r="P75" s="49"/>
      <c r="Q75" s="51" t="n">
        <v>66679</v>
      </c>
      <c r="R75" s="44" t="n">
        <v>4</v>
      </c>
      <c r="S75" s="46"/>
      <c r="T75" s="74" t="n">
        <f aca="false">+R75*J75</f>
        <v>25.796</v>
      </c>
      <c r="U75" s="74"/>
      <c r="V75" s="75" t="n">
        <v>262093</v>
      </c>
      <c r="W75" s="46"/>
      <c r="X75" s="72"/>
      <c r="Y75" s="72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3"/>
      <c r="IV75" s="73"/>
      <c r="IW75" s="73"/>
    </row>
    <row r="76" customFormat="false" ht="12.75" hidden="false" customHeight="false" outlineLevel="0" collapsed="false">
      <c r="A76" s="73"/>
      <c r="B76" s="46" t="s">
        <v>201</v>
      </c>
      <c r="C76" s="44" t="s">
        <v>391</v>
      </c>
      <c r="D76" s="44" t="s">
        <v>463</v>
      </c>
      <c r="E76" s="45" t="n">
        <v>36617</v>
      </c>
      <c r="F76" s="45" t="s">
        <v>464</v>
      </c>
      <c r="G76" s="46" t="s">
        <v>465</v>
      </c>
      <c r="H76" s="46"/>
      <c r="I76" s="44" t="s">
        <v>466</v>
      </c>
      <c r="J76" s="58"/>
      <c r="K76" s="49"/>
      <c r="L76" s="49"/>
      <c r="M76" s="49"/>
      <c r="N76" s="49"/>
      <c r="O76" s="50"/>
      <c r="P76" s="49"/>
      <c r="Q76" s="51" t="n">
        <v>66917</v>
      </c>
      <c r="R76" s="44"/>
      <c r="S76" s="46"/>
      <c r="T76" s="74"/>
      <c r="U76" s="74"/>
      <c r="V76" s="75" t="n">
        <v>228085</v>
      </c>
      <c r="W76" s="46"/>
      <c r="X76" s="72"/>
      <c r="Y76" s="72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3"/>
      <c r="IV76" s="73"/>
      <c r="IW76" s="73"/>
    </row>
    <row r="77" customFormat="false" ht="12.75" hidden="false" customHeight="false" outlineLevel="0" collapsed="false">
      <c r="A77" s="73"/>
      <c r="B77" s="46" t="s">
        <v>201</v>
      </c>
      <c r="C77" s="44" t="s">
        <v>391</v>
      </c>
      <c r="D77" s="44" t="s">
        <v>207</v>
      </c>
      <c r="E77" s="45" t="n">
        <v>36617</v>
      </c>
      <c r="F77" s="45" t="n">
        <v>36981</v>
      </c>
      <c r="G77" s="46" t="s">
        <v>458</v>
      </c>
      <c r="H77" s="46" t="s">
        <v>459</v>
      </c>
      <c r="I77" s="44" t="s">
        <v>117</v>
      </c>
      <c r="J77" s="58" t="n">
        <v>6.401</v>
      </c>
      <c r="K77" s="49"/>
      <c r="L77" s="49"/>
      <c r="M77" s="49"/>
      <c r="N77" s="49"/>
      <c r="O77" s="50"/>
      <c r="P77" s="49"/>
      <c r="Q77" s="51" t="n">
        <v>66939</v>
      </c>
      <c r="R77" s="44" t="n">
        <v>5</v>
      </c>
      <c r="S77" s="46" t="s">
        <v>467</v>
      </c>
      <c r="T77" s="74" t="n">
        <f aca="false">+R77*J77</f>
        <v>32.005</v>
      </c>
      <c r="U77" s="74"/>
      <c r="V77" s="75"/>
      <c r="W77" s="46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3"/>
      <c r="IV77" s="73"/>
      <c r="IW77" s="73"/>
    </row>
    <row r="78" customFormat="false" ht="12.75" hidden="false" customHeight="false" outlineLevel="0" collapsed="false">
      <c r="A78" s="73"/>
      <c r="B78" s="46" t="s">
        <v>201</v>
      </c>
      <c r="C78" s="44" t="s">
        <v>391</v>
      </c>
      <c r="D78" s="44" t="s">
        <v>207</v>
      </c>
      <c r="E78" s="45" t="n">
        <v>36617</v>
      </c>
      <c r="F78" s="45" t="n">
        <v>36981</v>
      </c>
      <c r="G78" s="46" t="s">
        <v>458</v>
      </c>
      <c r="H78" s="46" t="s">
        <v>461</v>
      </c>
      <c r="I78" s="44" t="s">
        <v>117</v>
      </c>
      <c r="J78" s="58" t="n">
        <v>6.401</v>
      </c>
      <c r="K78" s="49"/>
      <c r="L78" s="49"/>
      <c r="M78" s="49"/>
      <c r="N78" s="49"/>
      <c r="O78" s="50"/>
      <c r="P78" s="49"/>
      <c r="Q78" s="51" t="n">
        <v>66939</v>
      </c>
      <c r="R78" s="44" t="n">
        <v>27</v>
      </c>
      <c r="S78" s="46" t="s">
        <v>467</v>
      </c>
      <c r="T78" s="74" t="n">
        <f aca="false">+R78*J78</f>
        <v>172.827</v>
      </c>
      <c r="U78" s="74"/>
      <c r="V78" s="75"/>
      <c r="W78" s="46"/>
      <c r="X78" s="72"/>
      <c r="Y78" s="72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3"/>
      <c r="IV78" s="73"/>
      <c r="IW78" s="73"/>
    </row>
    <row r="79" customFormat="false" ht="12.75" hidden="false" customHeight="false" outlineLevel="0" collapsed="false">
      <c r="A79" s="73"/>
      <c r="B79" s="46" t="s">
        <v>201</v>
      </c>
      <c r="C79" s="44" t="s">
        <v>391</v>
      </c>
      <c r="D79" s="44" t="s">
        <v>207</v>
      </c>
      <c r="E79" s="45" t="n">
        <v>36617</v>
      </c>
      <c r="F79" s="45" t="n">
        <v>36981</v>
      </c>
      <c r="G79" s="46" t="s">
        <v>458</v>
      </c>
      <c r="H79" s="46" t="s">
        <v>468</v>
      </c>
      <c r="I79" s="44" t="s">
        <v>117</v>
      </c>
      <c r="J79" s="58" t="n">
        <v>6.401</v>
      </c>
      <c r="K79" s="49"/>
      <c r="L79" s="49"/>
      <c r="M79" s="49"/>
      <c r="N79" s="49"/>
      <c r="O79" s="50"/>
      <c r="P79" s="49"/>
      <c r="Q79" s="51" t="n">
        <v>66939</v>
      </c>
      <c r="R79" s="44" t="n">
        <v>3</v>
      </c>
      <c r="S79" s="46" t="s">
        <v>467</v>
      </c>
      <c r="T79" s="74" t="n">
        <f aca="false">+R79*J79</f>
        <v>19.203</v>
      </c>
      <c r="U79" s="74"/>
      <c r="V79" s="75"/>
      <c r="W79" s="46"/>
      <c r="X79" s="72"/>
      <c r="Y79" s="72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3"/>
      <c r="IV79" s="73"/>
      <c r="IW79" s="73"/>
    </row>
    <row r="80" customFormat="false" ht="12.75" hidden="false" customHeight="false" outlineLevel="0" collapsed="false">
      <c r="A80" s="73"/>
      <c r="B80" s="46" t="s">
        <v>201</v>
      </c>
      <c r="C80" s="44" t="s">
        <v>391</v>
      </c>
      <c r="D80" s="44" t="s">
        <v>207</v>
      </c>
      <c r="E80" s="45" t="n">
        <v>36617</v>
      </c>
      <c r="F80" s="45" t="n">
        <v>36981</v>
      </c>
      <c r="G80" s="46" t="s">
        <v>458</v>
      </c>
      <c r="H80" s="46" t="s">
        <v>469</v>
      </c>
      <c r="I80" s="44" t="s">
        <v>117</v>
      </c>
      <c r="J80" s="58" t="n">
        <v>6.401</v>
      </c>
      <c r="K80" s="49"/>
      <c r="L80" s="49"/>
      <c r="M80" s="49"/>
      <c r="N80" s="49"/>
      <c r="O80" s="50"/>
      <c r="P80" s="49"/>
      <c r="Q80" s="51" t="n">
        <v>66939</v>
      </c>
      <c r="R80" s="44" t="n">
        <v>17</v>
      </c>
      <c r="S80" s="46" t="s">
        <v>467</v>
      </c>
      <c r="T80" s="74" t="n">
        <f aca="false">+R80*J80</f>
        <v>108.817</v>
      </c>
      <c r="U80" s="74"/>
      <c r="V80" s="75"/>
      <c r="W80" s="46"/>
      <c r="X80" s="72"/>
      <c r="Y80" s="72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3"/>
      <c r="IV80" s="73"/>
      <c r="IW80" s="73"/>
    </row>
    <row r="81" customFormat="false" ht="12.75" hidden="false" customHeight="false" outlineLevel="0" collapsed="false">
      <c r="A81" s="73"/>
      <c r="B81" s="46" t="s">
        <v>201</v>
      </c>
      <c r="C81" s="44" t="s">
        <v>391</v>
      </c>
      <c r="D81" s="44" t="s">
        <v>211</v>
      </c>
      <c r="E81" s="45" t="n">
        <v>36617</v>
      </c>
      <c r="F81" s="45" t="n">
        <v>36646</v>
      </c>
      <c r="G81" s="46" t="s">
        <v>458</v>
      </c>
      <c r="H81" s="46" t="n">
        <v>54</v>
      </c>
      <c r="I81" s="44" t="s">
        <v>117</v>
      </c>
      <c r="J81" s="58" t="n">
        <v>6.401</v>
      </c>
      <c r="K81" s="49"/>
      <c r="L81" s="49"/>
      <c r="M81" s="49"/>
      <c r="N81" s="49"/>
      <c r="O81" s="50"/>
      <c r="P81" s="49"/>
      <c r="Q81" s="51" t="n">
        <v>66936</v>
      </c>
      <c r="R81" s="44" t="n">
        <v>168</v>
      </c>
      <c r="S81" s="46"/>
      <c r="T81" s="74" t="n">
        <f aca="false">+R81*J81</f>
        <v>1075.368</v>
      </c>
      <c r="U81" s="74"/>
      <c r="V81" s="75" t="n">
        <v>228176</v>
      </c>
      <c r="W81" s="46"/>
      <c r="X81" s="72"/>
      <c r="Y81" s="72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3"/>
      <c r="IV81" s="73"/>
      <c r="IW81" s="73"/>
    </row>
    <row r="82" customFormat="false" ht="12.75" hidden="false" customHeight="false" outlineLevel="0" collapsed="false">
      <c r="A82" s="73"/>
      <c r="B82" s="46" t="s">
        <v>201</v>
      </c>
      <c r="C82" s="44" t="s">
        <v>391</v>
      </c>
      <c r="D82" s="44" t="s">
        <v>470</v>
      </c>
      <c r="E82" s="45" t="n">
        <v>36617</v>
      </c>
      <c r="F82" s="45" t="n">
        <v>36981</v>
      </c>
      <c r="G82" s="46" t="s">
        <v>458</v>
      </c>
      <c r="H82" s="46" t="s">
        <v>471</v>
      </c>
      <c r="I82" s="44" t="s">
        <v>117</v>
      </c>
      <c r="J82" s="58" t="n">
        <v>6.401</v>
      </c>
      <c r="K82" s="49"/>
      <c r="L82" s="49"/>
      <c r="M82" s="49"/>
      <c r="N82" s="49"/>
      <c r="O82" s="50"/>
      <c r="P82" s="49"/>
      <c r="Q82" s="51" t="n">
        <v>66940</v>
      </c>
      <c r="R82" s="44" t="n">
        <v>1</v>
      </c>
      <c r="S82" s="46" t="s">
        <v>472</v>
      </c>
      <c r="T82" s="74" t="n">
        <f aca="false">+R82*J82</f>
        <v>6.401</v>
      </c>
      <c r="U82" s="74"/>
      <c r="V82" s="75" t="n">
        <v>228134</v>
      </c>
      <c r="W82" s="46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3"/>
      <c r="IV82" s="73"/>
      <c r="IW82" s="73"/>
    </row>
    <row r="83" customFormat="false" ht="12.75" hidden="false" customHeight="false" outlineLevel="0" collapsed="false">
      <c r="A83" s="73"/>
      <c r="B83" s="46" t="s">
        <v>201</v>
      </c>
      <c r="C83" s="44" t="s">
        <v>391</v>
      </c>
      <c r="D83" s="44" t="s">
        <v>470</v>
      </c>
      <c r="E83" s="45" t="n">
        <v>36617</v>
      </c>
      <c r="F83" s="45" t="n">
        <v>36981</v>
      </c>
      <c r="G83" s="46" t="s">
        <v>458</v>
      </c>
      <c r="H83" s="46" t="s">
        <v>473</v>
      </c>
      <c r="I83" s="44" t="s">
        <v>117</v>
      </c>
      <c r="J83" s="58" t="n">
        <v>6.401</v>
      </c>
      <c r="K83" s="49"/>
      <c r="L83" s="49"/>
      <c r="M83" s="49"/>
      <c r="N83" s="49"/>
      <c r="O83" s="50"/>
      <c r="P83" s="49"/>
      <c r="Q83" s="51" t="n">
        <v>66940</v>
      </c>
      <c r="R83" s="44" t="n">
        <v>1</v>
      </c>
      <c r="S83" s="46" t="s">
        <v>472</v>
      </c>
      <c r="T83" s="74" t="n">
        <f aca="false">+R83*J83</f>
        <v>6.401</v>
      </c>
      <c r="U83" s="74"/>
      <c r="V83" s="75" t="n">
        <v>228134</v>
      </c>
      <c r="W83" s="46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3"/>
      <c r="IV83" s="73"/>
      <c r="IW83" s="73"/>
    </row>
    <row r="84" customFormat="false" ht="12.75" hidden="false" customHeight="false" outlineLevel="0" collapsed="false">
      <c r="A84" s="73"/>
      <c r="B84" s="46" t="s">
        <v>201</v>
      </c>
      <c r="C84" s="44" t="s">
        <v>391</v>
      </c>
      <c r="D84" s="44" t="s">
        <v>474</v>
      </c>
      <c r="E84" s="45" t="n">
        <v>36647</v>
      </c>
      <c r="F84" s="45" t="n">
        <v>36677</v>
      </c>
      <c r="G84" s="46" t="s">
        <v>458</v>
      </c>
      <c r="H84" s="46" t="n">
        <v>22</v>
      </c>
      <c r="I84" s="44" t="s">
        <v>117</v>
      </c>
      <c r="J84" s="58" t="n">
        <v>0.01</v>
      </c>
      <c r="K84" s="49"/>
      <c r="L84" s="49"/>
      <c r="M84" s="49"/>
      <c r="N84" s="49"/>
      <c r="O84" s="50"/>
      <c r="P84" s="49"/>
      <c r="Q84" s="51" t="n">
        <v>67832</v>
      </c>
      <c r="R84" s="44" t="n">
        <v>8527</v>
      </c>
      <c r="S84" s="46"/>
      <c r="T84" s="74" t="n">
        <f aca="false">+J84*R84*13</f>
        <v>1108.51</v>
      </c>
      <c r="U84" s="74"/>
      <c r="V84" s="75" t="n">
        <v>242666</v>
      </c>
      <c r="W84" s="46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</row>
    <row r="85" customFormat="false" ht="12.75" hidden="false" customHeight="false" outlineLevel="0" collapsed="false">
      <c r="A85" s="73"/>
      <c r="B85" s="46" t="s">
        <v>201</v>
      </c>
      <c r="C85" s="44" t="s">
        <v>391</v>
      </c>
      <c r="D85" s="44" t="s">
        <v>474</v>
      </c>
      <c r="E85" s="45" t="n">
        <v>36647</v>
      </c>
      <c r="F85" s="45" t="n">
        <v>36677</v>
      </c>
      <c r="G85" s="46" t="s">
        <v>458</v>
      </c>
      <c r="H85" s="46" t="n">
        <v>22</v>
      </c>
      <c r="I85" s="44" t="s">
        <v>117</v>
      </c>
      <c r="J85" s="58" t="n">
        <v>0.01</v>
      </c>
      <c r="K85" s="49"/>
      <c r="L85" s="49"/>
      <c r="M85" s="49"/>
      <c r="N85" s="49"/>
      <c r="O85" s="50"/>
      <c r="P85" s="49"/>
      <c r="Q85" s="51" t="n">
        <v>67833</v>
      </c>
      <c r="R85" s="44" t="n">
        <v>3000</v>
      </c>
      <c r="S85" s="46"/>
      <c r="T85" s="74" t="n">
        <f aca="false">+J85*R85*13</f>
        <v>390</v>
      </c>
      <c r="U85" s="74"/>
      <c r="V85" s="75" t="n">
        <v>242667</v>
      </c>
      <c r="W85" s="46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customFormat="false" ht="12.75" hidden="false" customHeight="false" outlineLevel="0" collapsed="false">
      <c r="A86" s="73"/>
      <c r="B86" s="46" t="s">
        <v>201</v>
      </c>
      <c r="C86" s="44" t="s">
        <v>391</v>
      </c>
      <c r="D86" s="44" t="s">
        <v>474</v>
      </c>
      <c r="E86" s="45" t="n">
        <v>36647</v>
      </c>
      <c r="F86" s="45" t="n">
        <v>36677</v>
      </c>
      <c r="G86" s="46" t="s">
        <v>458</v>
      </c>
      <c r="H86" s="46" t="n">
        <v>22</v>
      </c>
      <c r="I86" s="44" t="s">
        <v>117</v>
      </c>
      <c r="J86" s="58" t="n">
        <v>0.01</v>
      </c>
      <c r="K86" s="49"/>
      <c r="L86" s="49"/>
      <c r="M86" s="49"/>
      <c r="N86" s="49"/>
      <c r="O86" s="50"/>
      <c r="P86" s="49"/>
      <c r="Q86" s="51" t="n">
        <v>67834</v>
      </c>
      <c r="R86" s="44" t="n">
        <v>3473</v>
      </c>
      <c r="S86" s="46"/>
      <c r="T86" s="74" t="n">
        <f aca="false">+J86*R86*13</f>
        <v>451.49</v>
      </c>
      <c r="U86" s="74"/>
      <c r="V86" s="75" t="n">
        <v>242669</v>
      </c>
      <c r="W86" s="46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  <c r="GX86" s="73"/>
      <c r="GY86" s="73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3"/>
      <c r="HK86" s="73"/>
      <c r="HL86" s="73"/>
      <c r="HM86" s="73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3"/>
      <c r="HY86" s="73"/>
      <c r="HZ86" s="73"/>
      <c r="IA86" s="73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3"/>
      <c r="IM86" s="73"/>
      <c r="IN86" s="73"/>
      <c r="IO86" s="73"/>
      <c r="IP86" s="73"/>
      <c r="IQ86" s="73"/>
      <c r="IR86" s="73"/>
      <c r="IS86" s="73"/>
      <c r="IT86" s="73"/>
      <c r="IU86" s="73"/>
      <c r="IV86" s="73"/>
      <c r="IW86" s="73"/>
    </row>
    <row r="87" customFormat="false" ht="12.75" hidden="false" customHeight="false" outlineLevel="0" collapsed="false">
      <c r="A87" s="73"/>
      <c r="B87" s="46" t="s">
        <v>201</v>
      </c>
      <c r="C87" s="44" t="s">
        <v>391</v>
      </c>
      <c r="D87" s="44" t="s">
        <v>470</v>
      </c>
      <c r="E87" s="45" t="n">
        <v>36647</v>
      </c>
      <c r="F87" s="45" t="n">
        <v>37011</v>
      </c>
      <c r="G87" s="46" t="s">
        <v>475</v>
      </c>
      <c r="H87" s="46" t="s">
        <v>476</v>
      </c>
      <c r="I87" s="44" t="s">
        <v>117</v>
      </c>
      <c r="J87" s="58" t="n">
        <f aca="false">6.401/J1</f>
        <v>0.213366666666667</v>
      </c>
      <c r="K87" s="49"/>
      <c r="L87" s="49"/>
      <c r="M87" s="49"/>
      <c r="N87" s="49"/>
      <c r="O87" s="50"/>
      <c r="P87" s="49"/>
      <c r="Q87" s="51" t="n">
        <v>68188</v>
      </c>
      <c r="R87" s="44" t="n">
        <v>1</v>
      </c>
      <c r="S87" s="46" t="s">
        <v>477</v>
      </c>
      <c r="T87" s="74" t="n">
        <f aca="false">+J87*R87*13</f>
        <v>2.77376666666667</v>
      </c>
      <c r="U87" s="74"/>
      <c r="V87" s="75" t="n">
        <v>253195</v>
      </c>
      <c r="W87" s="46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  <c r="IQ87" s="73"/>
      <c r="IR87" s="73"/>
      <c r="IS87" s="73"/>
      <c r="IT87" s="73"/>
      <c r="IU87" s="73"/>
      <c r="IV87" s="73"/>
      <c r="IW87" s="73"/>
    </row>
    <row r="88" customFormat="false" ht="12.75" hidden="false" customHeight="false" outlineLevel="0" collapsed="false">
      <c r="A88" s="73"/>
      <c r="B88" s="46" t="s">
        <v>201</v>
      </c>
      <c r="C88" s="44" t="s">
        <v>391</v>
      </c>
      <c r="D88" s="44" t="s">
        <v>470</v>
      </c>
      <c r="E88" s="45" t="n">
        <v>36617</v>
      </c>
      <c r="F88" s="45" t="n">
        <v>36981</v>
      </c>
      <c r="G88" s="46" t="s">
        <v>458</v>
      </c>
      <c r="H88" s="46" t="s">
        <v>478</v>
      </c>
      <c r="I88" s="44" t="s">
        <v>117</v>
      </c>
      <c r="J88" s="58" t="n">
        <v>6.401</v>
      </c>
      <c r="K88" s="49"/>
      <c r="L88" s="49"/>
      <c r="M88" s="49"/>
      <c r="N88" s="49"/>
      <c r="O88" s="50"/>
      <c r="P88" s="49"/>
      <c r="Q88" s="51" t="n">
        <v>66940</v>
      </c>
      <c r="R88" s="44" t="n">
        <v>2</v>
      </c>
      <c r="S88" s="46" t="s">
        <v>472</v>
      </c>
      <c r="T88" s="74" t="n">
        <f aca="false">+R88*J88</f>
        <v>12.802</v>
      </c>
      <c r="U88" s="74"/>
      <c r="V88" s="75"/>
      <c r="W88" s="46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  <c r="IT88" s="73"/>
      <c r="IU88" s="73"/>
      <c r="IV88" s="73"/>
      <c r="IW88" s="73"/>
    </row>
    <row r="89" customFormat="false" ht="12.75" hidden="false" customHeight="false" outlineLevel="0" collapsed="false">
      <c r="A89" s="73"/>
      <c r="B89" s="46" t="s">
        <v>201</v>
      </c>
      <c r="C89" s="44" t="s">
        <v>391</v>
      </c>
      <c r="D89" s="44" t="s">
        <v>203</v>
      </c>
      <c r="E89" s="45" t="n">
        <v>36647</v>
      </c>
      <c r="F89" s="45" t="n">
        <v>37011</v>
      </c>
      <c r="G89" s="46" t="s">
        <v>458</v>
      </c>
      <c r="H89" s="46" t="s">
        <v>479</v>
      </c>
      <c r="I89" s="44" t="s">
        <v>117</v>
      </c>
      <c r="J89" s="58" t="n">
        <v>6.401</v>
      </c>
      <c r="K89" s="49"/>
      <c r="L89" s="49"/>
      <c r="M89" s="49"/>
      <c r="N89" s="49"/>
      <c r="O89" s="50"/>
      <c r="P89" s="49"/>
      <c r="Q89" s="51" t="n">
        <v>68109</v>
      </c>
      <c r="R89" s="44" t="n">
        <v>21</v>
      </c>
      <c r="S89" s="46" t="s">
        <v>480</v>
      </c>
      <c r="T89" s="74" t="n">
        <f aca="false">+R89*J89</f>
        <v>134.421</v>
      </c>
      <c r="U89" s="74"/>
      <c r="V89" s="75" t="n">
        <v>254718</v>
      </c>
      <c r="W89" s="46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3"/>
      <c r="FU89" s="73"/>
      <c r="FV89" s="73"/>
      <c r="FW89" s="73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3"/>
      <c r="GI89" s="73"/>
      <c r="GJ89" s="73"/>
      <c r="GK89" s="73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3"/>
      <c r="GW89" s="73"/>
      <c r="GX89" s="73"/>
      <c r="GY89" s="73"/>
      <c r="GZ89" s="73"/>
      <c r="HA89" s="73"/>
      <c r="HB89" s="73"/>
      <c r="HC89" s="73"/>
      <c r="HD89" s="73"/>
      <c r="HE89" s="73"/>
      <c r="HF89" s="73"/>
      <c r="HG89" s="73"/>
      <c r="HH89" s="73"/>
      <c r="HI89" s="73"/>
      <c r="HJ89" s="73"/>
      <c r="HK89" s="73"/>
      <c r="HL89" s="73"/>
      <c r="HM89" s="73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3"/>
      <c r="HY89" s="73"/>
      <c r="HZ89" s="73"/>
      <c r="IA89" s="73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3"/>
      <c r="IM89" s="73"/>
      <c r="IN89" s="73"/>
      <c r="IO89" s="73"/>
      <c r="IP89" s="73"/>
      <c r="IQ89" s="73"/>
      <c r="IR89" s="73"/>
      <c r="IS89" s="73"/>
      <c r="IT89" s="73"/>
      <c r="IU89" s="73"/>
      <c r="IV89" s="73"/>
      <c r="IW89" s="73"/>
    </row>
    <row r="90" customFormat="false" ht="12.75" hidden="false" customHeight="false" outlineLevel="0" collapsed="false">
      <c r="T90" s="74" t="n">
        <f aca="false">+R90*J90</f>
        <v>0</v>
      </c>
    </row>
    <row r="91" customFormat="false" ht="12.75" hidden="false" customHeight="false" outlineLevel="0" collapsed="false">
      <c r="B91" s="118" t="s">
        <v>113</v>
      </c>
      <c r="C91" s="119" t="s">
        <v>113</v>
      </c>
      <c r="D91" s="119" t="s">
        <v>113</v>
      </c>
      <c r="E91" s="121" t="s">
        <v>113</v>
      </c>
      <c r="F91" s="121" t="s">
        <v>113</v>
      </c>
      <c r="G91" s="118" t="s">
        <v>113</v>
      </c>
      <c r="H91" s="122" t="s">
        <v>113</v>
      </c>
      <c r="I91" s="119" t="s">
        <v>113</v>
      </c>
      <c r="J91" s="123"/>
      <c r="K91" s="124"/>
      <c r="L91" s="124"/>
      <c r="M91" s="124"/>
      <c r="N91" s="124"/>
      <c r="O91" s="125"/>
      <c r="P91" s="124"/>
      <c r="Q91" s="126" t="s">
        <v>113</v>
      </c>
      <c r="R91" s="119" t="n">
        <f aca="false">SUM(R48:R89)</f>
        <v>6237432</v>
      </c>
      <c r="S91" s="118" t="s">
        <v>113</v>
      </c>
      <c r="T91" s="127" t="n">
        <f aca="false">SUM(T38:T89)</f>
        <v>1065235.45976667</v>
      </c>
      <c r="U91" s="127" t="e">
        <f aca="false">SUM(#REF!)</f>
        <v>#REF!</v>
      </c>
      <c r="V91" s="128"/>
      <c r="W91" s="122"/>
      <c r="X91" s="72"/>
      <c r="Y91" s="72"/>
    </row>
    <row r="92" customFormat="false" ht="12.75" hidden="false" customHeight="false" outlineLevel="0" collapsed="false">
      <c r="B92" s="63" t="s">
        <v>181</v>
      </c>
      <c r="C92" s="64" t="s">
        <v>182</v>
      </c>
      <c r="D92" s="64" t="s">
        <v>183</v>
      </c>
      <c r="E92" s="65" t="s">
        <v>184</v>
      </c>
      <c r="F92" s="65"/>
      <c r="G92" s="63" t="s">
        <v>185</v>
      </c>
      <c r="H92" s="63" t="s">
        <v>186</v>
      </c>
      <c r="I92" s="64" t="s">
        <v>187</v>
      </c>
      <c r="J92" s="66" t="s">
        <v>188</v>
      </c>
      <c r="K92" s="64" t="s">
        <v>189</v>
      </c>
      <c r="L92" s="64" t="s">
        <v>190</v>
      </c>
      <c r="M92" s="64" t="s">
        <v>191</v>
      </c>
      <c r="N92" s="64" t="s">
        <v>192</v>
      </c>
      <c r="O92" s="67" t="s">
        <v>193</v>
      </c>
      <c r="P92" s="64" t="s">
        <v>194</v>
      </c>
      <c r="Q92" s="68" t="s">
        <v>195</v>
      </c>
      <c r="R92" s="64" t="s">
        <v>196</v>
      </c>
      <c r="S92" s="63" t="s">
        <v>197</v>
      </c>
      <c r="T92" s="69" t="s">
        <v>198</v>
      </c>
      <c r="U92" s="69" t="s">
        <v>199</v>
      </c>
      <c r="V92" s="70" t="s">
        <v>200</v>
      </c>
      <c r="W92" s="71" t="n">
        <f aca="false">+W52</f>
        <v>0</v>
      </c>
      <c r="X92" s="72"/>
      <c r="Y92" s="72"/>
    </row>
    <row r="93" customFormat="false" ht="12.75" hidden="false" customHeight="false" outlineLevel="0" collapsed="false">
      <c r="A93" s="73"/>
      <c r="B93" s="46" t="s">
        <v>201</v>
      </c>
      <c r="C93" s="44" t="s">
        <v>202</v>
      </c>
      <c r="D93" s="44" t="s">
        <v>203</v>
      </c>
      <c r="E93" s="45" t="n">
        <v>36281</v>
      </c>
      <c r="F93" s="45" t="n">
        <v>36646</v>
      </c>
      <c r="G93" s="46" t="s">
        <v>204</v>
      </c>
      <c r="H93" s="46" t="s">
        <v>205</v>
      </c>
      <c r="I93" s="44" t="s">
        <v>206</v>
      </c>
      <c r="J93" s="58" t="n">
        <f aca="false">3.145/J$1</f>
        <v>0.104833333333333</v>
      </c>
      <c r="K93" s="49" t="n">
        <v>0.0132</v>
      </c>
      <c r="L93" s="49" t="n">
        <v>0.0022</v>
      </c>
      <c r="M93" s="49" t="n">
        <v>0</v>
      </c>
      <c r="N93" s="49" t="n">
        <v>0</v>
      </c>
      <c r="O93" s="50" t="n">
        <v>0.02116</v>
      </c>
      <c r="P93" s="49" t="n">
        <f aca="false">SUM(J93:N93)</f>
        <v>0.120233333333333</v>
      </c>
      <c r="Q93" s="51" t="n">
        <v>63562</v>
      </c>
      <c r="R93" s="44" t="n">
        <v>34</v>
      </c>
      <c r="S93" s="46"/>
      <c r="T93" s="74" t="n">
        <f aca="false">J93*J$1*R93</f>
        <v>106.93</v>
      </c>
      <c r="U93" s="74"/>
      <c r="V93" s="75" t="n">
        <v>156613</v>
      </c>
      <c r="W93" s="46"/>
      <c r="X93" s="72"/>
      <c r="Y93" s="72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  <c r="FV93" s="73"/>
      <c r="FW93" s="73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3"/>
      <c r="GI93" s="73"/>
      <c r="GJ93" s="73"/>
      <c r="GK93" s="73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3"/>
      <c r="GW93" s="73"/>
      <c r="GX93" s="73"/>
      <c r="GY93" s="73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3"/>
      <c r="HK93" s="73"/>
      <c r="HL93" s="73"/>
      <c r="HM93" s="73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3"/>
      <c r="HY93" s="73"/>
      <c r="HZ93" s="73"/>
      <c r="IA93" s="73"/>
      <c r="IB93" s="73"/>
      <c r="IC93" s="73"/>
      <c r="ID93" s="73"/>
      <c r="IE93" s="73"/>
      <c r="IF93" s="73"/>
      <c r="IG93" s="73"/>
      <c r="IH93" s="73"/>
      <c r="II93" s="73"/>
      <c r="IJ93" s="73"/>
      <c r="IK93" s="73"/>
      <c r="IL93" s="73"/>
      <c r="IM93" s="73"/>
      <c r="IN93" s="73"/>
      <c r="IO93" s="73"/>
      <c r="IP93" s="73"/>
      <c r="IQ93" s="73"/>
      <c r="IR93" s="73"/>
      <c r="IS93" s="73"/>
      <c r="IT93" s="73"/>
      <c r="IU93" s="73"/>
      <c r="IV93" s="73"/>
      <c r="IW93" s="73"/>
    </row>
    <row r="94" customFormat="false" ht="12.75" hidden="false" customHeight="false" outlineLevel="0" collapsed="false">
      <c r="A94" s="73"/>
      <c r="B94" s="46" t="s">
        <v>201</v>
      </c>
      <c r="C94" s="44" t="s">
        <v>202</v>
      </c>
      <c r="D94" s="44" t="s">
        <v>203</v>
      </c>
      <c r="E94" s="45" t="n">
        <v>36312</v>
      </c>
      <c r="F94" s="45" t="n">
        <v>36677</v>
      </c>
      <c r="G94" s="46" t="s">
        <v>204</v>
      </c>
      <c r="H94" s="46" t="s">
        <v>205</v>
      </c>
      <c r="I94" s="44" t="s">
        <v>206</v>
      </c>
      <c r="J94" s="58" t="n">
        <f aca="false">3.145/J$1</f>
        <v>0.104833333333333</v>
      </c>
      <c r="K94" s="49" t="n">
        <v>0.0132</v>
      </c>
      <c r="L94" s="49" t="n">
        <v>0.0022</v>
      </c>
      <c r="M94" s="49" t="n">
        <v>0</v>
      </c>
      <c r="N94" s="49" t="n">
        <v>0</v>
      </c>
      <c r="O94" s="50" t="n">
        <v>0.02116</v>
      </c>
      <c r="P94" s="49" t="n">
        <f aca="false">SUM(J94:N94)</f>
        <v>0.120233333333333</v>
      </c>
      <c r="Q94" s="51" t="n">
        <v>63823</v>
      </c>
      <c r="R94" s="44" t="n">
        <v>310</v>
      </c>
      <c r="S94" s="46"/>
      <c r="T94" s="74" t="n">
        <f aca="false">J94*J$1*R94</f>
        <v>974.95</v>
      </c>
      <c r="U94" s="74"/>
      <c r="V94" s="75" t="n">
        <v>156615</v>
      </c>
      <c r="W94" s="46"/>
      <c r="X94" s="72"/>
      <c r="Y94" s="72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3"/>
      <c r="IQ94" s="73"/>
      <c r="IR94" s="73"/>
      <c r="IS94" s="73"/>
      <c r="IT94" s="73"/>
      <c r="IU94" s="73"/>
      <c r="IV94" s="73"/>
      <c r="IW94" s="73"/>
    </row>
    <row r="95" customFormat="false" ht="12.75" hidden="false" customHeight="false" outlineLevel="0" collapsed="false">
      <c r="A95" s="73"/>
      <c r="B95" s="46" t="s">
        <v>201</v>
      </c>
      <c r="C95" s="44" t="s">
        <v>202</v>
      </c>
      <c r="D95" s="44" t="s">
        <v>207</v>
      </c>
      <c r="E95" s="45" t="n">
        <v>36312</v>
      </c>
      <c r="F95" s="45" t="n">
        <v>36677</v>
      </c>
      <c r="G95" s="46" t="s">
        <v>204</v>
      </c>
      <c r="H95" s="46" t="s">
        <v>205</v>
      </c>
      <c r="I95" s="44" t="s">
        <v>206</v>
      </c>
      <c r="J95" s="58" t="n">
        <f aca="false">3.145/J$1</f>
        <v>0.104833333333333</v>
      </c>
      <c r="K95" s="49" t="n">
        <v>0.0132</v>
      </c>
      <c r="L95" s="49" t="n">
        <v>0.0022</v>
      </c>
      <c r="M95" s="49" t="n">
        <v>0</v>
      </c>
      <c r="N95" s="49" t="n">
        <v>0</v>
      </c>
      <c r="O95" s="50" t="n">
        <v>0.02116</v>
      </c>
      <c r="P95" s="49" t="n">
        <f aca="false">SUM(J95:N95)</f>
        <v>0.120233333333333</v>
      </c>
      <c r="Q95" s="51" t="n">
        <v>63826</v>
      </c>
      <c r="R95" s="44" t="n">
        <v>218</v>
      </c>
      <c r="S95" s="46"/>
      <c r="T95" s="74" t="n">
        <f aca="false">J95*J$1*R95</f>
        <v>685.61</v>
      </c>
      <c r="U95" s="74"/>
      <c r="V95" s="75" t="n">
        <v>156617</v>
      </c>
      <c r="W95" s="46"/>
      <c r="X95" s="72"/>
      <c r="Y95" s="72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3"/>
      <c r="IM95" s="73"/>
      <c r="IN95" s="73"/>
      <c r="IO95" s="73"/>
      <c r="IP95" s="73"/>
      <c r="IQ95" s="73"/>
      <c r="IR95" s="73"/>
      <c r="IS95" s="73"/>
      <c r="IT95" s="73"/>
      <c r="IU95" s="73"/>
      <c r="IV95" s="73"/>
      <c r="IW95" s="73"/>
    </row>
    <row r="96" customFormat="false" ht="12.75" hidden="false" customHeight="false" outlineLevel="0" collapsed="false">
      <c r="A96" s="73"/>
      <c r="B96" s="46" t="s">
        <v>201</v>
      </c>
      <c r="C96" s="44" t="s">
        <v>202</v>
      </c>
      <c r="D96" s="44" t="s">
        <v>207</v>
      </c>
      <c r="E96" s="45" t="n">
        <v>36342</v>
      </c>
      <c r="F96" s="45" t="n">
        <v>36707</v>
      </c>
      <c r="G96" s="46" t="s">
        <v>204</v>
      </c>
      <c r="H96" s="46" t="s">
        <v>205</v>
      </c>
      <c r="I96" s="44" t="s">
        <v>206</v>
      </c>
      <c r="J96" s="58" t="n">
        <f aca="false">3.145/J$1</f>
        <v>0.104833333333333</v>
      </c>
      <c r="K96" s="49" t="n">
        <v>0.0132</v>
      </c>
      <c r="L96" s="49" t="n">
        <v>0.0022</v>
      </c>
      <c r="M96" s="49" t="n">
        <v>0</v>
      </c>
      <c r="N96" s="49" t="n">
        <v>0</v>
      </c>
      <c r="O96" s="50" t="n">
        <v>0.02116</v>
      </c>
      <c r="P96" s="49" t="n">
        <f aca="false">SUM(J96:N96)</f>
        <v>0.120233333333333</v>
      </c>
      <c r="Q96" s="51" t="n">
        <v>64033</v>
      </c>
      <c r="R96" s="44" t="n">
        <v>1</v>
      </c>
      <c r="S96" s="46"/>
      <c r="T96" s="74" t="n">
        <f aca="false">J96*J$1*R96</f>
        <v>3.145</v>
      </c>
      <c r="U96" s="74"/>
      <c r="V96" s="75" t="n">
        <v>156618</v>
      </c>
      <c r="W96" s="46"/>
      <c r="X96" s="72"/>
      <c r="Y96" s="72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  <c r="HL96" s="73"/>
      <c r="HM96" s="73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3"/>
      <c r="HY96" s="73"/>
      <c r="HZ96" s="73"/>
      <c r="IA96" s="73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3"/>
      <c r="IM96" s="73"/>
      <c r="IN96" s="73"/>
      <c r="IO96" s="73"/>
      <c r="IP96" s="73"/>
      <c r="IQ96" s="73"/>
      <c r="IR96" s="73"/>
      <c r="IS96" s="73"/>
      <c r="IT96" s="73"/>
      <c r="IU96" s="73"/>
      <c r="IV96" s="73"/>
      <c r="IW96" s="73"/>
    </row>
    <row r="97" customFormat="false" ht="12.75" hidden="false" customHeight="false" outlineLevel="0" collapsed="false">
      <c r="A97" s="73"/>
      <c r="B97" s="46" t="s">
        <v>201</v>
      </c>
      <c r="C97" s="44" t="s">
        <v>202</v>
      </c>
      <c r="D97" s="44" t="s">
        <v>203</v>
      </c>
      <c r="E97" s="45" t="n">
        <v>36342</v>
      </c>
      <c r="F97" s="45" t="n">
        <v>36707</v>
      </c>
      <c r="G97" s="46" t="s">
        <v>204</v>
      </c>
      <c r="H97" s="46" t="s">
        <v>205</v>
      </c>
      <c r="I97" s="44" t="s">
        <v>206</v>
      </c>
      <c r="J97" s="58" t="n">
        <f aca="false">3.145/J$1</f>
        <v>0.104833333333333</v>
      </c>
      <c r="K97" s="49" t="n">
        <v>0.0132</v>
      </c>
      <c r="L97" s="49" t="n">
        <v>0.0022</v>
      </c>
      <c r="M97" s="49" t="n">
        <v>0</v>
      </c>
      <c r="N97" s="49" t="n">
        <v>0</v>
      </c>
      <c r="O97" s="50" t="n">
        <v>0.02116</v>
      </c>
      <c r="P97" s="49" t="n">
        <f aca="false">SUM(J97:N97)</f>
        <v>0.120233333333333</v>
      </c>
      <c r="Q97" s="51" t="n">
        <v>64035</v>
      </c>
      <c r="R97" s="44" t="n">
        <v>931</v>
      </c>
      <c r="S97" s="46"/>
      <c r="T97" s="74" t="n">
        <f aca="false">J97*J$1*R97</f>
        <v>2927.995</v>
      </c>
      <c r="U97" s="74"/>
      <c r="V97" s="75" t="n">
        <v>156620</v>
      </c>
      <c r="W97" s="46"/>
      <c r="X97" s="72"/>
      <c r="Y97" s="72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3"/>
      <c r="GW97" s="73"/>
      <c r="GX97" s="73"/>
      <c r="GY97" s="73"/>
      <c r="GZ97" s="73"/>
      <c r="HA97" s="73"/>
      <c r="HB97" s="73"/>
      <c r="HC97" s="73"/>
      <c r="HD97" s="73"/>
      <c r="HE97" s="73"/>
      <c r="HF97" s="73"/>
      <c r="HG97" s="73"/>
      <c r="HH97" s="73"/>
      <c r="HI97" s="73"/>
      <c r="HJ97" s="73"/>
      <c r="HK97" s="73"/>
      <c r="HL97" s="73"/>
      <c r="HM97" s="73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3"/>
      <c r="HY97" s="73"/>
      <c r="HZ97" s="73"/>
      <c r="IA97" s="73"/>
      <c r="IB97" s="73"/>
      <c r="IC97" s="73"/>
      <c r="ID97" s="73"/>
      <c r="IE97" s="73"/>
      <c r="IF97" s="73"/>
      <c r="IG97" s="73"/>
      <c r="IH97" s="73"/>
      <c r="II97" s="73"/>
      <c r="IJ97" s="73"/>
      <c r="IK97" s="73"/>
      <c r="IL97" s="73"/>
      <c r="IM97" s="73"/>
      <c r="IN97" s="73"/>
      <c r="IO97" s="73"/>
      <c r="IP97" s="73"/>
      <c r="IQ97" s="73"/>
      <c r="IR97" s="73"/>
      <c r="IS97" s="73"/>
      <c r="IT97" s="73"/>
      <c r="IU97" s="73"/>
      <c r="IV97" s="73"/>
      <c r="IW97" s="73"/>
    </row>
    <row r="98" customFormat="false" ht="12.75" hidden="false" customHeight="false" outlineLevel="0" collapsed="false">
      <c r="A98" s="73"/>
      <c r="B98" s="46" t="s">
        <v>201</v>
      </c>
      <c r="C98" s="44" t="s">
        <v>202</v>
      </c>
      <c r="D98" s="44" t="s">
        <v>207</v>
      </c>
      <c r="E98" s="45" t="n">
        <v>36373</v>
      </c>
      <c r="F98" s="45" t="n">
        <v>36738</v>
      </c>
      <c r="G98" s="46" t="s">
        <v>204</v>
      </c>
      <c r="H98" s="46" t="s">
        <v>205</v>
      </c>
      <c r="I98" s="44" t="s">
        <v>206</v>
      </c>
      <c r="J98" s="58" t="n">
        <f aca="false">3.145/J$1</f>
        <v>0.104833333333333</v>
      </c>
      <c r="K98" s="49" t="n">
        <v>0.0132</v>
      </c>
      <c r="L98" s="49" t="n">
        <v>0.0022</v>
      </c>
      <c r="M98" s="49" t="n">
        <v>0</v>
      </c>
      <c r="N98" s="49" t="n">
        <v>0</v>
      </c>
      <c r="O98" s="50" t="n">
        <v>0.02116</v>
      </c>
      <c r="P98" s="49" t="n">
        <f aca="false">SUM(J98:N98)</f>
        <v>0.120233333333333</v>
      </c>
      <c r="Q98" s="51" t="n">
        <v>64332</v>
      </c>
      <c r="R98" s="44" t="n">
        <v>12</v>
      </c>
      <c r="S98" s="46"/>
      <c r="T98" s="74" t="n">
        <f aca="false">J98*J$1*R98</f>
        <v>37.74</v>
      </c>
      <c r="U98" s="74"/>
      <c r="V98" s="75" t="n">
        <v>156621</v>
      </c>
      <c r="W98" s="46"/>
      <c r="X98" s="72"/>
      <c r="Y98" s="72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3"/>
      <c r="IQ98" s="73"/>
      <c r="IR98" s="73"/>
      <c r="IS98" s="73"/>
      <c r="IT98" s="73"/>
      <c r="IU98" s="73"/>
      <c r="IV98" s="73"/>
      <c r="IW98" s="73"/>
    </row>
    <row r="99" customFormat="false" ht="12.75" hidden="false" customHeight="false" outlineLevel="0" collapsed="false">
      <c r="A99" s="73"/>
      <c r="B99" s="46" t="s">
        <v>201</v>
      </c>
      <c r="C99" s="44" t="s">
        <v>202</v>
      </c>
      <c r="D99" s="44" t="s">
        <v>203</v>
      </c>
      <c r="E99" s="45" t="n">
        <v>36373</v>
      </c>
      <c r="F99" s="45" t="n">
        <v>36738</v>
      </c>
      <c r="G99" s="46" t="s">
        <v>204</v>
      </c>
      <c r="H99" s="46" t="s">
        <v>205</v>
      </c>
      <c r="I99" s="44" t="s">
        <v>206</v>
      </c>
      <c r="J99" s="58" t="n">
        <f aca="false">3.145/J$1</f>
        <v>0.104833333333333</v>
      </c>
      <c r="K99" s="49" t="n">
        <v>0.0132</v>
      </c>
      <c r="L99" s="49" t="n">
        <v>0.0022</v>
      </c>
      <c r="M99" s="49" t="n">
        <v>0</v>
      </c>
      <c r="N99" s="49" t="n">
        <v>0</v>
      </c>
      <c r="O99" s="50" t="n">
        <v>0.02116</v>
      </c>
      <c r="P99" s="49" t="n">
        <f aca="false">SUM(J99:N99)</f>
        <v>0.120233333333333</v>
      </c>
      <c r="Q99" s="51" t="n">
        <v>64334</v>
      </c>
      <c r="R99" s="44" t="n">
        <v>52</v>
      </c>
      <c r="S99" s="46"/>
      <c r="T99" s="74" t="n">
        <f aca="false">J99*J$1*R99</f>
        <v>163.54</v>
      </c>
      <c r="U99" s="74"/>
      <c r="V99" s="75" t="n">
        <v>221878</v>
      </c>
      <c r="W99" s="46"/>
      <c r="X99" s="72"/>
      <c r="Y99" s="72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3"/>
      <c r="GV99" s="73"/>
      <c r="GW99" s="73"/>
      <c r="GX99" s="73"/>
      <c r="GY99" s="73"/>
      <c r="GZ99" s="73"/>
      <c r="HA99" s="73"/>
      <c r="HB99" s="73"/>
      <c r="HC99" s="73"/>
      <c r="HD99" s="73"/>
      <c r="HE99" s="73"/>
      <c r="HF99" s="73"/>
      <c r="HG99" s="73"/>
      <c r="HH99" s="73"/>
      <c r="HI99" s="73"/>
      <c r="HJ99" s="73"/>
      <c r="HK99" s="73"/>
      <c r="HL99" s="73"/>
      <c r="HM99" s="73"/>
      <c r="HN99" s="73"/>
      <c r="HO99" s="73"/>
      <c r="HP99" s="73"/>
      <c r="HQ99" s="73"/>
      <c r="HR99" s="73"/>
      <c r="HS99" s="73"/>
      <c r="HT99" s="73"/>
      <c r="HU99" s="73"/>
      <c r="HV99" s="73"/>
      <c r="HW99" s="73"/>
      <c r="HX99" s="73"/>
      <c r="HY99" s="73"/>
      <c r="HZ99" s="73"/>
      <c r="IA99" s="73"/>
      <c r="IB99" s="73"/>
      <c r="IC99" s="73"/>
      <c r="ID99" s="73"/>
      <c r="IE99" s="73"/>
      <c r="IF99" s="73"/>
      <c r="IG99" s="73"/>
      <c r="IH99" s="73"/>
      <c r="II99" s="73"/>
      <c r="IJ99" s="73"/>
      <c r="IK99" s="73"/>
      <c r="IL99" s="73"/>
      <c r="IM99" s="73"/>
      <c r="IN99" s="73"/>
      <c r="IO99" s="73"/>
      <c r="IP99" s="73"/>
      <c r="IQ99" s="73"/>
      <c r="IR99" s="73"/>
      <c r="IS99" s="73"/>
      <c r="IT99" s="73"/>
      <c r="IU99" s="73"/>
      <c r="IV99" s="73"/>
      <c r="IW99" s="73"/>
    </row>
    <row r="100" customFormat="false" ht="12.75" hidden="false" customHeight="false" outlineLevel="0" collapsed="false">
      <c r="A100" s="73"/>
      <c r="B100" s="46" t="s">
        <v>201</v>
      </c>
      <c r="C100" s="44" t="s">
        <v>202</v>
      </c>
      <c r="D100" s="44"/>
      <c r="E100" s="45" t="n">
        <v>36373</v>
      </c>
      <c r="F100" s="45" t="n">
        <v>36738</v>
      </c>
      <c r="G100" s="46" t="s">
        <v>204</v>
      </c>
      <c r="H100" s="46" t="s">
        <v>208</v>
      </c>
      <c r="I100" s="44" t="s">
        <v>206</v>
      </c>
      <c r="J100" s="58" t="n">
        <f aca="false">3.145/J$1</f>
        <v>0.104833333333333</v>
      </c>
      <c r="K100" s="49" t="n">
        <v>0.0132</v>
      </c>
      <c r="L100" s="49" t="n">
        <v>0.0022</v>
      </c>
      <c r="M100" s="49" t="n">
        <v>0</v>
      </c>
      <c r="N100" s="49" t="n">
        <v>0</v>
      </c>
      <c r="O100" s="50" t="n">
        <v>0.02116</v>
      </c>
      <c r="P100" s="49" t="n">
        <f aca="false">SUM(J100:N100)</f>
        <v>0.120233333333333</v>
      </c>
      <c r="Q100" s="51" t="n">
        <v>64446</v>
      </c>
      <c r="R100" s="44" t="n">
        <v>142</v>
      </c>
      <c r="S100" s="46"/>
      <c r="T100" s="74" t="n">
        <f aca="false">J100*J$1*R100</f>
        <v>446.59</v>
      </c>
      <c r="U100" s="74"/>
      <c r="V100" s="75" t="n">
        <v>221881</v>
      </c>
      <c r="W100" s="46"/>
      <c r="X100" s="72"/>
      <c r="Y100" s="72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  <c r="FV100" s="73"/>
      <c r="FW100" s="73"/>
      <c r="FX100" s="73"/>
      <c r="FY100" s="73"/>
      <c r="FZ100" s="73"/>
      <c r="GA100" s="73"/>
      <c r="GB100" s="73"/>
      <c r="GC100" s="73"/>
      <c r="GD100" s="73"/>
      <c r="GE100" s="73"/>
      <c r="GF100" s="73"/>
      <c r="GG100" s="73"/>
      <c r="GH100" s="73"/>
      <c r="GI100" s="73"/>
      <c r="GJ100" s="73"/>
      <c r="GK100" s="73"/>
      <c r="GL100" s="73"/>
      <c r="GM100" s="73"/>
      <c r="GN100" s="73"/>
      <c r="GO100" s="73"/>
      <c r="GP100" s="73"/>
      <c r="GQ100" s="73"/>
      <c r="GR100" s="73"/>
      <c r="GS100" s="73"/>
      <c r="GT100" s="73"/>
      <c r="GU100" s="73"/>
      <c r="GV100" s="73"/>
      <c r="GW100" s="73"/>
      <c r="GX100" s="73"/>
      <c r="GY100" s="73"/>
      <c r="GZ100" s="73"/>
      <c r="HA100" s="73"/>
      <c r="HB100" s="73"/>
      <c r="HC100" s="73"/>
      <c r="HD100" s="73"/>
      <c r="HE100" s="73"/>
      <c r="HF100" s="73"/>
      <c r="HG100" s="73"/>
      <c r="HH100" s="73"/>
      <c r="HI100" s="73"/>
      <c r="HJ100" s="73"/>
      <c r="HK100" s="73"/>
      <c r="HL100" s="73"/>
      <c r="HM100" s="73"/>
      <c r="HN100" s="73"/>
      <c r="HO100" s="73"/>
      <c r="HP100" s="73"/>
      <c r="HQ100" s="73"/>
      <c r="HR100" s="73"/>
      <c r="HS100" s="73"/>
      <c r="HT100" s="73"/>
      <c r="HU100" s="73"/>
      <c r="HV100" s="73"/>
      <c r="HW100" s="73"/>
      <c r="HX100" s="73"/>
      <c r="HY100" s="73"/>
      <c r="HZ100" s="73"/>
      <c r="IA100" s="73"/>
      <c r="IB100" s="73"/>
      <c r="IC100" s="73"/>
      <c r="ID100" s="73"/>
      <c r="IE100" s="73"/>
      <c r="IF100" s="73"/>
      <c r="IG100" s="73"/>
      <c r="IH100" s="73"/>
      <c r="II100" s="73"/>
      <c r="IJ100" s="73"/>
      <c r="IK100" s="73"/>
      <c r="IL100" s="73"/>
      <c r="IM100" s="73"/>
      <c r="IN100" s="73"/>
      <c r="IO100" s="73"/>
      <c r="IP100" s="73"/>
      <c r="IQ100" s="73"/>
      <c r="IR100" s="73"/>
      <c r="IS100" s="73"/>
      <c r="IT100" s="73"/>
      <c r="IU100" s="73"/>
      <c r="IV100" s="73"/>
      <c r="IW100" s="73"/>
    </row>
    <row r="101" customFormat="false" ht="12.75" hidden="false" customHeight="false" outlineLevel="0" collapsed="false">
      <c r="A101" s="73"/>
      <c r="B101" s="46" t="s">
        <v>201</v>
      </c>
      <c r="C101" s="44" t="s">
        <v>202</v>
      </c>
      <c r="D101" s="44" t="s">
        <v>207</v>
      </c>
      <c r="E101" s="45" t="n">
        <v>36404</v>
      </c>
      <c r="F101" s="45" t="n">
        <v>36769</v>
      </c>
      <c r="G101" s="46" t="s">
        <v>204</v>
      </c>
      <c r="H101" s="46" t="s">
        <v>205</v>
      </c>
      <c r="I101" s="44" t="s">
        <v>206</v>
      </c>
      <c r="J101" s="58" t="n">
        <f aca="false">3.145/J$1</f>
        <v>0.104833333333333</v>
      </c>
      <c r="K101" s="49" t="n">
        <v>0.0132</v>
      </c>
      <c r="L101" s="49" t="n">
        <v>0.0022</v>
      </c>
      <c r="M101" s="49" t="n">
        <v>0</v>
      </c>
      <c r="N101" s="49" t="n">
        <v>0</v>
      </c>
      <c r="O101" s="50" t="n">
        <v>0.02116</v>
      </c>
      <c r="P101" s="49" t="n">
        <f aca="false">SUM(J101:N101)</f>
        <v>0.120233333333333</v>
      </c>
      <c r="Q101" s="51" t="n">
        <v>64652</v>
      </c>
      <c r="R101" s="44" t="n">
        <v>65</v>
      </c>
      <c r="S101" s="46"/>
      <c r="T101" s="74" t="n">
        <f aca="false">J101*J$1*R101</f>
        <v>204.425</v>
      </c>
      <c r="U101" s="74"/>
      <c r="V101" s="75" t="n">
        <v>156623</v>
      </c>
      <c r="W101" s="46"/>
      <c r="X101" s="72"/>
      <c r="Y101" s="72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3"/>
      <c r="DU101" s="73"/>
      <c r="DV101" s="73"/>
      <c r="DW101" s="73"/>
      <c r="DX101" s="73"/>
      <c r="DY101" s="73"/>
      <c r="DZ101" s="73"/>
      <c r="EA101" s="73"/>
      <c r="EB101" s="73"/>
      <c r="EC101" s="73"/>
      <c r="ED101" s="73"/>
      <c r="EE101" s="73"/>
      <c r="EF101" s="73"/>
      <c r="EG101" s="73"/>
      <c r="EH101" s="73"/>
      <c r="EI101" s="73"/>
      <c r="EJ101" s="73"/>
      <c r="EK101" s="73"/>
      <c r="EL101" s="73"/>
      <c r="EM101" s="73"/>
      <c r="EN101" s="73"/>
      <c r="EO101" s="73"/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73"/>
      <c r="FG101" s="73"/>
      <c r="FH101" s="73"/>
      <c r="FI101" s="73"/>
      <c r="FJ101" s="73"/>
      <c r="FK101" s="73"/>
      <c r="FL101" s="73"/>
      <c r="FM101" s="73"/>
      <c r="FN101" s="73"/>
      <c r="FO101" s="73"/>
      <c r="FP101" s="73"/>
      <c r="FQ101" s="73"/>
      <c r="FR101" s="73"/>
      <c r="FS101" s="73"/>
      <c r="FT101" s="73"/>
      <c r="FU101" s="73"/>
      <c r="FV101" s="73"/>
      <c r="FW101" s="73"/>
      <c r="FX101" s="73"/>
      <c r="FY101" s="73"/>
      <c r="FZ101" s="73"/>
      <c r="GA101" s="73"/>
      <c r="GB101" s="73"/>
      <c r="GC101" s="73"/>
      <c r="GD101" s="73"/>
      <c r="GE101" s="73"/>
      <c r="GF101" s="73"/>
      <c r="GG101" s="73"/>
      <c r="GH101" s="73"/>
      <c r="GI101" s="73"/>
      <c r="GJ101" s="73"/>
      <c r="GK101" s="73"/>
      <c r="GL101" s="73"/>
      <c r="GM101" s="73"/>
      <c r="GN101" s="73"/>
      <c r="GO101" s="73"/>
      <c r="GP101" s="73"/>
      <c r="GQ101" s="73"/>
      <c r="GR101" s="73"/>
      <c r="GS101" s="73"/>
      <c r="GT101" s="73"/>
      <c r="GU101" s="73"/>
      <c r="GV101" s="73"/>
      <c r="GW101" s="73"/>
      <c r="GX101" s="73"/>
      <c r="GY101" s="73"/>
      <c r="GZ101" s="73"/>
      <c r="HA101" s="73"/>
      <c r="HB101" s="73"/>
      <c r="HC101" s="73"/>
      <c r="HD101" s="73"/>
      <c r="HE101" s="73"/>
      <c r="HF101" s="73"/>
      <c r="HG101" s="73"/>
      <c r="HH101" s="73"/>
      <c r="HI101" s="73"/>
      <c r="HJ101" s="73"/>
      <c r="HK101" s="73"/>
      <c r="HL101" s="73"/>
      <c r="HM101" s="73"/>
      <c r="HN101" s="73"/>
      <c r="HO101" s="73"/>
      <c r="HP101" s="73"/>
      <c r="HQ101" s="73"/>
      <c r="HR101" s="73"/>
      <c r="HS101" s="73"/>
      <c r="HT101" s="73"/>
      <c r="HU101" s="73"/>
      <c r="HV101" s="73"/>
      <c r="HW101" s="73"/>
      <c r="HX101" s="73"/>
      <c r="HY101" s="73"/>
      <c r="HZ101" s="73"/>
      <c r="IA101" s="73"/>
      <c r="IB101" s="73"/>
      <c r="IC101" s="73"/>
      <c r="ID101" s="73"/>
      <c r="IE101" s="73"/>
      <c r="IF101" s="73"/>
      <c r="IG101" s="73"/>
      <c r="IH101" s="73"/>
      <c r="II101" s="73"/>
      <c r="IJ101" s="73"/>
      <c r="IK101" s="73"/>
      <c r="IL101" s="73"/>
      <c r="IM101" s="73"/>
      <c r="IN101" s="73"/>
      <c r="IO101" s="73"/>
      <c r="IP101" s="73"/>
      <c r="IQ101" s="73"/>
      <c r="IR101" s="73"/>
      <c r="IS101" s="73"/>
      <c r="IT101" s="73"/>
      <c r="IU101" s="73"/>
      <c r="IV101" s="73"/>
      <c r="IW101" s="73"/>
    </row>
    <row r="102" customFormat="false" ht="12.75" hidden="false" customHeight="false" outlineLevel="0" collapsed="false">
      <c r="A102" s="73"/>
      <c r="B102" s="46" t="s">
        <v>201</v>
      </c>
      <c r="C102" s="44" t="s">
        <v>202</v>
      </c>
      <c r="D102" s="44" t="s">
        <v>207</v>
      </c>
      <c r="E102" s="45" t="n">
        <v>36434</v>
      </c>
      <c r="F102" s="45" t="n">
        <v>36799</v>
      </c>
      <c r="G102" s="46" t="s">
        <v>204</v>
      </c>
      <c r="H102" s="46" t="s">
        <v>205</v>
      </c>
      <c r="I102" s="44" t="s">
        <v>206</v>
      </c>
      <c r="J102" s="58" t="n">
        <f aca="false">3.145/J$1</f>
        <v>0.104833333333333</v>
      </c>
      <c r="K102" s="49" t="n">
        <v>0.0132</v>
      </c>
      <c r="L102" s="49" t="n">
        <v>0.0022</v>
      </c>
      <c r="M102" s="49" t="n">
        <v>0</v>
      </c>
      <c r="N102" s="49" t="n">
        <v>0</v>
      </c>
      <c r="O102" s="50" t="n">
        <v>0.02116</v>
      </c>
      <c r="P102" s="49" t="n">
        <f aca="false">SUM(J102:N102)</f>
        <v>0.120233333333333</v>
      </c>
      <c r="Q102" s="51" t="n">
        <v>64863</v>
      </c>
      <c r="R102" s="44" t="n">
        <v>13</v>
      </c>
      <c r="S102" s="46"/>
      <c r="T102" s="74" t="n">
        <f aca="false">J102*J$1*R102</f>
        <v>40.885</v>
      </c>
      <c r="U102" s="74"/>
      <c r="V102" s="75" t="n">
        <v>156625</v>
      </c>
      <c r="W102" s="46"/>
      <c r="X102" s="72"/>
      <c r="Y102" s="72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3"/>
      <c r="DU102" s="73"/>
      <c r="DV102" s="73"/>
      <c r="DW102" s="73"/>
      <c r="DX102" s="73"/>
      <c r="DY102" s="73"/>
      <c r="DZ102" s="73"/>
      <c r="EA102" s="73"/>
      <c r="EB102" s="73"/>
      <c r="EC102" s="73"/>
      <c r="ED102" s="73"/>
      <c r="EE102" s="73"/>
      <c r="EF102" s="73"/>
      <c r="EG102" s="73"/>
      <c r="EH102" s="73"/>
      <c r="EI102" s="73"/>
      <c r="EJ102" s="73"/>
      <c r="EK102" s="73"/>
      <c r="EL102" s="73"/>
      <c r="EM102" s="73"/>
      <c r="EN102" s="73"/>
      <c r="EO102" s="73"/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73"/>
      <c r="FG102" s="73"/>
      <c r="FH102" s="73"/>
      <c r="FI102" s="73"/>
      <c r="FJ102" s="73"/>
      <c r="FK102" s="73"/>
      <c r="FL102" s="73"/>
      <c r="FM102" s="73"/>
      <c r="FN102" s="73"/>
      <c r="FO102" s="73"/>
      <c r="FP102" s="73"/>
      <c r="FQ102" s="73"/>
      <c r="FR102" s="73"/>
      <c r="FS102" s="73"/>
      <c r="FT102" s="73"/>
      <c r="FU102" s="73"/>
      <c r="FV102" s="73"/>
      <c r="FW102" s="73"/>
      <c r="FX102" s="73"/>
      <c r="FY102" s="73"/>
      <c r="FZ102" s="73"/>
      <c r="GA102" s="73"/>
      <c r="GB102" s="73"/>
      <c r="GC102" s="73"/>
      <c r="GD102" s="73"/>
      <c r="GE102" s="73"/>
      <c r="GF102" s="73"/>
      <c r="GG102" s="73"/>
      <c r="GH102" s="73"/>
      <c r="GI102" s="73"/>
      <c r="GJ102" s="73"/>
      <c r="GK102" s="73"/>
      <c r="GL102" s="73"/>
      <c r="GM102" s="73"/>
      <c r="GN102" s="73"/>
      <c r="GO102" s="73"/>
      <c r="GP102" s="73"/>
      <c r="GQ102" s="73"/>
      <c r="GR102" s="73"/>
      <c r="GS102" s="73"/>
      <c r="GT102" s="73"/>
      <c r="GU102" s="73"/>
      <c r="GV102" s="73"/>
      <c r="GW102" s="73"/>
      <c r="GX102" s="73"/>
      <c r="GY102" s="73"/>
      <c r="GZ102" s="73"/>
      <c r="HA102" s="73"/>
      <c r="HB102" s="73"/>
      <c r="HC102" s="73"/>
      <c r="HD102" s="73"/>
      <c r="HE102" s="73"/>
      <c r="HF102" s="73"/>
      <c r="HG102" s="73"/>
      <c r="HH102" s="73"/>
      <c r="HI102" s="73"/>
      <c r="HJ102" s="73"/>
      <c r="HK102" s="73"/>
      <c r="HL102" s="73"/>
      <c r="HM102" s="73"/>
      <c r="HN102" s="73"/>
      <c r="HO102" s="73"/>
      <c r="HP102" s="73"/>
      <c r="HQ102" s="73"/>
      <c r="HR102" s="73"/>
      <c r="HS102" s="73"/>
      <c r="HT102" s="73"/>
      <c r="HU102" s="73"/>
      <c r="HV102" s="73"/>
      <c r="HW102" s="73"/>
      <c r="HX102" s="73"/>
      <c r="HY102" s="73"/>
      <c r="HZ102" s="73"/>
      <c r="IA102" s="73"/>
      <c r="IB102" s="73"/>
      <c r="IC102" s="73"/>
      <c r="ID102" s="73"/>
      <c r="IE102" s="73"/>
      <c r="IF102" s="73"/>
      <c r="IG102" s="73"/>
      <c r="IH102" s="73"/>
      <c r="II102" s="73"/>
      <c r="IJ102" s="73"/>
      <c r="IK102" s="73"/>
      <c r="IL102" s="73"/>
      <c r="IM102" s="73"/>
      <c r="IN102" s="73"/>
      <c r="IO102" s="73"/>
      <c r="IP102" s="73"/>
      <c r="IQ102" s="73"/>
      <c r="IR102" s="73"/>
      <c r="IS102" s="73"/>
      <c r="IT102" s="73"/>
      <c r="IU102" s="73"/>
      <c r="IV102" s="73"/>
      <c r="IW102" s="73"/>
    </row>
    <row r="103" customFormat="false" ht="12.75" hidden="false" customHeight="false" outlineLevel="0" collapsed="false">
      <c r="A103" s="73"/>
      <c r="B103" s="46" t="s">
        <v>201</v>
      </c>
      <c r="C103" s="44" t="s">
        <v>202</v>
      </c>
      <c r="D103" s="44" t="s">
        <v>207</v>
      </c>
      <c r="E103" s="45" t="n">
        <v>36465</v>
      </c>
      <c r="F103" s="45" t="n">
        <v>36830</v>
      </c>
      <c r="G103" s="46" t="s">
        <v>204</v>
      </c>
      <c r="H103" s="46" t="s">
        <v>205</v>
      </c>
      <c r="I103" s="44"/>
      <c r="J103" s="58" t="n">
        <f aca="false">3.145/J$1</f>
        <v>0.104833333333333</v>
      </c>
      <c r="K103" s="49" t="n">
        <v>0.0132</v>
      </c>
      <c r="L103" s="49" t="n">
        <v>0.0022</v>
      </c>
      <c r="M103" s="49" t="n">
        <v>0</v>
      </c>
      <c r="N103" s="49" t="n">
        <v>0</v>
      </c>
      <c r="O103" s="50" t="n">
        <v>0.02116</v>
      </c>
      <c r="P103" s="49" t="n">
        <f aca="false">SUM(J103:N103)</f>
        <v>0.120233333333333</v>
      </c>
      <c r="Q103" s="51" t="n">
        <v>65027</v>
      </c>
      <c r="R103" s="44" t="n">
        <v>131</v>
      </c>
      <c r="S103" s="46" t="s">
        <v>209</v>
      </c>
      <c r="T103" s="74" t="n">
        <f aca="false">J103*J$1*R103</f>
        <v>411.995</v>
      </c>
      <c r="U103" s="74"/>
      <c r="V103" s="75" t="n">
        <v>156666</v>
      </c>
      <c r="W103" s="46" t="s">
        <v>210</v>
      </c>
      <c r="X103" s="72"/>
      <c r="Y103" s="72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  <c r="FV103" s="73"/>
      <c r="FW103" s="73"/>
      <c r="FX103" s="73"/>
      <c r="FY103" s="73"/>
      <c r="FZ103" s="73"/>
      <c r="GA103" s="73"/>
      <c r="GB103" s="73"/>
      <c r="GC103" s="73"/>
      <c r="GD103" s="73"/>
      <c r="GE103" s="73"/>
      <c r="GF103" s="73"/>
      <c r="GG103" s="73"/>
      <c r="GH103" s="73"/>
      <c r="GI103" s="73"/>
      <c r="GJ103" s="73"/>
      <c r="GK103" s="73"/>
      <c r="GL103" s="73"/>
      <c r="GM103" s="73"/>
      <c r="GN103" s="73"/>
      <c r="GO103" s="73"/>
      <c r="GP103" s="73"/>
      <c r="GQ103" s="73"/>
      <c r="GR103" s="73"/>
      <c r="GS103" s="73"/>
      <c r="GT103" s="73"/>
      <c r="GU103" s="73"/>
      <c r="GV103" s="73"/>
      <c r="GW103" s="73"/>
      <c r="GX103" s="73"/>
      <c r="GY103" s="73"/>
      <c r="GZ103" s="73"/>
      <c r="HA103" s="73"/>
      <c r="HB103" s="73"/>
      <c r="HC103" s="73"/>
      <c r="HD103" s="73"/>
      <c r="HE103" s="73"/>
      <c r="HF103" s="73"/>
      <c r="HG103" s="73"/>
      <c r="HH103" s="73"/>
      <c r="HI103" s="73"/>
      <c r="HJ103" s="73"/>
      <c r="HK103" s="73"/>
      <c r="HL103" s="73"/>
      <c r="HM103" s="73"/>
      <c r="HN103" s="73"/>
      <c r="HO103" s="73"/>
      <c r="HP103" s="73"/>
      <c r="HQ103" s="73"/>
      <c r="HR103" s="73"/>
      <c r="HS103" s="73"/>
      <c r="HT103" s="73"/>
      <c r="HU103" s="73"/>
      <c r="HV103" s="73"/>
      <c r="HW103" s="73"/>
      <c r="HX103" s="73"/>
      <c r="HY103" s="73"/>
      <c r="HZ103" s="73"/>
      <c r="IA103" s="73"/>
      <c r="IB103" s="73"/>
      <c r="IC103" s="73"/>
      <c r="ID103" s="73"/>
      <c r="IE103" s="73"/>
      <c r="IF103" s="73"/>
      <c r="IG103" s="73"/>
      <c r="IH103" s="73"/>
      <c r="II103" s="73"/>
      <c r="IJ103" s="73"/>
      <c r="IK103" s="73"/>
      <c r="IL103" s="73"/>
      <c r="IM103" s="73"/>
      <c r="IN103" s="73"/>
      <c r="IO103" s="73"/>
      <c r="IP103" s="73"/>
      <c r="IQ103" s="73"/>
      <c r="IR103" s="73"/>
      <c r="IS103" s="73"/>
      <c r="IT103" s="73"/>
      <c r="IU103" s="73"/>
      <c r="IV103" s="73"/>
      <c r="IW103" s="73"/>
    </row>
    <row r="104" customFormat="false" ht="12.75" hidden="false" customHeight="false" outlineLevel="0" collapsed="false">
      <c r="A104" s="73"/>
      <c r="B104" s="46" t="s">
        <v>201</v>
      </c>
      <c r="C104" s="44" t="s">
        <v>202</v>
      </c>
      <c r="D104" s="44" t="s">
        <v>207</v>
      </c>
      <c r="E104" s="45" t="n">
        <v>36495</v>
      </c>
      <c r="F104" s="45" t="n">
        <v>36860</v>
      </c>
      <c r="G104" s="46" t="s">
        <v>204</v>
      </c>
      <c r="H104" s="46" t="s">
        <v>205</v>
      </c>
      <c r="I104" s="44" t="s">
        <v>206</v>
      </c>
      <c r="J104" s="58" t="n">
        <f aca="false">3.145/J$1</f>
        <v>0.104833333333333</v>
      </c>
      <c r="K104" s="49" t="n">
        <v>0.0132</v>
      </c>
      <c r="L104" s="49" t="n">
        <v>0.0022</v>
      </c>
      <c r="M104" s="49" t="n">
        <v>0</v>
      </c>
      <c r="N104" s="49" t="n">
        <v>0</v>
      </c>
      <c r="O104" s="50" t="n">
        <v>0.02116</v>
      </c>
      <c r="P104" s="49" t="n">
        <f aca="false">SUM(J104:N104)</f>
        <v>0.120233333333333</v>
      </c>
      <c r="Q104" s="51" t="n">
        <v>65557</v>
      </c>
      <c r="R104" s="44" t="n">
        <v>3</v>
      </c>
      <c r="S104" s="46"/>
      <c r="T104" s="74" t="n">
        <f aca="false">J104*J$1*R104</f>
        <v>9.435</v>
      </c>
      <c r="U104" s="74"/>
      <c r="V104" s="75" t="n">
        <v>156669</v>
      </c>
      <c r="W104" s="46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3"/>
      <c r="DU104" s="73"/>
      <c r="DV104" s="73"/>
      <c r="DW104" s="73"/>
      <c r="DX104" s="73"/>
      <c r="DY104" s="73"/>
      <c r="DZ104" s="73"/>
      <c r="EA104" s="73"/>
      <c r="EB104" s="73"/>
      <c r="EC104" s="73"/>
      <c r="ED104" s="73"/>
      <c r="EE104" s="73"/>
      <c r="EF104" s="73"/>
      <c r="EG104" s="73"/>
      <c r="EH104" s="73"/>
      <c r="EI104" s="73"/>
      <c r="EJ104" s="73"/>
      <c r="EK104" s="73"/>
      <c r="EL104" s="73"/>
      <c r="EM104" s="73"/>
      <c r="EN104" s="73"/>
      <c r="EO104" s="73"/>
      <c r="EP104" s="73"/>
      <c r="EQ104" s="73"/>
      <c r="ER104" s="73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73"/>
      <c r="FV104" s="73"/>
      <c r="FW104" s="73"/>
      <c r="FX104" s="73"/>
      <c r="FY104" s="73"/>
      <c r="FZ104" s="73"/>
      <c r="GA104" s="73"/>
      <c r="GB104" s="73"/>
      <c r="GC104" s="73"/>
      <c r="GD104" s="73"/>
      <c r="GE104" s="73"/>
      <c r="GF104" s="73"/>
      <c r="GG104" s="73"/>
      <c r="GH104" s="73"/>
      <c r="GI104" s="73"/>
      <c r="GJ104" s="73"/>
      <c r="GK104" s="73"/>
      <c r="GL104" s="73"/>
      <c r="GM104" s="73"/>
      <c r="GN104" s="73"/>
      <c r="GO104" s="73"/>
      <c r="GP104" s="73"/>
      <c r="GQ104" s="73"/>
      <c r="GR104" s="73"/>
      <c r="GS104" s="73"/>
      <c r="GT104" s="73"/>
      <c r="GU104" s="73"/>
      <c r="GV104" s="73"/>
      <c r="GW104" s="73"/>
      <c r="GX104" s="73"/>
      <c r="GY104" s="73"/>
      <c r="GZ104" s="73"/>
      <c r="HA104" s="73"/>
      <c r="HB104" s="73"/>
      <c r="HC104" s="73"/>
      <c r="HD104" s="73"/>
      <c r="HE104" s="73"/>
      <c r="HF104" s="73"/>
      <c r="HG104" s="73"/>
      <c r="HH104" s="73"/>
      <c r="HI104" s="73"/>
      <c r="HJ104" s="73"/>
      <c r="HK104" s="73"/>
      <c r="HL104" s="73"/>
      <c r="HM104" s="73"/>
      <c r="HN104" s="73"/>
      <c r="HO104" s="73"/>
      <c r="HP104" s="73"/>
      <c r="HQ104" s="73"/>
      <c r="HR104" s="73"/>
      <c r="HS104" s="73"/>
      <c r="HT104" s="73"/>
      <c r="HU104" s="73"/>
      <c r="HV104" s="73"/>
      <c r="HW104" s="73"/>
      <c r="HX104" s="73"/>
      <c r="HY104" s="73"/>
      <c r="HZ104" s="73"/>
      <c r="IA104" s="73"/>
      <c r="IB104" s="73"/>
      <c r="IC104" s="73"/>
      <c r="ID104" s="73"/>
      <c r="IE104" s="73"/>
      <c r="IF104" s="73"/>
      <c r="IG104" s="73"/>
      <c r="IH104" s="73"/>
      <c r="II104" s="73"/>
      <c r="IJ104" s="73"/>
      <c r="IK104" s="73"/>
      <c r="IL104" s="73"/>
      <c r="IM104" s="73"/>
      <c r="IN104" s="73"/>
      <c r="IO104" s="73"/>
      <c r="IP104" s="73"/>
      <c r="IQ104" s="73"/>
      <c r="IR104" s="73"/>
      <c r="IS104" s="73"/>
      <c r="IT104" s="73"/>
      <c r="IU104" s="73"/>
      <c r="IV104" s="73"/>
      <c r="IW104" s="73"/>
    </row>
    <row r="105" customFormat="false" ht="12.75" hidden="false" customHeight="false" outlineLevel="0" collapsed="false">
      <c r="A105" s="73"/>
      <c r="B105" s="46" t="s">
        <v>201</v>
      </c>
      <c r="C105" s="44" t="s">
        <v>202</v>
      </c>
      <c r="D105" s="44" t="s">
        <v>207</v>
      </c>
      <c r="E105" s="45" t="n">
        <v>36617</v>
      </c>
      <c r="F105" s="45" t="n">
        <v>36616</v>
      </c>
      <c r="G105" s="46" t="s">
        <v>204</v>
      </c>
      <c r="H105" s="46" t="s">
        <v>205</v>
      </c>
      <c r="I105" s="44" t="s">
        <v>206</v>
      </c>
      <c r="J105" s="58" t="n">
        <f aca="false">3.145/J1</f>
        <v>0.104833333333333</v>
      </c>
      <c r="K105" s="49"/>
      <c r="L105" s="49"/>
      <c r="M105" s="49"/>
      <c r="N105" s="49"/>
      <c r="O105" s="50"/>
      <c r="P105" s="49"/>
      <c r="Q105" s="51" t="n">
        <v>66941</v>
      </c>
      <c r="R105" s="44" t="n">
        <v>53</v>
      </c>
      <c r="S105" s="46"/>
      <c r="T105" s="74" t="n">
        <f aca="false">J105*J$1*R105</f>
        <v>166.685</v>
      </c>
      <c r="U105" s="74"/>
      <c r="V105" s="75" t="n">
        <v>228122</v>
      </c>
      <c r="W105" s="46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3"/>
      <c r="DC105" s="73"/>
      <c r="DD105" s="73"/>
      <c r="DE105" s="73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  <c r="DP105" s="73"/>
      <c r="DQ105" s="73"/>
      <c r="DR105" s="73"/>
      <c r="DS105" s="73"/>
      <c r="DT105" s="73"/>
      <c r="DU105" s="73"/>
      <c r="DV105" s="73"/>
      <c r="DW105" s="73"/>
      <c r="DX105" s="73"/>
      <c r="DY105" s="73"/>
      <c r="DZ105" s="73"/>
      <c r="EA105" s="73"/>
      <c r="EB105" s="73"/>
      <c r="EC105" s="73"/>
      <c r="ED105" s="73"/>
      <c r="EE105" s="73"/>
      <c r="EF105" s="73"/>
      <c r="EG105" s="73"/>
      <c r="EH105" s="73"/>
      <c r="EI105" s="73"/>
      <c r="EJ105" s="73"/>
      <c r="EK105" s="73"/>
      <c r="EL105" s="73"/>
      <c r="EM105" s="73"/>
      <c r="EN105" s="73"/>
      <c r="EO105" s="73"/>
      <c r="EP105" s="73"/>
      <c r="EQ105" s="73"/>
      <c r="ER105" s="73"/>
      <c r="ES105" s="73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3"/>
      <c r="FF105" s="73"/>
      <c r="FG105" s="73"/>
      <c r="FH105" s="73"/>
      <c r="FI105" s="73"/>
      <c r="FJ105" s="73"/>
      <c r="FK105" s="73"/>
      <c r="FL105" s="73"/>
      <c r="FM105" s="73"/>
      <c r="FN105" s="73"/>
      <c r="FO105" s="73"/>
      <c r="FP105" s="73"/>
      <c r="FQ105" s="73"/>
      <c r="FR105" s="73"/>
      <c r="FS105" s="73"/>
      <c r="FT105" s="73"/>
      <c r="FU105" s="73"/>
      <c r="FV105" s="73"/>
      <c r="FW105" s="73"/>
      <c r="FX105" s="73"/>
      <c r="FY105" s="73"/>
      <c r="FZ105" s="73"/>
      <c r="GA105" s="73"/>
      <c r="GB105" s="73"/>
      <c r="GC105" s="73"/>
      <c r="GD105" s="73"/>
      <c r="GE105" s="73"/>
      <c r="GF105" s="73"/>
      <c r="GG105" s="73"/>
      <c r="GH105" s="73"/>
      <c r="GI105" s="73"/>
      <c r="GJ105" s="73"/>
      <c r="GK105" s="73"/>
      <c r="GL105" s="73"/>
      <c r="GM105" s="73"/>
      <c r="GN105" s="73"/>
      <c r="GO105" s="73"/>
      <c r="GP105" s="73"/>
      <c r="GQ105" s="73"/>
      <c r="GR105" s="73"/>
      <c r="GS105" s="73"/>
      <c r="GT105" s="73"/>
      <c r="GU105" s="73"/>
      <c r="GV105" s="73"/>
      <c r="GW105" s="73"/>
      <c r="GX105" s="73"/>
      <c r="GY105" s="73"/>
      <c r="GZ105" s="73"/>
      <c r="HA105" s="73"/>
      <c r="HB105" s="73"/>
      <c r="HC105" s="73"/>
      <c r="HD105" s="73"/>
      <c r="HE105" s="73"/>
      <c r="HF105" s="73"/>
      <c r="HG105" s="73"/>
      <c r="HH105" s="73"/>
      <c r="HI105" s="73"/>
      <c r="HJ105" s="73"/>
      <c r="HK105" s="73"/>
      <c r="HL105" s="73"/>
      <c r="HM105" s="73"/>
      <c r="HN105" s="73"/>
      <c r="HO105" s="73"/>
      <c r="HP105" s="73"/>
      <c r="HQ105" s="73"/>
      <c r="HR105" s="73"/>
      <c r="HS105" s="73"/>
      <c r="HT105" s="73"/>
      <c r="HU105" s="73"/>
      <c r="HV105" s="73"/>
      <c r="HW105" s="73"/>
      <c r="HX105" s="73"/>
      <c r="HY105" s="73"/>
      <c r="HZ105" s="73"/>
      <c r="IA105" s="73"/>
      <c r="IB105" s="73"/>
      <c r="IC105" s="73"/>
      <c r="ID105" s="73"/>
      <c r="IE105" s="73"/>
      <c r="IF105" s="73"/>
      <c r="IG105" s="73"/>
      <c r="IH105" s="73"/>
      <c r="II105" s="73"/>
      <c r="IJ105" s="73"/>
      <c r="IK105" s="73"/>
      <c r="IL105" s="73"/>
      <c r="IM105" s="73"/>
      <c r="IN105" s="73"/>
      <c r="IO105" s="73"/>
      <c r="IP105" s="73"/>
      <c r="IQ105" s="73"/>
      <c r="IR105" s="73"/>
      <c r="IS105" s="73"/>
      <c r="IT105" s="73"/>
      <c r="IU105" s="73"/>
      <c r="IV105" s="73"/>
      <c r="IW105" s="73"/>
    </row>
    <row r="106" customFormat="false" ht="12.75" hidden="false" customHeight="false" outlineLevel="0" collapsed="false">
      <c r="A106" s="73"/>
      <c r="B106" s="46" t="s">
        <v>201</v>
      </c>
      <c r="C106" s="44" t="s">
        <v>202</v>
      </c>
      <c r="D106" s="44" t="s">
        <v>211</v>
      </c>
      <c r="E106" s="45" t="n">
        <v>36617</v>
      </c>
      <c r="F106" s="45" t="n">
        <v>36646</v>
      </c>
      <c r="G106" s="46" t="s">
        <v>212</v>
      </c>
      <c r="H106" s="46" t="s">
        <v>213</v>
      </c>
      <c r="I106" s="44" t="s">
        <v>214</v>
      </c>
      <c r="J106" s="58" t="n">
        <f aca="false">1.0603/30</f>
        <v>0.0353433333333333</v>
      </c>
      <c r="K106" s="49" t="n">
        <v>0</v>
      </c>
      <c r="L106" s="49" t="n">
        <v>0.0022</v>
      </c>
      <c r="M106" s="49" t="n">
        <v>0.0072</v>
      </c>
      <c r="N106" s="49" t="n">
        <v>0</v>
      </c>
      <c r="O106" s="50" t="n">
        <v>0</v>
      </c>
      <c r="P106" s="49" t="n">
        <f aca="false">SUM(J106:N106)</f>
        <v>0.0447433333333333</v>
      </c>
      <c r="Q106" s="51" t="n">
        <v>66938</v>
      </c>
      <c r="R106" s="44" t="n">
        <v>177</v>
      </c>
      <c r="S106" s="46"/>
      <c r="T106" s="74" t="n">
        <f aca="false">J106*J$1*R106</f>
        <v>187.6731</v>
      </c>
      <c r="U106" s="74"/>
      <c r="V106" s="75" t="n">
        <v>228160</v>
      </c>
      <c r="W106" s="46"/>
      <c r="X106" s="72"/>
      <c r="Y106" s="72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  <c r="DS106" s="73"/>
      <c r="DT106" s="73"/>
      <c r="DU106" s="73"/>
      <c r="DV106" s="73"/>
      <c r="DW106" s="73"/>
      <c r="DX106" s="73"/>
      <c r="DY106" s="73"/>
      <c r="DZ106" s="73"/>
      <c r="EA106" s="73"/>
      <c r="EB106" s="73"/>
      <c r="EC106" s="73"/>
      <c r="ED106" s="73"/>
      <c r="EE106" s="73"/>
      <c r="EF106" s="73"/>
      <c r="EG106" s="73"/>
      <c r="EH106" s="73"/>
      <c r="EI106" s="73"/>
      <c r="EJ106" s="73"/>
      <c r="EK106" s="73"/>
      <c r="EL106" s="73"/>
      <c r="EM106" s="73"/>
      <c r="EN106" s="73"/>
      <c r="EO106" s="73"/>
      <c r="EP106" s="73"/>
      <c r="EQ106" s="73"/>
      <c r="ER106" s="73"/>
      <c r="ES106" s="73"/>
      <c r="ET106" s="73"/>
      <c r="EU106" s="73"/>
      <c r="EV106" s="73"/>
      <c r="EW106" s="73"/>
      <c r="EX106" s="73"/>
      <c r="EY106" s="73"/>
      <c r="EZ106" s="73"/>
      <c r="FA106" s="73"/>
      <c r="FB106" s="73"/>
      <c r="FC106" s="73"/>
      <c r="FD106" s="73"/>
      <c r="FE106" s="73"/>
      <c r="FF106" s="73"/>
      <c r="FG106" s="73"/>
      <c r="FH106" s="73"/>
      <c r="FI106" s="73"/>
      <c r="FJ106" s="73"/>
      <c r="FK106" s="73"/>
      <c r="FL106" s="73"/>
      <c r="FM106" s="73"/>
      <c r="FN106" s="73"/>
      <c r="FO106" s="73"/>
      <c r="FP106" s="73"/>
      <c r="FQ106" s="73"/>
      <c r="FR106" s="73"/>
      <c r="FS106" s="73"/>
      <c r="FT106" s="73"/>
      <c r="FU106" s="73"/>
      <c r="FV106" s="73"/>
      <c r="FW106" s="73"/>
      <c r="FX106" s="73"/>
      <c r="FY106" s="73"/>
      <c r="FZ106" s="73"/>
      <c r="GA106" s="73"/>
      <c r="GB106" s="73"/>
      <c r="GC106" s="73"/>
      <c r="GD106" s="73"/>
      <c r="GE106" s="73"/>
      <c r="GF106" s="73"/>
      <c r="GG106" s="73"/>
      <c r="GH106" s="73"/>
      <c r="GI106" s="73"/>
      <c r="GJ106" s="73"/>
      <c r="GK106" s="73"/>
      <c r="GL106" s="73"/>
      <c r="GM106" s="73"/>
      <c r="GN106" s="73"/>
      <c r="GO106" s="73"/>
      <c r="GP106" s="73"/>
      <c r="GQ106" s="73"/>
      <c r="GR106" s="73"/>
      <c r="GS106" s="73"/>
      <c r="GT106" s="73"/>
      <c r="GU106" s="73"/>
      <c r="GV106" s="73"/>
      <c r="GW106" s="73"/>
      <c r="GX106" s="73"/>
      <c r="GY106" s="73"/>
      <c r="GZ106" s="73"/>
      <c r="HA106" s="73"/>
      <c r="HB106" s="73"/>
      <c r="HC106" s="73"/>
      <c r="HD106" s="73"/>
      <c r="HE106" s="73"/>
      <c r="HF106" s="73"/>
      <c r="HG106" s="73"/>
      <c r="HH106" s="73"/>
      <c r="HI106" s="73"/>
      <c r="HJ106" s="73"/>
      <c r="HK106" s="73"/>
      <c r="HL106" s="73"/>
      <c r="HM106" s="73"/>
      <c r="HN106" s="73"/>
      <c r="HO106" s="73"/>
      <c r="HP106" s="73"/>
      <c r="HQ106" s="73"/>
      <c r="HR106" s="73"/>
      <c r="HS106" s="73"/>
      <c r="HT106" s="73"/>
      <c r="HU106" s="73"/>
      <c r="HV106" s="73"/>
      <c r="HW106" s="73"/>
      <c r="HX106" s="73"/>
      <c r="HY106" s="73"/>
      <c r="HZ106" s="73"/>
      <c r="IA106" s="73"/>
      <c r="IB106" s="73"/>
      <c r="IC106" s="73"/>
      <c r="ID106" s="73"/>
      <c r="IE106" s="73"/>
      <c r="IF106" s="73"/>
      <c r="IG106" s="73"/>
      <c r="IH106" s="73"/>
      <c r="II106" s="73"/>
      <c r="IJ106" s="73"/>
      <c r="IK106" s="73"/>
      <c r="IL106" s="73"/>
      <c r="IM106" s="73"/>
      <c r="IN106" s="73"/>
      <c r="IO106" s="73"/>
      <c r="IP106" s="73"/>
      <c r="IQ106" s="73"/>
      <c r="IR106" s="73"/>
      <c r="IS106" s="73"/>
      <c r="IT106" s="73"/>
      <c r="IU106" s="73"/>
      <c r="IV106" s="73"/>
      <c r="IW106" s="73"/>
    </row>
    <row r="107" customFormat="false" ht="12.75" hidden="false" customHeight="false" outlineLevel="0" collapsed="false">
      <c r="A107" s="73"/>
      <c r="B107" s="46" t="s">
        <v>201</v>
      </c>
      <c r="C107" s="44" t="s">
        <v>202</v>
      </c>
      <c r="D107" s="44" t="s">
        <v>211</v>
      </c>
      <c r="E107" s="45" t="n">
        <v>36617</v>
      </c>
      <c r="F107" s="45" t="n">
        <v>36646</v>
      </c>
      <c r="G107" s="46" t="s">
        <v>204</v>
      </c>
      <c r="H107" s="46" t="s">
        <v>205</v>
      </c>
      <c r="I107" s="44" t="s">
        <v>206</v>
      </c>
      <c r="J107" s="58" t="n">
        <f aca="false">3.145/J1</f>
        <v>0.104833333333333</v>
      </c>
      <c r="K107" s="49" t="n">
        <v>0</v>
      </c>
      <c r="L107" s="49" t="n">
        <v>0.0022</v>
      </c>
      <c r="M107" s="49" t="n">
        <v>0.0072</v>
      </c>
      <c r="N107" s="49" t="n">
        <v>0</v>
      </c>
      <c r="O107" s="50" t="n">
        <v>0</v>
      </c>
      <c r="P107" s="49" t="n">
        <f aca="false">SUM(J107:N107)</f>
        <v>0.114233333333333</v>
      </c>
      <c r="Q107" s="51" t="n">
        <v>66937</v>
      </c>
      <c r="R107" s="44" t="n">
        <v>172</v>
      </c>
      <c r="S107" s="46"/>
      <c r="T107" s="74" t="n">
        <f aca="false">J107*J$1*R107</f>
        <v>540.94</v>
      </c>
      <c r="U107" s="74"/>
      <c r="V107" s="75" t="n">
        <v>228163</v>
      </c>
      <c r="W107" s="46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  <c r="DC107" s="73"/>
      <c r="DD107" s="73"/>
      <c r="DE107" s="73"/>
      <c r="DF107" s="73"/>
      <c r="DG107" s="73"/>
      <c r="DH107" s="73"/>
      <c r="DI107" s="73"/>
      <c r="DJ107" s="73"/>
      <c r="DK107" s="73"/>
      <c r="DL107" s="73"/>
      <c r="DM107" s="73"/>
      <c r="DN107" s="73"/>
      <c r="DO107" s="73"/>
      <c r="DP107" s="73"/>
      <c r="DQ107" s="73"/>
      <c r="DR107" s="73"/>
      <c r="DS107" s="73"/>
      <c r="DT107" s="73"/>
      <c r="DU107" s="73"/>
      <c r="DV107" s="73"/>
      <c r="DW107" s="73"/>
      <c r="DX107" s="73"/>
      <c r="DY107" s="73"/>
      <c r="DZ107" s="73"/>
      <c r="EA107" s="73"/>
      <c r="EB107" s="73"/>
      <c r="EC107" s="73"/>
      <c r="ED107" s="73"/>
      <c r="EE107" s="73"/>
      <c r="EF107" s="73"/>
      <c r="EG107" s="73"/>
      <c r="EH107" s="73"/>
      <c r="EI107" s="73"/>
      <c r="EJ107" s="73"/>
      <c r="EK107" s="73"/>
      <c r="EL107" s="73"/>
      <c r="EM107" s="73"/>
      <c r="EN107" s="73"/>
      <c r="EO107" s="73"/>
      <c r="EP107" s="73"/>
      <c r="EQ107" s="73"/>
      <c r="ER107" s="73"/>
      <c r="ES107" s="73"/>
      <c r="ET107" s="73"/>
      <c r="EU107" s="73"/>
      <c r="EV107" s="73"/>
      <c r="EW107" s="73"/>
      <c r="EX107" s="73"/>
      <c r="EY107" s="73"/>
      <c r="EZ107" s="73"/>
      <c r="FA107" s="73"/>
      <c r="FB107" s="73"/>
      <c r="FC107" s="73"/>
      <c r="FD107" s="73"/>
      <c r="FE107" s="73"/>
      <c r="FF107" s="73"/>
      <c r="FG107" s="73"/>
      <c r="FH107" s="73"/>
      <c r="FI107" s="73"/>
      <c r="FJ107" s="73"/>
      <c r="FK107" s="73"/>
      <c r="FL107" s="73"/>
      <c r="FM107" s="73"/>
      <c r="FN107" s="73"/>
      <c r="FO107" s="73"/>
      <c r="FP107" s="73"/>
      <c r="FQ107" s="73"/>
      <c r="FR107" s="73"/>
      <c r="FS107" s="73"/>
      <c r="FT107" s="73"/>
      <c r="FU107" s="73"/>
      <c r="FV107" s="73"/>
      <c r="FW107" s="73"/>
      <c r="FX107" s="73"/>
      <c r="FY107" s="73"/>
      <c r="FZ107" s="73"/>
      <c r="GA107" s="73"/>
      <c r="GB107" s="73"/>
      <c r="GC107" s="73"/>
      <c r="GD107" s="73"/>
      <c r="GE107" s="73"/>
      <c r="GF107" s="73"/>
      <c r="GG107" s="73"/>
      <c r="GH107" s="73"/>
      <c r="GI107" s="73"/>
      <c r="GJ107" s="73"/>
      <c r="GK107" s="73"/>
      <c r="GL107" s="73"/>
      <c r="GM107" s="73"/>
      <c r="GN107" s="73"/>
      <c r="GO107" s="73"/>
      <c r="GP107" s="73"/>
      <c r="GQ107" s="73"/>
      <c r="GR107" s="73"/>
      <c r="GS107" s="73"/>
      <c r="GT107" s="73"/>
      <c r="GU107" s="73"/>
      <c r="GV107" s="73"/>
      <c r="GW107" s="73"/>
      <c r="GX107" s="73"/>
      <c r="GY107" s="73"/>
      <c r="GZ107" s="73"/>
      <c r="HA107" s="73"/>
      <c r="HB107" s="73"/>
      <c r="HC107" s="73"/>
      <c r="HD107" s="73"/>
      <c r="HE107" s="73"/>
      <c r="HF107" s="73"/>
      <c r="HG107" s="73"/>
      <c r="HH107" s="73"/>
      <c r="HI107" s="73"/>
      <c r="HJ107" s="73"/>
      <c r="HK107" s="73"/>
      <c r="HL107" s="73"/>
      <c r="HM107" s="73"/>
      <c r="HN107" s="73"/>
      <c r="HO107" s="73"/>
      <c r="HP107" s="73"/>
      <c r="HQ107" s="73"/>
      <c r="HR107" s="73"/>
      <c r="HS107" s="73"/>
      <c r="HT107" s="73"/>
      <c r="HU107" s="73"/>
      <c r="HV107" s="73"/>
      <c r="HW107" s="73"/>
      <c r="HX107" s="73"/>
      <c r="HY107" s="73"/>
      <c r="HZ107" s="73"/>
      <c r="IA107" s="73"/>
      <c r="IB107" s="73"/>
      <c r="IC107" s="73"/>
      <c r="ID107" s="73"/>
      <c r="IE107" s="73"/>
      <c r="IF107" s="73"/>
      <c r="IG107" s="73"/>
      <c r="IH107" s="73"/>
      <c r="II107" s="73"/>
      <c r="IJ107" s="73"/>
      <c r="IK107" s="73"/>
      <c r="IL107" s="73"/>
      <c r="IM107" s="73"/>
      <c r="IN107" s="73"/>
      <c r="IO107" s="73"/>
      <c r="IP107" s="73"/>
      <c r="IQ107" s="73"/>
      <c r="IR107" s="73"/>
      <c r="IS107" s="73"/>
      <c r="IT107" s="73"/>
      <c r="IU107" s="73"/>
      <c r="IV107" s="73"/>
      <c r="IW107" s="73"/>
    </row>
    <row r="108" customFormat="false" ht="12.75" hidden="false" customHeight="false" outlineLevel="0" collapsed="false">
      <c r="A108" s="73"/>
      <c r="B108" s="46" t="s">
        <v>201</v>
      </c>
      <c r="C108" s="44" t="s">
        <v>202</v>
      </c>
      <c r="D108" s="44" t="s">
        <v>207</v>
      </c>
      <c r="E108" s="45" t="n">
        <v>36557</v>
      </c>
      <c r="F108" s="45" t="n">
        <v>36922</v>
      </c>
      <c r="G108" s="46" t="s">
        <v>204</v>
      </c>
      <c r="H108" s="46" t="s">
        <v>205</v>
      </c>
      <c r="I108" s="44" t="s">
        <v>206</v>
      </c>
      <c r="J108" s="58" t="n">
        <f aca="false">3.145/31</f>
        <v>0.101451612903226</v>
      </c>
      <c r="K108" s="49"/>
      <c r="L108" s="49"/>
      <c r="M108" s="49"/>
      <c r="N108" s="49"/>
      <c r="O108" s="50"/>
      <c r="P108" s="49"/>
      <c r="Q108" s="51" t="n">
        <v>66283</v>
      </c>
      <c r="R108" s="44" t="n">
        <v>5</v>
      </c>
      <c r="S108" s="46"/>
      <c r="T108" s="87" t="n">
        <f aca="false">+J108*R108*31</f>
        <v>15.725</v>
      </c>
      <c r="U108" s="74"/>
      <c r="V108" s="75" t="n">
        <v>156674</v>
      </c>
      <c r="W108" s="46"/>
      <c r="X108" s="72"/>
      <c r="Y108" s="72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  <c r="HV108" s="73"/>
      <c r="HW108" s="73"/>
      <c r="HX108" s="73"/>
      <c r="HY108" s="73"/>
      <c r="HZ108" s="73"/>
      <c r="IA108" s="73"/>
      <c r="IB108" s="73"/>
      <c r="IC108" s="73"/>
      <c r="ID108" s="73"/>
      <c r="IE108" s="73"/>
      <c r="IF108" s="73"/>
      <c r="IG108" s="73"/>
      <c r="IH108" s="73"/>
      <c r="II108" s="73"/>
      <c r="IJ108" s="73"/>
      <c r="IK108" s="73"/>
      <c r="IL108" s="73"/>
      <c r="IM108" s="73"/>
      <c r="IN108" s="73"/>
      <c r="IO108" s="73"/>
      <c r="IP108" s="73"/>
      <c r="IQ108" s="73"/>
      <c r="IR108" s="73"/>
      <c r="IS108" s="73"/>
      <c r="IT108" s="73"/>
      <c r="IU108" s="73"/>
      <c r="IV108" s="73"/>
      <c r="IW108" s="73"/>
    </row>
    <row r="109" customFormat="false" ht="12.75" hidden="false" customHeight="false" outlineLevel="0" collapsed="false">
      <c r="A109" s="73"/>
      <c r="B109" s="46" t="s">
        <v>201</v>
      </c>
      <c r="C109" s="44" t="s">
        <v>202</v>
      </c>
      <c r="D109" s="44" t="s">
        <v>215</v>
      </c>
      <c r="E109" s="45" t="n">
        <v>36617</v>
      </c>
      <c r="F109" s="45" t="n">
        <v>36981</v>
      </c>
      <c r="G109" s="46" t="s">
        <v>204</v>
      </c>
      <c r="H109" s="46" t="s">
        <v>205</v>
      </c>
      <c r="I109" s="44" t="s">
        <v>206</v>
      </c>
      <c r="J109" s="58" t="n">
        <f aca="false">3.15/J1</f>
        <v>0.105</v>
      </c>
      <c r="K109" s="49"/>
      <c r="L109" s="49"/>
      <c r="M109" s="49"/>
      <c r="N109" s="49"/>
      <c r="O109" s="50"/>
      <c r="P109" s="49"/>
      <c r="Q109" s="51" t="n">
        <v>66941</v>
      </c>
      <c r="R109" s="44" t="n">
        <v>53</v>
      </c>
      <c r="S109" s="46"/>
      <c r="T109" s="87" t="n">
        <f aca="false">+J109*R109*31</f>
        <v>172.515</v>
      </c>
      <c r="U109" s="74"/>
      <c r="V109" s="75" t="n">
        <v>228122</v>
      </c>
      <c r="W109" s="46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  <c r="HV109" s="73"/>
      <c r="HW109" s="73"/>
      <c r="HX109" s="73"/>
      <c r="HY109" s="73"/>
      <c r="HZ109" s="73"/>
      <c r="IA109" s="73"/>
      <c r="IB109" s="73"/>
      <c r="IC109" s="73"/>
      <c r="ID109" s="73"/>
      <c r="IE109" s="73"/>
      <c r="IF109" s="73"/>
      <c r="IG109" s="73"/>
      <c r="IH109" s="73"/>
      <c r="II109" s="73"/>
      <c r="IJ109" s="73"/>
      <c r="IK109" s="73"/>
      <c r="IL109" s="73"/>
      <c r="IM109" s="73"/>
      <c r="IN109" s="73"/>
      <c r="IO109" s="73"/>
      <c r="IP109" s="73"/>
      <c r="IQ109" s="73"/>
      <c r="IR109" s="73"/>
      <c r="IS109" s="73"/>
      <c r="IT109" s="73"/>
      <c r="IU109" s="73"/>
      <c r="IV109" s="73"/>
      <c r="IW109" s="73"/>
    </row>
    <row r="110" customFormat="false" ht="12.75" hidden="false" customHeight="false" outlineLevel="0" collapsed="false">
      <c r="A110" s="73"/>
      <c r="B110" s="46" t="s">
        <v>201</v>
      </c>
      <c r="C110" s="44" t="s">
        <v>202</v>
      </c>
      <c r="D110" s="44" t="s">
        <v>207</v>
      </c>
      <c r="E110" s="45" t="n">
        <v>36656</v>
      </c>
      <c r="F110" s="45" t="n">
        <v>36950</v>
      </c>
      <c r="G110" s="46" t="s">
        <v>204</v>
      </c>
      <c r="H110" s="46" t="s">
        <v>205</v>
      </c>
      <c r="I110" s="44" t="s">
        <v>206</v>
      </c>
      <c r="J110" s="58" t="n">
        <v>3.145</v>
      </c>
      <c r="K110" s="49"/>
      <c r="L110" s="49"/>
      <c r="M110" s="49"/>
      <c r="N110" s="49"/>
      <c r="O110" s="50"/>
      <c r="P110" s="49"/>
      <c r="Q110" s="51" t="n">
        <v>68308</v>
      </c>
      <c r="R110" s="44" t="n">
        <v>9</v>
      </c>
      <c r="S110" s="46"/>
      <c r="T110" s="74" t="n">
        <f aca="false">+R110*J110/31*21</f>
        <v>19.1743548387097</v>
      </c>
      <c r="U110" s="74"/>
      <c r="V110" s="75" t="n">
        <v>262090</v>
      </c>
      <c r="W110" s="46" t="s">
        <v>216</v>
      </c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73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3"/>
      <c r="DS110" s="73"/>
      <c r="DT110" s="73"/>
      <c r="DU110" s="73"/>
      <c r="DV110" s="73"/>
      <c r="DW110" s="73"/>
      <c r="DX110" s="73"/>
      <c r="DY110" s="73"/>
      <c r="DZ110" s="73"/>
      <c r="EA110" s="73"/>
      <c r="EB110" s="73"/>
      <c r="EC110" s="73"/>
      <c r="ED110" s="73"/>
      <c r="EE110" s="73"/>
      <c r="EF110" s="73"/>
      <c r="EG110" s="73"/>
      <c r="EH110" s="73"/>
      <c r="EI110" s="73"/>
      <c r="EJ110" s="73"/>
      <c r="EK110" s="73"/>
      <c r="EL110" s="73"/>
      <c r="EM110" s="73"/>
      <c r="EN110" s="73"/>
      <c r="EO110" s="73"/>
      <c r="EP110" s="73"/>
      <c r="EQ110" s="73"/>
      <c r="ER110" s="73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73"/>
      <c r="FG110" s="73"/>
      <c r="FH110" s="73"/>
      <c r="FI110" s="73"/>
      <c r="FJ110" s="73"/>
      <c r="FK110" s="73"/>
      <c r="FL110" s="73"/>
      <c r="FM110" s="73"/>
      <c r="FN110" s="73"/>
      <c r="FO110" s="73"/>
      <c r="FP110" s="73"/>
      <c r="FQ110" s="73"/>
      <c r="FR110" s="73"/>
      <c r="FS110" s="73"/>
      <c r="FT110" s="73"/>
      <c r="FU110" s="73"/>
      <c r="FV110" s="73"/>
      <c r="FW110" s="73"/>
      <c r="FX110" s="73"/>
      <c r="FY110" s="73"/>
      <c r="FZ110" s="73"/>
      <c r="GA110" s="73"/>
      <c r="GB110" s="73"/>
      <c r="GC110" s="73"/>
      <c r="GD110" s="73"/>
      <c r="GE110" s="73"/>
      <c r="GF110" s="73"/>
      <c r="GG110" s="73"/>
      <c r="GH110" s="73"/>
      <c r="GI110" s="73"/>
      <c r="GJ110" s="73"/>
      <c r="GK110" s="73"/>
      <c r="GL110" s="73"/>
      <c r="GM110" s="73"/>
      <c r="GN110" s="73"/>
      <c r="GO110" s="73"/>
      <c r="GP110" s="73"/>
      <c r="GQ110" s="73"/>
      <c r="GR110" s="73"/>
      <c r="GS110" s="73"/>
      <c r="GT110" s="73"/>
      <c r="GU110" s="73"/>
      <c r="GV110" s="73"/>
      <c r="GW110" s="73"/>
      <c r="GX110" s="73"/>
      <c r="GY110" s="73"/>
      <c r="GZ110" s="73"/>
      <c r="HA110" s="73"/>
      <c r="HB110" s="73"/>
      <c r="HC110" s="73"/>
      <c r="HD110" s="73"/>
      <c r="HE110" s="73"/>
      <c r="HF110" s="73"/>
      <c r="HG110" s="73"/>
      <c r="HH110" s="73"/>
      <c r="HI110" s="73"/>
      <c r="HJ110" s="73"/>
      <c r="HK110" s="73"/>
      <c r="HL110" s="73"/>
      <c r="HM110" s="73"/>
      <c r="HN110" s="73"/>
      <c r="HO110" s="73"/>
      <c r="HP110" s="73"/>
      <c r="HQ110" s="73"/>
      <c r="HR110" s="73"/>
      <c r="HS110" s="73"/>
      <c r="HT110" s="73"/>
      <c r="HU110" s="73"/>
      <c r="HV110" s="73"/>
      <c r="HW110" s="73"/>
      <c r="HX110" s="73"/>
      <c r="HY110" s="73"/>
      <c r="HZ110" s="73"/>
      <c r="IA110" s="73"/>
      <c r="IB110" s="73"/>
      <c r="IC110" s="73"/>
      <c r="ID110" s="73"/>
      <c r="IE110" s="73"/>
      <c r="IF110" s="73"/>
      <c r="IG110" s="73"/>
      <c r="IH110" s="73"/>
      <c r="II110" s="73"/>
      <c r="IJ110" s="73"/>
      <c r="IK110" s="73"/>
      <c r="IL110" s="73"/>
      <c r="IM110" s="73"/>
      <c r="IN110" s="73"/>
      <c r="IO110" s="73"/>
      <c r="IP110" s="73"/>
      <c r="IQ110" s="73"/>
      <c r="IR110" s="73"/>
      <c r="IS110" s="73"/>
      <c r="IT110" s="73"/>
      <c r="IU110" s="73"/>
      <c r="IV110" s="73"/>
      <c r="IW110" s="73"/>
    </row>
    <row r="111" customFormat="false" ht="12.75" hidden="false" customHeight="false" outlineLevel="0" collapsed="false">
      <c r="A111" s="73"/>
      <c r="B111" s="46" t="s">
        <v>201</v>
      </c>
      <c r="C111" s="44" t="s">
        <v>202</v>
      </c>
      <c r="D111" s="44" t="s">
        <v>207</v>
      </c>
      <c r="E111" s="45" t="n">
        <v>36617</v>
      </c>
      <c r="F111" s="45" t="n">
        <v>36655</v>
      </c>
      <c r="G111" s="46" t="s">
        <v>204</v>
      </c>
      <c r="H111" s="46" t="s">
        <v>205</v>
      </c>
      <c r="I111" s="44" t="s">
        <v>206</v>
      </c>
      <c r="J111" s="58" t="n">
        <v>3.145</v>
      </c>
      <c r="K111" s="49"/>
      <c r="L111" s="49"/>
      <c r="M111" s="49"/>
      <c r="N111" s="49"/>
      <c r="O111" s="50"/>
      <c r="P111" s="49"/>
      <c r="Q111" s="51" t="n">
        <v>66615</v>
      </c>
      <c r="R111" s="44" t="n">
        <v>9</v>
      </c>
      <c r="S111" s="46"/>
      <c r="T111" s="74" t="n">
        <f aca="false">+R111*J111/31*9</f>
        <v>8.21758064516129</v>
      </c>
      <c r="U111" s="74"/>
      <c r="V111" s="75" t="n">
        <v>262082</v>
      </c>
      <c r="W111" s="46" t="s">
        <v>216</v>
      </c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  <c r="HV111" s="73"/>
      <c r="HW111" s="73"/>
      <c r="HX111" s="73"/>
      <c r="HY111" s="73"/>
      <c r="HZ111" s="73"/>
      <c r="IA111" s="73"/>
      <c r="IB111" s="73"/>
      <c r="IC111" s="73"/>
      <c r="ID111" s="73"/>
      <c r="IE111" s="73"/>
      <c r="IF111" s="73"/>
      <c r="IG111" s="73"/>
      <c r="IH111" s="73"/>
      <c r="II111" s="73"/>
      <c r="IJ111" s="73"/>
      <c r="IK111" s="73"/>
      <c r="IL111" s="73"/>
      <c r="IM111" s="73"/>
      <c r="IN111" s="73"/>
      <c r="IO111" s="73"/>
      <c r="IP111" s="73"/>
      <c r="IQ111" s="73"/>
      <c r="IR111" s="73"/>
      <c r="IS111" s="73"/>
      <c r="IT111" s="73"/>
      <c r="IU111" s="73"/>
      <c r="IV111" s="73"/>
      <c r="IW111" s="73"/>
    </row>
    <row r="112" customFormat="false" ht="12.75" hidden="false" customHeight="false" outlineLevel="0" collapsed="false">
      <c r="A112" s="73"/>
      <c r="B112" s="46" t="s">
        <v>201</v>
      </c>
      <c r="C112" s="44" t="s">
        <v>202</v>
      </c>
      <c r="D112" s="44" t="s">
        <v>203</v>
      </c>
      <c r="E112" s="45" t="n">
        <v>36647</v>
      </c>
      <c r="F112" s="45" t="n">
        <v>37011</v>
      </c>
      <c r="G112" s="46" t="s">
        <v>204</v>
      </c>
      <c r="H112" s="46" t="s">
        <v>205</v>
      </c>
      <c r="I112" s="44" t="s">
        <v>206</v>
      </c>
      <c r="J112" s="58" t="n">
        <v>3.154</v>
      </c>
      <c r="K112" s="49"/>
      <c r="L112" s="49"/>
      <c r="M112" s="49"/>
      <c r="N112" s="49"/>
      <c r="O112" s="50"/>
      <c r="P112" s="49"/>
      <c r="Q112" s="51" t="n">
        <v>68281</v>
      </c>
      <c r="R112" s="44" t="n">
        <v>21</v>
      </c>
      <c r="S112" s="46" t="s">
        <v>217</v>
      </c>
      <c r="T112" s="74" t="n">
        <f aca="false">+J112*R112</f>
        <v>66.234</v>
      </c>
      <c r="U112" s="74"/>
      <c r="V112" s="75" t="n">
        <v>256413</v>
      </c>
      <c r="W112" s="46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  <c r="HZ112" s="73"/>
      <c r="IA112" s="73"/>
      <c r="IB112" s="73"/>
      <c r="IC112" s="73"/>
      <c r="ID112" s="73"/>
      <c r="IE112" s="73"/>
      <c r="IF112" s="73"/>
      <c r="IG112" s="73"/>
      <c r="IH112" s="73"/>
      <c r="II112" s="73"/>
      <c r="IJ112" s="73"/>
      <c r="IK112" s="73"/>
      <c r="IL112" s="73"/>
      <c r="IM112" s="73"/>
      <c r="IN112" s="73"/>
      <c r="IO112" s="73"/>
      <c r="IP112" s="73"/>
      <c r="IQ112" s="73"/>
      <c r="IR112" s="73"/>
      <c r="IS112" s="73"/>
      <c r="IT112" s="73"/>
      <c r="IU112" s="73"/>
      <c r="IV112" s="73"/>
      <c r="IW112" s="73"/>
    </row>
    <row r="114" customFormat="false" ht="12.75" hidden="false" customHeight="false" outlineLevel="0" collapsed="false">
      <c r="A114" s="73"/>
      <c r="B114" s="46"/>
      <c r="C114" s="44"/>
      <c r="D114" s="44"/>
      <c r="E114" s="45"/>
      <c r="F114" s="45"/>
      <c r="G114" s="46"/>
      <c r="H114" s="46"/>
      <c r="I114" s="44"/>
      <c r="J114" s="58"/>
      <c r="K114" s="49"/>
      <c r="L114" s="49"/>
      <c r="M114" s="49"/>
      <c r="N114" s="49"/>
      <c r="O114" s="50"/>
      <c r="P114" s="49"/>
      <c r="Q114" s="51"/>
      <c r="R114" s="44"/>
      <c r="S114" s="46"/>
      <c r="T114" s="74"/>
      <c r="U114" s="74"/>
      <c r="V114" s="75"/>
      <c r="W114" s="46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  <c r="HV114" s="73"/>
      <c r="HW114" s="73"/>
      <c r="HX114" s="73"/>
      <c r="HY114" s="73"/>
      <c r="HZ114" s="73"/>
      <c r="IA114" s="73"/>
      <c r="IB114" s="73"/>
      <c r="IC114" s="73"/>
      <c r="ID114" s="73"/>
      <c r="IE114" s="73"/>
      <c r="IF114" s="73"/>
      <c r="IG114" s="73"/>
      <c r="IH114" s="73"/>
      <c r="II114" s="73"/>
      <c r="IJ114" s="73"/>
      <c r="IK114" s="73"/>
      <c r="IL114" s="73"/>
      <c r="IM114" s="73"/>
      <c r="IN114" s="73"/>
      <c r="IO114" s="73"/>
      <c r="IP114" s="73"/>
      <c r="IQ114" s="73"/>
      <c r="IR114" s="73"/>
      <c r="IS114" s="73"/>
      <c r="IT114" s="73"/>
      <c r="IU114" s="73"/>
      <c r="IV114" s="73"/>
      <c r="IW114" s="73"/>
    </row>
    <row r="115" customFormat="false" ht="12.75" hidden="false" customHeight="false" outlineLevel="0" collapsed="false">
      <c r="B115" s="46"/>
      <c r="C115" s="44"/>
      <c r="D115" s="44"/>
      <c r="E115" s="45"/>
      <c r="F115" s="45"/>
      <c r="G115" s="46"/>
      <c r="H115" s="46"/>
      <c r="I115" s="44"/>
      <c r="J115" s="58"/>
      <c r="K115" s="49"/>
      <c r="L115" s="99"/>
      <c r="M115" s="49"/>
      <c r="N115" s="49"/>
      <c r="O115" s="50"/>
      <c r="P115" s="49"/>
      <c r="Q115" s="51"/>
      <c r="R115" s="52" t="n">
        <f aca="false">SUM(R93:R113)</f>
        <v>2411</v>
      </c>
      <c r="S115" s="44"/>
      <c r="T115" s="74" t="n">
        <f aca="false">SUM(T93:T114)</f>
        <v>7190.40403548387</v>
      </c>
      <c r="U115" s="74"/>
      <c r="V115" s="75"/>
      <c r="W115" s="46"/>
      <c r="X115" s="72"/>
      <c r="Y115" s="72"/>
    </row>
    <row r="116" customFormat="false" ht="12.75" hidden="false" customHeight="false" outlineLevel="0" collapsed="false">
      <c r="B116" s="63" t="s">
        <v>181</v>
      </c>
      <c r="C116" s="64" t="s">
        <v>182</v>
      </c>
      <c r="D116" s="64" t="s">
        <v>183</v>
      </c>
      <c r="E116" s="65" t="s">
        <v>184</v>
      </c>
      <c r="F116" s="65"/>
      <c r="G116" s="63" t="s">
        <v>185</v>
      </c>
      <c r="H116" s="63" t="s">
        <v>186</v>
      </c>
      <c r="I116" s="64" t="s">
        <v>187</v>
      </c>
      <c r="J116" s="66" t="s">
        <v>188</v>
      </c>
      <c r="K116" s="64" t="s">
        <v>189</v>
      </c>
      <c r="L116" s="64" t="s">
        <v>190</v>
      </c>
      <c r="M116" s="64" t="s">
        <v>191</v>
      </c>
      <c r="N116" s="64" t="s">
        <v>192</v>
      </c>
      <c r="O116" s="67" t="s">
        <v>193</v>
      </c>
      <c r="P116" s="64" t="s">
        <v>194</v>
      </c>
      <c r="Q116" s="68" t="s">
        <v>195</v>
      </c>
      <c r="R116" s="64" t="s">
        <v>196</v>
      </c>
      <c r="S116" s="63" t="s">
        <v>197</v>
      </c>
      <c r="T116" s="69" t="s">
        <v>198</v>
      </c>
      <c r="U116" s="69" t="s">
        <v>199</v>
      </c>
      <c r="V116" s="70" t="s">
        <v>200</v>
      </c>
      <c r="W116" s="71" t="n">
        <f aca="false">+W56</f>
        <v>0</v>
      </c>
      <c r="X116" s="72"/>
      <c r="Y116" s="72"/>
    </row>
    <row r="117" customFormat="false" ht="12" hidden="false" customHeight="true" outlineLevel="0" collapsed="false">
      <c r="A117" s="73"/>
      <c r="B117" s="46" t="s">
        <v>201</v>
      </c>
      <c r="C117" s="44" t="s">
        <v>481</v>
      </c>
      <c r="D117" s="44" t="s">
        <v>482</v>
      </c>
      <c r="E117" s="45" t="n">
        <v>35612</v>
      </c>
      <c r="F117" s="45" t="n">
        <v>37437</v>
      </c>
      <c r="G117" s="46" t="s">
        <v>483</v>
      </c>
      <c r="H117" s="46" t="s">
        <v>484</v>
      </c>
      <c r="I117" s="44" t="s">
        <v>117</v>
      </c>
      <c r="J117" s="58" t="n">
        <f aca="false">+(5.6195+1.3875+0.2)/J$1</f>
        <v>0.240233333333333</v>
      </c>
      <c r="K117" s="49" t="n">
        <v>0</v>
      </c>
      <c r="L117" s="49" t="n">
        <v>0.0022</v>
      </c>
      <c r="M117" s="49" t="n">
        <v>0.0072</v>
      </c>
      <c r="N117" s="49" t="n">
        <v>0</v>
      </c>
      <c r="O117" s="50" t="n">
        <v>0</v>
      </c>
      <c r="P117" s="49" t="n">
        <f aca="false">SUM(J117:N117)</f>
        <v>0.249633333333333</v>
      </c>
      <c r="Q117" s="51" t="n">
        <v>270</v>
      </c>
      <c r="R117" s="44" t="n">
        <v>1000</v>
      </c>
      <c r="S117" s="46"/>
      <c r="T117" s="74" t="n">
        <f aca="false">J117*J$1*R117</f>
        <v>7207</v>
      </c>
      <c r="U117" s="74"/>
      <c r="V117" s="75" t="n">
        <v>149901</v>
      </c>
      <c r="W117" s="46" t="s">
        <v>485</v>
      </c>
      <c r="X117" s="72"/>
      <c r="Y117" s="72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73"/>
      <c r="DD117" s="73"/>
      <c r="DE117" s="73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7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73"/>
      <c r="FR117" s="73"/>
      <c r="FS117" s="73"/>
      <c r="FT117" s="73"/>
      <c r="FU117" s="73"/>
      <c r="FV117" s="73"/>
      <c r="FW117" s="73"/>
      <c r="FX117" s="73"/>
      <c r="FY117" s="73"/>
      <c r="FZ117" s="73"/>
      <c r="GA117" s="73"/>
      <c r="GB117" s="73"/>
      <c r="GC117" s="73"/>
      <c r="GD117" s="73"/>
      <c r="GE117" s="73"/>
      <c r="GF117" s="73"/>
      <c r="GG117" s="73"/>
      <c r="GH117" s="73"/>
      <c r="GI117" s="73"/>
      <c r="GJ117" s="73"/>
      <c r="GK117" s="73"/>
      <c r="GL117" s="73"/>
      <c r="GM117" s="73"/>
      <c r="GN117" s="73"/>
      <c r="GO117" s="73"/>
      <c r="GP117" s="73"/>
      <c r="GQ117" s="73"/>
      <c r="GR117" s="73"/>
      <c r="GS117" s="73"/>
      <c r="GT117" s="73"/>
      <c r="GU117" s="73"/>
      <c r="GV117" s="73"/>
      <c r="GW117" s="73"/>
      <c r="GX117" s="73"/>
      <c r="GY117" s="73"/>
      <c r="GZ117" s="73"/>
      <c r="HA117" s="73"/>
      <c r="HB117" s="73"/>
      <c r="HC117" s="73"/>
      <c r="HD117" s="73"/>
      <c r="HE117" s="73"/>
      <c r="HF117" s="73"/>
      <c r="HG117" s="73"/>
      <c r="HH117" s="73"/>
      <c r="HI117" s="73"/>
      <c r="HJ117" s="73"/>
      <c r="HK117" s="73"/>
      <c r="HL117" s="73"/>
      <c r="HM117" s="73"/>
      <c r="HN117" s="73"/>
      <c r="HO117" s="73"/>
      <c r="HP117" s="73"/>
      <c r="HQ117" s="73"/>
      <c r="HR117" s="73"/>
      <c r="HS117" s="73"/>
      <c r="HT117" s="73"/>
      <c r="HU117" s="73"/>
      <c r="HV117" s="73"/>
      <c r="HW117" s="73"/>
      <c r="HX117" s="73"/>
      <c r="HY117" s="73"/>
      <c r="HZ117" s="73"/>
      <c r="IA117" s="73"/>
      <c r="IB117" s="73"/>
      <c r="IC117" s="73"/>
      <c r="ID117" s="73"/>
      <c r="IE117" s="73"/>
      <c r="IF117" s="73"/>
      <c r="IG117" s="73"/>
      <c r="IH117" s="73"/>
      <c r="II117" s="73"/>
      <c r="IJ117" s="73"/>
      <c r="IK117" s="73"/>
      <c r="IL117" s="73"/>
      <c r="IM117" s="73"/>
      <c r="IN117" s="73"/>
      <c r="IO117" s="73"/>
      <c r="IP117" s="73"/>
      <c r="IQ117" s="73"/>
      <c r="IR117" s="73"/>
      <c r="IS117" s="73"/>
      <c r="IT117" s="73"/>
      <c r="IU117" s="73"/>
      <c r="IV117" s="73"/>
      <c r="IW117" s="73"/>
    </row>
    <row r="118" customFormat="false" ht="12" hidden="false" customHeight="true" outlineLevel="0" collapsed="false">
      <c r="A118" s="73"/>
      <c r="B118" s="46"/>
      <c r="C118" s="44"/>
      <c r="D118" s="44"/>
      <c r="E118" s="45"/>
      <c r="F118" s="45"/>
      <c r="G118" s="46"/>
      <c r="H118" s="46"/>
      <c r="I118" s="44"/>
      <c r="J118" s="58"/>
      <c r="K118" s="49"/>
      <c r="L118" s="49"/>
      <c r="M118" s="49"/>
      <c r="N118" s="49"/>
      <c r="O118" s="50"/>
      <c r="P118" s="49"/>
      <c r="Q118" s="51"/>
      <c r="R118" s="44"/>
      <c r="S118" s="46"/>
      <c r="T118" s="74" t="n">
        <f aca="false">SUM(T117)</f>
        <v>7207</v>
      </c>
      <c r="U118" s="74"/>
      <c r="V118" s="75"/>
      <c r="W118" s="46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73"/>
      <c r="DM118" s="73"/>
      <c r="DN118" s="73"/>
      <c r="DO118" s="73"/>
      <c r="DP118" s="73"/>
      <c r="DQ118" s="73"/>
      <c r="DR118" s="73"/>
      <c r="DS118" s="73"/>
      <c r="DT118" s="73"/>
      <c r="DU118" s="73"/>
      <c r="DV118" s="73"/>
      <c r="DW118" s="73"/>
      <c r="DX118" s="73"/>
      <c r="DY118" s="73"/>
      <c r="DZ118" s="73"/>
      <c r="EA118" s="73"/>
      <c r="EB118" s="73"/>
      <c r="EC118" s="73"/>
      <c r="ED118" s="73"/>
      <c r="EE118" s="73"/>
      <c r="EF118" s="73"/>
      <c r="EG118" s="73"/>
      <c r="EH118" s="73"/>
      <c r="EI118" s="73"/>
      <c r="EJ118" s="73"/>
      <c r="EK118" s="73"/>
      <c r="EL118" s="73"/>
      <c r="EM118" s="73"/>
      <c r="EN118" s="73"/>
      <c r="EO118" s="73"/>
      <c r="EP118" s="73"/>
      <c r="EQ118" s="73"/>
      <c r="ER118" s="73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73"/>
      <c r="FG118" s="73"/>
      <c r="FH118" s="73"/>
      <c r="FI118" s="73"/>
      <c r="FJ118" s="73"/>
      <c r="FK118" s="73"/>
      <c r="FL118" s="73"/>
      <c r="FM118" s="73"/>
      <c r="FN118" s="73"/>
      <c r="FO118" s="73"/>
      <c r="FP118" s="73"/>
      <c r="FQ118" s="73"/>
      <c r="FR118" s="73"/>
      <c r="FS118" s="73"/>
      <c r="FT118" s="73"/>
      <c r="FU118" s="73"/>
      <c r="FV118" s="73"/>
      <c r="FW118" s="73"/>
      <c r="FX118" s="73"/>
      <c r="FY118" s="73"/>
      <c r="FZ118" s="73"/>
      <c r="GA118" s="73"/>
      <c r="GB118" s="73"/>
      <c r="GC118" s="73"/>
      <c r="GD118" s="73"/>
      <c r="GE118" s="73"/>
      <c r="GF118" s="73"/>
      <c r="GG118" s="73"/>
      <c r="GH118" s="73"/>
      <c r="GI118" s="73"/>
      <c r="GJ118" s="73"/>
      <c r="GK118" s="73"/>
      <c r="GL118" s="73"/>
      <c r="GM118" s="73"/>
      <c r="GN118" s="73"/>
      <c r="GO118" s="73"/>
      <c r="GP118" s="73"/>
      <c r="GQ118" s="73"/>
      <c r="GR118" s="73"/>
      <c r="GS118" s="73"/>
      <c r="GT118" s="73"/>
      <c r="GU118" s="73"/>
      <c r="GV118" s="73"/>
      <c r="GW118" s="73"/>
      <c r="GX118" s="73"/>
      <c r="GY118" s="73"/>
      <c r="GZ118" s="73"/>
      <c r="HA118" s="73"/>
      <c r="HB118" s="73"/>
      <c r="HC118" s="73"/>
      <c r="HD118" s="73"/>
      <c r="HE118" s="73"/>
      <c r="HF118" s="73"/>
      <c r="HG118" s="73"/>
      <c r="HH118" s="73"/>
      <c r="HI118" s="73"/>
      <c r="HJ118" s="73"/>
      <c r="HK118" s="73"/>
      <c r="HL118" s="73"/>
      <c r="HM118" s="73"/>
      <c r="HN118" s="73"/>
      <c r="HO118" s="73"/>
      <c r="HP118" s="73"/>
      <c r="HQ118" s="73"/>
      <c r="HR118" s="73"/>
      <c r="HS118" s="73"/>
      <c r="HT118" s="73"/>
      <c r="HU118" s="73"/>
      <c r="HV118" s="73"/>
      <c r="HW118" s="73"/>
      <c r="HX118" s="73"/>
      <c r="HY118" s="73"/>
      <c r="HZ118" s="73"/>
      <c r="IA118" s="73"/>
      <c r="IB118" s="73"/>
      <c r="IC118" s="73"/>
      <c r="ID118" s="73"/>
      <c r="IE118" s="73"/>
      <c r="IF118" s="73"/>
      <c r="IG118" s="73"/>
      <c r="IH118" s="73"/>
      <c r="II118" s="73"/>
      <c r="IJ118" s="73"/>
      <c r="IK118" s="73"/>
      <c r="IL118" s="73"/>
      <c r="IM118" s="73"/>
      <c r="IN118" s="73"/>
      <c r="IO118" s="73"/>
      <c r="IP118" s="73"/>
      <c r="IQ118" s="73"/>
      <c r="IR118" s="73"/>
      <c r="IS118" s="73"/>
      <c r="IT118" s="73"/>
      <c r="IU118" s="73"/>
      <c r="IV118" s="73"/>
      <c r="IW118" s="73"/>
    </row>
    <row r="119" customFormat="false" ht="12.75" hidden="false" customHeight="false" outlineLevel="0" collapsed="false">
      <c r="B119" s="63" t="s">
        <v>181</v>
      </c>
      <c r="C119" s="64" t="s">
        <v>182</v>
      </c>
      <c r="D119" s="64" t="s">
        <v>183</v>
      </c>
      <c r="E119" s="65" t="s">
        <v>184</v>
      </c>
      <c r="F119" s="65"/>
      <c r="G119" s="63" t="s">
        <v>185</v>
      </c>
      <c r="H119" s="63" t="s">
        <v>186</v>
      </c>
      <c r="I119" s="64" t="s">
        <v>187</v>
      </c>
      <c r="J119" s="66" t="s">
        <v>188</v>
      </c>
      <c r="K119" s="64" t="s">
        <v>189</v>
      </c>
      <c r="L119" s="64" t="s">
        <v>190</v>
      </c>
      <c r="M119" s="64" t="s">
        <v>191</v>
      </c>
      <c r="N119" s="64" t="s">
        <v>192</v>
      </c>
      <c r="O119" s="67" t="s">
        <v>193</v>
      </c>
      <c r="P119" s="64" t="s">
        <v>194</v>
      </c>
      <c r="Q119" s="68" t="s">
        <v>195</v>
      </c>
      <c r="R119" s="64" t="s">
        <v>196</v>
      </c>
      <c r="S119" s="63" t="s">
        <v>197</v>
      </c>
      <c r="T119" s="69" t="s">
        <v>198</v>
      </c>
      <c r="U119" s="69" t="s">
        <v>199</v>
      </c>
      <c r="V119" s="70" t="s">
        <v>200</v>
      </c>
      <c r="W119" s="71" t="n">
        <f aca="false">+W59</f>
        <v>0</v>
      </c>
      <c r="X119" s="72"/>
      <c r="Y119" s="72"/>
    </row>
    <row r="120" customFormat="false" ht="12" hidden="false" customHeight="true" outlineLevel="0" collapsed="false">
      <c r="A120" s="73"/>
      <c r="B120" s="46" t="s">
        <v>201</v>
      </c>
      <c r="C120" s="44" t="s">
        <v>218</v>
      </c>
      <c r="D120" s="44" t="s">
        <v>219</v>
      </c>
      <c r="E120" s="45" t="n">
        <v>36647</v>
      </c>
      <c r="F120" s="45" t="n">
        <v>36677</v>
      </c>
      <c r="G120" s="46"/>
      <c r="H120" s="46"/>
      <c r="I120" s="44" t="s">
        <v>220</v>
      </c>
      <c r="J120" s="58" t="n">
        <v>0.02834</v>
      </c>
      <c r="K120" s="49" t="n">
        <v>0</v>
      </c>
      <c r="L120" s="49" t="n">
        <v>0.0022</v>
      </c>
      <c r="M120" s="49" t="n">
        <v>0.0072</v>
      </c>
      <c r="N120" s="49" t="n">
        <v>0</v>
      </c>
      <c r="O120" s="50" t="n">
        <v>0</v>
      </c>
      <c r="P120" s="49" t="n">
        <f aca="false">SUM(J120:N120)</f>
        <v>0.03774</v>
      </c>
      <c r="Q120" s="51" t="s">
        <v>221</v>
      </c>
      <c r="R120" s="44" t="n">
        <v>811143</v>
      </c>
      <c r="S120" s="46"/>
      <c r="T120" s="74" t="n">
        <f aca="false">+J120*R120</f>
        <v>22987.79262</v>
      </c>
      <c r="U120" s="74"/>
      <c r="V120" s="75" t="n">
        <v>254358</v>
      </c>
      <c r="W120" s="46" t="s">
        <v>524</v>
      </c>
      <c r="X120" s="72"/>
      <c r="Y120" s="72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  <c r="EE120" s="73"/>
      <c r="EF120" s="73"/>
      <c r="EG120" s="73"/>
      <c r="EH120" s="73"/>
      <c r="EI120" s="73"/>
      <c r="EJ120" s="73"/>
      <c r="EK120" s="73"/>
      <c r="EL120" s="73"/>
      <c r="EM120" s="73"/>
      <c r="EN120" s="73"/>
      <c r="EO120" s="73"/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73"/>
      <c r="FG120" s="73"/>
      <c r="FH120" s="73"/>
      <c r="FI120" s="73"/>
      <c r="FJ120" s="73"/>
      <c r="FK120" s="73"/>
      <c r="FL120" s="73"/>
      <c r="FM120" s="73"/>
      <c r="FN120" s="73"/>
      <c r="FO120" s="73"/>
      <c r="FP120" s="73"/>
      <c r="FQ120" s="73"/>
      <c r="FR120" s="73"/>
      <c r="FS120" s="73"/>
      <c r="FT120" s="73"/>
      <c r="FU120" s="73"/>
      <c r="FV120" s="73"/>
      <c r="FW120" s="73"/>
      <c r="FX120" s="73"/>
      <c r="FY120" s="73"/>
      <c r="FZ120" s="73"/>
      <c r="GA120" s="73"/>
      <c r="GB120" s="73"/>
      <c r="GC120" s="73"/>
      <c r="GD120" s="73"/>
      <c r="GE120" s="73"/>
      <c r="GF120" s="73"/>
      <c r="GG120" s="73"/>
      <c r="GH120" s="73"/>
      <c r="GI120" s="73"/>
      <c r="GJ120" s="73"/>
      <c r="GK120" s="73"/>
      <c r="GL120" s="73"/>
      <c r="GM120" s="73"/>
      <c r="GN120" s="73"/>
      <c r="GO120" s="73"/>
      <c r="GP120" s="73"/>
      <c r="GQ120" s="73"/>
      <c r="GR120" s="73"/>
      <c r="GS120" s="73"/>
      <c r="GT120" s="73"/>
      <c r="GU120" s="73"/>
      <c r="GV120" s="73"/>
      <c r="GW120" s="73"/>
      <c r="GX120" s="73"/>
      <c r="GY120" s="73"/>
      <c r="GZ120" s="73"/>
      <c r="HA120" s="73"/>
      <c r="HB120" s="73"/>
      <c r="HC120" s="73"/>
      <c r="HD120" s="73"/>
      <c r="HE120" s="73"/>
      <c r="HF120" s="73"/>
      <c r="HG120" s="73"/>
      <c r="HH120" s="73"/>
      <c r="HI120" s="73"/>
      <c r="HJ120" s="73"/>
      <c r="HK120" s="73"/>
      <c r="HL120" s="73"/>
      <c r="HM120" s="73"/>
      <c r="HN120" s="73"/>
      <c r="HO120" s="73"/>
      <c r="HP120" s="73"/>
      <c r="HQ120" s="73"/>
      <c r="HR120" s="73"/>
      <c r="HS120" s="73"/>
      <c r="HT120" s="73"/>
      <c r="HU120" s="73"/>
      <c r="HV120" s="73"/>
      <c r="HW120" s="73"/>
      <c r="HX120" s="73"/>
      <c r="HY120" s="73"/>
      <c r="HZ120" s="73"/>
      <c r="IA120" s="73"/>
      <c r="IB120" s="73"/>
      <c r="IC120" s="73"/>
      <c r="ID120" s="73"/>
      <c r="IE120" s="73"/>
      <c r="IF120" s="73"/>
      <c r="IG120" s="73"/>
      <c r="IH120" s="73"/>
      <c r="II120" s="73"/>
      <c r="IJ120" s="73"/>
      <c r="IK120" s="73"/>
      <c r="IL120" s="73"/>
      <c r="IM120" s="73"/>
      <c r="IN120" s="73"/>
      <c r="IO120" s="73"/>
      <c r="IP120" s="73"/>
      <c r="IQ120" s="73"/>
      <c r="IR120" s="73"/>
      <c r="IS120" s="73"/>
      <c r="IT120" s="73"/>
      <c r="IU120" s="73"/>
      <c r="IV120" s="73"/>
      <c r="IW120" s="73"/>
    </row>
    <row r="121" customFormat="false" ht="12" hidden="false" customHeight="true" outlineLevel="0" collapsed="false">
      <c r="A121" s="73"/>
      <c r="B121" s="46" t="s">
        <v>201</v>
      </c>
      <c r="C121" s="44" t="s">
        <v>218</v>
      </c>
      <c r="D121" s="44" t="s">
        <v>219</v>
      </c>
      <c r="E121" s="45" t="n">
        <v>36647</v>
      </c>
      <c r="F121" s="45" t="n">
        <v>36677</v>
      </c>
      <c r="G121" s="46"/>
      <c r="H121" s="46"/>
      <c r="I121" s="44" t="s">
        <v>220</v>
      </c>
      <c r="J121" s="58" t="n">
        <f aca="false">1.544/30</f>
        <v>0.0514666666666667</v>
      </c>
      <c r="K121" s="49" t="n">
        <v>0</v>
      </c>
      <c r="L121" s="49" t="n">
        <v>0.0022</v>
      </c>
      <c r="M121" s="49" t="n">
        <v>0.0072</v>
      </c>
      <c r="N121" s="49" t="n">
        <v>0</v>
      </c>
      <c r="O121" s="50" t="n">
        <v>0</v>
      </c>
      <c r="P121" s="49" t="n">
        <f aca="false">SUM(J121:N121)</f>
        <v>0.0608666666666667</v>
      </c>
      <c r="Q121" s="51" t="s">
        <v>221</v>
      </c>
      <c r="R121" s="44" t="n">
        <v>16379</v>
      </c>
      <c r="S121" s="46"/>
      <c r="T121" s="74" t="n">
        <f aca="false">+J121*R121*30</f>
        <v>25289.176</v>
      </c>
      <c r="U121" s="74"/>
      <c r="V121" s="75" t="n">
        <v>254358</v>
      </c>
      <c r="W121" s="46" t="s">
        <v>524</v>
      </c>
      <c r="X121" s="72"/>
      <c r="Y121" s="72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  <c r="CG121" s="73"/>
      <c r="CH121" s="73"/>
      <c r="CI121" s="73"/>
      <c r="CJ121" s="73"/>
      <c r="CK121" s="73"/>
      <c r="CL121" s="73"/>
      <c r="CM121" s="73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3"/>
      <c r="DE121" s="73"/>
      <c r="DF121" s="73"/>
      <c r="DG121" s="73"/>
      <c r="DH121" s="73"/>
      <c r="DI121" s="73"/>
      <c r="DJ121" s="73"/>
      <c r="DK121" s="73"/>
      <c r="DL121" s="73"/>
      <c r="DM121" s="73"/>
      <c r="DN121" s="73"/>
      <c r="DO121" s="73"/>
      <c r="DP121" s="73"/>
      <c r="DQ121" s="73"/>
      <c r="DR121" s="73"/>
      <c r="DS121" s="73"/>
      <c r="DT121" s="73"/>
      <c r="DU121" s="73"/>
      <c r="DV121" s="73"/>
      <c r="DW121" s="73"/>
      <c r="DX121" s="73"/>
      <c r="DY121" s="73"/>
      <c r="DZ121" s="73"/>
      <c r="EA121" s="73"/>
      <c r="EB121" s="73"/>
      <c r="EC121" s="73"/>
      <c r="ED121" s="73"/>
      <c r="EE121" s="73"/>
      <c r="EF121" s="73"/>
      <c r="EG121" s="73"/>
      <c r="EH121" s="73"/>
      <c r="EI121" s="73"/>
      <c r="EJ121" s="73"/>
      <c r="EK121" s="73"/>
      <c r="EL121" s="73"/>
      <c r="EM121" s="73"/>
      <c r="EN121" s="73"/>
      <c r="EO121" s="73"/>
      <c r="EP121" s="73"/>
      <c r="EQ121" s="73"/>
      <c r="ER121" s="73"/>
      <c r="ES121" s="73"/>
      <c r="ET121" s="73"/>
      <c r="EU121" s="73"/>
      <c r="EV121" s="73"/>
      <c r="EW121" s="73"/>
      <c r="EX121" s="73"/>
      <c r="EY121" s="73"/>
      <c r="EZ121" s="73"/>
      <c r="FA121" s="73"/>
      <c r="FB121" s="73"/>
      <c r="FC121" s="73"/>
      <c r="FD121" s="73"/>
      <c r="FE121" s="73"/>
      <c r="FF121" s="73"/>
      <c r="FG121" s="73"/>
      <c r="FH121" s="73"/>
      <c r="FI121" s="73"/>
      <c r="FJ121" s="73"/>
      <c r="FK121" s="73"/>
      <c r="FL121" s="73"/>
      <c r="FM121" s="73"/>
      <c r="FN121" s="73"/>
      <c r="FO121" s="73"/>
      <c r="FP121" s="73"/>
      <c r="FQ121" s="73"/>
      <c r="FR121" s="73"/>
      <c r="FS121" s="73"/>
      <c r="FT121" s="73"/>
      <c r="FU121" s="73"/>
      <c r="FV121" s="73"/>
      <c r="FW121" s="73"/>
      <c r="FX121" s="73"/>
      <c r="FY121" s="73"/>
      <c r="FZ121" s="73"/>
      <c r="GA121" s="73"/>
      <c r="GB121" s="73"/>
      <c r="GC121" s="73"/>
      <c r="GD121" s="73"/>
      <c r="GE121" s="73"/>
      <c r="GF121" s="73"/>
      <c r="GG121" s="73"/>
      <c r="GH121" s="73"/>
      <c r="GI121" s="73"/>
      <c r="GJ121" s="73"/>
      <c r="GK121" s="73"/>
      <c r="GL121" s="73"/>
      <c r="GM121" s="73"/>
      <c r="GN121" s="73"/>
      <c r="GO121" s="73"/>
      <c r="GP121" s="73"/>
      <c r="GQ121" s="73"/>
      <c r="GR121" s="73"/>
      <c r="GS121" s="73"/>
      <c r="GT121" s="73"/>
      <c r="GU121" s="73"/>
      <c r="GV121" s="73"/>
      <c r="GW121" s="73"/>
      <c r="GX121" s="73"/>
      <c r="GY121" s="73"/>
      <c r="GZ121" s="73"/>
      <c r="HA121" s="73"/>
      <c r="HB121" s="73"/>
      <c r="HC121" s="73"/>
      <c r="HD121" s="73"/>
      <c r="HE121" s="73"/>
      <c r="HF121" s="73"/>
      <c r="HG121" s="73"/>
      <c r="HH121" s="73"/>
      <c r="HI121" s="73"/>
      <c r="HJ121" s="73"/>
      <c r="HK121" s="73"/>
      <c r="HL121" s="73"/>
      <c r="HM121" s="73"/>
      <c r="HN121" s="73"/>
      <c r="HO121" s="73"/>
      <c r="HP121" s="73"/>
      <c r="HQ121" s="73"/>
      <c r="HR121" s="73"/>
      <c r="HS121" s="73"/>
      <c r="HT121" s="73"/>
      <c r="HU121" s="73"/>
      <c r="HV121" s="73"/>
      <c r="HW121" s="73"/>
      <c r="HX121" s="73"/>
      <c r="HY121" s="73"/>
      <c r="HZ121" s="73"/>
      <c r="IA121" s="73"/>
      <c r="IB121" s="73"/>
      <c r="IC121" s="73"/>
      <c r="ID121" s="73"/>
      <c r="IE121" s="73"/>
      <c r="IF121" s="73"/>
      <c r="IG121" s="73"/>
      <c r="IH121" s="73"/>
      <c r="II121" s="73"/>
      <c r="IJ121" s="73"/>
      <c r="IK121" s="73"/>
      <c r="IL121" s="73"/>
      <c r="IM121" s="73"/>
      <c r="IN121" s="73"/>
      <c r="IO121" s="73"/>
      <c r="IP121" s="73"/>
      <c r="IQ121" s="73"/>
      <c r="IR121" s="73"/>
      <c r="IS121" s="73"/>
      <c r="IT121" s="73"/>
      <c r="IU121" s="73"/>
      <c r="IV121" s="73"/>
      <c r="IW121" s="73"/>
    </row>
    <row r="122" customFormat="false" ht="12" hidden="false" customHeight="true" outlineLevel="0" collapsed="false">
      <c r="A122" s="73"/>
      <c r="B122" s="46" t="s">
        <v>201</v>
      </c>
      <c r="C122" s="44" t="s">
        <v>218</v>
      </c>
      <c r="D122" s="44" t="s">
        <v>219</v>
      </c>
      <c r="E122" s="45" t="n">
        <v>36647</v>
      </c>
      <c r="F122" s="45" t="n">
        <v>36677</v>
      </c>
      <c r="G122" s="46"/>
      <c r="H122" s="46"/>
      <c r="I122" s="44" t="s">
        <v>220</v>
      </c>
      <c r="J122" s="58" t="n">
        <v>0.02834</v>
      </c>
      <c r="K122" s="49" t="n">
        <v>0</v>
      </c>
      <c r="L122" s="49" t="n">
        <v>0.0022</v>
      </c>
      <c r="M122" s="49" t="n">
        <v>0.0072</v>
      </c>
      <c r="N122" s="49" t="n">
        <v>0</v>
      </c>
      <c r="O122" s="50" t="n">
        <v>0</v>
      </c>
      <c r="P122" s="49" t="n">
        <f aca="false">SUM(J122:N122)</f>
        <v>0.03774</v>
      </c>
      <c r="Q122" s="51" t="s">
        <v>221</v>
      </c>
      <c r="R122" s="44" t="n">
        <v>12718</v>
      </c>
      <c r="S122" s="46"/>
      <c r="T122" s="74" t="n">
        <f aca="false">+J122*R122</f>
        <v>360.42812</v>
      </c>
      <c r="U122" s="74"/>
      <c r="V122" s="75" t="n">
        <v>254331</v>
      </c>
      <c r="W122" s="46" t="s">
        <v>525</v>
      </c>
      <c r="X122" s="72"/>
      <c r="Y122" s="72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  <c r="HZ122" s="73"/>
      <c r="IA122" s="73"/>
      <c r="IB122" s="73"/>
      <c r="IC122" s="73"/>
      <c r="ID122" s="73"/>
      <c r="IE122" s="73"/>
      <c r="IF122" s="73"/>
      <c r="IG122" s="73"/>
      <c r="IH122" s="73"/>
      <c r="II122" s="73"/>
      <c r="IJ122" s="73"/>
      <c r="IK122" s="73"/>
      <c r="IL122" s="73"/>
      <c r="IM122" s="73"/>
      <c r="IN122" s="73"/>
      <c r="IO122" s="73"/>
      <c r="IP122" s="73"/>
      <c r="IQ122" s="73"/>
      <c r="IR122" s="73"/>
      <c r="IS122" s="73"/>
      <c r="IT122" s="73"/>
      <c r="IU122" s="73"/>
      <c r="IV122" s="73"/>
      <c r="IW122" s="73"/>
    </row>
    <row r="123" customFormat="false" ht="12" hidden="false" customHeight="true" outlineLevel="0" collapsed="false">
      <c r="A123" s="73"/>
      <c r="B123" s="46" t="s">
        <v>201</v>
      </c>
      <c r="C123" s="44" t="s">
        <v>218</v>
      </c>
      <c r="D123" s="44" t="s">
        <v>219</v>
      </c>
      <c r="E123" s="45" t="n">
        <v>36647</v>
      </c>
      <c r="F123" s="45" t="n">
        <v>36677</v>
      </c>
      <c r="G123" s="46"/>
      <c r="H123" s="46"/>
      <c r="I123" s="44" t="s">
        <v>220</v>
      </c>
      <c r="J123" s="58" t="n">
        <f aca="false">1.544/30</f>
        <v>0.0514666666666667</v>
      </c>
      <c r="K123" s="49" t="n">
        <v>0</v>
      </c>
      <c r="L123" s="49" t="n">
        <v>0.0022</v>
      </c>
      <c r="M123" s="49" t="n">
        <v>0.0072</v>
      </c>
      <c r="N123" s="49" t="n">
        <v>0</v>
      </c>
      <c r="O123" s="50" t="n">
        <v>0</v>
      </c>
      <c r="P123" s="49" t="n">
        <f aca="false">SUM(J123:N123)</f>
        <v>0.0608666666666667</v>
      </c>
      <c r="Q123" s="51" t="s">
        <v>221</v>
      </c>
      <c r="R123" s="44" t="n">
        <v>256</v>
      </c>
      <c r="S123" s="46"/>
      <c r="T123" s="74" t="n">
        <f aca="false">+J123*R123*30</f>
        <v>395.264</v>
      </c>
      <c r="U123" s="74"/>
      <c r="V123" s="75" t="n">
        <v>254331</v>
      </c>
      <c r="W123" s="46" t="s">
        <v>525</v>
      </c>
      <c r="X123" s="72"/>
      <c r="Y123" s="72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  <c r="CG123" s="73"/>
      <c r="CH123" s="73"/>
      <c r="CI123" s="73"/>
      <c r="CJ123" s="73"/>
      <c r="CK123" s="73"/>
      <c r="CL123" s="73"/>
      <c r="CM123" s="73"/>
      <c r="CN123" s="73"/>
      <c r="CO123" s="73"/>
      <c r="CP123" s="73"/>
      <c r="CQ123" s="73"/>
      <c r="CR123" s="73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3"/>
      <c r="DF123" s="73"/>
      <c r="DG123" s="73"/>
      <c r="DH123" s="73"/>
      <c r="DI123" s="73"/>
      <c r="DJ123" s="73"/>
      <c r="DK123" s="73"/>
      <c r="DL123" s="73"/>
      <c r="DM123" s="73"/>
      <c r="DN123" s="73"/>
      <c r="DO123" s="73"/>
      <c r="DP123" s="73"/>
      <c r="DQ123" s="73"/>
      <c r="DR123" s="73"/>
      <c r="DS123" s="73"/>
      <c r="DT123" s="73"/>
      <c r="DU123" s="73"/>
      <c r="DV123" s="73"/>
      <c r="DW123" s="73"/>
      <c r="DX123" s="73"/>
      <c r="DY123" s="73"/>
      <c r="DZ123" s="73"/>
      <c r="EA123" s="73"/>
      <c r="EB123" s="73"/>
      <c r="EC123" s="73"/>
      <c r="ED123" s="73"/>
      <c r="EE123" s="73"/>
      <c r="EF123" s="73"/>
      <c r="EG123" s="73"/>
      <c r="EH123" s="73"/>
      <c r="EI123" s="73"/>
      <c r="EJ123" s="73"/>
      <c r="EK123" s="73"/>
      <c r="EL123" s="73"/>
      <c r="EM123" s="73"/>
      <c r="EN123" s="73"/>
      <c r="EO123" s="73"/>
      <c r="EP123" s="73"/>
      <c r="EQ123" s="73"/>
      <c r="ER123" s="73"/>
      <c r="ES123" s="73"/>
      <c r="ET123" s="73"/>
      <c r="EU123" s="73"/>
      <c r="EV123" s="73"/>
      <c r="EW123" s="73"/>
      <c r="EX123" s="73"/>
      <c r="EY123" s="73"/>
      <c r="EZ123" s="73"/>
      <c r="FA123" s="73"/>
      <c r="FB123" s="73"/>
      <c r="FC123" s="73"/>
      <c r="FD123" s="73"/>
      <c r="FE123" s="73"/>
      <c r="FF123" s="73"/>
      <c r="FG123" s="73"/>
      <c r="FH123" s="73"/>
      <c r="FI123" s="73"/>
      <c r="FJ123" s="73"/>
      <c r="FK123" s="73"/>
      <c r="FL123" s="73"/>
      <c r="FM123" s="73"/>
      <c r="FN123" s="73"/>
      <c r="FO123" s="73"/>
      <c r="FP123" s="73"/>
      <c r="FQ123" s="73"/>
      <c r="FR123" s="73"/>
      <c r="FS123" s="73"/>
      <c r="FT123" s="73"/>
      <c r="FU123" s="73"/>
      <c r="FV123" s="73"/>
      <c r="FW123" s="73"/>
      <c r="FX123" s="73"/>
      <c r="FY123" s="73"/>
      <c r="FZ123" s="73"/>
      <c r="GA123" s="73"/>
      <c r="GB123" s="73"/>
      <c r="GC123" s="73"/>
      <c r="GD123" s="73"/>
      <c r="GE123" s="73"/>
      <c r="GF123" s="73"/>
      <c r="GG123" s="73"/>
      <c r="GH123" s="73"/>
      <c r="GI123" s="73"/>
      <c r="GJ123" s="73"/>
      <c r="GK123" s="73"/>
      <c r="GL123" s="73"/>
      <c r="GM123" s="73"/>
      <c r="GN123" s="73"/>
      <c r="GO123" s="73"/>
      <c r="GP123" s="73"/>
      <c r="GQ123" s="73"/>
      <c r="GR123" s="73"/>
      <c r="GS123" s="73"/>
      <c r="GT123" s="73"/>
      <c r="GU123" s="73"/>
      <c r="GV123" s="73"/>
      <c r="GW123" s="73"/>
      <c r="GX123" s="73"/>
      <c r="GY123" s="73"/>
      <c r="GZ123" s="73"/>
      <c r="HA123" s="73"/>
      <c r="HB123" s="73"/>
      <c r="HC123" s="73"/>
      <c r="HD123" s="73"/>
      <c r="HE123" s="73"/>
      <c r="HF123" s="73"/>
      <c r="HG123" s="73"/>
      <c r="HH123" s="73"/>
      <c r="HI123" s="73"/>
      <c r="HJ123" s="73"/>
      <c r="HK123" s="73"/>
      <c r="HL123" s="73"/>
      <c r="HM123" s="73"/>
      <c r="HN123" s="73"/>
      <c r="HO123" s="73"/>
      <c r="HP123" s="73"/>
      <c r="HQ123" s="73"/>
      <c r="HR123" s="73"/>
      <c r="HS123" s="73"/>
      <c r="HT123" s="73"/>
      <c r="HU123" s="73"/>
      <c r="HV123" s="73"/>
      <c r="HW123" s="73"/>
      <c r="HX123" s="73"/>
      <c r="HY123" s="73"/>
      <c r="HZ123" s="73"/>
      <c r="IA123" s="73"/>
      <c r="IB123" s="73"/>
      <c r="IC123" s="73"/>
      <c r="ID123" s="73"/>
      <c r="IE123" s="73"/>
      <c r="IF123" s="73"/>
      <c r="IG123" s="73"/>
      <c r="IH123" s="73"/>
      <c r="II123" s="73"/>
      <c r="IJ123" s="73"/>
      <c r="IK123" s="73"/>
      <c r="IL123" s="73"/>
      <c r="IM123" s="73"/>
      <c r="IN123" s="73"/>
      <c r="IO123" s="73"/>
      <c r="IP123" s="73"/>
      <c r="IQ123" s="73"/>
      <c r="IR123" s="73"/>
      <c r="IS123" s="73"/>
      <c r="IT123" s="73"/>
      <c r="IU123" s="73"/>
      <c r="IV123" s="73"/>
      <c r="IW123" s="73"/>
    </row>
    <row r="124" customFormat="false" ht="12" hidden="false" customHeight="true" outlineLevel="0" collapsed="false">
      <c r="A124" s="73"/>
      <c r="B124" s="46" t="s">
        <v>201</v>
      </c>
      <c r="C124" s="44" t="s">
        <v>218</v>
      </c>
      <c r="D124" s="44" t="s">
        <v>219</v>
      </c>
      <c r="E124" s="45" t="n">
        <v>36647</v>
      </c>
      <c r="F124" s="45" t="n">
        <v>36677</v>
      </c>
      <c r="G124" s="46"/>
      <c r="H124" s="46"/>
      <c r="I124" s="44" t="s">
        <v>224</v>
      </c>
      <c r="J124" s="58" t="n">
        <f aca="false">11.2024/31</f>
        <v>0.361367741935484</v>
      </c>
      <c r="K124" s="49"/>
      <c r="L124" s="49"/>
      <c r="M124" s="49"/>
      <c r="N124" s="49"/>
      <c r="O124" s="50"/>
      <c r="P124" s="49"/>
      <c r="Q124" s="51" t="s">
        <v>225</v>
      </c>
      <c r="R124" s="44" t="n">
        <v>6626</v>
      </c>
      <c r="S124" s="46"/>
      <c r="T124" s="74" t="n">
        <f aca="false">J124*J$1*R124</f>
        <v>71832.6797419355</v>
      </c>
      <c r="U124" s="74"/>
      <c r="V124" s="75" t="n">
        <v>254292</v>
      </c>
      <c r="W124" s="46" t="s">
        <v>526</v>
      </c>
      <c r="X124" s="72"/>
      <c r="Y124" s="72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3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73"/>
      <c r="DS124" s="73"/>
      <c r="DT124" s="73"/>
      <c r="DU124" s="73"/>
      <c r="DV124" s="73"/>
      <c r="DW124" s="73"/>
      <c r="DX124" s="73"/>
      <c r="DY124" s="73"/>
      <c r="DZ124" s="73"/>
      <c r="EA124" s="73"/>
      <c r="EB124" s="73"/>
      <c r="EC124" s="73"/>
      <c r="ED124" s="73"/>
      <c r="EE124" s="73"/>
      <c r="EF124" s="73"/>
      <c r="EG124" s="73"/>
      <c r="EH124" s="73"/>
      <c r="EI124" s="73"/>
      <c r="EJ124" s="73"/>
      <c r="EK124" s="73"/>
      <c r="EL124" s="73"/>
      <c r="EM124" s="73"/>
      <c r="EN124" s="73"/>
      <c r="EO124" s="73"/>
      <c r="EP124" s="73"/>
      <c r="EQ124" s="73"/>
      <c r="ER124" s="73"/>
      <c r="ES124" s="73"/>
      <c r="ET124" s="73"/>
      <c r="EU124" s="73"/>
      <c r="EV124" s="73"/>
      <c r="EW124" s="73"/>
      <c r="EX124" s="73"/>
      <c r="EY124" s="73"/>
      <c r="EZ124" s="73"/>
      <c r="FA124" s="73"/>
      <c r="FB124" s="73"/>
      <c r="FC124" s="73"/>
      <c r="FD124" s="73"/>
      <c r="FE124" s="73"/>
      <c r="FF124" s="73"/>
      <c r="FG124" s="73"/>
      <c r="FH124" s="73"/>
      <c r="FI124" s="73"/>
      <c r="FJ124" s="73"/>
      <c r="FK124" s="73"/>
      <c r="FL124" s="73"/>
      <c r="FM124" s="73"/>
      <c r="FN124" s="73"/>
      <c r="FO124" s="73"/>
      <c r="FP124" s="73"/>
      <c r="FQ124" s="73"/>
      <c r="FR124" s="73"/>
      <c r="FS124" s="73"/>
      <c r="FT124" s="73"/>
      <c r="FU124" s="73"/>
      <c r="FV124" s="73"/>
      <c r="FW124" s="73"/>
      <c r="FX124" s="73"/>
      <c r="FY124" s="73"/>
      <c r="FZ124" s="73"/>
      <c r="GA124" s="73"/>
      <c r="GB124" s="73"/>
      <c r="GC124" s="73"/>
      <c r="GD124" s="73"/>
      <c r="GE124" s="73"/>
      <c r="GF124" s="73"/>
      <c r="GG124" s="73"/>
      <c r="GH124" s="73"/>
      <c r="GI124" s="73"/>
      <c r="GJ124" s="73"/>
      <c r="GK124" s="73"/>
      <c r="GL124" s="73"/>
      <c r="GM124" s="73"/>
      <c r="GN124" s="73"/>
      <c r="GO124" s="73"/>
      <c r="GP124" s="73"/>
      <c r="GQ124" s="73"/>
      <c r="GR124" s="73"/>
      <c r="GS124" s="73"/>
      <c r="GT124" s="73"/>
      <c r="GU124" s="73"/>
      <c r="GV124" s="73"/>
      <c r="GW124" s="73"/>
      <c r="GX124" s="73"/>
      <c r="GY124" s="73"/>
      <c r="GZ124" s="73"/>
      <c r="HA124" s="73"/>
      <c r="HB124" s="73"/>
      <c r="HC124" s="73"/>
      <c r="HD124" s="73"/>
      <c r="HE124" s="73"/>
      <c r="HF124" s="73"/>
      <c r="HG124" s="73"/>
      <c r="HH124" s="73"/>
      <c r="HI124" s="73"/>
      <c r="HJ124" s="73"/>
      <c r="HK124" s="73"/>
      <c r="HL124" s="73"/>
      <c r="HM124" s="73"/>
      <c r="HN124" s="73"/>
      <c r="HO124" s="73"/>
      <c r="HP124" s="73"/>
      <c r="HQ124" s="73"/>
      <c r="HR124" s="73"/>
      <c r="HS124" s="73"/>
      <c r="HT124" s="73"/>
      <c r="HU124" s="73"/>
      <c r="HV124" s="73"/>
      <c r="HW124" s="73"/>
      <c r="HX124" s="73"/>
      <c r="HY124" s="73"/>
      <c r="HZ124" s="73"/>
      <c r="IA124" s="73"/>
      <c r="IB124" s="73"/>
      <c r="IC124" s="73"/>
      <c r="ID124" s="73"/>
      <c r="IE124" s="73"/>
      <c r="IF124" s="73"/>
      <c r="IG124" s="73"/>
      <c r="IH124" s="73"/>
      <c r="II124" s="73"/>
      <c r="IJ124" s="73"/>
      <c r="IK124" s="73"/>
      <c r="IL124" s="73"/>
      <c r="IM124" s="73"/>
      <c r="IN124" s="73"/>
      <c r="IO124" s="73"/>
      <c r="IP124" s="73"/>
      <c r="IQ124" s="73"/>
      <c r="IR124" s="73"/>
      <c r="IS124" s="73"/>
      <c r="IT124" s="73"/>
      <c r="IU124" s="73"/>
      <c r="IV124" s="73"/>
      <c r="IW124" s="73"/>
    </row>
    <row r="125" customFormat="false" ht="12" hidden="false" customHeight="true" outlineLevel="0" collapsed="false">
      <c r="A125" s="73"/>
      <c r="B125" s="46" t="s">
        <v>201</v>
      </c>
      <c r="C125" s="44" t="s">
        <v>218</v>
      </c>
      <c r="D125" s="44" t="s">
        <v>219</v>
      </c>
      <c r="E125" s="45" t="n">
        <v>36647</v>
      </c>
      <c r="F125" s="45" t="n">
        <v>36677</v>
      </c>
      <c r="G125" s="46"/>
      <c r="H125" s="46"/>
      <c r="I125" s="44" t="s">
        <v>224</v>
      </c>
      <c r="J125" s="58" t="n">
        <f aca="false">8.5094/31</f>
        <v>0.274496774193548</v>
      </c>
      <c r="K125" s="49"/>
      <c r="L125" s="49"/>
      <c r="M125" s="49"/>
      <c r="N125" s="49"/>
      <c r="O125" s="50"/>
      <c r="P125" s="49"/>
      <c r="Q125" s="51" t="s">
        <v>225</v>
      </c>
      <c r="R125" s="44" t="n">
        <f aca="false">445+60</f>
        <v>505</v>
      </c>
      <c r="S125" s="46"/>
      <c r="T125" s="74" t="n">
        <f aca="false">J125*J$1*R125</f>
        <v>4158.62612903226</v>
      </c>
      <c r="U125" s="74"/>
      <c r="V125" s="75" t="n">
        <v>254284</v>
      </c>
      <c r="W125" s="46" t="s">
        <v>527</v>
      </c>
      <c r="X125" s="72"/>
      <c r="Y125" s="72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  <c r="CG125" s="73"/>
      <c r="CH125" s="73"/>
      <c r="CI125" s="73"/>
      <c r="CJ125" s="73"/>
      <c r="CK125" s="7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3"/>
      <c r="CV125" s="73"/>
      <c r="CW125" s="73"/>
      <c r="CX125" s="73"/>
      <c r="CY125" s="73"/>
      <c r="CZ125" s="73"/>
      <c r="DA125" s="73"/>
      <c r="DB125" s="73"/>
      <c r="DC125" s="73"/>
      <c r="DD125" s="73"/>
      <c r="DE125" s="73"/>
      <c r="DF125" s="73"/>
      <c r="DG125" s="73"/>
      <c r="DH125" s="73"/>
      <c r="DI125" s="73"/>
      <c r="DJ125" s="73"/>
      <c r="DK125" s="73"/>
      <c r="DL125" s="73"/>
      <c r="DM125" s="73"/>
      <c r="DN125" s="73"/>
      <c r="DO125" s="73"/>
      <c r="DP125" s="73"/>
      <c r="DQ125" s="73"/>
      <c r="DR125" s="73"/>
      <c r="DS125" s="73"/>
      <c r="DT125" s="73"/>
      <c r="DU125" s="73"/>
      <c r="DV125" s="73"/>
      <c r="DW125" s="73"/>
      <c r="DX125" s="73"/>
      <c r="DY125" s="73"/>
      <c r="DZ125" s="73"/>
      <c r="EA125" s="73"/>
      <c r="EB125" s="73"/>
      <c r="EC125" s="73"/>
      <c r="ED125" s="73"/>
      <c r="EE125" s="73"/>
      <c r="EF125" s="73"/>
      <c r="EG125" s="73"/>
      <c r="EH125" s="73"/>
      <c r="EI125" s="73"/>
      <c r="EJ125" s="73"/>
      <c r="EK125" s="73"/>
      <c r="EL125" s="73"/>
      <c r="EM125" s="73"/>
      <c r="EN125" s="73"/>
      <c r="EO125" s="73"/>
      <c r="EP125" s="73"/>
      <c r="EQ125" s="73"/>
      <c r="ER125" s="73"/>
      <c r="ES125" s="73"/>
      <c r="ET125" s="73"/>
      <c r="EU125" s="73"/>
      <c r="EV125" s="73"/>
      <c r="EW125" s="73"/>
      <c r="EX125" s="73"/>
      <c r="EY125" s="73"/>
      <c r="EZ125" s="73"/>
      <c r="FA125" s="73"/>
      <c r="FB125" s="73"/>
      <c r="FC125" s="73"/>
      <c r="FD125" s="73"/>
      <c r="FE125" s="73"/>
      <c r="FF125" s="73"/>
      <c r="FG125" s="73"/>
      <c r="FH125" s="73"/>
      <c r="FI125" s="73"/>
      <c r="FJ125" s="73"/>
      <c r="FK125" s="73"/>
      <c r="FL125" s="73"/>
      <c r="FM125" s="73"/>
      <c r="FN125" s="73"/>
      <c r="FO125" s="73"/>
      <c r="FP125" s="73"/>
      <c r="FQ125" s="73"/>
      <c r="FR125" s="73"/>
      <c r="FS125" s="73"/>
      <c r="FT125" s="73"/>
      <c r="FU125" s="73"/>
      <c r="FV125" s="73"/>
      <c r="FW125" s="73"/>
      <c r="FX125" s="73"/>
      <c r="FY125" s="73"/>
      <c r="FZ125" s="73"/>
      <c r="GA125" s="73"/>
      <c r="GB125" s="73"/>
      <c r="GC125" s="73"/>
      <c r="GD125" s="73"/>
      <c r="GE125" s="73"/>
      <c r="GF125" s="73"/>
      <c r="GG125" s="73"/>
      <c r="GH125" s="73"/>
      <c r="GI125" s="73"/>
      <c r="GJ125" s="73"/>
      <c r="GK125" s="73"/>
      <c r="GL125" s="73"/>
      <c r="GM125" s="73"/>
      <c r="GN125" s="73"/>
      <c r="GO125" s="73"/>
      <c r="GP125" s="73"/>
      <c r="GQ125" s="73"/>
      <c r="GR125" s="73"/>
      <c r="GS125" s="73"/>
      <c r="GT125" s="73"/>
      <c r="GU125" s="73"/>
      <c r="GV125" s="73"/>
      <c r="GW125" s="73"/>
      <c r="GX125" s="73"/>
      <c r="GY125" s="73"/>
      <c r="GZ125" s="73"/>
      <c r="HA125" s="73"/>
      <c r="HB125" s="73"/>
      <c r="HC125" s="73"/>
      <c r="HD125" s="73"/>
      <c r="HE125" s="73"/>
      <c r="HF125" s="73"/>
      <c r="HG125" s="73"/>
      <c r="HH125" s="73"/>
      <c r="HI125" s="73"/>
      <c r="HJ125" s="73"/>
      <c r="HK125" s="73"/>
      <c r="HL125" s="73"/>
      <c r="HM125" s="73"/>
      <c r="HN125" s="73"/>
      <c r="HO125" s="73"/>
      <c r="HP125" s="73"/>
      <c r="HQ125" s="73"/>
      <c r="HR125" s="73"/>
      <c r="HS125" s="73"/>
      <c r="HT125" s="73"/>
      <c r="HU125" s="73"/>
      <c r="HV125" s="73"/>
      <c r="HW125" s="73"/>
      <c r="HX125" s="73"/>
      <c r="HY125" s="73"/>
      <c r="HZ125" s="73"/>
      <c r="IA125" s="73"/>
      <c r="IB125" s="73"/>
      <c r="IC125" s="73"/>
      <c r="ID125" s="73"/>
      <c r="IE125" s="73"/>
      <c r="IF125" s="73"/>
      <c r="IG125" s="73"/>
      <c r="IH125" s="73"/>
      <c r="II125" s="73"/>
      <c r="IJ125" s="73"/>
      <c r="IK125" s="73"/>
      <c r="IL125" s="73"/>
      <c r="IM125" s="73"/>
      <c r="IN125" s="73"/>
      <c r="IO125" s="73"/>
      <c r="IP125" s="73"/>
      <c r="IQ125" s="73"/>
      <c r="IR125" s="73"/>
      <c r="IS125" s="73"/>
      <c r="IT125" s="73"/>
      <c r="IU125" s="73"/>
      <c r="IV125" s="73"/>
      <c r="IW125" s="73"/>
    </row>
    <row r="126" customFormat="false" ht="12" hidden="false" customHeight="true" outlineLevel="0" collapsed="false">
      <c r="A126" s="73"/>
      <c r="B126" s="46" t="s">
        <v>201</v>
      </c>
      <c r="C126" s="44" t="s">
        <v>218</v>
      </c>
      <c r="D126" s="44" t="s">
        <v>219</v>
      </c>
      <c r="E126" s="45" t="n">
        <v>36647</v>
      </c>
      <c r="F126" s="45" t="n">
        <v>36677</v>
      </c>
      <c r="G126" s="46"/>
      <c r="H126" s="46"/>
      <c r="I126" s="44" t="s">
        <v>224</v>
      </c>
      <c r="J126" s="58" t="n">
        <f aca="false">11.2024/J1</f>
        <v>0.373413333333333</v>
      </c>
      <c r="K126" s="49"/>
      <c r="L126" s="49"/>
      <c r="M126" s="49"/>
      <c r="N126" s="49"/>
      <c r="O126" s="50"/>
      <c r="P126" s="49"/>
      <c r="Q126" s="51" t="s">
        <v>225</v>
      </c>
      <c r="R126" s="44" t="n">
        <v>30750</v>
      </c>
      <c r="S126" s="46"/>
      <c r="T126" s="74" t="n">
        <f aca="false">J126*J$1*R126</f>
        <v>344473.8</v>
      </c>
      <c r="U126" s="74"/>
      <c r="V126" s="75" t="n">
        <v>254277</v>
      </c>
      <c r="W126" s="46" t="s">
        <v>528</v>
      </c>
      <c r="X126" s="72"/>
      <c r="Y126" s="72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3"/>
      <c r="DF126" s="73"/>
      <c r="DG126" s="73"/>
      <c r="DH126" s="73"/>
      <c r="DI126" s="73"/>
      <c r="DJ126" s="73"/>
      <c r="DK126" s="73"/>
      <c r="DL126" s="73"/>
      <c r="DM126" s="73"/>
      <c r="DN126" s="73"/>
      <c r="DO126" s="73"/>
      <c r="DP126" s="73"/>
      <c r="DQ126" s="73"/>
      <c r="DR126" s="73"/>
      <c r="DS126" s="73"/>
      <c r="DT126" s="73"/>
      <c r="DU126" s="73"/>
      <c r="DV126" s="73"/>
      <c r="DW126" s="73"/>
      <c r="DX126" s="73"/>
      <c r="DY126" s="73"/>
      <c r="DZ126" s="73"/>
      <c r="EA126" s="73"/>
      <c r="EB126" s="73"/>
      <c r="EC126" s="73"/>
      <c r="ED126" s="73"/>
      <c r="EE126" s="73"/>
      <c r="EF126" s="73"/>
      <c r="EG126" s="73"/>
      <c r="EH126" s="73"/>
      <c r="EI126" s="73"/>
      <c r="EJ126" s="73"/>
      <c r="EK126" s="73"/>
      <c r="EL126" s="73"/>
      <c r="EM126" s="73"/>
      <c r="EN126" s="73"/>
      <c r="EO126" s="73"/>
      <c r="EP126" s="73"/>
      <c r="EQ126" s="73"/>
      <c r="ER126" s="73"/>
      <c r="ES126" s="73"/>
      <c r="ET126" s="73"/>
      <c r="EU126" s="73"/>
      <c r="EV126" s="73"/>
      <c r="EW126" s="73"/>
      <c r="EX126" s="73"/>
      <c r="EY126" s="73"/>
      <c r="EZ126" s="73"/>
      <c r="FA126" s="73"/>
      <c r="FB126" s="73"/>
      <c r="FC126" s="73"/>
      <c r="FD126" s="73"/>
      <c r="FE126" s="73"/>
      <c r="FF126" s="73"/>
      <c r="FG126" s="73"/>
      <c r="FH126" s="73"/>
      <c r="FI126" s="73"/>
      <c r="FJ126" s="73"/>
      <c r="FK126" s="73"/>
      <c r="FL126" s="73"/>
      <c r="FM126" s="73"/>
      <c r="FN126" s="73"/>
      <c r="FO126" s="73"/>
      <c r="FP126" s="73"/>
      <c r="FQ126" s="73"/>
      <c r="FR126" s="73"/>
      <c r="FS126" s="73"/>
      <c r="FT126" s="73"/>
      <c r="FU126" s="73"/>
      <c r="FV126" s="73"/>
      <c r="FW126" s="73"/>
      <c r="FX126" s="73"/>
      <c r="FY126" s="73"/>
      <c r="FZ126" s="73"/>
      <c r="GA126" s="73"/>
      <c r="GB126" s="73"/>
      <c r="GC126" s="73"/>
      <c r="GD126" s="73"/>
      <c r="GE126" s="73"/>
      <c r="GF126" s="73"/>
      <c r="GG126" s="73"/>
      <c r="GH126" s="73"/>
      <c r="GI126" s="73"/>
      <c r="GJ126" s="73"/>
      <c r="GK126" s="73"/>
      <c r="GL126" s="73"/>
      <c r="GM126" s="73"/>
      <c r="GN126" s="73"/>
      <c r="GO126" s="73"/>
      <c r="GP126" s="73"/>
      <c r="GQ126" s="73"/>
      <c r="GR126" s="73"/>
      <c r="GS126" s="73"/>
      <c r="GT126" s="73"/>
      <c r="GU126" s="73"/>
      <c r="GV126" s="73"/>
      <c r="GW126" s="73"/>
      <c r="GX126" s="73"/>
      <c r="GY126" s="73"/>
      <c r="GZ126" s="73"/>
      <c r="HA126" s="73"/>
      <c r="HB126" s="73"/>
      <c r="HC126" s="73"/>
      <c r="HD126" s="73"/>
      <c r="HE126" s="73"/>
      <c r="HF126" s="73"/>
      <c r="HG126" s="73"/>
      <c r="HH126" s="73"/>
      <c r="HI126" s="73"/>
      <c r="HJ126" s="73"/>
      <c r="HK126" s="73"/>
      <c r="HL126" s="73"/>
      <c r="HM126" s="73"/>
      <c r="HN126" s="73"/>
      <c r="HO126" s="73"/>
      <c r="HP126" s="73"/>
      <c r="HQ126" s="73"/>
      <c r="HR126" s="73"/>
      <c r="HS126" s="73"/>
      <c r="HT126" s="73"/>
      <c r="HU126" s="73"/>
      <c r="HV126" s="73"/>
      <c r="HW126" s="73"/>
      <c r="HX126" s="73"/>
      <c r="HY126" s="73"/>
      <c r="HZ126" s="73"/>
      <c r="IA126" s="73"/>
      <c r="IB126" s="73"/>
      <c r="IC126" s="73"/>
      <c r="ID126" s="73"/>
      <c r="IE126" s="73"/>
      <c r="IF126" s="73"/>
      <c r="IG126" s="73"/>
      <c r="IH126" s="73"/>
      <c r="II126" s="73"/>
      <c r="IJ126" s="73"/>
      <c r="IK126" s="73"/>
      <c r="IL126" s="73"/>
      <c r="IM126" s="73"/>
      <c r="IN126" s="73"/>
      <c r="IO126" s="73"/>
      <c r="IP126" s="73"/>
      <c r="IQ126" s="73"/>
      <c r="IR126" s="73"/>
      <c r="IS126" s="73"/>
      <c r="IT126" s="73"/>
      <c r="IU126" s="73"/>
      <c r="IV126" s="73"/>
      <c r="IW126" s="73"/>
    </row>
    <row r="127" customFormat="false" ht="12" hidden="false" customHeight="true" outlineLevel="0" collapsed="false">
      <c r="A127" s="73"/>
      <c r="B127" s="46" t="s">
        <v>201</v>
      </c>
      <c r="C127" s="44" t="s">
        <v>228</v>
      </c>
      <c r="D127" s="44" t="s">
        <v>219</v>
      </c>
      <c r="E127" s="45" t="n">
        <v>36647</v>
      </c>
      <c r="F127" s="45" t="n">
        <v>36677</v>
      </c>
      <c r="G127" s="46" t="s">
        <v>144</v>
      </c>
      <c r="H127" s="46" t="s">
        <v>144</v>
      </c>
      <c r="I127" s="44" t="s">
        <v>224</v>
      </c>
      <c r="J127" s="58" t="n">
        <f aca="false">5.406/31</f>
        <v>0.174387096774194</v>
      </c>
      <c r="K127" s="49"/>
      <c r="L127" s="49"/>
      <c r="M127" s="49"/>
      <c r="N127" s="49"/>
      <c r="O127" s="50"/>
      <c r="P127" s="49"/>
      <c r="Q127" s="51" t="s">
        <v>229</v>
      </c>
      <c r="R127" s="44" t="n">
        <v>504</v>
      </c>
      <c r="S127" s="46"/>
      <c r="T127" s="74" t="n">
        <f aca="false">J127*J$1*R127</f>
        <v>2636.73290322581</v>
      </c>
      <c r="U127" s="74"/>
      <c r="V127" s="75" t="n">
        <v>254270</v>
      </c>
      <c r="W127" s="46" t="s">
        <v>230</v>
      </c>
      <c r="X127" s="72"/>
      <c r="Y127" s="72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3"/>
      <c r="CV127" s="73"/>
      <c r="CW127" s="73"/>
      <c r="CX127" s="73"/>
      <c r="CY127" s="73"/>
      <c r="CZ127" s="73"/>
      <c r="DA127" s="73"/>
      <c r="DB127" s="73"/>
      <c r="DC127" s="73"/>
      <c r="DD127" s="73"/>
      <c r="DE127" s="73"/>
      <c r="DF127" s="73"/>
      <c r="DG127" s="73"/>
      <c r="DH127" s="73"/>
      <c r="DI127" s="73"/>
      <c r="DJ127" s="73"/>
      <c r="DK127" s="73"/>
      <c r="DL127" s="73"/>
      <c r="DM127" s="73"/>
      <c r="DN127" s="73"/>
      <c r="DO127" s="73"/>
      <c r="DP127" s="73"/>
      <c r="DQ127" s="73"/>
      <c r="DR127" s="73"/>
      <c r="DS127" s="73"/>
      <c r="DT127" s="73"/>
      <c r="DU127" s="73"/>
      <c r="DV127" s="73"/>
      <c r="DW127" s="73"/>
      <c r="DX127" s="73"/>
      <c r="DY127" s="73"/>
      <c r="DZ127" s="73"/>
      <c r="EA127" s="73"/>
      <c r="EB127" s="73"/>
      <c r="EC127" s="73"/>
      <c r="ED127" s="73"/>
      <c r="EE127" s="73"/>
      <c r="EF127" s="73"/>
      <c r="EG127" s="73"/>
      <c r="EH127" s="73"/>
      <c r="EI127" s="73"/>
      <c r="EJ127" s="73"/>
      <c r="EK127" s="73"/>
      <c r="EL127" s="73"/>
      <c r="EM127" s="73"/>
      <c r="EN127" s="73"/>
      <c r="EO127" s="73"/>
      <c r="EP127" s="73"/>
      <c r="EQ127" s="73"/>
      <c r="ER127" s="73"/>
      <c r="ES127" s="73"/>
      <c r="ET127" s="73"/>
      <c r="EU127" s="73"/>
      <c r="EV127" s="73"/>
      <c r="EW127" s="73"/>
      <c r="EX127" s="73"/>
      <c r="EY127" s="73"/>
      <c r="EZ127" s="73"/>
      <c r="FA127" s="73"/>
      <c r="FB127" s="73"/>
      <c r="FC127" s="73"/>
      <c r="FD127" s="73"/>
      <c r="FE127" s="73"/>
      <c r="FF127" s="73"/>
      <c r="FG127" s="73"/>
      <c r="FH127" s="73"/>
      <c r="FI127" s="73"/>
      <c r="FJ127" s="73"/>
      <c r="FK127" s="73"/>
      <c r="FL127" s="73"/>
      <c r="FM127" s="73"/>
      <c r="FN127" s="73"/>
      <c r="FO127" s="73"/>
      <c r="FP127" s="73"/>
      <c r="FQ127" s="73"/>
      <c r="FR127" s="73"/>
      <c r="FS127" s="73"/>
      <c r="FT127" s="73"/>
      <c r="FU127" s="73"/>
      <c r="FV127" s="73"/>
      <c r="FW127" s="73"/>
      <c r="FX127" s="73"/>
      <c r="FY127" s="73"/>
      <c r="FZ127" s="73"/>
      <c r="GA127" s="73"/>
      <c r="GB127" s="73"/>
      <c r="GC127" s="73"/>
      <c r="GD127" s="73"/>
      <c r="GE127" s="73"/>
      <c r="GF127" s="73"/>
      <c r="GG127" s="73"/>
      <c r="GH127" s="73"/>
      <c r="GI127" s="73"/>
      <c r="GJ127" s="73"/>
      <c r="GK127" s="73"/>
      <c r="GL127" s="73"/>
      <c r="GM127" s="73"/>
      <c r="GN127" s="73"/>
      <c r="GO127" s="73"/>
      <c r="GP127" s="73"/>
      <c r="GQ127" s="73"/>
      <c r="GR127" s="73"/>
      <c r="GS127" s="73"/>
      <c r="GT127" s="73"/>
      <c r="GU127" s="73"/>
      <c r="GV127" s="73"/>
      <c r="GW127" s="73"/>
      <c r="GX127" s="73"/>
      <c r="GY127" s="73"/>
      <c r="GZ127" s="73"/>
      <c r="HA127" s="73"/>
      <c r="HB127" s="73"/>
      <c r="HC127" s="73"/>
      <c r="HD127" s="73"/>
      <c r="HE127" s="73"/>
      <c r="HF127" s="73"/>
      <c r="HG127" s="73"/>
      <c r="HH127" s="73"/>
      <c r="HI127" s="73"/>
      <c r="HJ127" s="73"/>
      <c r="HK127" s="73"/>
      <c r="HL127" s="73"/>
      <c r="HM127" s="73"/>
      <c r="HN127" s="73"/>
      <c r="HO127" s="73"/>
      <c r="HP127" s="73"/>
      <c r="HQ127" s="73"/>
      <c r="HR127" s="73"/>
      <c r="HS127" s="73"/>
      <c r="HT127" s="73"/>
      <c r="HU127" s="73"/>
      <c r="HV127" s="73"/>
      <c r="HW127" s="73"/>
      <c r="HX127" s="73"/>
      <c r="HY127" s="73"/>
      <c r="HZ127" s="73"/>
      <c r="IA127" s="73"/>
      <c r="IB127" s="73"/>
      <c r="IC127" s="73"/>
      <c r="ID127" s="73"/>
      <c r="IE127" s="73"/>
      <c r="IF127" s="73"/>
      <c r="IG127" s="73"/>
      <c r="IH127" s="73"/>
      <c r="II127" s="73"/>
      <c r="IJ127" s="73"/>
      <c r="IK127" s="73"/>
      <c r="IL127" s="73"/>
      <c r="IM127" s="73"/>
      <c r="IN127" s="73"/>
      <c r="IO127" s="73"/>
      <c r="IP127" s="73"/>
      <c r="IQ127" s="73"/>
      <c r="IR127" s="73"/>
      <c r="IS127" s="73"/>
      <c r="IT127" s="73"/>
      <c r="IU127" s="73"/>
      <c r="IV127" s="73"/>
      <c r="IW127" s="73"/>
    </row>
    <row r="128" customFormat="false" ht="12" hidden="false" customHeight="true" outlineLevel="0" collapsed="false">
      <c r="A128" s="73"/>
      <c r="B128" s="46" t="s">
        <v>201</v>
      </c>
      <c r="C128" s="44" t="s">
        <v>228</v>
      </c>
      <c r="D128" s="44" t="s">
        <v>219</v>
      </c>
      <c r="E128" s="45" t="n">
        <v>36649</v>
      </c>
      <c r="F128" s="45" t="n">
        <v>36677</v>
      </c>
      <c r="G128" s="46"/>
      <c r="H128" s="46"/>
      <c r="I128" s="44" t="s">
        <v>224</v>
      </c>
      <c r="J128" s="58" t="n">
        <v>0.03</v>
      </c>
      <c r="K128" s="49"/>
      <c r="L128" s="49"/>
      <c r="M128" s="49"/>
      <c r="N128" s="49"/>
      <c r="O128" s="50"/>
      <c r="P128" s="49"/>
      <c r="Q128" s="51" t="s">
        <v>229</v>
      </c>
      <c r="R128" s="44" t="n">
        <v>-200</v>
      </c>
      <c r="S128" s="46"/>
      <c r="T128" s="74"/>
      <c r="U128" s="74"/>
      <c r="V128" s="75" t="n">
        <v>266810</v>
      </c>
      <c r="W128" s="46" t="s">
        <v>529</v>
      </c>
      <c r="X128" s="72"/>
      <c r="Y128" s="72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  <c r="CG128" s="73"/>
      <c r="CH128" s="73"/>
      <c r="CI128" s="73"/>
      <c r="CJ128" s="73"/>
      <c r="CK128" s="7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3"/>
      <c r="CV128" s="73"/>
      <c r="CW128" s="73"/>
      <c r="CX128" s="73"/>
      <c r="CY128" s="73"/>
      <c r="CZ128" s="73"/>
      <c r="DA128" s="73"/>
      <c r="DB128" s="73"/>
      <c r="DC128" s="73"/>
      <c r="DD128" s="73"/>
      <c r="DE128" s="73"/>
      <c r="DF128" s="73"/>
      <c r="DG128" s="73"/>
      <c r="DH128" s="73"/>
      <c r="DI128" s="73"/>
      <c r="DJ128" s="73"/>
      <c r="DK128" s="73"/>
      <c r="DL128" s="73"/>
      <c r="DM128" s="73"/>
      <c r="DN128" s="73"/>
      <c r="DO128" s="73"/>
      <c r="DP128" s="73"/>
      <c r="DQ128" s="73"/>
      <c r="DR128" s="73"/>
      <c r="DS128" s="73"/>
      <c r="DT128" s="73"/>
      <c r="DU128" s="73"/>
      <c r="DV128" s="73"/>
      <c r="DW128" s="73"/>
      <c r="DX128" s="73"/>
      <c r="DY128" s="73"/>
      <c r="DZ128" s="73"/>
      <c r="EA128" s="73"/>
      <c r="EB128" s="73"/>
      <c r="EC128" s="73"/>
      <c r="ED128" s="73"/>
      <c r="EE128" s="73"/>
      <c r="EF128" s="73"/>
      <c r="EG128" s="73"/>
      <c r="EH128" s="73"/>
      <c r="EI128" s="73"/>
      <c r="EJ128" s="73"/>
      <c r="EK128" s="73"/>
      <c r="EL128" s="73"/>
      <c r="EM128" s="73"/>
      <c r="EN128" s="73"/>
      <c r="EO128" s="73"/>
      <c r="EP128" s="73"/>
      <c r="EQ128" s="73"/>
      <c r="ER128" s="73"/>
      <c r="ES128" s="73"/>
      <c r="ET128" s="73"/>
      <c r="EU128" s="73"/>
      <c r="EV128" s="73"/>
      <c r="EW128" s="73"/>
      <c r="EX128" s="73"/>
      <c r="EY128" s="73"/>
      <c r="EZ128" s="73"/>
      <c r="FA128" s="73"/>
      <c r="FB128" s="73"/>
      <c r="FC128" s="73"/>
      <c r="FD128" s="73"/>
      <c r="FE128" s="73"/>
      <c r="FF128" s="73"/>
      <c r="FG128" s="73"/>
      <c r="FH128" s="73"/>
      <c r="FI128" s="73"/>
      <c r="FJ128" s="73"/>
      <c r="FK128" s="73"/>
      <c r="FL128" s="73"/>
      <c r="FM128" s="73"/>
      <c r="FN128" s="73"/>
      <c r="FO128" s="73"/>
      <c r="FP128" s="73"/>
      <c r="FQ128" s="73"/>
      <c r="FR128" s="73"/>
      <c r="FS128" s="73"/>
      <c r="FT128" s="73"/>
      <c r="FU128" s="73"/>
      <c r="FV128" s="73"/>
      <c r="FW128" s="73"/>
      <c r="FX128" s="73"/>
      <c r="FY128" s="73"/>
      <c r="FZ128" s="73"/>
      <c r="GA128" s="73"/>
      <c r="GB128" s="73"/>
      <c r="GC128" s="73"/>
      <c r="GD128" s="73"/>
      <c r="GE128" s="73"/>
      <c r="GF128" s="73"/>
      <c r="GG128" s="73"/>
      <c r="GH128" s="73"/>
      <c r="GI128" s="73"/>
      <c r="GJ128" s="73"/>
      <c r="GK128" s="73"/>
      <c r="GL128" s="73"/>
      <c r="GM128" s="73"/>
      <c r="GN128" s="73"/>
      <c r="GO128" s="73"/>
      <c r="GP128" s="73"/>
      <c r="GQ128" s="73"/>
      <c r="GR128" s="73"/>
      <c r="GS128" s="73"/>
      <c r="GT128" s="73"/>
      <c r="GU128" s="73"/>
      <c r="GV128" s="73"/>
      <c r="GW128" s="73"/>
      <c r="GX128" s="73"/>
      <c r="GY128" s="73"/>
      <c r="GZ128" s="73"/>
      <c r="HA128" s="73"/>
      <c r="HB128" s="73"/>
      <c r="HC128" s="73"/>
      <c r="HD128" s="73"/>
      <c r="HE128" s="73"/>
      <c r="HF128" s="73"/>
      <c r="HG128" s="73"/>
      <c r="HH128" s="73"/>
      <c r="HI128" s="73"/>
      <c r="HJ128" s="73"/>
      <c r="HK128" s="73"/>
      <c r="HL128" s="73"/>
      <c r="HM128" s="73"/>
      <c r="HN128" s="73"/>
      <c r="HO128" s="73"/>
      <c r="HP128" s="73"/>
      <c r="HQ128" s="73"/>
      <c r="HR128" s="73"/>
      <c r="HS128" s="73"/>
      <c r="HT128" s="73"/>
      <c r="HU128" s="73"/>
      <c r="HV128" s="73"/>
      <c r="HW128" s="73"/>
      <c r="HX128" s="73"/>
      <c r="HY128" s="73"/>
      <c r="HZ128" s="73"/>
      <c r="IA128" s="73"/>
      <c r="IB128" s="73"/>
      <c r="IC128" s="73"/>
      <c r="ID128" s="73"/>
      <c r="IE128" s="73"/>
      <c r="IF128" s="73"/>
      <c r="IG128" s="73"/>
      <c r="IH128" s="73"/>
      <c r="II128" s="73"/>
      <c r="IJ128" s="73"/>
      <c r="IK128" s="73"/>
      <c r="IL128" s="73"/>
      <c r="IM128" s="73"/>
      <c r="IN128" s="73"/>
      <c r="IO128" s="73"/>
      <c r="IP128" s="73"/>
      <c r="IQ128" s="73"/>
      <c r="IR128" s="73"/>
      <c r="IS128" s="73"/>
      <c r="IT128" s="73"/>
      <c r="IU128" s="73"/>
      <c r="IV128" s="73"/>
      <c r="IW128" s="73"/>
    </row>
    <row r="129" customFormat="false" ht="12.75" hidden="false" customHeight="false" outlineLevel="0" collapsed="false">
      <c r="A129" s="73"/>
      <c r="B129" s="46"/>
      <c r="C129" s="44"/>
      <c r="D129" s="44"/>
      <c r="E129" s="45"/>
      <c r="F129" s="45"/>
      <c r="G129" s="46"/>
      <c r="H129" s="46"/>
      <c r="I129" s="44"/>
      <c r="J129" s="58"/>
      <c r="K129" s="49"/>
      <c r="L129" s="49"/>
      <c r="M129" s="49"/>
      <c r="N129" s="49"/>
      <c r="O129" s="50"/>
      <c r="P129" s="49"/>
      <c r="Q129" s="51"/>
      <c r="R129" s="44"/>
      <c r="S129" s="46"/>
      <c r="T129" s="74" t="n">
        <f aca="false">SUM(T120:T127)</f>
        <v>472134.499514194</v>
      </c>
      <c r="U129" s="74"/>
      <c r="V129" s="75"/>
      <c r="W129" s="46"/>
      <c r="X129" s="72"/>
      <c r="Y129" s="72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3"/>
      <c r="DF129" s="73"/>
      <c r="DG129" s="73"/>
      <c r="DH129" s="73"/>
      <c r="DI129" s="73"/>
      <c r="DJ129" s="73"/>
      <c r="DK129" s="73"/>
      <c r="DL129" s="73"/>
      <c r="DM129" s="73"/>
      <c r="DN129" s="73"/>
      <c r="DO129" s="73"/>
      <c r="DP129" s="73"/>
      <c r="DQ129" s="73"/>
      <c r="DR129" s="73"/>
      <c r="DS129" s="73"/>
      <c r="DT129" s="73"/>
      <c r="DU129" s="73"/>
      <c r="DV129" s="73"/>
      <c r="DW129" s="73"/>
      <c r="DX129" s="73"/>
      <c r="DY129" s="73"/>
      <c r="DZ129" s="73"/>
      <c r="EA129" s="73"/>
      <c r="EB129" s="73"/>
      <c r="EC129" s="73"/>
      <c r="ED129" s="73"/>
      <c r="EE129" s="73"/>
      <c r="EF129" s="73"/>
      <c r="EG129" s="73"/>
      <c r="EH129" s="73"/>
      <c r="EI129" s="73"/>
      <c r="EJ129" s="73"/>
      <c r="EK129" s="73"/>
      <c r="EL129" s="73"/>
      <c r="EM129" s="73"/>
      <c r="EN129" s="73"/>
      <c r="EO129" s="73"/>
      <c r="EP129" s="73"/>
      <c r="EQ129" s="73"/>
      <c r="ER129" s="73"/>
      <c r="ES129" s="73"/>
      <c r="ET129" s="73"/>
      <c r="EU129" s="73"/>
      <c r="EV129" s="73"/>
      <c r="EW129" s="73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73"/>
      <c r="FI129" s="73"/>
      <c r="FJ129" s="73"/>
      <c r="FK129" s="73"/>
      <c r="FL129" s="73"/>
      <c r="FM129" s="73"/>
      <c r="FN129" s="73"/>
      <c r="FO129" s="73"/>
      <c r="FP129" s="73"/>
      <c r="FQ129" s="73"/>
      <c r="FR129" s="73"/>
      <c r="FS129" s="73"/>
      <c r="FT129" s="73"/>
      <c r="FU129" s="73"/>
      <c r="FV129" s="73"/>
      <c r="FW129" s="73"/>
      <c r="FX129" s="73"/>
      <c r="FY129" s="73"/>
      <c r="FZ129" s="73"/>
      <c r="GA129" s="73"/>
      <c r="GB129" s="73"/>
      <c r="GC129" s="73"/>
      <c r="GD129" s="73"/>
      <c r="GE129" s="73"/>
      <c r="GF129" s="73"/>
      <c r="GG129" s="73"/>
      <c r="GH129" s="73"/>
      <c r="GI129" s="73"/>
      <c r="GJ129" s="73"/>
      <c r="GK129" s="73"/>
      <c r="GL129" s="73"/>
      <c r="GM129" s="73"/>
      <c r="GN129" s="73"/>
      <c r="GO129" s="73"/>
      <c r="GP129" s="73"/>
      <c r="GQ129" s="73"/>
      <c r="GR129" s="73"/>
      <c r="GS129" s="73"/>
      <c r="GT129" s="73"/>
      <c r="GU129" s="73"/>
      <c r="GV129" s="73"/>
      <c r="GW129" s="73"/>
      <c r="GX129" s="73"/>
      <c r="GY129" s="73"/>
      <c r="GZ129" s="73"/>
      <c r="HA129" s="73"/>
      <c r="HB129" s="73"/>
      <c r="HC129" s="73"/>
      <c r="HD129" s="73"/>
      <c r="HE129" s="73"/>
      <c r="HF129" s="73"/>
      <c r="HG129" s="73"/>
      <c r="HH129" s="73"/>
      <c r="HI129" s="73"/>
      <c r="HJ129" s="73"/>
      <c r="HK129" s="73"/>
      <c r="HL129" s="73"/>
      <c r="HM129" s="73"/>
      <c r="HN129" s="73"/>
      <c r="HO129" s="73"/>
      <c r="HP129" s="73"/>
      <c r="HQ129" s="73"/>
      <c r="HR129" s="73"/>
      <c r="HS129" s="73"/>
      <c r="HT129" s="73"/>
      <c r="HU129" s="73"/>
      <c r="HV129" s="73"/>
      <c r="HW129" s="73"/>
      <c r="HX129" s="73"/>
      <c r="HY129" s="73"/>
      <c r="HZ129" s="73"/>
      <c r="IA129" s="73"/>
      <c r="IB129" s="73"/>
      <c r="IC129" s="73"/>
      <c r="ID129" s="73"/>
      <c r="IE129" s="73"/>
      <c r="IF129" s="73"/>
      <c r="IG129" s="73"/>
      <c r="IH129" s="73"/>
      <c r="II129" s="73"/>
      <c r="IJ129" s="73"/>
      <c r="IK129" s="73"/>
      <c r="IL129" s="73"/>
      <c r="IM129" s="73"/>
      <c r="IN129" s="73"/>
      <c r="IO129" s="73"/>
      <c r="IP129" s="73"/>
      <c r="IQ129" s="73"/>
      <c r="IR129" s="73"/>
      <c r="IS129" s="73"/>
      <c r="IT129" s="73"/>
      <c r="IU129" s="73"/>
      <c r="IV129" s="73"/>
      <c r="IW129" s="73"/>
    </row>
    <row r="130" customFormat="false" ht="12.75" hidden="false" customHeight="false" outlineLevel="0" collapsed="false">
      <c r="B130" s="63" t="s">
        <v>181</v>
      </c>
      <c r="C130" s="64" t="s">
        <v>182</v>
      </c>
      <c r="D130" s="64" t="s">
        <v>183</v>
      </c>
      <c r="E130" s="65" t="s">
        <v>184</v>
      </c>
      <c r="F130" s="65"/>
      <c r="G130" s="63" t="s">
        <v>185</v>
      </c>
      <c r="H130" s="63" t="s">
        <v>186</v>
      </c>
      <c r="I130" s="64" t="s">
        <v>187</v>
      </c>
      <c r="J130" s="66" t="s">
        <v>188</v>
      </c>
      <c r="K130" s="64" t="s">
        <v>189</v>
      </c>
      <c r="L130" s="64" t="s">
        <v>190</v>
      </c>
      <c r="M130" s="64" t="s">
        <v>191</v>
      </c>
      <c r="N130" s="64" t="s">
        <v>192</v>
      </c>
      <c r="O130" s="67" t="s">
        <v>193</v>
      </c>
      <c r="P130" s="64" t="s">
        <v>194</v>
      </c>
      <c r="Q130" s="68" t="s">
        <v>195</v>
      </c>
      <c r="R130" s="64" t="s">
        <v>196</v>
      </c>
      <c r="S130" s="63" t="s">
        <v>197</v>
      </c>
      <c r="T130" s="69" t="s">
        <v>198</v>
      </c>
      <c r="U130" s="69" t="s">
        <v>199</v>
      </c>
      <c r="V130" s="70" t="s">
        <v>200</v>
      </c>
      <c r="W130" s="71" t="n">
        <f aca="false">+W62</f>
        <v>0</v>
      </c>
      <c r="X130" s="72"/>
      <c r="Y130" s="72"/>
    </row>
    <row r="131" customFormat="false" ht="12.75" hidden="false" customHeight="false" outlineLevel="0" collapsed="false">
      <c r="A131" s="88"/>
      <c r="B131" s="89" t="s">
        <v>201</v>
      </c>
      <c r="C131" s="90" t="s">
        <v>231</v>
      </c>
      <c r="D131" s="90" t="s">
        <v>211</v>
      </c>
      <c r="E131" s="91" t="n">
        <v>36557</v>
      </c>
      <c r="F131" s="91" t="n">
        <v>36677</v>
      </c>
      <c r="G131" s="89" t="s">
        <v>232</v>
      </c>
      <c r="H131" s="89" t="s">
        <v>233</v>
      </c>
      <c r="I131" s="90" t="s">
        <v>234</v>
      </c>
      <c r="J131" s="92" t="n">
        <f aca="false">14.76/J$1</f>
        <v>0.492</v>
      </c>
      <c r="K131" s="93" t="n">
        <v>0</v>
      </c>
      <c r="L131" s="93" t="n">
        <v>0.0022</v>
      </c>
      <c r="M131" s="93" t="n">
        <v>0.0072</v>
      </c>
      <c r="N131" s="93" t="n">
        <v>0</v>
      </c>
      <c r="O131" s="94" t="n">
        <v>0</v>
      </c>
      <c r="P131" s="93" t="n">
        <f aca="false">SUM(J131:N131)</f>
        <v>0.5014</v>
      </c>
      <c r="Q131" s="95" t="n">
        <v>32337</v>
      </c>
      <c r="R131" s="90" t="n">
        <v>431</v>
      </c>
      <c r="S131" s="89" t="s">
        <v>235</v>
      </c>
      <c r="T131" s="96" t="n">
        <f aca="false">J131*J$1*R131</f>
        <v>6361.56</v>
      </c>
      <c r="U131" s="96"/>
      <c r="V131" s="97" t="n">
        <v>157612</v>
      </c>
      <c r="W131" s="89"/>
      <c r="X131" s="98"/>
      <c r="Y131" s="9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88"/>
      <c r="FP131" s="88"/>
      <c r="FQ131" s="88"/>
      <c r="FR131" s="88"/>
      <c r="FS131" s="88"/>
      <c r="FT131" s="88"/>
      <c r="FU131" s="88"/>
      <c r="FV131" s="88"/>
      <c r="FW131" s="88"/>
      <c r="FX131" s="88"/>
      <c r="FY131" s="88"/>
      <c r="FZ131" s="88"/>
      <c r="GA131" s="88"/>
      <c r="GB131" s="88"/>
      <c r="GC131" s="88"/>
      <c r="GD131" s="88"/>
      <c r="GE131" s="88"/>
      <c r="GF131" s="88"/>
      <c r="GG131" s="88"/>
      <c r="GH131" s="88"/>
      <c r="GI131" s="88"/>
      <c r="GJ131" s="88"/>
      <c r="GK131" s="88"/>
      <c r="GL131" s="88"/>
      <c r="GM131" s="88"/>
      <c r="GN131" s="88"/>
      <c r="GO131" s="88"/>
      <c r="GP131" s="88"/>
      <c r="GQ131" s="88"/>
      <c r="GR131" s="88"/>
      <c r="GS131" s="88"/>
      <c r="GT131" s="88"/>
      <c r="GU131" s="88"/>
      <c r="GV131" s="88"/>
      <c r="GW131" s="88"/>
      <c r="GX131" s="88"/>
      <c r="GY131" s="88"/>
      <c r="GZ131" s="88"/>
      <c r="HA131" s="88"/>
      <c r="HB131" s="88"/>
      <c r="HC131" s="88"/>
      <c r="HD131" s="88"/>
      <c r="HE131" s="88"/>
      <c r="HF131" s="88"/>
      <c r="HG131" s="88"/>
      <c r="HH131" s="88"/>
      <c r="HI131" s="88"/>
      <c r="HJ131" s="88"/>
      <c r="HK131" s="88"/>
      <c r="HL131" s="88"/>
      <c r="HM131" s="88"/>
      <c r="HN131" s="88"/>
      <c r="HO131" s="88"/>
      <c r="HP131" s="88"/>
      <c r="HQ131" s="88"/>
      <c r="HR131" s="88"/>
      <c r="HS131" s="88"/>
      <c r="HT131" s="88"/>
      <c r="HU131" s="88"/>
      <c r="HV131" s="88"/>
      <c r="HW131" s="88"/>
      <c r="HX131" s="88"/>
      <c r="HY131" s="88"/>
      <c r="HZ131" s="88"/>
      <c r="IA131" s="88"/>
      <c r="IB131" s="88"/>
      <c r="IC131" s="88"/>
      <c r="ID131" s="88"/>
      <c r="IE131" s="88"/>
      <c r="IF131" s="88"/>
      <c r="IG131" s="88"/>
      <c r="IH131" s="88"/>
      <c r="II131" s="88"/>
      <c r="IJ131" s="88"/>
      <c r="IK131" s="88"/>
      <c r="IL131" s="88"/>
      <c r="IM131" s="88"/>
      <c r="IN131" s="88"/>
      <c r="IO131" s="88"/>
      <c r="IP131" s="88"/>
      <c r="IQ131" s="88"/>
      <c r="IR131" s="88"/>
      <c r="IS131" s="88"/>
      <c r="IT131" s="88"/>
      <c r="IU131" s="88"/>
      <c r="IV131" s="88"/>
      <c r="IW131" s="88"/>
    </row>
    <row r="132" customFormat="false" ht="12.75" hidden="false" customHeight="false" outlineLevel="0" collapsed="false">
      <c r="A132" s="88"/>
      <c r="B132" s="89" t="s">
        <v>201</v>
      </c>
      <c r="C132" s="90" t="s">
        <v>231</v>
      </c>
      <c r="D132" s="90" t="s">
        <v>236</v>
      </c>
      <c r="E132" s="91" t="n">
        <v>36557</v>
      </c>
      <c r="F132" s="91" t="n">
        <v>36677</v>
      </c>
      <c r="G132" s="89" t="s">
        <v>237</v>
      </c>
      <c r="H132" s="89" t="s">
        <v>238</v>
      </c>
      <c r="I132" s="90" t="s">
        <v>234</v>
      </c>
      <c r="J132" s="92" t="n">
        <f aca="false">13.28/J$1</f>
        <v>0.442666666666667</v>
      </c>
      <c r="K132" s="93" t="n">
        <v>0</v>
      </c>
      <c r="L132" s="93" t="n">
        <v>0.0022</v>
      </c>
      <c r="M132" s="93" t="n">
        <v>0.0072</v>
      </c>
      <c r="N132" s="93" t="n">
        <v>0</v>
      </c>
      <c r="O132" s="94" t="n">
        <v>0</v>
      </c>
      <c r="P132" s="93" t="n">
        <f aca="false">SUM(J132:N132)</f>
        <v>0.452066666666667</v>
      </c>
      <c r="Q132" s="95" t="n">
        <v>32336</v>
      </c>
      <c r="R132" s="90" t="n">
        <v>48</v>
      </c>
      <c r="S132" s="89" t="s">
        <v>235</v>
      </c>
      <c r="T132" s="96" t="n">
        <f aca="false">J132*J$1*R132</f>
        <v>637.44</v>
      </c>
      <c r="U132" s="96"/>
      <c r="V132" s="97" t="n">
        <v>157613</v>
      </c>
      <c r="W132" s="89"/>
      <c r="X132" s="98"/>
      <c r="Y132" s="9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  <c r="EJ132" s="88"/>
      <c r="EK132" s="88"/>
      <c r="EL132" s="88"/>
      <c r="EM132" s="88"/>
      <c r="EN132" s="88"/>
      <c r="EO132" s="88"/>
      <c r="EP132" s="88"/>
      <c r="EQ132" s="88"/>
      <c r="ER132" s="88"/>
      <c r="ES132" s="88"/>
      <c r="ET132" s="88"/>
      <c r="EU132" s="88"/>
      <c r="EV132" s="88"/>
      <c r="EW132" s="88"/>
      <c r="EX132" s="88"/>
      <c r="EY132" s="88"/>
      <c r="EZ132" s="88"/>
      <c r="FA132" s="88"/>
      <c r="FB132" s="88"/>
      <c r="FC132" s="88"/>
      <c r="FD132" s="88"/>
      <c r="FE132" s="88"/>
      <c r="FF132" s="88"/>
      <c r="FG132" s="88"/>
      <c r="FH132" s="88"/>
      <c r="FI132" s="88"/>
      <c r="FJ132" s="88"/>
      <c r="FK132" s="88"/>
      <c r="FL132" s="88"/>
      <c r="FM132" s="88"/>
      <c r="FN132" s="88"/>
      <c r="FO132" s="88"/>
      <c r="FP132" s="88"/>
      <c r="FQ132" s="88"/>
      <c r="FR132" s="88"/>
      <c r="FS132" s="88"/>
      <c r="FT132" s="88"/>
      <c r="FU132" s="88"/>
      <c r="FV132" s="88"/>
      <c r="FW132" s="88"/>
      <c r="FX132" s="88"/>
      <c r="FY132" s="88"/>
      <c r="FZ132" s="88"/>
      <c r="GA132" s="88"/>
      <c r="GB132" s="88"/>
      <c r="GC132" s="88"/>
      <c r="GD132" s="88"/>
      <c r="GE132" s="88"/>
      <c r="GF132" s="88"/>
      <c r="GG132" s="88"/>
      <c r="GH132" s="88"/>
      <c r="GI132" s="88"/>
      <c r="GJ132" s="88"/>
      <c r="GK132" s="88"/>
      <c r="GL132" s="88"/>
      <c r="GM132" s="88"/>
      <c r="GN132" s="88"/>
      <c r="GO132" s="88"/>
      <c r="GP132" s="88"/>
      <c r="GQ132" s="88"/>
      <c r="GR132" s="88"/>
      <c r="GS132" s="88"/>
      <c r="GT132" s="88"/>
      <c r="GU132" s="88"/>
      <c r="GV132" s="88"/>
      <c r="GW132" s="88"/>
      <c r="GX132" s="88"/>
      <c r="GY132" s="88"/>
      <c r="GZ132" s="88"/>
      <c r="HA132" s="88"/>
      <c r="HB132" s="88"/>
      <c r="HC132" s="88"/>
      <c r="HD132" s="88"/>
      <c r="HE132" s="88"/>
      <c r="HF132" s="88"/>
      <c r="HG132" s="88"/>
      <c r="HH132" s="88"/>
      <c r="HI132" s="88"/>
      <c r="HJ132" s="88"/>
      <c r="HK132" s="88"/>
      <c r="HL132" s="88"/>
      <c r="HM132" s="88"/>
      <c r="HN132" s="88"/>
      <c r="HO132" s="88"/>
      <c r="HP132" s="88"/>
      <c r="HQ132" s="88"/>
      <c r="HR132" s="88"/>
      <c r="HS132" s="88"/>
      <c r="HT132" s="88"/>
      <c r="HU132" s="88"/>
      <c r="HV132" s="88"/>
      <c r="HW132" s="88"/>
      <c r="HX132" s="88"/>
      <c r="HY132" s="88"/>
      <c r="HZ132" s="88"/>
      <c r="IA132" s="88"/>
      <c r="IB132" s="88"/>
      <c r="IC132" s="88"/>
      <c r="ID132" s="88"/>
      <c r="IE132" s="88"/>
      <c r="IF132" s="88"/>
      <c r="IG132" s="88"/>
      <c r="IH132" s="88"/>
      <c r="II132" s="88"/>
      <c r="IJ132" s="88"/>
      <c r="IK132" s="88"/>
      <c r="IL132" s="88"/>
      <c r="IM132" s="88"/>
      <c r="IN132" s="88"/>
      <c r="IO132" s="88"/>
      <c r="IP132" s="88"/>
      <c r="IQ132" s="88"/>
      <c r="IR132" s="88"/>
      <c r="IS132" s="88"/>
      <c r="IT132" s="88"/>
      <c r="IU132" s="88"/>
      <c r="IV132" s="88"/>
      <c r="IW132" s="88"/>
    </row>
    <row r="133" customFormat="false" ht="12.75" hidden="false" customHeight="false" outlineLevel="0" collapsed="false">
      <c r="A133" s="73"/>
      <c r="B133" s="46" t="s">
        <v>201</v>
      </c>
      <c r="C133" s="44" t="s">
        <v>231</v>
      </c>
      <c r="D133" s="44" t="s">
        <v>239</v>
      </c>
      <c r="E133" s="45" t="n">
        <v>36647</v>
      </c>
      <c r="F133" s="45" t="n">
        <v>36677</v>
      </c>
      <c r="G133" s="46" t="s">
        <v>240</v>
      </c>
      <c r="H133" s="46" t="s">
        <v>241</v>
      </c>
      <c r="I133" s="44" t="s">
        <v>234</v>
      </c>
      <c r="J133" s="58" t="n">
        <f aca="false">6.79/30</f>
        <v>0.226333333333333</v>
      </c>
      <c r="K133" s="49" t="n">
        <v>0.0763</v>
      </c>
      <c r="L133" s="49" t="n">
        <v>0.0022</v>
      </c>
      <c r="M133" s="49" t="n">
        <v>0.0072</v>
      </c>
      <c r="N133" s="49" t="n">
        <v>0</v>
      </c>
      <c r="O133" s="50" t="n">
        <v>0.0279</v>
      </c>
      <c r="P133" s="49" t="n">
        <f aca="false">SUM(J133:N133)</f>
        <v>0.312033333333333</v>
      </c>
      <c r="Q133" s="51" t="n">
        <v>33331</v>
      </c>
      <c r="R133" s="44" t="n">
        <v>3561</v>
      </c>
      <c r="S133" s="46" t="s">
        <v>235</v>
      </c>
      <c r="T133" s="74" t="n">
        <f aca="false">J133*J$1*R133</f>
        <v>24179.19</v>
      </c>
      <c r="U133" s="74"/>
      <c r="V133" s="75" t="n">
        <v>253605</v>
      </c>
      <c r="W133" s="46" t="s">
        <v>242</v>
      </c>
      <c r="X133" s="72"/>
      <c r="Y133" s="72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3"/>
      <c r="DC133" s="73"/>
      <c r="DD133" s="73"/>
      <c r="DE133" s="73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73"/>
      <c r="DS133" s="73"/>
      <c r="DT133" s="73"/>
      <c r="DU133" s="73"/>
      <c r="DV133" s="73"/>
      <c r="DW133" s="73"/>
      <c r="DX133" s="73"/>
      <c r="DY133" s="73"/>
      <c r="DZ133" s="73"/>
      <c r="EA133" s="73"/>
      <c r="EB133" s="73"/>
      <c r="EC133" s="73"/>
      <c r="ED133" s="73"/>
      <c r="EE133" s="73"/>
      <c r="EF133" s="73"/>
      <c r="EG133" s="73"/>
      <c r="EH133" s="73"/>
      <c r="EI133" s="73"/>
      <c r="EJ133" s="73"/>
      <c r="EK133" s="73"/>
      <c r="EL133" s="73"/>
      <c r="EM133" s="73"/>
      <c r="EN133" s="73"/>
      <c r="EO133" s="73"/>
      <c r="EP133" s="73"/>
      <c r="EQ133" s="73"/>
      <c r="ER133" s="73"/>
      <c r="ES133" s="73"/>
      <c r="ET133" s="73"/>
      <c r="EU133" s="73"/>
      <c r="EV133" s="73"/>
      <c r="EW133" s="73"/>
      <c r="EX133" s="73"/>
      <c r="EY133" s="73"/>
      <c r="EZ133" s="73"/>
      <c r="FA133" s="73"/>
      <c r="FB133" s="73"/>
      <c r="FC133" s="73"/>
      <c r="FD133" s="73"/>
      <c r="FE133" s="73"/>
      <c r="FF133" s="73"/>
      <c r="FG133" s="73"/>
      <c r="FH133" s="73"/>
      <c r="FI133" s="73"/>
      <c r="FJ133" s="73"/>
      <c r="FK133" s="73"/>
      <c r="FL133" s="73"/>
      <c r="FM133" s="73"/>
      <c r="FN133" s="73"/>
      <c r="FO133" s="73"/>
      <c r="FP133" s="73"/>
      <c r="FQ133" s="73"/>
      <c r="FR133" s="73"/>
      <c r="FS133" s="73"/>
      <c r="FT133" s="73"/>
      <c r="FU133" s="73"/>
      <c r="FV133" s="73"/>
      <c r="FW133" s="73"/>
      <c r="FX133" s="73"/>
      <c r="FY133" s="73"/>
      <c r="FZ133" s="73"/>
      <c r="GA133" s="73"/>
      <c r="GB133" s="73"/>
      <c r="GC133" s="73"/>
      <c r="GD133" s="73"/>
      <c r="GE133" s="73"/>
      <c r="GF133" s="73"/>
      <c r="GG133" s="73"/>
      <c r="GH133" s="73"/>
      <c r="GI133" s="73"/>
      <c r="GJ133" s="73"/>
      <c r="GK133" s="73"/>
      <c r="GL133" s="73"/>
      <c r="GM133" s="73"/>
      <c r="GN133" s="73"/>
      <c r="GO133" s="73"/>
      <c r="GP133" s="73"/>
      <c r="GQ133" s="73"/>
      <c r="GR133" s="73"/>
      <c r="GS133" s="73"/>
      <c r="GT133" s="73"/>
      <c r="GU133" s="73"/>
      <c r="GV133" s="73"/>
      <c r="GW133" s="73"/>
      <c r="GX133" s="73"/>
      <c r="GY133" s="73"/>
      <c r="GZ133" s="73"/>
      <c r="HA133" s="73"/>
      <c r="HB133" s="73"/>
      <c r="HC133" s="73"/>
      <c r="HD133" s="73"/>
      <c r="HE133" s="73"/>
      <c r="HF133" s="73"/>
      <c r="HG133" s="73"/>
      <c r="HH133" s="73"/>
      <c r="HI133" s="73"/>
      <c r="HJ133" s="73"/>
      <c r="HK133" s="73"/>
      <c r="HL133" s="73"/>
      <c r="HM133" s="73"/>
      <c r="HN133" s="73"/>
      <c r="HO133" s="73"/>
      <c r="HP133" s="73"/>
      <c r="HQ133" s="73"/>
      <c r="HR133" s="73"/>
      <c r="HS133" s="73"/>
      <c r="HT133" s="73"/>
      <c r="HU133" s="73"/>
      <c r="HV133" s="73"/>
      <c r="HW133" s="73"/>
      <c r="HX133" s="73"/>
      <c r="HY133" s="73"/>
      <c r="HZ133" s="73"/>
      <c r="IA133" s="73"/>
      <c r="IB133" s="73"/>
      <c r="IC133" s="73"/>
      <c r="ID133" s="73"/>
      <c r="IE133" s="73"/>
      <c r="IF133" s="73"/>
      <c r="IG133" s="73"/>
      <c r="IH133" s="73"/>
      <c r="II133" s="73"/>
      <c r="IJ133" s="73"/>
      <c r="IK133" s="73"/>
      <c r="IL133" s="73"/>
      <c r="IM133" s="73"/>
      <c r="IN133" s="73"/>
      <c r="IO133" s="73"/>
      <c r="IP133" s="73"/>
      <c r="IQ133" s="73"/>
      <c r="IR133" s="73"/>
      <c r="IS133" s="73"/>
      <c r="IT133" s="73"/>
      <c r="IU133" s="73"/>
      <c r="IV133" s="73"/>
      <c r="IW133" s="73"/>
    </row>
    <row r="134" customFormat="false" ht="12.75" hidden="false" customHeight="false" outlineLevel="0" collapsed="false">
      <c r="A134" s="73"/>
      <c r="B134" s="46" t="s">
        <v>201</v>
      </c>
      <c r="C134" s="44" t="s">
        <v>243</v>
      </c>
      <c r="D134" s="44" t="s">
        <v>239</v>
      </c>
      <c r="E134" s="45" t="n">
        <v>36647</v>
      </c>
      <c r="F134" s="45" t="n">
        <v>36677</v>
      </c>
      <c r="G134" s="46" t="s">
        <v>244</v>
      </c>
      <c r="H134" s="46" t="s">
        <v>239</v>
      </c>
      <c r="I134" s="44" t="s">
        <v>234</v>
      </c>
      <c r="J134" s="58" t="n">
        <f aca="false">11.95/30</f>
        <v>0.398333333333333</v>
      </c>
      <c r="K134" s="49" t="n">
        <v>0</v>
      </c>
      <c r="L134" s="49" t="n">
        <v>0.0022</v>
      </c>
      <c r="M134" s="49" t="n">
        <v>0.0072</v>
      </c>
      <c r="N134" s="49" t="n">
        <v>0</v>
      </c>
      <c r="O134" s="50" t="n">
        <v>0.0222</v>
      </c>
      <c r="P134" s="49" t="n">
        <f aca="false">SUM(J134:N134)</f>
        <v>0.407733333333333</v>
      </c>
      <c r="Q134" s="51" t="n">
        <v>33324</v>
      </c>
      <c r="R134" s="44" t="n">
        <v>3972</v>
      </c>
      <c r="S134" s="46" t="s">
        <v>235</v>
      </c>
      <c r="T134" s="74" t="n">
        <f aca="false">J134*J$1*R134</f>
        <v>47465.4</v>
      </c>
      <c r="U134" s="74"/>
      <c r="V134" s="75" t="n">
        <v>253584</v>
      </c>
      <c r="W134" s="46" t="s">
        <v>242</v>
      </c>
      <c r="X134" s="72"/>
      <c r="Y134" s="72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  <c r="HV134" s="73"/>
      <c r="HW134" s="73"/>
      <c r="HX134" s="73"/>
      <c r="HY134" s="73"/>
      <c r="HZ134" s="73"/>
      <c r="IA134" s="73"/>
      <c r="IB134" s="73"/>
      <c r="IC134" s="73"/>
      <c r="ID134" s="73"/>
      <c r="IE134" s="73"/>
      <c r="IF134" s="73"/>
      <c r="IG134" s="73"/>
      <c r="IH134" s="73"/>
      <c r="II134" s="73"/>
      <c r="IJ134" s="73"/>
      <c r="IK134" s="73"/>
      <c r="IL134" s="73"/>
      <c r="IM134" s="73"/>
      <c r="IN134" s="73"/>
      <c r="IO134" s="73"/>
      <c r="IP134" s="73"/>
      <c r="IQ134" s="73"/>
      <c r="IR134" s="73"/>
      <c r="IS134" s="73"/>
      <c r="IT134" s="73"/>
      <c r="IU134" s="73"/>
      <c r="IV134" s="73"/>
      <c r="IW134" s="73"/>
    </row>
    <row r="135" customFormat="false" ht="12.75" hidden="false" customHeight="false" outlineLevel="0" collapsed="false">
      <c r="A135" s="73"/>
      <c r="B135" s="46" t="s">
        <v>201</v>
      </c>
      <c r="C135" s="44" t="s">
        <v>231</v>
      </c>
      <c r="D135" s="44" t="s">
        <v>239</v>
      </c>
      <c r="E135" s="45" t="n">
        <v>36647</v>
      </c>
      <c r="F135" s="45" t="n">
        <v>36677</v>
      </c>
      <c r="G135" s="46" t="s">
        <v>245</v>
      </c>
      <c r="H135" s="46"/>
      <c r="I135" s="44" t="s">
        <v>246</v>
      </c>
      <c r="J135" s="58" t="n">
        <v>0.0248</v>
      </c>
      <c r="K135" s="49"/>
      <c r="L135" s="49"/>
      <c r="M135" s="49"/>
      <c r="N135" s="49"/>
      <c r="O135" s="50"/>
      <c r="P135" s="49"/>
      <c r="Q135" s="51" t="n">
        <v>33498</v>
      </c>
      <c r="R135" s="44" t="n">
        <v>212519</v>
      </c>
      <c r="S135" s="46"/>
      <c r="T135" s="74" t="n">
        <f aca="false">J135*R135</f>
        <v>5270.4712</v>
      </c>
      <c r="U135" s="74"/>
      <c r="V135" s="75" t="n">
        <v>254812</v>
      </c>
      <c r="W135" s="46"/>
      <c r="X135" s="72"/>
      <c r="Y135" s="72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3"/>
      <c r="DE135" s="73"/>
      <c r="DF135" s="73"/>
      <c r="DG135" s="73"/>
      <c r="DH135" s="73"/>
      <c r="DI135" s="73"/>
      <c r="DJ135" s="73"/>
      <c r="DK135" s="73"/>
      <c r="DL135" s="73"/>
      <c r="DM135" s="73"/>
      <c r="DN135" s="73"/>
      <c r="DO135" s="73"/>
      <c r="DP135" s="73"/>
      <c r="DQ135" s="73"/>
      <c r="DR135" s="73"/>
      <c r="DS135" s="73"/>
      <c r="DT135" s="73"/>
      <c r="DU135" s="73"/>
      <c r="DV135" s="73"/>
      <c r="DW135" s="73"/>
      <c r="DX135" s="73"/>
      <c r="DY135" s="73"/>
      <c r="DZ135" s="73"/>
      <c r="EA135" s="73"/>
      <c r="EB135" s="73"/>
      <c r="EC135" s="73"/>
      <c r="ED135" s="73"/>
      <c r="EE135" s="73"/>
      <c r="EF135" s="73"/>
      <c r="EG135" s="73"/>
      <c r="EH135" s="73"/>
      <c r="EI135" s="73"/>
      <c r="EJ135" s="73"/>
      <c r="EK135" s="73"/>
      <c r="EL135" s="73"/>
      <c r="EM135" s="73"/>
      <c r="EN135" s="73"/>
      <c r="EO135" s="73"/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73"/>
      <c r="FG135" s="73"/>
      <c r="FH135" s="73"/>
      <c r="FI135" s="73"/>
      <c r="FJ135" s="73"/>
      <c r="FK135" s="73"/>
      <c r="FL135" s="73"/>
      <c r="FM135" s="73"/>
      <c r="FN135" s="73"/>
      <c r="FO135" s="73"/>
      <c r="FP135" s="73"/>
      <c r="FQ135" s="73"/>
      <c r="FR135" s="73"/>
      <c r="FS135" s="73"/>
      <c r="FT135" s="73"/>
      <c r="FU135" s="73"/>
      <c r="FV135" s="73"/>
      <c r="FW135" s="73"/>
      <c r="FX135" s="73"/>
      <c r="FY135" s="73"/>
      <c r="FZ135" s="73"/>
      <c r="GA135" s="73"/>
      <c r="GB135" s="73"/>
      <c r="GC135" s="73"/>
      <c r="GD135" s="73"/>
      <c r="GE135" s="73"/>
      <c r="GF135" s="73"/>
      <c r="GG135" s="73"/>
      <c r="GH135" s="73"/>
      <c r="GI135" s="73"/>
      <c r="GJ135" s="73"/>
      <c r="GK135" s="73"/>
      <c r="GL135" s="73"/>
      <c r="GM135" s="73"/>
      <c r="GN135" s="73"/>
      <c r="GO135" s="73"/>
      <c r="GP135" s="73"/>
      <c r="GQ135" s="73"/>
      <c r="GR135" s="73"/>
      <c r="GS135" s="73"/>
      <c r="GT135" s="73"/>
      <c r="GU135" s="73"/>
      <c r="GV135" s="73"/>
      <c r="GW135" s="73"/>
      <c r="GX135" s="73"/>
      <c r="GY135" s="73"/>
      <c r="GZ135" s="73"/>
      <c r="HA135" s="73"/>
      <c r="HB135" s="73"/>
      <c r="HC135" s="73"/>
      <c r="HD135" s="73"/>
      <c r="HE135" s="73"/>
      <c r="HF135" s="73"/>
      <c r="HG135" s="73"/>
      <c r="HH135" s="73"/>
      <c r="HI135" s="73"/>
      <c r="HJ135" s="73"/>
      <c r="HK135" s="73"/>
      <c r="HL135" s="73"/>
      <c r="HM135" s="73"/>
      <c r="HN135" s="73"/>
      <c r="HO135" s="73"/>
      <c r="HP135" s="73"/>
      <c r="HQ135" s="73"/>
      <c r="HR135" s="73"/>
      <c r="HS135" s="73"/>
      <c r="HT135" s="73"/>
      <c r="HU135" s="73"/>
      <c r="HV135" s="73"/>
      <c r="HW135" s="73"/>
      <c r="HX135" s="73"/>
      <c r="HY135" s="73"/>
      <c r="HZ135" s="73"/>
      <c r="IA135" s="73"/>
      <c r="IB135" s="73"/>
      <c r="IC135" s="73"/>
      <c r="ID135" s="73"/>
      <c r="IE135" s="73"/>
      <c r="IF135" s="73"/>
      <c r="IG135" s="73"/>
      <c r="IH135" s="73"/>
      <c r="II135" s="73"/>
      <c r="IJ135" s="73"/>
      <c r="IK135" s="73"/>
      <c r="IL135" s="73"/>
      <c r="IM135" s="73"/>
      <c r="IN135" s="73"/>
      <c r="IO135" s="73"/>
      <c r="IP135" s="73"/>
      <c r="IQ135" s="73"/>
      <c r="IR135" s="73"/>
      <c r="IS135" s="73"/>
      <c r="IT135" s="73"/>
      <c r="IU135" s="73"/>
      <c r="IV135" s="73"/>
      <c r="IW135" s="73"/>
    </row>
    <row r="136" customFormat="false" ht="12.75" hidden="false" customHeight="false" outlineLevel="0" collapsed="false">
      <c r="A136" s="73"/>
      <c r="B136" s="46" t="s">
        <v>201</v>
      </c>
      <c r="C136" s="44" t="s">
        <v>231</v>
      </c>
      <c r="D136" s="44" t="s">
        <v>239</v>
      </c>
      <c r="E136" s="45" t="n">
        <v>36647</v>
      </c>
      <c r="F136" s="45" t="n">
        <v>36677</v>
      </c>
      <c r="G136" s="46" t="s">
        <v>245</v>
      </c>
      <c r="H136" s="46"/>
      <c r="I136" s="44" t="s">
        <v>246</v>
      </c>
      <c r="J136" s="58" t="n">
        <f aca="false">2.02/J1</f>
        <v>0.0673333333333333</v>
      </c>
      <c r="K136" s="49"/>
      <c r="L136" s="49"/>
      <c r="M136" s="49"/>
      <c r="N136" s="49"/>
      <c r="O136" s="50"/>
      <c r="P136" s="49"/>
      <c r="Q136" s="51" t="n">
        <v>33498</v>
      </c>
      <c r="R136" s="44" t="n">
        <v>1412</v>
      </c>
      <c r="S136" s="46"/>
      <c r="T136" s="74" t="n">
        <f aca="false">J136*J$1*R136</f>
        <v>2852.24</v>
      </c>
      <c r="U136" s="74"/>
      <c r="V136" s="75" t="n">
        <v>254812</v>
      </c>
      <c r="W136" s="46"/>
      <c r="X136" s="72"/>
      <c r="Y136" s="72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  <c r="CG136" s="73"/>
      <c r="CH136" s="73"/>
      <c r="CI136" s="73"/>
      <c r="CJ136" s="73"/>
      <c r="CK136" s="7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3"/>
      <c r="CV136" s="73"/>
      <c r="CW136" s="73"/>
      <c r="CX136" s="73"/>
      <c r="CY136" s="73"/>
      <c r="CZ136" s="73"/>
      <c r="DA136" s="73"/>
      <c r="DB136" s="73"/>
      <c r="DC136" s="73"/>
      <c r="DD136" s="73"/>
      <c r="DE136" s="73"/>
      <c r="DF136" s="73"/>
      <c r="DG136" s="73"/>
      <c r="DH136" s="73"/>
      <c r="DI136" s="73"/>
      <c r="DJ136" s="73"/>
      <c r="DK136" s="73"/>
      <c r="DL136" s="73"/>
      <c r="DM136" s="73"/>
      <c r="DN136" s="73"/>
      <c r="DO136" s="73"/>
      <c r="DP136" s="73"/>
      <c r="DQ136" s="73"/>
      <c r="DR136" s="73"/>
      <c r="DS136" s="73"/>
      <c r="DT136" s="73"/>
      <c r="DU136" s="73"/>
      <c r="DV136" s="73"/>
      <c r="DW136" s="73"/>
      <c r="DX136" s="73"/>
      <c r="DY136" s="73"/>
      <c r="DZ136" s="73"/>
      <c r="EA136" s="73"/>
      <c r="EB136" s="73"/>
      <c r="EC136" s="73"/>
      <c r="ED136" s="73"/>
      <c r="EE136" s="73"/>
      <c r="EF136" s="73"/>
      <c r="EG136" s="73"/>
      <c r="EH136" s="73"/>
      <c r="EI136" s="73"/>
      <c r="EJ136" s="73"/>
      <c r="EK136" s="73"/>
      <c r="EL136" s="73"/>
      <c r="EM136" s="73"/>
      <c r="EN136" s="73"/>
      <c r="EO136" s="73"/>
      <c r="EP136" s="73"/>
      <c r="EQ136" s="73"/>
      <c r="ER136" s="73"/>
      <c r="ES136" s="73"/>
      <c r="ET136" s="73"/>
      <c r="EU136" s="73"/>
      <c r="EV136" s="73"/>
      <c r="EW136" s="73"/>
      <c r="EX136" s="73"/>
      <c r="EY136" s="73"/>
      <c r="EZ136" s="73"/>
      <c r="FA136" s="73"/>
      <c r="FB136" s="73"/>
      <c r="FC136" s="73"/>
      <c r="FD136" s="73"/>
      <c r="FE136" s="73"/>
      <c r="FF136" s="73"/>
      <c r="FG136" s="73"/>
      <c r="FH136" s="73"/>
      <c r="FI136" s="73"/>
      <c r="FJ136" s="73"/>
      <c r="FK136" s="73"/>
      <c r="FL136" s="73"/>
      <c r="FM136" s="73"/>
      <c r="FN136" s="73"/>
      <c r="FO136" s="73"/>
      <c r="FP136" s="73"/>
      <c r="FQ136" s="73"/>
      <c r="FR136" s="73"/>
      <c r="FS136" s="73"/>
      <c r="FT136" s="73"/>
      <c r="FU136" s="73"/>
      <c r="FV136" s="73"/>
      <c r="FW136" s="73"/>
      <c r="FX136" s="73"/>
      <c r="FY136" s="73"/>
      <c r="FZ136" s="73"/>
      <c r="GA136" s="73"/>
      <c r="GB136" s="73"/>
      <c r="GC136" s="73"/>
      <c r="GD136" s="73"/>
      <c r="GE136" s="73"/>
      <c r="GF136" s="73"/>
      <c r="GG136" s="73"/>
      <c r="GH136" s="73"/>
      <c r="GI136" s="73"/>
      <c r="GJ136" s="73"/>
      <c r="GK136" s="73"/>
      <c r="GL136" s="73"/>
      <c r="GM136" s="73"/>
      <c r="GN136" s="73"/>
      <c r="GO136" s="73"/>
      <c r="GP136" s="73"/>
      <c r="GQ136" s="73"/>
      <c r="GR136" s="73"/>
      <c r="GS136" s="73"/>
      <c r="GT136" s="73"/>
      <c r="GU136" s="73"/>
      <c r="GV136" s="73"/>
      <c r="GW136" s="73"/>
      <c r="GX136" s="73"/>
      <c r="GY136" s="73"/>
      <c r="GZ136" s="73"/>
      <c r="HA136" s="73"/>
      <c r="HB136" s="73"/>
      <c r="HC136" s="73"/>
      <c r="HD136" s="73"/>
      <c r="HE136" s="73"/>
      <c r="HF136" s="73"/>
      <c r="HG136" s="73"/>
      <c r="HH136" s="73"/>
      <c r="HI136" s="73"/>
      <c r="HJ136" s="73"/>
      <c r="HK136" s="73"/>
      <c r="HL136" s="73"/>
      <c r="HM136" s="73"/>
      <c r="HN136" s="73"/>
      <c r="HO136" s="73"/>
      <c r="HP136" s="73"/>
      <c r="HQ136" s="73"/>
      <c r="HR136" s="73"/>
      <c r="HS136" s="73"/>
      <c r="HT136" s="73"/>
      <c r="HU136" s="73"/>
      <c r="HV136" s="73"/>
      <c r="HW136" s="73"/>
      <c r="HX136" s="73"/>
      <c r="HY136" s="73"/>
      <c r="HZ136" s="73"/>
      <c r="IA136" s="73"/>
      <c r="IB136" s="73"/>
      <c r="IC136" s="73"/>
      <c r="ID136" s="73"/>
      <c r="IE136" s="73"/>
      <c r="IF136" s="73"/>
      <c r="IG136" s="73"/>
      <c r="IH136" s="73"/>
      <c r="II136" s="73"/>
      <c r="IJ136" s="73"/>
      <c r="IK136" s="73"/>
      <c r="IL136" s="73"/>
      <c r="IM136" s="73"/>
      <c r="IN136" s="73"/>
      <c r="IO136" s="73"/>
      <c r="IP136" s="73"/>
      <c r="IQ136" s="73"/>
      <c r="IR136" s="73"/>
      <c r="IS136" s="73"/>
      <c r="IT136" s="73"/>
      <c r="IU136" s="73"/>
      <c r="IV136" s="73"/>
      <c r="IW136" s="73"/>
    </row>
    <row r="137" customFormat="false" ht="12.75" hidden="false" customHeight="false" outlineLevel="0" collapsed="false">
      <c r="A137" s="73"/>
      <c r="B137" s="46" t="s">
        <v>201</v>
      </c>
      <c r="C137" s="44" t="s">
        <v>231</v>
      </c>
      <c r="D137" s="44" t="s">
        <v>239</v>
      </c>
      <c r="E137" s="45" t="n">
        <v>36647</v>
      </c>
      <c r="F137" s="45" t="n">
        <v>36677</v>
      </c>
      <c r="G137" s="46" t="s">
        <v>247</v>
      </c>
      <c r="H137" s="46"/>
      <c r="I137" s="44" t="s">
        <v>248</v>
      </c>
      <c r="J137" s="58" t="n">
        <v>0.0187</v>
      </c>
      <c r="K137" s="49"/>
      <c r="L137" s="49"/>
      <c r="M137" s="49"/>
      <c r="N137" s="49"/>
      <c r="O137" s="50"/>
      <c r="P137" s="49"/>
      <c r="Q137" s="51" t="n">
        <v>33494</v>
      </c>
      <c r="R137" s="44" t="n">
        <v>76770</v>
      </c>
      <c r="S137" s="46"/>
      <c r="T137" s="74" t="n">
        <f aca="false">+R137*J137</f>
        <v>1435.599</v>
      </c>
      <c r="U137" s="74"/>
      <c r="V137" s="75" t="n">
        <v>254803</v>
      </c>
      <c r="W137" s="46"/>
      <c r="X137" s="72"/>
      <c r="Y137" s="72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  <c r="CG137" s="73"/>
      <c r="CH137" s="73"/>
      <c r="CI137" s="73"/>
      <c r="CJ137" s="73"/>
      <c r="CK137" s="7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3"/>
      <c r="CV137" s="73"/>
      <c r="CW137" s="73"/>
      <c r="CX137" s="73"/>
      <c r="CY137" s="73"/>
      <c r="CZ137" s="73"/>
      <c r="DA137" s="73"/>
      <c r="DB137" s="73"/>
      <c r="DC137" s="73"/>
      <c r="DD137" s="73"/>
      <c r="DE137" s="73"/>
      <c r="DF137" s="73"/>
      <c r="DG137" s="73"/>
      <c r="DH137" s="73"/>
      <c r="DI137" s="73"/>
      <c r="DJ137" s="73"/>
      <c r="DK137" s="73"/>
      <c r="DL137" s="73"/>
      <c r="DM137" s="73"/>
      <c r="DN137" s="73"/>
      <c r="DO137" s="73"/>
      <c r="DP137" s="73"/>
      <c r="DQ137" s="73"/>
      <c r="DR137" s="73"/>
      <c r="DS137" s="73"/>
      <c r="DT137" s="73"/>
      <c r="DU137" s="73"/>
      <c r="DV137" s="73"/>
      <c r="DW137" s="73"/>
      <c r="DX137" s="73"/>
      <c r="DY137" s="73"/>
      <c r="DZ137" s="73"/>
      <c r="EA137" s="73"/>
      <c r="EB137" s="73"/>
      <c r="EC137" s="73"/>
      <c r="ED137" s="73"/>
      <c r="EE137" s="73"/>
      <c r="EF137" s="73"/>
      <c r="EG137" s="73"/>
      <c r="EH137" s="73"/>
      <c r="EI137" s="73"/>
      <c r="EJ137" s="73"/>
      <c r="EK137" s="73"/>
      <c r="EL137" s="73"/>
      <c r="EM137" s="73"/>
      <c r="EN137" s="73"/>
      <c r="EO137" s="73"/>
      <c r="EP137" s="73"/>
      <c r="EQ137" s="73"/>
      <c r="ER137" s="73"/>
      <c r="ES137" s="73"/>
      <c r="ET137" s="73"/>
      <c r="EU137" s="73"/>
      <c r="EV137" s="73"/>
      <c r="EW137" s="73"/>
      <c r="EX137" s="73"/>
      <c r="EY137" s="73"/>
      <c r="EZ137" s="73"/>
      <c r="FA137" s="73"/>
      <c r="FB137" s="73"/>
      <c r="FC137" s="73"/>
      <c r="FD137" s="73"/>
      <c r="FE137" s="73"/>
      <c r="FF137" s="73"/>
      <c r="FG137" s="73"/>
      <c r="FH137" s="73"/>
      <c r="FI137" s="73"/>
      <c r="FJ137" s="73"/>
      <c r="FK137" s="73"/>
      <c r="FL137" s="73"/>
      <c r="FM137" s="73"/>
      <c r="FN137" s="73"/>
      <c r="FO137" s="73"/>
      <c r="FP137" s="73"/>
      <c r="FQ137" s="73"/>
      <c r="FR137" s="73"/>
      <c r="FS137" s="73"/>
      <c r="FT137" s="73"/>
      <c r="FU137" s="73"/>
      <c r="FV137" s="73"/>
      <c r="FW137" s="73"/>
      <c r="FX137" s="73"/>
      <c r="FY137" s="73"/>
      <c r="FZ137" s="73"/>
      <c r="GA137" s="73"/>
      <c r="GB137" s="73"/>
      <c r="GC137" s="73"/>
      <c r="GD137" s="73"/>
      <c r="GE137" s="73"/>
      <c r="GF137" s="73"/>
      <c r="GG137" s="73"/>
      <c r="GH137" s="73"/>
      <c r="GI137" s="73"/>
      <c r="GJ137" s="73"/>
      <c r="GK137" s="73"/>
      <c r="GL137" s="73"/>
      <c r="GM137" s="73"/>
      <c r="GN137" s="73"/>
      <c r="GO137" s="73"/>
      <c r="GP137" s="73"/>
      <c r="GQ137" s="73"/>
      <c r="GR137" s="73"/>
      <c r="GS137" s="73"/>
      <c r="GT137" s="73"/>
      <c r="GU137" s="73"/>
      <c r="GV137" s="73"/>
      <c r="GW137" s="73"/>
      <c r="GX137" s="73"/>
      <c r="GY137" s="73"/>
      <c r="GZ137" s="73"/>
      <c r="HA137" s="73"/>
      <c r="HB137" s="73"/>
      <c r="HC137" s="73"/>
      <c r="HD137" s="73"/>
      <c r="HE137" s="73"/>
      <c r="HF137" s="73"/>
      <c r="HG137" s="73"/>
      <c r="HH137" s="73"/>
      <c r="HI137" s="73"/>
      <c r="HJ137" s="73"/>
      <c r="HK137" s="73"/>
      <c r="HL137" s="73"/>
      <c r="HM137" s="73"/>
      <c r="HN137" s="73"/>
      <c r="HO137" s="73"/>
      <c r="HP137" s="73"/>
      <c r="HQ137" s="73"/>
      <c r="HR137" s="73"/>
      <c r="HS137" s="73"/>
      <c r="HT137" s="73"/>
      <c r="HU137" s="73"/>
      <c r="HV137" s="73"/>
      <c r="HW137" s="73"/>
      <c r="HX137" s="73"/>
      <c r="HY137" s="73"/>
      <c r="HZ137" s="73"/>
      <c r="IA137" s="73"/>
      <c r="IB137" s="73"/>
      <c r="IC137" s="73"/>
      <c r="ID137" s="73"/>
      <c r="IE137" s="73"/>
      <c r="IF137" s="73"/>
      <c r="IG137" s="73"/>
      <c r="IH137" s="73"/>
      <c r="II137" s="73"/>
      <c r="IJ137" s="73"/>
      <c r="IK137" s="73"/>
      <c r="IL137" s="73"/>
      <c r="IM137" s="73"/>
      <c r="IN137" s="73"/>
      <c r="IO137" s="73"/>
      <c r="IP137" s="73"/>
      <c r="IQ137" s="73"/>
      <c r="IR137" s="73"/>
      <c r="IS137" s="73"/>
      <c r="IT137" s="73"/>
      <c r="IU137" s="73"/>
      <c r="IV137" s="73"/>
      <c r="IW137" s="73"/>
    </row>
    <row r="138" customFormat="false" ht="12.75" hidden="false" customHeight="false" outlineLevel="0" collapsed="false">
      <c r="A138" s="73"/>
      <c r="B138" s="46" t="s">
        <v>201</v>
      </c>
      <c r="C138" s="44" t="s">
        <v>231</v>
      </c>
      <c r="D138" s="44" t="s">
        <v>239</v>
      </c>
      <c r="E138" s="45" t="n">
        <v>36647</v>
      </c>
      <c r="F138" s="45" t="n">
        <v>36677</v>
      </c>
      <c r="G138" s="46" t="s">
        <v>247</v>
      </c>
      <c r="H138" s="46"/>
      <c r="I138" s="44" t="s">
        <v>248</v>
      </c>
      <c r="J138" s="58" t="n">
        <v>1.17</v>
      </c>
      <c r="K138" s="49"/>
      <c r="L138" s="49"/>
      <c r="M138" s="49"/>
      <c r="N138" s="49"/>
      <c r="O138" s="50"/>
      <c r="P138" s="49"/>
      <c r="Q138" s="51" t="n">
        <v>33494</v>
      </c>
      <c r="R138" s="44" t="n">
        <v>565</v>
      </c>
      <c r="S138" s="46"/>
      <c r="T138" s="74" t="n">
        <f aca="false">+R138*J138</f>
        <v>661.05</v>
      </c>
      <c r="U138" s="74"/>
      <c r="V138" s="75" t="n">
        <v>254803</v>
      </c>
      <c r="W138" s="46"/>
      <c r="X138" s="72"/>
      <c r="Y138" s="72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/>
      <c r="CR138" s="73"/>
      <c r="CS138" s="73"/>
      <c r="CT138" s="73"/>
      <c r="CU138" s="73"/>
      <c r="CV138" s="73"/>
      <c r="CW138" s="73"/>
      <c r="CX138" s="73"/>
      <c r="CY138" s="73"/>
      <c r="CZ138" s="73"/>
      <c r="DA138" s="73"/>
      <c r="DB138" s="73"/>
      <c r="DC138" s="73"/>
      <c r="DD138" s="73"/>
      <c r="DE138" s="73"/>
      <c r="DF138" s="73"/>
      <c r="DG138" s="73"/>
      <c r="DH138" s="73"/>
      <c r="DI138" s="73"/>
      <c r="DJ138" s="73"/>
      <c r="DK138" s="73"/>
      <c r="DL138" s="73"/>
      <c r="DM138" s="73"/>
      <c r="DN138" s="73"/>
      <c r="DO138" s="73"/>
      <c r="DP138" s="73"/>
      <c r="DQ138" s="73"/>
      <c r="DR138" s="73"/>
      <c r="DS138" s="73"/>
      <c r="DT138" s="73"/>
      <c r="DU138" s="73"/>
      <c r="DV138" s="73"/>
      <c r="DW138" s="73"/>
      <c r="DX138" s="73"/>
      <c r="DY138" s="73"/>
      <c r="DZ138" s="73"/>
      <c r="EA138" s="73"/>
      <c r="EB138" s="73"/>
      <c r="EC138" s="73"/>
      <c r="ED138" s="73"/>
      <c r="EE138" s="73"/>
      <c r="EF138" s="73"/>
      <c r="EG138" s="73"/>
      <c r="EH138" s="73"/>
      <c r="EI138" s="73"/>
      <c r="EJ138" s="73"/>
      <c r="EK138" s="73"/>
      <c r="EL138" s="73"/>
      <c r="EM138" s="73"/>
      <c r="EN138" s="73"/>
      <c r="EO138" s="73"/>
      <c r="EP138" s="73"/>
      <c r="EQ138" s="73"/>
      <c r="ER138" s="73"/>
      <c r="ES138" s="73"/>
      <c r="ET138" s="73"/>
      <c r="EU138" s="73"/>
      <c r="EV138" s="73"/>
      <c r="EW138" s="73"/>
      <c r="EX138" s="73"/>
      <c r="EY138" s="73"/>
      <c r="EZ138" s="73"/>
      <c r="FA138" s="73"/>
      <c r="FB138" s="73"/>
      <c r="FC138" s="73"/>
      <c r="FD138" s="73"/>
      <c r="FE138" s="73"/>
      <c r="FF138" s="73"/>
      <c r="FG138" s="73"/>
      <c r="FH138" s="73"/>
      <c r="FI138" s="73"/>
      <c r="FJ138" s="73"/>
      <c r="FK138" s="73"/>
      <c r="FL138" s="73"/>
      <c r="FM138" s="73"/>
      <c r="FN138" s="73"/>
      <c r="FO138" s="73"/>
      <c r="FP138" s="73"/>
      <c r="FQ138" s="73"/>
      <c r="FR138" s="73"/>
      <c r="FS138" s="73"/>
      <c r="FT138" s="73"/>
      <c r="FU138" s="73"/>
      <c r="FV138" s="73"/>
      <c r="FW138" s="73"/>
      <c r="FX138" s="73"/>
      <c r="FY138" s="73"/>
      <c r="FZ138" s="73"/>
      <c r="GA138" s="73"/>
      <c r="GB138" s="73"/>
      <c r="GC138" s="73"/>
      <c r="GD138" s="73"/>
      <c r="GE138" s="73"/>
      <c r="GF138" s="73"/>
      <c r="GG138" s="73"/>
      <c r="GH138" s="73"/>
      <c r="GI138" s="73"/>
      <c r="GJ138" s="73"/>
      <c r="GK138" s="73"/>
      <c r="GL138" s="73"/>
      <c r="GM138" s="73"/>
      <c r="GN138" s="73"/>
      <c r="GO138" s="73"/>
      <c r="GP138" s="73"/>
      <c r="GQ138" s="73"/>
      <c r="GR138" s="73"/>
      <c r="GS138" s="73"/>
      <c r="GT138" s="73"/>
      <c r="GU138" s="73"/>
      <c r="GV138" s="73"/>
      <c r="GW138" s="73"/>
      <c r="GX138" s="73"/>
      <c r="GY138" s="73"/>
      <c r="GZ138" s="73"/>
      <c r="HA138" s="73"/>
      <c r="HB138" s="73"/>
      <c r="HC138" s="73"/>
      <c r="HD138" s="73"/>
      <c r="HE138" s="73"/>
      <c r="HF138" s="73"/>
      <c r="HG138" s="73"/>
      <c r="HH138" s="73"/>
      <c r="HI138" s="73"/>
      <c r="HJ138" s="73"/>
      <c r="HK138" s="73"/>
      <c r="HL138" s="73"/>
      <c r="HM138" s="73"/>
      <c r="HN138" s="73"/>
      <c r="HO138" s="73"/>
      <c r="HP138" s="73"/>
      <c r="HQ138" s="73"/>
      <c r="HR138" s="73"/>
      <c r="HS138" s="73"/>
      <c r="HT138" s="73"/>
      <c r="HU138" s="73"/>
      <c r="HV138" s="73"/>
      <c r="HW138" s="73"/>
      <c r="HX138" s="73"/>
      <c r="HY138" s="73"/>
      <c r="HZ138" s="73"/>
      <c r="IA138" s="73"/>
      <c r="IB138" s="73"/>
      <c r="IC138" s="73"/>
      <c r="ID138" s="73"/>
      <c r="IE138" s="73"/>
      <c r="IF138" s="73"/>
      <c r="IG138" s="73"/>
      <c r="IH138" s="73"/>
      <c r="II138" s="73"/>
      <c r="IJ138" s="73"/>
      <c r="IK138" s="73"/>
      <c r="IL138" s="73"/>
      <c r="IM138" s="73"/>
      <c r="IN138" s="73"/>
      <c r="IO138" s="73"/>
      <c r="IP138" s="73"/>
      <c r="IQ138" s="73"/>
      <c r="IR138" s="73"/>
      <c r="IS138" s="73"/>
      <c r="IT138" s="73"/>
      <c r="IU138" s="73"/>
      <c r="IV138" s="73"/>
      <c r="IW138" s="73"/>
    </row>
    <row r="139" customFormat="false" ht="12.75" hidden="false" customHeight="false" outlineLevel="0" collapsed="false">
      <c r="B139" s="46"/>
      <c r="C139" s="44"/>
      <c r="D139" s="44"/>
      <c r="E139" s="45"/>
      <c r="F139" s="45"/>
      <c r="G139" s="46"/>
      <c r="H139" s="46"/>
      <c r="I139" s="44"/>
      <c r="J139" s="58"/>
      <c r="K139" s="49"/>
      <c r="L139" s="99"/>
      <c r="M139" s="49"/>
      <c r="N139" s="49"/>
      <c r="O139" s="50"/>
      <c r="P139" s="49"/>
      <c r="Q139" s="51"/>
      <c r="R139" s="52"/>
      <c r="S139" s="44"/>
      <c r="T139" s="74"/>
      <c r="U139" s="74"/>
      <c r="V139" s="75"/>
      <c r="W139" s="46"/>
      <c r="X139" s="72"/>
      <c r="Y139" s="72"/>
    </row>
    <row r="140" customFormat="false" ht="12.75" hidden="false" customHeight="false" outlineLevel="0" collapsed="false">
      <c r="B140" s="46"/>
      <c r="C140" s="44"/>
      <c r="D140" s="44"/>
      <c r="E140" s="45"/>
      <c r="F140" s="45"/>
      <c r="G140" s="46"/>
      <c r="H140" s="46"/>
      <c r="I140" s="44"/>
      <c r="J140" s="58"/>
      <c r="K140" s="49"/>
      <c r="L140" s="99"/>
      <c r="M140" s="49"/>
      <c r="N140" s="49"/>
      <c r="O140" s="100"/>
      <c r="P140" s="49"/>
      <c r="Q140" s="51"/>
      <c r="R140" s="44"/>
      <c r="S140" s="44"/>
      <c r="T140" s="101" t="n">
        <f aca="false">SUM(T131:T139)</f>
        <v>88862.9502</v>
      </c>
      <c r="W140" s="46"/>
      <c r="X140" s="102"/>
      <c r="Y140" s="102"/>
    </row>
    <row r="141" customFormat="false" ht="12.75" hidden="false" customHeight="false" outlineLevel="0" collapsed="false">
      <c r="B141" s="63" t="s">
        <v>181</v>
      </c>
      <c r="C141" s="64" t="s">
        <v>182</v>
      </c>
      <c r="D141" s="64" t="s">
        <v>183</v>
      </c>
      <c r="E141" s="65" t="s">
        <v>184</v>
      </c>
      <c r="F141" s="65"/>
      <c r="G141" s="63" t="s">
        <v>185</v>
      </c>
      <c r="H141" s="63" t="s">
        <v>186</v>
      </c>
      <c r="I141" s="64" t="s">
        <v>187</v>
      </c>
      <c r="J141" s="66" t="s">
        <v>188</v>
      </c>
      <c r="K141" s="64" t="s">
        <v>189</v>
      </c>
      <c r="L141" s="64" t="s">
        <v>190</v>
      </c>
      <c r="M141" s="64" t="s">
        <v>191</v>
      </c>
      <c r="N141" s="64" t="s">
        <v>192</v>
      </c>
      <c r="O141" s="67" t="s">
        <v>193</v>
      </c>
      <c r="P141" s="64" t="s">
        <v>194</v>
      </c>
      <c r="Q141" s="68" t="s">
        <v>195</v>
      </c>
      <c r="R141" s="64" t="s">
        <v>196</v>
      </c>
      <c r="S141" s="63" t="s">
        <v>197</v>
      </c>
      <c r="T141" s="69" t="s">
        <v>198</v>
      </c>
      <c r="U141" s="69" t="s">
        <v>199</v>
      </c>
      <c r="V141" s="70" t="s">
        <v>200</v>
      </c>
      <c r="W141" s="71" t="e">
        <f aca="false">+#REF!</f>
        <v>#REF!</v>
      </c>
      <c r="X141" s="72"/>
      <c r="Y141" s="72"/>
    </row>
    <row r="142" customFormat="false" ht="12.75" hidden="true" customHeight="false" outlineLevel="0" collapsed="false">
      <c r="A142" s="73"/>
      <c r="B142" s="46" t="s">
        <v>249</v>
      </c>
      <c r="C142" s="44" t="s">
        <v>250</v>
      </c>
      <c r="D142" s="44" t="s">
        <v>251</v>
      </c>
      <c r="E142" s="45" t="n">
        <v>35977</v>
      </c>
      <c r="F142" s="45" t="n">
        <v>36585</v>
      </c>
      <c r="G142" s="46" t="s">
        <v>252</v>
      </c>
      <c r="H142" s="46" t="s">
        <v>253</v>
      </c>
      <c r="I142" s="44" t="s">
        <v>254</v>
      </c>
      <c r="J142" s="58"/>
      <c r="K142" s="49" t="n">
        <v>0</v>
      </c>
      <c r="L142" s="49" t="n">
        <v>0.0022</v>
      </c>
      <c r="M142" s="49" t="n">
        <v>0</v>
      </c>
      <c r="N142" s="49" t="n">
        <v>0</v>
      </c>
      <c r="O142" s="50" t="n">
        <v>0</v>
      </c>
      <c r="P142" s="49" t="n">
        <f aca="false">SUM(J142:N142)</f>
        <v>0.0022</v>
      </c>
      <c r="Q142" s="51" t="n">
        <v>892591</v>
      </c>
      <c r="R142" s="44" t="n">
        <v>74</v>
      </c>
      <c r="S142" s="46"/>
      <c r="T142" s="74" t="n">
        <f aca="false">J142*J$1*R142</f>
        <v>0</v>
      </c>
      <c r="U142" s="74"/>
      <c r="V142" s="75" t="n">
        <v>157553</v>
      </c>
      <c r="W142" s="46" t="s">
        <v>255</v>
      </c>
      <c r="X142" s="72"/>
      <c r="Y142" s="72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  <c r="CO142" s="73"/>
      <c r="CP142" s="73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DB142" s="73"/>
      <c r="DC142" s="73"/>
      <c r="DD142" s="73"/>
      <c r="DE142" s="73"/>
      <c r="DF142" s="73"/>
      <c r="DG142" s="73"/>
      <c r="DH142" s="73"/>
      <c r="DI142" s="73"/>
      <c r="DJ142" s="73"/>
      <c r="DK142" s="73"/>
      <c r="DL142" s="73"/>
      <c r="DM142" s="73"/>
      <c r="DN142" s="73"/>
      <c r="DO142" s="73"/>
      <c r="DP142" s="73"/>
      <c r="DQ142" s="73"/>
      <c r="DR142" s="73"/>
      <c r="DS142" s="73"/>
      <c r="DT142" s="73"/>
      <c r="DU142" s="73"/>
      <c r="DV142" s="73"/>
      <c r="DW142" s="73"/>
      <c r="DX142" s="73"/>
      <c r="DY142" s="73"/>
      <c r="DZ142" s="73"/>
      <c r="EA142" s="73"/>
      <c r="EB142" s="73"/>
      <c r="EC142" s="73"/>
      <c r="ED142" s="73"/>
      <c r="EE142" s="73"/>
      <c r="EF142" s="73"/>
      <c r="EG142" s="73"/>
      <c r="EH142" s="73"/>
      <c r="EI142" s="73"/>
      <c r="EJ142" s="73"/>
      <c r="EK142" s="73"/>
      <c r="EL142" s="73"/>
      <c r="EM142" s="73"/>
      <c r="EN142" s="73"/>
      <c r="EO142" s="73"/>
      <c r="EP142" s="73"/>
      <c r="EQ142" s="73"/>
      <c r="ER142" s="73"/>
      <c r="ES142" s="73"/>
      <c r="ET142" s="73"/>
      <c r="EU142" s="73"/>
      <c r="EV142" s="73"/>
      <c r="EW142" s="73"/>
      <c r="EX142" s="73"/>
      <c r="EY142" s="73"/>
      <c r="EZ142" s="73"/>
      <c r="FA142" s="73"/>
      <c r="FB142" s="73"/>
      <c r="FC142" s="73"/>
      <c r="FD142" s="73"/>
      <c r="FE142" s="73"/>
      <c r="FF142" s="73"/>
      <c r="FG142" s="73"/>
      <c r="FH142" s="73"/>
      <c r="FI142" s="73"/>
      <c r="FJ142" s="73"/>
      <c r="FK142" s="73"/>
      <c r="FL142" s="73"/>
      <c r="FM142" s="73"/>
      <c r="FN142" s="73"/>
      <c r="FO142" s="73"/>
      <c r="FP142" s="73"/>
      <c r="FQ142" s="73"/>
      <c r="FR142" s="73"/>
      <c r="FS142" s="73"/>
      <c r="FT142" s="73"/>
      <c r="FU142" s="73"/>
      <c r="FV142" s="73"/>
      <c r="FW142" s="73"/>
      <c r="FX142" s="73"/>
      <c r="FY142" s="73"/>
      <c r="FZ142" s="73"/>
      <c r="GA142" s="73"/>
      <c r="GB142" s="73"/>
      <c r="GC142" s="73"/>
      <c r="GD142" s="73"/>
      <c r="GE142" s="73"/>
      <c r="GF142" s="73"/>
      <c r="GG142" s="73"/>
      <c r="GH142" s="73"/>
      <c r="GI142" s="73"/>
      <c r="GJ142" s="73"/>
      <c r="GK142" s="73"/>
      <c r="GL142" s="73"/>
      <c r="GM142" s="73"/>
      <c r="GN142" s="73"/>
      <c r="GO142" s="73"/>
      <c r="GP142" s="73"/>
      <c r="GQ142" s="73"/>
      <c r="GR142" s="73"/>
      <c r="GS142" s="73"/>
      <c r="GT142" s="73"/>
      <c r="GU142" s="73"/>
      <c r="GV142" s="73"/>
      <c r="GW142" s="73"/>
      <c r="GX142" s="73"/>
      <c r="GY142" s="73"/>
      <c r="GZ142" s="73"/>
      <c r="HA142" s="73"/>
      <c r="HB142" s="73"/>
      <c r="HC142" s="73"/>
      <c r="HD142" s="73"/>
      <c r="HE142" s="73"/>
      <c r="HF142" s="73"/>
      <c r="HG142" s="73"/>
      <c r="HH142" s="73"/>
      <c r="HI142" s="73"/>
      <c r="HJ142" s="73"/>
      <c r="HK142" s="73"/>
      <c r="HL142" s="73"/>
      <c r="HM142" s="73"/>
      <c r="HN142" s="73"/>
      <c r="HO142" s="73"/>
      <c r="HP142" s="73"/>
      <c r="HQ142" s="73"/>
      <c r="HR142" s="73"/>
      <c r="HS142" s="73"/>
      <c r="HT142" s="73"/>
      <c r="HU142" s="73"/>
      <c r="HV142" s="73"/>
      <c r="HW142" s="73"/>
      <c r="HX142" s="73"/>
      <c r="HY142" s="73"/>
      <c r="HZ142" s="73"/>
      <c r="IA142" s="73"/>
      <c r="IB142" s="73"/>
      <c r="IC142" s="73"/>
      <c r="ID142" s="73"/>
      <c r="IE142" s="73"/>
      <c r="IF142" s="73"/>
      <c r="IG142" s="73"/>
      <c r="IH142" s="73"/>
      <c r="II142" s="73"/>
      <c r="IJ142" s="73"/>
      <c r="IK142" s="73"/>
      <c r="IL142" s="73"/>
      <c r="IM142" s="73"/>
      <c r="IN142" s="73"/>
      <c r="IO142" s="73"/>
      <c r="IP142" s="73"/>
      <c r="IQ142" s="73"/>
      <c r="IR142" s="73"/>
      <c r="IS142" s="73"/>
      <c r="IT142" s="73"/>
      <c r="IU142" s="73"/>
      <c r="IV142" s="73"/>
      <c r="IW142" s="73"/>
    </row>
    <row r="143" customFormat="false" ht="12.75" hidden="true" customHeight="false" outlineLevel="0" collapsed="false">
      <c r="A143" s="73"/>
      <c r="B143" s="46" t="s">
        <v>249</v>
      </c>
      <c r="C143" s="44" t="s">
        <v>250</v>
      </c>
      <c r="D143" s="44" t="s">
        <v>251</v>
      </c>
      <c r="E143" s="45" t="n">
        <v>36130</v>
      </c>
      <c r="F143" s="45" t="n">
        <v>41029</v>
      </c>
      <c r="G143" s="46" t="s">
        <v>252</v>
      </c>
      <c r="H143" s="46" t="s">
        <v>253</v>
      </c>
      <c r="I143" s="44" t="s">
        <v>254</v>
      </c>
      <c r="J143" s="58"/>
      <c r="K143" s="49" t="n">
        <v>0</v>
      </c>
      <c r="L143" s="49" t="n">
        <v>0.0022</v>
      </c>
      <c r="M143" s="49" t="n">
        <v>0</v>
      </c>
      <c r="N143" s="49" t="n">
        <v>0</v>
      </c>
      <c r="O143" s="50" t="n">
        <v>0</v>
      </c>
      <c r="P143" s="49" t="n">
        <f aca="false">SUM(J143:N143)</f>
        <v>0.0022</v>
      </c>
      <c r="Q143" s="51" t="s">
        <v>256</v>
      </c>
      <c r="R143" s="44" t="n">
        <v>0</v>
      </c>
      <c r="S143" s="46"/>
      <c r="T143" s="74" t="n">
        <f aca="false">J143*J$1*R143</f>
        <v>0</v>
      </c>
      <c r="U143" s="74"/>
      <c r="V143" s="75" t="n">
        <v>143310</v>
      </c>
      <c r="W143" s="46" t="s">
        <v>257</v>
      </c>
      <c r="X143" s="72"/>
      <c r="Y143" s="72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  <c r="DC143" s="73"/>
      <c r="DD143" s="73"/>
      <c r="DE143" s="73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  <c r="DP143" s="73"/>
      <c r="DQ143" s="73"/>
      <c r="DR143" s="73"/>
      <c r="DS143" s="73"/>
      <c r="DT143" s="73"/>
      <c r="DU143" s="73"/>
      <c r="DV143" s="73"/>
      <c r="DW143" s="73"/>
      <c r="DX143" s="73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73"/>
      <c r="EJ143" s="73"/>
      <c r="EK143" s="73"/>
      <c r="EL143" s="73"/>
      <c r="EM143" s="73"/>
      <c r="EN143" s="73"/>
      <c r="EO143" s="73"/>
      <c r="EP143" s="73"/>
      <c r="EQ143" s="73"/>
      <c r="ER143" s="73"/>
      <c r="ES143" s="73"/>
      <c r="ET143" s="73"/>
      <c r="EU143" s="73"/>
      <c r="EV143" s="73"/>
      <c r="EW143" s="73"/>
      <c r="EX143" s="73"/>
      <c r="EY143" s="73"/>
      <c r="EZ143" s="73"/>
      <c r="FA143" s="73"/>
      <c r="FB143" s="73"/>
      <c r="FC143" s="73"/>
      <c r="FD143" s="73"/>
      <c r="FE143" s="73"/>
      <c r="FF143" s="73"/>
      <c r="FG143" s="73"/>
      <c r="FH143" s="73"/>
      <c r="FI143" s="73"/>
      <c r="FJ143" s="73"/>
      <c r="FK143" s="73"/>
      <c r="FL143" s="73"/>
      <c r="FM143" s="73"/>
      <c r="FN143" s="73"/>
      <c r="FO143" s="73"/>
      <c r="FP143" s="73"/>
      <c r="FQ143" s="73"/>
      <c r="FR143" s="73"/>
      <c r="FS143" s="73"/>
      <c r="FT143" s="73"/>
      <c r="FU143" s="73"/>
      <c r="FV143" s="73"/>
      <c r="FW143" s="73"/>
      <c r="FX143" s="73"/>
      <c r="FY143" s="73"/>
      <c r="FZ143" s="73"/>
      <c r="GA143" s="73"/>
      <c r="GB143" s="73"/>
      <c r="GC143" s="73"/>
      <c r="GD143" s="73"/>
      <c r="GE143" s="73"/>
      <c r="GF143" s="73"/>
      <c r="GG143" s="73"/>
      <c r="GH143" s="73"/>
      <c r="GI143" s="73"/>
      <c r="GJ143" s="73"/>
      <c r="GK143" s="73"/>
      <c r="GL143" s="73"/>
      <c r="GM143" s="73"/>
      <c r="GN143" s="73"/>
      <c r="GO143" s="73"/>
      <c r="GP143" s="73"/>
      <c r="GQ143" s="73"/>
      <c r="GR143" s="73"/>
      <c r="GS143" s="73"/>
      <c r="GT143" s="73"/>
      <c r="GU143" s="73"/>
      <c r="GV143" s="73"/>
      <c r="GW143" s="73"/>
      <c r="GX143" s="73"/>
      <c r="GY143" s="73"/>
      <c r="GZ143" s="73"/>
      <c r="HA143" s="73"/>
      <c r="HB143" s="73"/>
      <c r="HC143" s="73"/>
      <c r="HD143" s="73"/>
      <c r="HE143" s="73"/>
      <c r="HF143" s="73"/>
      <c r="HG143" s="73"/>
      <c r="HH143" s="73"/>
      <c r="HI143" s="73"/>
      <c r="HJ143" s="73"/>
      <c r="HK143" s="73"/>
      <c r="HL143" s="73"/>
      <c r="HM143" s="73"/>
      <c r="HN143" s="73"/>
      <c r="HO143" s="73"/>
      <c r="HP143" s="73"/>
      <c r="HQ143" s="73"/>
      <c r="HR143" s="73"/>
      <c r="HS143" s="73"/>
      <c r="HT143" s="73"/>
      <c r="HU143" s="73"/>
      <c r="HV143" s="73"/>
      <c r="HW143" s="73"/>
      <c r="HX143" s="73"/>
      <c r="HY143" s="73"/>
      <c r="HZ143" s="73"/>
      <c r="IA143" s="73"/>
      <c r="IB143" s="73"/>
      <c r="IC143" s="73"/>
      <c r="ID143" s="73"/>
      <c r="IE143" s="73"/>
      <c r="IF143" s="73"/>
      <c r="IG143" s="73"/>
      <c r="IH143" s="73"/>
      <c r="II143" s="73"/>
      <c r="IJ143" s="73"/>
      <c r="IK143" s="73"/>
      <c r="IL143" s="73"/>
      <c r="IM143" s="73"/>
      <c r="IN143" s="73"/>
      <c r="IO143" s="73"/>
      <c r="IP143" s="73"/>
      <c r="IQ143" s="73"/>
      <c r="IR143" s="73"/>
      <c r="IS143" s="73"/>
      <c r="IT143" s="73"/>
      <c r="IU143" s="73"/>
      <c r="IV143" s="73"/>
      <c r="IW143" s="73"/>
    </row>
    <row r="144" customFormat="false" ht="12.75" hidden="true" customHeight="false" outlineLevel="0" collapsed="false">
      <c r="A144" s="73"/>
      <c r="B144" s="46" t="s">
        <v>249</v>
      </c>
      <c r="C144" s="44" t="s">
        <v>250</v>
      </c>
      <c r="D144" s="44" t="s">
        <v>251</v>
      </c>
      <c r="E144" s="45" t="n">
        <v>36220</v>
      </c>
      <c r="F144" s="45" t="n">
        <v>41029</v>
      </c>
      <c r="G144" s="46" t="s">
        <v>252</v>
      </c>
      <c r="H144" s="46" t="s">
        <v>258</v>
      </c>
      <c r="I144" s="44" t="s">
        <v>254</v>
      </c>
      <c r="J144" s="58"/>
      <c r="K144" s="49" t="n">
        <v>0</v>
      </c>
      <c r="L144" s="49" t="n">
        <v>0.0022</v>
      </c>
      <c r="M144" s="49" t="n">
        <v>0</v>
      </c>
      <c r="N144" s="49" t="n">
        <v>0</v>
      </c>
      <c r="O144" s="50" t="n">
        <v>0</v>
      </c>
      <c r="P144" s="49" t="n">
        <f aca="false">SUM(J144:N144)</f>
        <v>0.0022</v>
      </c>
      <c r="Q144" s="51" t="s">
        <v>256</v>
      </c>
      <c r="R144" s="44" t="n">
        <v>0</v>
      </c>
      <c r="S144" s="46"/>
      <c r="T144" s="74" t="n">
        <f aca="false">J144*J$1*R144</f>
        <v>0</v>
      </c>
      <c r="U144" s="74"/>
      <c r="V144" s="75" t="n">
        <v>143311</v>
      </c>
      <c r="W144" s="46" t="s">
        <v>259</v>
      </c>
      <c r="X144" s="72"/>
      <c r="Y144" s="72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  <c r="CG144" s="73"/>
      <c r="CH144" s="73"/>
      <c r="CI144" s="73"/>
      <c r="CJ144" s="73"/>
      <c r="CK144" s="73"/>
      <c r="CL144" s="73"/>
      <c r="CM144" s="73"/>
      <c r="CN144" s="73"/>
      <c r="CO144" s="73"/>
      <c r="CP144" s="73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3"/>
      <c r="DC144" s="73"/>
      <c r="DD144" s="73"/>
      <c r="DE144" s="73"/>
      <c r="DF144" s="73"/>
      <c r="DG144" s="73"/>
      <c r="DH144" s="73"/>
      <c r="DI144" s="73"/>
      <c r="DJ144" s="73"/>
      <c r="DK144" s="73"/>
      <c r="DL144" s="73"/>
      <c r="DM144" s="73"/>
      <c r="DN144" s="73"/>
      <c r="DO144" s="73"/>
      <c r="DP144" s="73"/>
      <c r="DQ144" s="73"/>
      <c r="DR144" s="73"/>
      <c r="DS144" s="73"/>
      <c r="DT144" s="73"/>
      <c r="DU144" s="73"/>
      <c r="DV144" s="73"/>
      <c r="DW144" s="73"/>
      <c r="DX144" s="73"/>
      <c r="DY144" s="73"/>
      <c r="DZ144" s="73"/>
      <c r="EA144" s="73"/>
      <c r="EB144" s="73"/>
      <c r="EC144" s="73"/>
      <c r="ED144" s="73"/>
      <c r="EE144" s="73"/>
      <c r="EF144" s="73"/>
      <c r="EG144" s="73"/>
      <c r="EH144" s="73"/>
      <c r="EI144" s="73"/>
      <c r="EJ144" s="73"/>
      <c r="EK144" s="73"/>
      <c r="EL144" s="73"/>
      <c r="EM144" s="73"/>
      <c r="EN144" s="73"/>
      <c r="EO144" s="73"/>
      <c r="EP144" s="73"/>
      <c r="EQ144" s="73"/>
      <c r="ER144" s="73"/>
      <c r="ES144" s="73"/>
      <c r="ET144" s="73"/>
      <c r="EU144" s="73"/>
      <c r="EV144" s="73"/>
      <c r="EW144" s="73"/>
      <c r="EX144" s="73"/>
      <c r="EY144" s="73"/>
      <c r="EZ144" s="73"/>
      <c r="FA144" s="73"/>
      <c r="FB144" s="73"/>
      <c r="FC144" s="73"/>
      <c r="FD144" s="73"/>
      <c r="FE144" s="73"/>
      <c r="FF144" s="73"/>
      <c r="FG144" s="73"/>
      <c r="FH144" s="73"/>
      <c r="FI144" s="73"/>
      <c r="FJ144" s="73"/>
      <c r="FK144" s="73"/>
      <c r="FL144" s="73"/>
      <c r="FM144" s="73"/>
      <c r="FN144" s="73"/>
      <c r="FO144" s="73"/>
      <c r="FP144" s="73"/>
      <c r="FQ144" s="73"/>
      <c r="FR144" s="73"/>
      <c r="FS144" s="73"/>
      <c r="FT144" s="73"/>
      <c r="FU144" s="73"/>
      <c r="FV144" s="73"/>
      <c r="FW144" s="73"/>
      <c r="FX144" s="73"/>
      <c r="FY144" s="73"/>
      <c r="FZ144" s="73"/>
      <c r="GA144" s="73"/>
      <c r="GB144" s="73"/>
      <c r="GC144" s="73"/>
      <c r="GD144" s="73"/>
      <c r="GE144" s="73"/>
      <c r="GF144" s="73"/>
      <c r="GG144" s="73"/>
      <c r="GH144" s="73"/>
      <c r="GI144" s="73"/>
      <c r="GJ144" s="73"/>
      <c r="GK144" s="73"/>
      <c r="GL144" s="73"/>
      <c r="GM144" s="73"/>
      <c r="GN144" s="73"/>
      <c r="GO144" s="73"/>
      <c r="GP144" s="73"/>
      <c r="GQ144" s="73"/>
      <c r="GR144" s="73"/>
      <c r="GS144" s="73"/>
      <c r="GT144" s="73"/>
      <c r="GU144" s="73"/>
      <c r="GV144" s="73"/>
      <c r="GW144" s="73"/>
      <c r="GX144" s="73"/>
      <c r="GY144" s="73"/>
      <c r="GZ144" s="73"/>
      <c r="HA144" s="73"/>
      <c r="HB144" s="73"/>
      <c r="HC144" s="73"/>
      <c r="HD144" s="73"/>
      <c r="HE144" s="73"/>
      <c r="HF144" s="73"/>
      <c r="HG144" s="73"/>
      <c r="HH144" s="73"/>
      <c r="HI144" s="73"/>
      <c r="HJ144" s="73"/>
      <c r="HK144" s="73"/>
      <c r="HL144" s="73"/>
      <c r="HM144" s="73"/>
      <c r="HN144" s="73"/>
      <c r="HO144" s="73"/>
      <c r="HP144" s="73"/>
      <c r="HQ144" s="73"/>
      <c r="HR144" s="73"/>
      <c r="HS144" s="73"/>
      <c r="HT144" s="73"/>
      <c r="HU144" s="73"/>
      <c r="HV144" s="73"/>
      <c r="HW144" s="73"/>
      <c r="HX144" s="73"/>
      <c r="HY144" s="73"/>
      <c r="HZ144" s="73"/>
      <c r="IA144" s="73"/>
      <c r="IB144" s="73"/>
      <c r="IC144" s="73"/>
      <c r="ID144" s="73"/>
      <c r="IE144" s="73"/>
      <c r="IF144" s="73"/>
      <c r="IG144" s="73"/>
      <c r="IH144" s="73"/>
      <c r="II144" s="73"/>
      <c r="IJ144" s="73"/>
      <c r="IK144" s="73"/>
      <c r="IL144" s="73"/>
      <c r="IM144" s="73"/>
      <c r="IN144" s="73"/>
      <c r="IO144" s="73"/>
      <c r="IP144" s="73"/>
      <c r="IQ144" s="73"/>
      <c r="IR144" s="73"/>
      <c r="IS144" s="73"/>
      <c r="IT144" s="73"/>
      <c r="IU144" s="73"/>
      <c r="IV144" s="73"/>
      <c r="IW144" s="73"/>
    </row>
    <row r="145" customFormat="false" ht="12.75" hidden="true" customHeight="false" outlineLevel="0" collapsed="false">
      <c r="A145" s="73"/>
      <c r="B145" s="46" t="s">
        <v>249</v>
      </c>
      <c r="C145" s="44" t="s">
        <v>250</v>
      </c>
      <c r="D145" s="44" t="s">
        <v>251</v>
      </c>
      <c r="E145" s="45" t="n">
        <v>36465</v>
      </c>
      <c r="F145" s="45" t="n">
        <v>39021</v>
      </c>
      <c r="G145" s="46" t="s">
        <v>260</v>
      </c>
      <c r="H145" s="46" t="s">
        <v>107</v>
      </c>
      <c r="I145" s="44" t="s">
        <v>254</v>
      </c>
      <c r="J145" s="58"/>
      <c r="K145" s="49" t="n">
        <v>0</v>
      </c>
      <c r="L145" s="49" t="n">
        <v>0.0022</v>
      </c>
      <c r="M145" s="49" t="n">
        <v>0</v>
      </c>
      <c r="N145" s="49" t="n">
        <v>0</v>
      </c>
      <c r="O145" s="50" t="n">
        <v>0</v>
      </c>
      <c r="P145" s="49" t="n">
        <f aca="false">SUM(J145:N145)</f>
        <v>0.0022</v>
      </c>
      <c r="Q145" s="51" t="n">
        <v>892596</v>
      </c>
      <c r="R145" s="44" t="n">
        <v>139</v>
      </c>
      <c r="S145" s="46" t="s">
        <v>261</v>
      </c>
      <c r="T145" s="74" t="n">
        <f aca="false">J145*J$1*R145</f>
        <v>0</v>
      </c>
      <c r="U145" s="74"/>
      <c r="V145" s="75" t="n">
        <v>157537</v>
      </c>
      <c r="W145" s="46" t="s">
        <v>262</v>
      </c>
      <c r="X145" s="72"/>
      <c r="Y145" s="72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  <c r="HV145" s="73"/>
      <c r="HW145" s="73"/>
      <c r="HX145" s="73"/>
      <c r="HY145" s="73"/>
      <c r="HZ145" s="73"/>
      <c r="IA145" s="73"/>
      <c r="IB145" s="73"/>
      <c r="IC145" s="73"/>
      <c r="ID145" s="73"/>
      <c r="IE145" s="73"/>
      <c r="IF145" s="73"/>
      <c r="IG145" s="73"/>
      <c r="IH145" s="73"/>
      <c r="II145" s="73"/>
      <c r="IJ145" s="73"/>
      <c r="IK145" s="73"/>
      <c r="IL145" s="73"/>
      <c r="IM145" s="73"/>
      <c r="IN145" s="73"/>
      <c r="IO145" s="73"/>
      <c r="IP145" s="73"/>
      <c r="IQ145" s="73"/>
      <c r="IR145" s="73"/>
      <c r="IS145" s="73"/>
      <c r="IT145" s="73"/>
      <c r="IU145" s="73"/>
      <c r="IV145" s="73"/>
      <c r="IW145" s="73"/>
    </row>
    <row r="146" customFormat="false" ht="12.75" hidden="true" customHeight="false" outlineLevel="0" collapsed="false">
      <c r="A146" s="73"/>
      <c r="B146" s="46" t="s">
        <v>249</v>
      </c>
      <c r="C146" s="44" t="s">
        <v>250</v>
      </c>
      <c r="D146" s="44" t="s">
        <v>251</v>
      </c>
      <c r="E146" s="45" t="n">
        <v>36465</v>
      </c>
      <c r="F146" s="45" t="n">
        <v>36830</v>
      </c>
      <c r="G146" s="46" t="s">
        <v>263</v>
      </c>
      <c r="H146" s="46" t="s">
        <v>107</v>
      </c>
      <c r="I146" s="44" t="s">
        <v>264</v>
      </c>
      <c r="J146" s="58"/>
      <c r="K146" s="49" t="n">
        <v>0</v>
      </c>
      <c r="L146" s="49" t="n">
        <v>0.0022</v>
      </c>
      <c r="M146" s="49" t="n">
        <v>0</v>
      </c>
      <c r="N146" s="49" t="n">
        <v>0</v>
      </c>
      <c r="O146" s="50" t="n">
        <v>0</v>
      </c>
      <c r="P146" s="49" t="n">
        <f aca="false">SUM(J146:N146)</f>
        <v>0.0022</v>
      </c>
      <c r="Q146" s="51" t="n">
        <v>892594</v>
      </c>
      <c r="R146" s="44" t="n">
        <v>11</v>
      </c>
      <c r="S146" s="46" t="s">
        <v>265</v>
      </c>
      <c r="T146" s="74" t="n">
        <f aca="false">J146*J$1*R146</f>
        <v>0</v>
      </c>
      <c r="U146" s="74"/>
      <c r="V146" s="75" t="n">
        <v>157539</v>
      </c>
      <c r="W146" s="46" t="s">
        <v>266</v>
      </c>
      <c r="X146" s="72"/>
      <c r="Y146" s="72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  <c r="CG146" s="73"/>
      <c r="CH146" s="73"/>
      <c r="CI146" s="73"/>
      <c r="CJ146" s="73"/>
      <c r="CK146" s="7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  <c r="DC146" s="73"/>
      <c r="DD146" s="73"/>
      <c r="DE146" s="73"/>
      <c r="DF146" s="73"/>
      <c r="DG146" s="73"/>
      <c r="DH146" s="73"/>
      <c r="DI146" s="73"/>
      <c r="DJ146" s="73"/>
      <c r="DK146" s="73"/>
      <c r="DL146" s="73"/>
      <c r="DM146" s="73"/>
      <c r="DN146" s="73"/>
      <c r="DO146" s="73"/>
      <c r="DP146" s="73"/>
      <c r="DQ146" s="73"/>
      <c r="DR146" s="73"/>
      <c r="DS146" s="73"/>
      <c r="DT146" s="73"/>
      <c r="DU146" s="73"/>
      <c r="DV146" s="73"/>
      <c r="DW146" s="73"/>
      <c r="DX146" s="73"/>
      <c r="DY146" s="73"/>
      <c r="DZ146" s="73"/>
      <c r="EA146" s="73"/>
      <c r="EB146" s="73"/>
      <c r="EC146" s="73"/>
      <c r="ED146" s="73"/>
      <c r="EE146" s="73"/>
      <c r="EF146" s="73"/>
      <c r="EG146" s="73"/>
      <c r="EH146" s="73"/>
      <c r="EI146" s="73"/>
      <c r="EJ146" s="73"/>
      <c r="EK146" s="73"/>
      <c r="EL146" s="73"/>
      <c r="EM146" s="73"/>
      <c r="EN146" s="73"/>
      <c r="EO146" s="73"/>
      <c r="EP146" s="73"/>
      <c r="EQ146" s="73"/>
      <c r="ER146" s="73"/>
      <c r="ES146" s="73"/>
      <c r="ET146" s="73"/>
      <c r="EU146" s="73"/>
      <c r="EV146" s="73"/>
      <c r="EW146" s="73"/>
      <c r="EX146" s="73"/>
      <c r="EY146" s="73"/>
      <c r="EZ146" s="73"/>
      <c r="FA146" s="73"/>
      <c r="FB146" s="73"/>
      <c r="FC146" s="73"/>
      <c r="FD146" s="73"/>
      <c r="FE146" s="73"/>
      <c r="FF146" s="73"/>
      <c r="FG146" s="73"/>
      <c r="FH146" s="73"/>
      <c r="FI146" s="73"/>
      <c r="FJ146" s="73"/>
      <c r="FK146" s="73"/>
      <c r="FL146" s="73"/>
      <c r="FM146" s="73"/>
      <c r="FN146" s="73"/>
      <c r="FO146" s="73"/>
      <c r="FP146" s="73"/>
      <c r="FQ146" s="73"/>
      <c r="FR146" s="73"/>
      <c r="FS146" s="73"/>
      <c r="FT146" s="73"/>
      <c r="FU146" s="73"/>
      <c r="FV146" s="73"/>
      <c r="FW146" s="73"/>
      <c r="FX146" s="73"/>
      <c r="FY146" s="73"/>
      <c r="FZ146" s="73"/>
      <c r="GA146" s="73"/>
      <c r="GB146" s="73"/>
      <c r="GC146" s="73"/>
      <c r="GD146" s="73"/>
      <c r="GE146" s="73"/>
      <c r="GF146" s="73"/>
      <c r="GG146" s="73"/>
      <c r="GH146" s="73"/>
      <c r="GI146" s="73"/>
      <c r="GJ146" s="73"/>
      <c r="GK146" s="73"/>
      <c r="GL146" s="73"/>
      <c r="GM146" s="73"/>
      <c r="GN146" s="73"/>
      <c r="GO146" s="73"/>
      <c r="GP146" s="73"/>
      <c r="GQ146" s="73"/>
      <c r="GR146" s="73"/>
      <c r="GS146" s="73"/>
      <c r="GT146" s="73"/>
      <c r="GU146" s="73"/>
      <c r="GV146" s="73"/>
      <c r="GW146" s="73"/>
      <c r="GX146" s="73"/>
      <c r="GY146" s="73"/>
      <c r="GZ146" s="73"/>
      <c r="HA146" s="73"/>
      <c r="HB146" s="73"/>
      <c r="HC146" s="73"/>
      <c r="HD146" s="73"/>
      <c r="HE146" s="73"/>
      <c r="HF146" s="73"/>
      <c r="HG146" s="73"/>
      <c r="HH146" s="73"/>
      <c r="HI146" s="73"/>
      <c r="HJ146" s="73"/>
      <c r="HK146" s="73"/>
      <c r="HL146" s="73"/>
      <c r="HM146" s="73"/>
      <c r="HN146" s="73"/>
      <c r="HO146" s="73"/>
      <c r="HP146" s="73"/>
      <c r="HQ146" s="73"/>
      <c r="HR146" s="73"/>
      <c r="HS146" s="73"/>
      <c r="HT146" s="73"/>
      <c r="HU146" s="73"/>
      <c r="HV146" s="73"/>
      <c r="HW146" s="73"/>
      <c r="HX146" s="73"/>
      <c r="HY146" s="73"/>
      <c r="HZ146" s="73"/>
      <c r="IA146" s="73"/>
      <c r="IB146" s="73"/>
      <c r="IC146" s="73"/>
      <c r="ID146" s="73"/>
      <c r="IE146" s="73"/>
      <c r="IF146" s="73"/>
      <c r="IG146" s="73"/>
      <c r="IH146" s="73"/>
      <c r="II146" s="73"/>
      <c r="IJ146" s="73"/>
      <c r="IK146" s="73"/>
      <c r="IL146" s="73"/>
      <c r="IM146" s="73"/>
      <c r="IN146" s="73"/>
      <c r="IO146" s="73"/>
      <c r="IP146" s="73"/>
      <c r="IQ146" s="73"/>
      <c r="IR146" s="73"/>
      <c r="IS146" s="73"/>
      <c r="IT146" s="73"/>
      <c r="IU146" s="73"/>
      <c r="IV146" s="73"/>
      <c r="IW146" s="73"/>
    </row>
    <row r="147" customFormat="false" ht="12.75" hidden="true" customHeight="false" outlineLevel="0" collapsed="false">
      <c r="A147" s="73"/>
      <c r="B147" s="46" t="s">
        <v>249</v>
      </c>
      <c r="C147" s="44" t="s">
        <v>250</v>
      </c>
      <c r="D147" s="44" t="s">
        <v>251</v>
      </c>
      <c r="E147" s="45" t="n">
        <v>36465</v>
      </c>
      <c r="F147" s="45" t="n">
        <v>37560</v>
      </c>
      <c r="G147" s="46" t="s">
        <v>260</v>
      </c>
      <c r="H147" s="46" t="s">
        <v>263</v>
      </c>
      <c r="I147" s="44" t="s">
        <v>254</v>
      </c>
      <c r="J147" s="58"/>
      <c r="K147" s="49" t="n">
        <v>0</v>
      </c>
      <c r="L147" s="49" t="n">
        <v>0.0022</v>
      </c>
      <c r="M147" s="49" t="n">
        <v>0</v>
      </c>
      <c r="N147" s="49" t="n">
        <v>0</v>
      </c>
      <c r="O147" s="50" t="n">
        <v>0</v>
      </c>
      <c r="P147" s="49" t="n">
        <f aca="false">SUM(J147:N147)</f>
        <v>0.0022</v>
      </c>
      <c r="Q147" s="51" t="n">
        <v>892593</v>
      </c>
      <c r="R147" s="44" t="n">
        <v>18</v>
      </c>
      <c r="S147" s="46" t="s">
        <v>267</v>
      </c>
      <c r="T147" s="74" t="n">
        <f aca="false">J147*J$1*R147</f>
        <v>0</v>
      </c>
      <c r="U147" s="74"/>
      <c r="V147" s="75" t="n">
        <v>157543</v>
      </c>
      <c r="W147" s="46" t="s">
        <v>268</v>
      </c>
      <c r="X147" s="72"/>
      <c r="Y147" s="72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  <c r="CG147" s="73"/>
      <c r="CH147" s="73"/>
      <c r="CI147" s="73"/>
      <c r="CJ147" s="73"/>
      <c r="CK147" s="73"/>
      <c r="CL147" s="73"/>
      <c r="CM147" s="73"/>
      <c r="CN147" s="73"/>
      <c r="CO147" s="73"/>
      <c r="CP147" s="73"/>
      <c r="CQ147" s="73"/>
      <c r="CR147" s="73"/>
      <c r="CS147" s="73"/>
      <c r="CT147" s="73"/>
      <c r="CU147" s="73"/>
      <c r="CV147" s="73"/>
      <c r="CW147" s="73"/>
      <c r="CX147" s="73"/>
      <c r="CY147" s="73"/>
      <c r="CZ147" s="73"/>
      <c r="DA147" s="73"/>
      <c r="DB147" s="73"/>
      <c r="DC147" s="73"/>
      <c r="DD147" s="73"/>
      <c r="DE147" s="73"/>
      <c r="DF147" s="73"/>
      <c r="DG147" s="73"/>
      <c r="DH147" s="73"/>
      <c r="DI147" s="73"/>
      <c r="DJ147" s="73"/>
      <c r="DK147" s="73"/>
      <c r="DL147" s="73"/>
      <c r="DM147" s="73"/>
      <c r="DN147" s="73"/>
      <c r="DO147" s="73"/>
      <c r="DP147" s="73"/>
      <c r="DQ147" s="73"/>
      <c r="DR147" s="73"/>
      <c r="DS147" s="73"/>
      <c r="DT147" s="73"/>
      <c r="DU147" s="73"/>
      <c r="DV147" s="73"/>
      <c r="DW147" s="73"/>
      <c r="DX147" s="73"/>
      <c r="DY147" s="73"/>
      <c r="DZ147" s="73"/>
      <c r="EA147" s="73"/>
      <c r="EB147" s="73"/>
      <c r="EC147" s="73"/>
      <c r="ED147" s="73"/>
      <c r="EE147" s="73"/>
      <c r="EF147" s="73"/>
      <c r="EG147" s="73"/>
      <c r="EH147" s="73"/>
      <c r="EI147" s="73"/>
      <c r="EJ147" s="73"/>
      <c r="EK147" s="73"/>
      <c r="EL147" s="73"/>
      <c r="EM147" s="73"/>
      <c r="EN147" s="73"/>
      <c r="EO147" s="73"/>
      <c r="EP147" s="73"/>
      <c r="EQ147" s="73"/>
      <c r="ER147" s="73"/>
      <c r="ES147" s="73"/>
      <c r="ET147" s="73"/>
      <c r="EU147" s="73"/>
      <c r="EV147" s="73"/>
      <c r="EW147" s="73"/>
      <c r="EX147" s="73"/>
      <c r="EY147" s="73"/>
      <c r="EZ147" s="73"/>
      <c r="FA147" s="73"/>
      <c r="FB147" s="73"/>
      <c r="FC147" s="73"/>
      <c r="FD147" s="73"/>
      <c r="FE147" s="73"/>
      <c r="FF147" s="73"/>
      <c r="FG147" s="73"/>
      <c r="FH147" s="73"/>
      <c r="FI147" s="73"/>
      <c r="FJ147" s="73"/>
      <c r="FK147" s="73"/>
      <c r="FL147" s="73"/>
      <c r="FM147" s="73"/>
      <c r="FN147" s="73"/>
      <c r="FO147" s="73"/>
      <c r="FP147" s="73"/>
      <c r="FQ147" s="73"/>
      <c r="FR147" s="73"/>
      <c r="FS147" s="73"/>
      <c r="FT147" s="73"/>
      <c r="FU147" s="73"/>
      <c r="FV147" s="73"/>
      <c r="FW147" s="73"/>
      <c r="FX147" s="73"/>
      <c r="FY147" s="73"/>
      <c r="FZ147" s="73"/>
      <c r="GA147" s="73"/>
      <c r="GB147" s="73"/>
      <c r="GC147" s="73"/>
      <c r="GD147" s="73"/>
      <c r="GE147" s="73"/>
      <c r="GF147" s="73"/>
      <c r="GG147" s="73"/>
      <c r="GH147" s="73"/>
      <c r="GI147" s="73"/>
      <c r="GJ147" s="73"/>
      <c r="GK147" s="73"/>
      <c r="GL147" s="73"/>
      <c r="GM147" s="73"/>
      <c r="GN147" s="73"/>
      <c r="GO147" s="73"/>
      <c r="GP147" s="73"/>
      <c r="GQ147" s="73"/>
      <c r="GR147" s="73"/>
      <c r="GS147" s="73"/>
      <c r="GT147" s="73"/>
      <c r="GU147" s="73"/>
      <c r="GV147" s="73"/>
      <c r="GW147" s="73"/>
      <c r="GX147" s="73"/>
      <c r="GY147" s="73"/>
      <c r="GZ147" s="73"/>
      <c r="HA147" s="73"/>
      <c r="HB147" s="73"/>
      <c r="HC147" s="73"/>
      <c r="HD147" s="73"/>
      <c r="HE147" s="73"/>
      <c r="HF147" s="73"/>
      <c r="HG147" s="73"/>
      <c r="HH147" s="73"/>
      <c r="HI147" s="73"/>
      <c r="HJ147" s="73"/>
      <c r="HK147" s="73"/>
      <c r="HL147" s="73"/>
      <c r="HM147" s="73"/>
      <c r="HN147" s="73"/>
      <c r="HO147" s="73"/>
      <c r="HP147" s="73"/>
      <c r="HQ147" s="73"/>
      <c r="HR147" s="73"/>
      <c r="HS147" s="73"/>
      <c r="HT147" s="73"/>
      <c r="HU147" s="73"/>
      <c r="HV147" s="73"/>
      <c r="HW147" s="73"/>
      <c r="HX147" s="73"/>
      <c r="HY147" s="73"/>
      <c r="HZ147" s="73"/>
      <c r="IA147" s="73"/>
      <c r="IB147" s="73"/>
      <c r="IC147" s="73"/>
      <c r="ID147" s="73"/>
      <c r="IE147" s="73"/>
      <c r="IF147" s="73"/>
      <c r="IG147" s="73"/>
      <c r="IH147" s="73"/>
      <c r="II147" s="73"/>
      <c r="IJ147" s="73"/>
      <c r="IK147" s="73"/>
      <c r="IL147" s="73"/>
      <c r="IM147" s="73"/>
      <c r="IN147" s="73"/>
      <c r="IO147" s="73"/>
      <c r="IP147" s="73"/>
      <c r="IQ147" s="73"/>
      <c r="IR147" s="73"/>
      <c r="IS147" s="73"/>
      <c r="IT147" s="73"/>
      <c r="IU147" s="73"/>
      <c r="IV147" s="73"/>
      <c r="IW147" s="73"/>
    </row>
    <row r="148" customFormat="false" ht="12.75" hidden="true" customHeight="false" outlineLevel="0" collapsed="false">
      <c r="A148" s="73"/>
      <c r="B148" s="46" t="s">
        <v>249</v>
      </c>
      <c r="C148" s="44" t="s">
        <v>250</v>
      </c>
      <c r="D148" s="44" t="s">
        <v>251</v>
      </c>
      <c r="E148" s="45" t="n">
        <v>36465</v>
      </c>
      <c r="F148" s="45" t="n">
        <v>39021</v>
      </c>
      <c r="G148" s="46" t="s">
        <v>260</v>
      </c>
      <c r="H148" s="46" t="s">
        <v>107</v>
      </c>
      <c r="I148" s="44" t="s">
        <v>254</v>
      </c>
      <c r="J148" s="58"/>
      <c r="K148" s="49" t="n">
        <v>0</v>
      </c>
      <c r="L148" s="49" t="n">
        <v>0.0022</v>
      </c>
      <c r="M148" s="49" t="n">
        <v>0</v>
      </c>
      <c r="N148" s="49" t="n">
        <v>0</v>
      </c>
      <c r="O148" s="50" t="n">
        <v>0</v>
      </c>
      <c r="P148" s="49" t="n">
        <f aca="false">SUM(J148:N148)</f>
        <v>0.0022</v>
      </c>
      <c r="Q148" s="51" t="n">
        <v>892597</v>
      </c>
      <c r="R148" s="44" t="n">
        <v>167</v>
      </c>
      <c r="S148" s="46" t="s">
        <v>269</v>
      </c>
      <c r="T148" s="74" t="n">
        <f aca="false">J148*J$1*R148</f>
        <v>0</v>
      </c>
      <c r="U148" s="74"/>
      <c r="V148" s="75" t="n">
        <v>157570</v>
      </c>
      <c r="W148" s="46" t="s">
        <v>270</v>
      </c>
      <c r="X148" s="72"/>
      <c r="Y148" s="72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  <c r="CG148" s="73"/>
      <c r="CH148" s="73"/>
      <c r="CI148" s="73"/>
      <c r="CJ148" s="73"/>
      <c r="CK148" s="73"/>
      <c r="CL148" s="73"/>
      <c r="CM148" s="73"/>
      <c r="CN148" s="73"/>
      <c r="CO148" s="73"/>
      <c r="CP148" s="73"/>
      <c r="CQ148" s="73"/>
      <c r="CR148" s="73"/>
      <c r="CS148" s="73"/>
      <c r="CT148" s="73"/>
      <c r="CU148" s="73"/>
      <c r="CV148" s="73"/>
      <c r="CW148" s="73"/>
      <c r="CX148" s="73"/>
      <c r="CY148" s="73"/>
      <c r="CZ148" s="73"/>
      <c r="DA148" s="73"/>
      <c r="DB148" s="73"/>
      <c r="DC148" s="73"/>
      <c r="DD148" s="73"/>
      <c r="DE148" s="73"/>
      <c r="DF148" s="73"/>
      <c r="DG148" s="73"/>
      <c r="DH148" s="73"/>
      <c r="DI148" s="73"/>
      <c r="DJ148" s="73"/>
      <c r="DK148" s="73"/>
      <c r="DL148" s="73"/>
      <c r="DM148" s="73"/>
      <c r="DN148" s="73"/>
      <c r="DO148" s="73"/>
      <c r="DP148" s="73"/>
      <c r="DQ148" s="73"/>
      <c r="DR148" s="73"/>
      <c r="DS148" s="73"/>
      <c r="DT148" s="73"/>
      <c r="DU148" s="73"/>
      <c r="DV148" s="73"/>
      <c r="DW148" s="73"/>
      <c r="DX148" s="73"/>
      <c r="DY148" s="73"/>
      <c r="DZ148" s="73"/>
      <c r="EA148" s="73"/>
      <c r="EB148" s="73"/>
      <c r="EC148" s="73"/>
      <c r="ED148" s="73"/>
      <c r="EE148" s="73"/>
      <c r="EF148" s="73"/>
      <c r="EG148" s="73"/>
      <c r="EH148" s="73"/>
      <c r="EI148" s="73"/>
      <c r="EJ148" s="73"/>
      <c r="EK148" s="73"/>
      <c r="EL148" s="73"/>
      <c r="EM148" s="73"/>
      <c r="EN148" s="73"/>
      <c r="EO148" s="73"/>
      <c r="EP148" s="73"/>
      <c r="EQ148" s="73"/>
      <c r="ER148" s="73"/>
      <c r="ES148" s="73"/>
      <c r="ET148" s="73"/>
      <c r="EU148" s="73"/>
      <c r="EV148" s="73"/>
      <c r="EW148" s="73"/>
      <c r="EX148" s="73"/>
      <c r="EY148" s="73"/>
      <c r="EZ148" s="73"/>
      <c r="FA148" s="73"/>
      <c r="FB148" s="73"/>
      <c r="FC148" s="73"/>
      <c r="FD148" s="73"/>
      <c r="FE148" s="73"/>
      <c r="FF148" s="73"/>
      <c r="FG148" s="73"/>
      <c r="FH148" s="73"/>
      <c r="FI148" s="73"/>
      <c r="FJ148" s="73"/>
      <c r="FK148" s="73"/>
      <c r="FL148" s="73"/>
      <c r="FM148" s="73"/>
      <c r="FN148" s="73"/>
      <c r="FO148" s="73"/>
      <c r="FP148" s="73"/>
      <c r="FQ148" s="73"/>
      <c r="FR148" s="73"/>
      <c r="FS148" s="73"/>
      <c r="FT148" s="73"/>
      <c r="FU148" s="73"/>
      <c r="FV148" s="73"/>
      <c r="FW148" s="73"/>
      <c r="FX148" s="73"/>
      <c r="FY148" s="73"/>
      <c r="FZ148" s="73"/>
      <c r="GA148" s="73"/>
      <c r="GB148" s="73"/>
      <c r="GC148" s="73"/>
      <c r="GD148" s="73"/>
      <c r="GE148" s="73"/>
      <c r="GF148" s="73"/>
      <c r="GG148" s="73"/>
      <c r="GH148" s="73"/>
      <c r="GI148" s="73"/>
      <c r="GJ148" s="73"/>
      <c r="GK148" s="73"/>
      <c r="GL148" s="73"/>
      <c r="GM148" s="73"/>
      <c r="GN148" s="73"/>
      <c r="GO148" s="73"/>
      <c r="GP148" s="73"/>
      <c r="GQ148" s="73"/>
      <c r="GR148" s="73"/>
      <c r="GS148" s="73"/>
      <c r="GT148" s="73"/>
      <c r="GU148" s="73"/>
      <c r="GV148" s="73"/>
      <c r="GW148" s="73"/>
      <c r="GX148" s="73"/>
      <c r="GY148" s="73"/>
      <c r="GZ148" s="73"/>
      <c r="HA148" s="73"/>
      <c r="HB148" s="73"/>
      <c r="HC148" s="73"/>
      <c r="HD148" s="73"/>
      <c r="HE148" s="73"/>
      <c r="HF148" s="73"/>
      <c r="HG148" s="73"/>
      <c r="HH148" s="73"/>
      <c r="HI148" s="73"/>
      <c r="HJ148" s="73"/>
      <c r="HK148" s="73"/>
      <c r="HL148" s="73"/>
      <c r="HM148" s="73"/>
      <c r="HN148" s="73"/>
      <c r="HO148" s="73"/>
      <c r="HP148" s="73"/>
      <c r="HQ148" s="73"/>
      <c r="HR148" s="73"/>
      <c r="HS148" s="73"/>
      <c r="HT148" s="73"/>
      <c r="HU148" s="73"/>
      <c r="HV148" s="73"/>
      <c r="HW148" s="73"/>
      <c r="HX148" s="73"/>
      <c r="HY148" s="73"/>
      <c r="HZ148" s="73"/>
      <c r="IA148" s="73"/>
      <c r="IB148" s="73"/>
      <c r="IC148" s="73"/>
      <c r="ID148" s="73"/>
      <c r="IE148" s="73"/>
      <c r="IF148" s="73"/>
      <c r="IG148" s="73"/>
      <c r="IH148" s="73"/>
      <c r="II148" s="73"/>
      <c r="IJ148" s="73"/>
      <c r="IK148" s="73"/>
      <c r="IL148" s="73"/>
      <c r="IM148" s="73"/>
      <c r="IN148" s="73"/>
      <c r="IO148" s="73"/>
      <c r="IP148" s="73"/>
      <c r="IQ148" s="73"/>
      <c r="IR148" s="73"/>
      <c r="IS148" s="73"/>
      <c r="IT148" s="73"/>
      <c r="IU148" s="73"/>
      <c r="IV148" s="73"/>
      <c r="IW148" s="73"/>
    </row>
    <row r="149" customFormat="false" ht="12.75" hidden="false" customHeight="false" outlineLevel="0" collapsed="false">
      <c r="A149" s="73"/>
      <c r="B149" s="46" t="s">
        <v>201</v>
      </c>
      <c r="C149" s="44" t="s">
        <v>250</v>
      </c>
      <c r="D149" s="44" t="s">
        <v>251</v>
      </c>
      <c r="E149" s="45" t="n">
        <v>36586</v>
      </c>
      <c r="F149" s="45" t="n">
        <v>39021</v>
      </c>
      <c r="G149" s="46" t="s">
        <v>260</v>
      </c>
      <c r="H149" s="46" t="s">
        <v>107</v>
      </c>
      <c r="I149" s="44" t="s">
        <v>264</v>
      </c>
      <c r="J149" s="58" t="n">
        <v>0.55</v>
      </c>
      <c r="K149" s="49" t="n">
        <v>0</v>
      </c>
      <c r="L149" s="49" t="n">
        <v>0.0022</v>
      </c>
      <c r="M149" s="49" t="n">
        <v>0</v>
      </c>
      <c r="N149" s="49" t="n">
        <v>0</v>
      </c>
      <c r="O149" s="50" t="n">
        <v>0</v>
      </c>
      <c r="P149" s="49" t="n">
        <f aca="false">SUM(J149:N149)</f>
        <v>0.5522</v>
      </c>
      <c r="Q149" s="51" t="n">
        <v>892722</v>
      </c>
      <c r="R149" s="44" t="n">
        <v>114</v>
      </c>
      <c r="S149" s="46" t="s">
        <v>271</v>
      </c>
      <c r="T149" s="74" t="n">
        <f aca="false">J149*J$1*R149</f>
        <v>1881</v>
      </c>
      <c r="U149" s="74"/>
      <c r="V149" s="75" t="n">
        <v>207137</v>
      </c>
      <c r="W149" s="46" t="s">
        <v>272</v>
      </c>
      <c r="X149" s="72"/>
      <c r="Y149" s="72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3"/>
      <c r="CO149" s="73"/>
      <c r="CP149" s="73"/>
      <c r="CQ149" s="73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  <c r="DB149" s="73"/>
      <c r="DC149" s="73"/>
      <c r="DD149" s="73"/>
      <c r="DE149" s="73"/>
      <c r="DF149" s="73"/>
      <c r="DG149" s="73"/>
      <c r="DH149" s="73"/>
      <c r="DI149" s="73"/>
      <c r="DJ149" s="73"/>
      <c r="DK149" s="73"/>
      <c r="DL149" s="73"/>
      <c r="DM149" s="73"/>
      <c r="DN149" s="73"/>
      <c r="DO149" s="73"/>
      <c r="DP149" s="73"/>
      <c r="DQ149" s="73"/>
      <c r="DR149" s="73"/>
      <c r="DS149" s="73"/>
      <c r="DT149" s="73"/>
      <c r="DU149" s="73"/>
      <c r="DV149" s="73"/>
      <c r="DW149" s="73"/>
      <c r="DX149" s="73"/>
      <c r="DY149" s="73"/>
      <c r="DZ149" s="73"/>
      <c r="EA149" s="73"/>
      <c r="EB149" s="73"/>
      <c r="EC149" s="73"/>
      <c r="ED149" s="73"/>
      <c r="EE149" s="73"/>
      <c r="EF149" s="73"/>
      <c r="EG149" s="73"/>
      <c r="EH149" s="73"/>
      <c r="EI149" s="73"/>
      <c r="EJ149" s="73"/>
      <c r="EK149" s="73"/>
      <c r="EL149" s="73"/>
      <c r="EM149" s="73"/>
      <c r="EN149" s="73"/>
      <c r="EO149" s="73"/>
      <c r="EP149" s="73"/>
      <c r="EQ149" s="73"/>
      <c r="ER149" s="73"/>
      <c r="ES149" s="73"/>
      <c r="ET149" s="73"/>
      <c r="EU149" s="73"/>
      <c r="EV149" s="73"/>
      <c r="EW149" s="73"/>
      <c r="EX149" s="73"/>
      <c r="EY149" s="73"/>
      <c r="EZ149" s="73"/>
      <c r="FA149" s="73"/>
      <c r="FB149" s="73"/>
      <c r="FC149" s="73"/>
      <c r="FD149" s="73"/>
      <c r="FE149" s="73"/>
      <c r="FF149" s="73"/>
      <c r="FG149" s="73"/>
      <c r="FH149" s="73"/>
      <c r="FI149" s="73"/>
      <c r="FJ149" s="73"/>
      <c r="FK149" s="73"/>
      <c r="FL149" s="73"/>
      <c r="FM149" s="73"/>
      <c r="FN149" s="73"/>
      <c r="FO149" s="73"/>
      <c r="FP149" s="73"/>
      <c r="FQ149" s="73"/>
      <c r="FR149" s="73"/>
      <c r="FS149" s="73"/>
      <c r="FT149" s="73"/>
      <c r="FU149" s="73"/>
      <c r="FV149" s="73"/>
      <c r="FW149" s="73"/>
      <c r="FX149" s="73"/>
      <c r="FY149" s="73"/>
      <c r="FZ149" s="73"/>
      <c r="GA149" s="73"/>
      <c r="GB149" s="73"/>
      <c r="GC149" s="73"/>
      <c r="GD149" s="73"/>
      <c r="GE149" s="73"/>
      <c r="GF149" s="73"/>
      <c r="GG149" s="73"/>
      <c r="GH149" s="73"/>
      <c r="GI149" s="73"/>
      <c r="GJ149" s="73"/>
      <c r="GK149" s="73"/>
      <c r="GL149" s="73"/>
      <c r="GM149" s="73"/>
      <c r="GN149" s="73"/>
      <c r="GO149" s="73"/>
      <c r="GP149" s="73"/>
      <c r="GQ149" s="73"/>
      <c r="GR149" s="73"/>
      <c r="GS149" s="73"/>
      <c r="GT149" s="73"/>
      <c r="GU149" s="73"/>
      <c r="GV149" s="73"/>
      <c r="GW149" s="73"/>
      <c r="GX149" s="73"/>
      <c r="GY149" s="73"/>
      <c r="GZ149" s="73"/>
      <c r="HA149" s="73"/>
      <c r="HB149" s="73"/>
      <c r="HC149" s="73"/>
      <c r="HD149" s="73"/>
      <c r="HE149" s="73"/>
      <c r="HF149" s="73"/>
      <c r="HG149" s="73"/>
      <c r="HH149" s="73"/>
      <c r="HI149" s="73"/>
      <c r="HJ149" s="73"/>
      <c r="HK149" s="73"/>
      <c r="HL149" s="73"/>
      <c r="HM149" s="73"/>
      <c r="HN149" s="73"/>
      <c r="HO149" s="73"/>
      <c r="HP149" s="73"/>
      <c r="HQ149" s="73"/>
      <c r="HR149" s="73"/>
      <c r="HS149" s="73"/>
      <c r="HT149" s="73"/>
      <c r="HU149" s="73"/>
      <c r="HV149" s="73"/>
      <c r="HW149" s="73"/>
      <c r="HX149" s="73"/>
      <c r="HY149" s="73"/>
      <c r="HZ149" s="73"/>
      <c r="IA149" s="73"/>
      <c r="IB149" s="73"/>
      <c r="IC149" s="73"/>
      <c r="ID149" s="73"/>
      <c r="IE149" s="73"/>
      <c r="IF149" s="73"/>
      <c r="IG149" s="73"/>
      <c r="IH149" s="73"/>
      <c r="II149" s="73"/>
      <c r="IJ149" s="73"/>
      <c r="IK149" s="73"/>
      <c r="IL149" s="73"/>
      <c r="IM149" s="73"/>
      <c r="IN149" s="73"/>
      <c r="IO149" s="73"/>
      <c r="IP149" s="73"/>
      <c r="IQ149" s="73"/>
      <c r="IR149" s="73"/>
      <c r="IS149" s="73"/>
      <c r="IT149" s="73"/>
      <c r="IU149" s="73"/>
      <c r="IV149" s="73"/>
      <c r="IW149" s="73"/>
    </row>
    <row r="150" customFormat="false" ht="12.75" hidden="false" customHeight="false" outlineLevel="0" collapsed="false">
      <c r="A150" s="88"/>
      <c r="B150" s="89" t="s">
        <v>249</v>
      </c>
      <c r="C150" s="90" t="s">
        <v>250</v>
      </c>
      <c r="D150" s="90" t="s">
        <v>273</v>
      </c>
      <c r="E150" s="91" t="n">
        <v>36526</v>
      </c>
      <c r="F150" s="91" t="n">
        <v>36677</v>
      </c>
      <c r="G150" s="89" t="s">
        <v>274</v>
      </c>
      <c r="H150" s="89" t="s">
        <v>107</v>
      </c>
      <c r="I150" s="90" t="s">
        <v>264</v>
      </c>
      <c r="J150" s="92" t="n">
        <v>0.8739</v>
      </c>
      <c r="K150" s="93"/>
      <c r="L150" s="93"/>
      <c r="M150" s="93"/>
      <c r="N150" s="93"/>
      <c r="O150" s="94"/>
      <c r="P150" s="93"/>
      <c r="Q150" s="95" t="n">
        <v>891719</v>
      </c>
      <c r="R150" s="90" t="n">
        <v>300</v>
      </c>
      <c r="S150" s="89" t="s">
        <v>275</v>
      </c>
      <c r="T150" s="96" t="n">
        <f aca="false">(+R150*J150)*31</f>
        <v>8127.27</v>
      </c>
      <c r="U150" s="96"/>
      <c r="V150" s="97" t="n">
        <v>202419</v>
      </c>
      <c r="W150" s="89"/>
      <c r="X150" s="98"/>
      <c r="Y150" s="9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  <c r="DB150" s="88"/>
      <c r="DC150" s="88"/>
      <c r="DD150" s="88"/>
      <c r="DE150" s="88"/>
      <c r="DF150" s="88"/>
      <c r="DG150" s="88"/>
      <c r="DH150" s="88"/>
      <c r="DI150" s="88"/>
      <c r="DJ150" s="88"/>
      <c r="DK150" s="88"/>
      <c r="DL150" s="88"/>
      <c r="DM150" s="88"/>
      <c r="DN150" s="88"/>
      <c r="DO150" s="88"/>
      <c r="DP150" s="88"/>
      <c r="DQ150" s="88"/>
      <c r="DR150" s="88"/>
      <c r="DS150" s="88"/>
      <c r="DT150" s="88"/>
      <c r="DU150" s="88"/>
      <c r="DV150" s="88"/>
      <c r="DW150" s="88"/>
      <c r="DX150" s="88"/>
      <c r="DY150" s="88"/>
      <c r="DZ150" s="88"/>
      <c r="EA150" s="88"/>
      <c r="EB150" s="88"/>
      <c r="EC150" s="88"/>
      <c r="ED150" s="88"/>
      <c r="EE150" s="88"/>
      <c r="EF150" s="88"/>
      <c r="EG150" s="88"/>
      <c r="EH150" s="88"/>
      <c r="EI150" s="88"/>
      <c r="EJ150" s="88"/>
      <c r="EK150" s="88"/>
      <c r="EL150" s="88"/>
      <c r="EM150" s="88"/>
      <c r="EN150" s="88"/>
      <c r="EO150" s="88"/>
      <c r="EP150" s="88"/>
      <c r="EQ150" s="88"/>
      <c r="ER150" s="88"/>
      <c r="ES150" s="88"/>
      <c r="ET150" s="88"/>
      <c r="EU150" s="88"/>
      <c r="EV150" s="88"/>
      <c r="EW150" s="88"/>
      <c r="EX150" s="88"/>
      <c r="EY150" s="88"/>
      <c r="EZ150" s="88"/>
      <c r="FA150" s="88"/>
      <c r="FB150" s="88"/>
      <c r="FC150" s="88"/>
      <c r="FD150" s="88"/>
      <c r="FE150" s="88"/>
      <c r="FF150" s="88"/>
      <c r="FG150" s="88"/>
      <c r="FH150" s="88"/>
      <c r="FI150" s="88"/>
      <c r="FJ150" s="88"/>
      <c r="FK150" s="88"/>
      <c r="FL150" s="88"/>
      <c r="FM150" s="88"/>
      <c r="FN150" s="88"/>
      <c r="FO150" s="88"/>
      <c r="FP150" s="88"/>
      <c r="FQ150" s="88"/>
      <c r="FR150" s="88"/>
      <c r="FS150" s="88"/>
      <c r="FT150" s="88"/>
      <c r="FU150" s="88"/>
      <c r="FV150" s="88"/>
      <c r="FW150" s="88"/>
      <c r="FX150" s="88"/>
      <c r="FY150" s="88"/>
      <c r="FZ150" s="88"/>
      <c r="GA150" s="88"/>
      <c r="GB150" s="88"/>
      <c r="GC150" s="88"/>
      <c r="GD150" s="88"/>
      <c r="GE150" s="88"/>
      <c r="GF150" s="88"/>
      <c r="GG150" s="88"/>
      <c r="GH150" s="88"/>
      <c r="GI150" s="88"/>
      <c r="GJ150" s="88"/>
      <c r="GK150" s="88"/>
      <c r="GL150" s="88"/>
      <c r="GM150" s="88"/>
      <c r="GN150" s="88"/>
      <c r="GO150" s="88"/>
      <c r="GP150" s="88"/>
      <c r="GQ150" s="88"/>
      <c r="GR150" s="88"/>
      <c r="GS150" s="88"/>
      <c r="GT150" s="88"/>
      <c r="GU150" s="88"/>
      <c r="GV150" s="88"/>
      <c r="GW150" s="88"/>
      <c r="GX150" s="88"/>
      <c r="GY150" s="88"/>
      <c r="GZ150" s="88"/>
      <c r="HA150" s="88"/>
      <c r="HB150" s="88"/>
      <c r="HC150" s="88"/>
      <c r="HD150" s="88"/>
      <c r="HE150" s="88"/>
      <c r="HF150" s="88"/>
      <c r="HG150" s="88"/>
      <c r="HH150" s="88"/>
      <c r="HI150" s="88"/>
      <c r="HJ150" s="88"/>
      <c r="HK150" s="88"/>
      <c r="HL150" s="88"/>
      <c r="HM150" s="88"/>
      <c r="HN150" s="88"/>
      <c r="HO150" s="88"/>
      <c r="HP150" s="88"/>
      <c r="HQ150" s="88"/>
      <c r="HR150" s="88"/>
      <c r="HS150" s="88"/>
      <c r="HT150" s="88"/>
      <c r="HU150" s="88"/>
      <c r="HV150" s="88"/>
      <c r="HW150" s="88"/>
      <c r="HX150" s="88"/>
      <c r="HY150" s="88"/>
      <c r="HZ150" s="88"/>
      <c r="IA150" s="88"/>
      <c r="IB150" s="88"/>
      <c r="IC150" s="88"/>
      <c r="ID150" s="88"/>
      <c r="IE150" s="88"/>
      <c r="IF150" s="88"/>
      <c r="IG150" s="88"/>
      <c r="IH150" s="88"/>
      <c r="II150" s="88"/>
      <c r="IJ150" s="88"/>
      <c r="IK150" s="88"/>
      <c r="IL150" s="88"/>
      <c r="IM150" s="88"/>
      <c r="IN150" s="88"/>
      <c r="IO150" s="88"/>
      <c r="IP150" s="88"/>
      <c r="IQ150" s="88"/>
      <c r="IR150" s="88"/>
      <c r="IS150" s="88"/>
      <c r="IT150" s="88"/>
      <c r="IU150" s="88"/>
      <c r="IV150" s="88"/>
      <c r="IW150" s="88"/>
    </row>
    <row r="151" customFormat="false" ht="12.75" hidden="false" customHeight="false" outlineLevel="0" collapsed="false">
      <c r="A151" s="73"/>
      <c r="B151" s="46" t="s">
        <v>201</v>
      </c>
      <c r="C151" s="44" t="s">
        <v>250</v>
      </c>
      <c r="D151" s="44" t="s">
        <v>251</v>
      </c>
      <c r="E151" s="45" t="n">
        <v>36617</v>
      </c>
      <c r="F151" s="45" t="n">
        <v>37560</v>
      </c>
      <c r="G151" s="46" t="s">
        <v>276</v>
      </c>
      <c r="H151" s="46" t="s">
        <v>277</v>
      </c>
      <c r="I151" s="44" t="s">
        <v>254</v>
      </c>
      <c r="J151" s="58" t="n">
        <v>0.7</v>
      </c>
      <c r="K151" s="49"/>
      <c r="L151" s="49"/>
      <c r="M151" s="49"/>
      <c r="N151" s="49"/>
      <c r="O151" s="50"/>
      <c r="P151" s="49"/>
      <c r="Q151" s="51" t="n">
        <v>893067</v>
      </c>
      <c r="R151" s="44" t="n">
        <v>16</v>
      </c>
      <c r="S151" s="46" t="s">
        <v>278</v>
      </c>
      <c r="T151" s="74" t="n">
        <f aca="false">J151*J$1*R151</f>
        <v>336</v>
      </c>
      <c r="U151" s="74"/>
      <c r="V151" s="75" t="n">
        <v>233233</v>
      </c>
      <c r="W151" s="46"/>
      <c r="X151" s="72"/>
      <c r="Y151" s="72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3"/>
      <c r="CN151" s="73"/>
      <c r="CO151" s="73"/>
      <c r="CP151" s="73"/>
      <c r="CQ151" s="73"/>
      <c r="CR151" s="73"/>
      <c r="CS151" s="73"/>
      <c r="CT151" s="73"/>
      <c r="CU151" s="73"/>
      <c r="CV151" s="73"/>
      <c r="CW151" s="73"/>
      <c r="CX151" s="73"/>
      <c r="CY151" s="73"/>
      <c r="CZ151" s="73"/>
      <c r="DA151" s="73"/>
      <c r="DB151" s="73"/>
      <c r="DC151" s="73"/>
      <c r="DD151" s="73"/>
      <c r="DE151" s="73"/>
      <c r="DF151" s="73"/>
      <c r="DG151" s="73"/>
      <c r="DH151" s="73"/>
      <c r="DI151" s="73"/>
      <c r="DJ151" s="73"/>
      <c r="DK151" s="73"/>
      <c r="DL151" s="73"/>
      <c r="DM151" s="73"/>
      <c r="DN151" s="73"/>
      <c r="DO151" s="73"/>
      <c r="DP151" s="73"/>
      <c r="DQ151" s="73"/>
      <c r="DR151" s="73"/>
      <c r="DS151" s="73"/>
      <c r="DT151" s="73"/>
      <c r="DU151" s="73"/>
      <c r="DV151" s="73"/>
      <c r="DW151" s="73"/>
      <c r="DX151" s="73"/>
      <c r="DY151" s="73"/>
      <c r="DZ151" s="73"/>
      <c r="EA151" s="73"/>
      <c r="EB151" s="73"/>
      <c r="EC151" s="73"/>
      <c r="ED151" s="73"/>
      <c r="EE151" s="73"/>
      <c r="EF151" s="73"/>
      <c r="EG151" s="73"/>
      <c r="EH151" s="73"/>
      <c r="EI151" s="73"/>
      <c r="EJ151" s="73"/>
      <c r="EK151" s="73"/>
      <c r="EL151" s="73"/>
      <c r="EM151" s="73"/>
      <c r="EN151" s="73"/>
      <c r="EO151" s="73"/>
      <c r="EP151" s="73"/>
      <c r="EQ151" s="73"/>
      <c r="ER151" s="73"/>
      <c r="ES151" s="73"/>
      <c r="ET151" s="73"/>
      <c r="EU151" s="73"/>
      <c r="EV151" s="73"/>
      <c r="EW151" s="73"/>
      <c r="EX151" s="73"/>
      <c r="EY151" s="73"/>
      <c r="EZ151" s="73"/>
      <c r="FA151" s="73"/>
      <c r="FB151" s="73"/>
      <c r="FC151" s="73"/>
      <c r="FD151" s="73"/>
      <c r="FE151" s="73"/>
      <c r="FF151" s="73"/>
      <c r="FG151" s="73"/>
      <c r="FH151" s="73"/>
      <c r="FI151" s="73"/>
      <c r="FJ151" s="73"/>
      <c r="FK151" s="73"/>
      <c r="FL151" s="73"/>
      <c r="FM151" s="73"/>
      <c r="FN151" s="73"/>
      <c r="FO151" s="73"/>
      <c r="FP151" s="73"/>
      <c r="FQ151" s="73"/>
      <c r="FR151" s="73"/>
      <c r="FS151" s="73"/>
      <c r="FT151" s="73"/>
      <c r="FU151" s="73"/>
      <c r="FV151" s="73"/>
      <c r="FW151" s="73"/>
      <c r="FX151" s="73"/>
      <c r="FY151" s="73"/>
      <c r="FZ151" s="73"/>
      <c r="GA151" s="73"/>
      <c r="GB151" s="73"/>
      <c r="GC151" s="73"/>
      <c r="GD151" s="73"/>
      <c r="GE151" s="73"/>
      <c r="GF151" s="73"/>
      <c r="GG151" s="73"/>
      <c r="GH151" s="73"/>
      <c r="GI151" s="73"/>
      <c r="GJ151" s="73"/>
      <c r="GK151" s="73"/>
      <c r="GL151" s="73"/>
      <c r="GM151" s="73"/>
      <c r="GN151" s="73"/>
      <c r="GO151" s="73"/>
      <c r="GP151" s="73"/>
      <c r="GQ151" s="73"/>
      <c r="GR151" s="73"/>
      <c r="GS151" s="73"/>
      <c r="GT151" s="73"/>
      <c r="GU151" s="73"/>
      <c r="GV151" s="73"/>
      <c r="GW151" s="73"/>
      <c r="GX151" s="73"/>
      <c r="GY151" s="73"/>
      <c r="GZ151" s="73"/>
      <c r="HA151" s="73"/>
      <c r="HB151" s="73"/>
      <c r="HC151" s="73"/>
      <c r="HD151" s="73"/>
      <c r="HE151" s="73"/>
      <c r="HF151" s="73"/>
      <c r="HG151" s="73"/>
      <c r="HH151" s="73"/>
      <c r="HI151" s="73"/>
      <c r="HJ151" s="73"/>
      <c r="HK151" s="73"/>
      <c r="HL151" s="73"/>
      <c r="HM151" s="73"/>
      <c r="HN151" s="73"/>
      <c r="HO151" s="73"/>
      <c r="HP151" s="73"/>
      <c r="HQ151" s="73"/>
      <c r="HR151" s="73"/>
      <c r="HS151" s="73"/>
      <c r="HT151" s="73"/>
      <c r="HU151" s="73"/>
      <c r="HV151" s="73"/>
      <c r="HW151" s="73"/>
      <c r="HX151" s="73"/>
      <c r="HY151" s="73"/>
      <c r="HZ151" s="73"/>
      <c r="IA151" s="73"/>
      <c r="IB151" s="73"/>
      <c r="IC151" s="73"/>
      <c r="ID151" s="73"/>
      <c r="IE151" s="73"/>
      <c r="IF151" s="73"/>
      <c r="IG151" s="73"/>
      <c r="IH151" s="73"/>
      <c r="II151" s="73"/>
      <c r="IJ151" s="73"/>
      <c r="IK151" s="73"/>
      <c r="IL151" s="73"/>
      <c r="IM151" s="73"/>
      <c r="IN151" s="73"/>
      <c r="IO151" s="73"/>
      <c r="IP151" s="73"/>
      <c r="IQ151" s="73"/>
      <c r="IR151" s="73"/>
      <c r="IS151" s="73"/>
      <c r="IT151" s="73"/>
      <c r="IU151" s="73"/>
      <c r="IV151" s="73"/>
      <c r="IW151" s="73"/>
    </row>
    <row r="152" customFormat="false" ht="12.75" hidden="false" customHeight="false" outlineLevel="0" collapsed="false">
      <c r="A152" s="73"/>
      <c r="B152" s="46" t="s">
        <v>201</v>
      </c>
      <c r="C152" s="44" t="s">
        <v>250</v>
      </c>
      <c r="D152" s="44" t="s">
        <v>251</v>
      </c>
      <c r="E152" s="45" t="n">
        <v>36617</v>
      </c>
      <c r="F152" s="45" t="n">
        <v>41029</v>
      </c>
      <c r="G152" s="46" t="s">
        <v>107</v>
      </c>
      <c r="H152" s="46" t="s">
        <v>107</v>
      </c>
      <c r="I152" s="44" t="s">
        <v>254</v>
      </c>
      <c r="J152" s="58" t="n">
        <f aca="false">6.279/J1</f>
        <v>0.2093</v>
      </c>
      <c r="K152" s="49"/>
      <c r="L152" s="49"/>
      <c r="M152" s="49"/>
      <c r="N152" s="49"/>
      <c r="O152" s="50"/>
      <c r="P152" s="49"/>
      <c r="Q152" s="51" t="n">
        <v>893066</v>
      </c>
      <c r="R152" s="44" t="n">
        <v>67</v>
      </c>
      <c r="S152" s="46" t="s">
        <v>279</v>
      </c>
      <c r="T152" s="74" t="n">
        <f aca="false">J152*J$1*R152</f>
        <v>420.693</v>
      </c>
      <c r="U152" s="74"/>
      <c r="V152" s="75" t="n">
        <v>233232</v>
      </c>
      <c r="W152" s="46"/>
      <c r="X152" s="72"/>
      <c r="Y152" s="72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  <c r="CG152" s="73"/>
      <c r="CH152" s="73"/>
      <c r="CI152" s="73"/>
      <c r="CJ152" s="73"/>
      <c r="CK152" s="73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  <c r="DA152" s="73"/>
      <c r="DB152" s="73"/>
      <c r="DC152" s="73"/>
      <c r="DD152" s="73"/>
      <c r="DE152" s="73"/>
      <c r="DF152" s="73"/>
      <c r="DG152" s="73"/>
      <c r="DH152" s="73"/>
      <c r="DI152" s="73"/>
      <c r="DJ152" s="73"/>
      <c r="DK152" s="73"/>
      <c r="DL152" s="73"/>
      <c r="DM152" s="73"/>
      <c r="DN152" s="73"/>
      <c r="DO152" s="73"/>
      <c r="DP152" s="73"/>
      <c r="DQ152" s="73"/>
      <c r="DR152" s="73"/>
      <c r="DS152" s="73"/>
      <c r="DT152" s="73"/>
      <c r="DU152" s="73"/>
      <c r="DV152" s="73"/>
      <c r="DW152" s="73"/>
      <c r="DX152" s="73"/>
      <c r="DY152" s="73"/>
      <c r="DZ152" s="73"/>
      <c r="EA152" s="73"/>
      <c r="EB152" s="73"/>
      <c r="EC152" s="73"/>
      <c r="ED152" s="73"/>
      <c r="EE152" s="73"/>
      <c r="EF152" s="73"/>
      <c r="EG152" s="73"/>
      <c r="EH152" s="73"/>
      <c r="EI152" s="73"/>
      <c r="EJ152" s="73"/>
      <c r="EK152" s="73"/>
      <c r="EL152" s="73"/>
      <c r="EM152" s="73"/>
      <c r="EN152" s="73"/>
      <c r="EO152" s="73"/>
      <c r="EP152" s="73"/>
      <c r="EQ152" s="73"/>
      <c r="ER152" s="73"/>
      <c r="ES152" s="73"/>
      <c r="ET152" s="73"/>
      <c r="EU152" s="73"/>
      <c r="EV152" s="73"/>
      <c r="EW152" s="73"/>
      <c r="EX152" s="73"/>
      <c r="EY152" s="73"/>
      <c r="EZ152" s="73"/>
      <c r="FA152" s="73"/>
      <c r="FB152" s="73"/>
      <c r="FC152" s="73"/>
      <c r="FD152" s="73"/>
      <c r="FE152" s="73"/>
      <c r="FF152" s="73"/>
      <c r="FG152" s="73"/>
      <c r="FH152" s="73"/>
      <c r="FI152" s="73"/>
      <c r="FJ152" s="73"/>
      <c r="FK152" s="73"/>
      <c r="FL152" s="73"/>
      <c r="FM152" s="73"/>
      <c r="FN152" s="73"/>
      <c r="FO152" s="73"/>
      <c r="FP152" s="73"/>
      <c r="FQ152" s="73"/>
      <c r="FR152" s="73"/>
      <c r="FS152" s="73"/>
      <c r="FT152" s="73"/>
      <c r="FU152" s="73"/>
      <c r="FV152" s="73"/>
      <c r="FW152" s="73"/>
      <c r="FX152" s="73"/>
      <c r="FY152" s="73"/>
      <c r="FZ152" s="73"/>
      <c r="GA152" s="73"/>
      <c r="GB152" s="73"/>
      <c r="GC152" s="73"/>
      <c r="GD152" s="73"/>
      <c r="GE152" s="73"/>
      <c r="GF152" s="73"/>
      <c r="GG152" s="73"/>
      <c r="GH152" s="73"/>
      <c r="GI152" s="73"/>
      <c r="GJ152" s="73"/>
      <c r="GK152" s="73"/>
      <c r="GL152" s="73"/>
      <c r="GM152" s="73"/>
      <c r="GN152" s="73"/>
      <c r="GO152" s="73"/>
      <c r="GP152" s="73"/>
      <c r="GQ152" s="73"/>
      <c r="GR152" s="73"/>
      <c r="GS152" s="73"/>
      <c r="GT152" s="73"/>
      <c r="GU152" s="73"/>
      <c r="GV152" s="73"/>
      <c r="GW152" s="73"/>
      <c r="GX152" s="73"/>
      <c r="GY152" s="73"/>
      <c r="GZ152" s="73"/>
      <c r="HA152" s="73"/>
      <c r="HB152" s="73"/>
      <c r="HC152" s="73"/>
      <c r="HD152" s="73"/>
      <c r="HE152" s="73"/>
      <c r="HF152" s="73"/>
      <c r="HG152" s="73"/>
      <c r="HH152" s="73"/>
      <c r="HI152" s="73"/>
      <c r="HJ152" s="73"/>
      <c r="HK152" s="73"/>
      <c r="HL152" s="73"/>
      <c r="HM152" s="73"/>
      <c r="HN152" s="73"/>
      <c r="HO152" s="73"/>
      <c r="HP152" s="73"/>
      <c r="HQ152" s="73"/>
      <c r="HR152" s="73"/>
      <c r="HS152" s="73"/>
      <c r="HT152" s="73"/>
      <c r="HU152" s="73"/>
      <c r="HV152" s="73"/>
      <c r="HW152" s="73"/>
      <c r="HX152" s="73"/>
      <c r="HY152" s="73"/>
      <c r="HZ152" s="73"/>
      <c r="IA152" s="73"/>
      <c r="IB152" s="73"/>
      <c r="IC152" s="73"/>
      <c r="ID152" s="73"/>
      <c r="IE152" s="73"/>
      <c r="IF152" s="73"/>
      <c r="IG152" s="73"/>
      <c r="IH152" s="73"/>
      <c r="II152" s="73"/>
      <c r="IJ152" s="73"/>
      <c r="IK152" s="73"/>
      <c r="IL152" s="73"/>
      <c r="IM152" s="73"/>
      <c r="IN152" s="73"/>
      <c r="IO152" s="73"/>
      <c r="IP152" s="73"/>
      <c r="IQ152" s="73"/>
      <c r="IR152" s="73"/>
      <c r="IS152" s="73"/>
      <c r="IT152" s="73"/>
      <c r="IU152" s="73"/>
      <c r="IV152" s="73"/>
      <c r="IW152" s="73"/>
    </row>
    <row r="153" customFormat="false" ht="12.75" hidden="false" customHeight="false" outlineLevel="0" collapsed="false">
      <c r="A153" s="73"/>
      <c r="B153" s="46" t="s">
        <v>201</v>
      </c>
      <c r="C153" s="44" t="s">
        <v>250</v>
      </c>
      <c r="D153" s="44" t="s">
        <v>251</v>
      </c>
      <c r="E153" s="45" t="n">
        <v>36617</v>
      </c>
      <c r="F153" s="45" t="n">
        <v>39021</v>
      </c>
      <c r="G153" s="46" t="s">
        <v>276</v>
      </c>
      <c r="H153" s="46" t="s">
        <v>107</v>
      </c>
      <c r="I153" s="44" t="s">
        <v>264</v>
      </c>
      <c r="J153" s="58" t="n">
        <v>0.7</v>
      </c>
      <c r="K153" s="49"/>
      <c r="L153" s="49"/>
      <c r="M153" s="49"/>
      <c r="N153" s="49"/>
      <c r="O153" s="50"/>
      <c r="P153" s="49"/>
      <c r="Q153" s="51" t="n">
        <v>893064</v>
      </c>
      <c r="R153" s="44" t="n">
        <v>104</v>
      </c>
      <c r="S153" s="46" t="s">
        <v>280</v>
      </c>
      <c r="T153" s="74" t="n">
        <f aca="false">J153*J$1*R153</f>
        <v>2184</v>
      </c>
      <c r="U153" s="74"/>
      <c r="V153" s="75" t="n">
        <v>276559</v>
      </c>
      <c r="W153" s="46"/>
      <c r="X153" s="72"/>
      <c r="Y153" s="72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3"/>
      <c r="CO153" s="73"/>
      <c r="CP153" s="73"/>
      <c r="CQ153" s="73"/>
      <c r="CR153" s="73"/>
      <c r="CS153" s="73"/>
      <c r="CT153" s="73"/>
      <c r="CU153" s="73"/>
      <c r="CV153" s="73"/>
      <c r="CW153" s="73"/>
      <c r="CX153" s="73"/>
      <c r="CY153" s="73"/>
      <c r="CZ153" s="73"/>
      <c r="DA153" s="73"/>
      <c r="DB153" s="73"/>
      <c r="DC153" s="73"/>
      <c r="DD153" s="73"/>
      <c r="DE153" s="73"/>
      <c r="DF153" s="73"/>
      <c r="DG153" s="73"/>
      <c r="DH153" s="73"/>
      <c r="DI153" s="73"/>
      <c r="DJ153" s="73"/>
      <c r="DK153" s="73"/>
      <c r="DL153" s="73"/>
      <c r="DM153" s="73"/>
      <c r="DN153" s="73"/>
      <c r="DO153" s="73"/>
      <c r="DP153" s="73"/>
      <c r="DQ153" s="73"/>
      <c r="DR153" s="73"/>
      <c r="DS153" s="73"/>
      <c r="DT153" s="73"/>
      <c r="DU153" s="73"/>
      <c r="DV153" s="73"/>
      <c r="DW153" s="73"/>
      <c r="DX153" s="73"/>
      <c r="DY153" s="73"/>
      <c r="DZ153" s="73"/>
      <c r="EA153" s="73"/>
      <c r="EB153" s="73"/>
      <c r="EC153" s="73"/>
      <c r="ED153" s="73"/>
      <c r="EE153" s="73"/>
      <c r="EF153" s="73"/>
      <c r="EG153" s="73"/>
      <c r="EH153" s="73"/>
      <c r="EI153" s="73"/>
      <c r="EJ153" s="73"/>
      <c r="EK153" s="73"/>
      <c r="EL153" s="73"/>
      <c r="EM153" s="73"/>
      <c r="EN153" s="73"/>
      <c r="EO153" s="73"/>
      <c r="EP153" s="73"/>
      <c r="EQ153" s="73"/>
      <c r="ER153" s="73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3"/>
      <c r="FG153" s="73"/>
      <c r="FH153" s="73"/>
      <c r="FI153" s="73"/>
      <c r="FJ153" s="73"/>
      <c r="FK153" s="73"/>
      <c r="FL153" s="73"/>
      <c r="FM153" s="73"/>
      <c r="FN153" s="73"/>
      <c r="FO153" s="73"/>
      <c r="FP153" s="73"/>
      <c r="FQ153" s="73"/>
      <c r="FR153" s="73"/>
      <c r="FS153" s="73"/>
      <c r="FT153" s="73"/>
      <c r="FU153" s="73"/>
      <c r="FV153" s="73"/>
      <c r="FW153" s="73"/>
      <c r="FX153" s="73"/>
      <c r="FY153" s="73"/>
      <c r="FZ153" s="73"/>
      <c r="GA153" s="73"/>
      <c r="GB153" s="73"/>
      <c r="GC153" s="73"/>
      <c r="GD153" s="73"/>
      <c r="GE153" s="73"/>
      <c r="GF153" s="73"/>
      <c r="GG153" s="73"/>
      <c r="GH153" s="73"/>
      <c r="GI153" s="73"/>
      <c r="GJ153" s="73"/>
      <c r="GK153" s="73"/>
      <c r="GL153" s="73"/>
      <c r="GM153" s="73"/>
      <c r="GN153" s="73"/>
      <c r="GO153" s="73"/>
      <c r="GP153" s="73"/>
      <c r="GQ153" s="73"/>
      <c r="GR153" s="73"/>
      <c r="GS153" s="73"/>
      <c r="GT153" s="73"/>
      <c r="GU153" s="73"/>
      <c r="GV153" s="73"/>
      <c r="GW153" s="73"/>
      <c r="GX153" s="73"/>
      <c r="GY153" s="73"/>
      <c r="GZ153" s="73"/>
      <c r="HA153" s="73"/>
      <c r="HB153" s="73"/>
      <c r="HC153" s="73"/>
      <c r="HD153" s="73"/>
      <c r="HE153" s="73"/>
      <c r="HF153" s="73"/>
      <c r="HG153" s="73"/>
      <c r="HH153" s="73"/>
      <c r="HI153" s="73"/>
      <c r="HJ153" s="73"/>
      <c r="HK153" s="73"/>
      <c r="HL153" s="73"/>
      <c r="HM153" s="73"/>
      <c r="HN153" s="73"/>
      <c r="HO153" s="73"/>
      <c r="HP153" s="73"/>
      <c r="HQ153" s="73"/>
      <c r="HR153" s="73"/>
      <c r="HS153" s="73"/>
      <c r="HT153" s="73"/>
      <c r="HU153" s="73"/>
      <c r="HV153" s="73"/>
      <c r="HW153" s="73"/>
      <c r="HX153" s="73"/>
      <c r="HY153" s="73"/>
      <c r="HZ153" s="73"/>
      <c r="IA153" s="73"/>
      <c r="IB153" s="73"/>
      <c r="IC153" s="73"/>
      <c r="ID153" s="73"/>
      <c r="IE153" s="73"/>
      <c r="IF153" s="73"/>
      <c r="IG153" s="73"/>
      <c r="IH153" s="73"/>
      <c r="II153" s="73"/>
      <c r="IJ153" s="73"/>
      <c r="IK153" s="73"/>
      <c r="IL153" s="73"/>
      <c r="IM153" s="73"/>
      <c r="IN153" s="73"/>
      <c r="IO153" s="73"/>
      <c r="IP153" s="73"/>
      <c r="IQ153" s="73"/>
      <c r="IR153" s="73"/>
      <c r="IS153" s="73"/>
      <c r="IT153" s="73"/>
      <c r="IU153" s="73"/>
      <c r="IV153" s="73"/>
      <c r="IW153" s="73"/>
    </row>
    <row r="154" customFormat="false" ht="12.75" hidden="false" customHeight="false" outlineLevel="0" collapsed="false">
      <c r="A154" s="73"/>
      <c r="B154" s="46" t="s">
        <v>201</v>
      </c>
      <c r="C154" s="44" t="s">
        <v>250</v>
      </c>
      <c r="D154" s="44" t="s">
        <v>251</v>
      </c>
      <c r="E154" s="45" t="n">
        <v>36617</v>
      </c>
      <c r="F154" s="45" t="n">
        <v>39021</v>
      </c>
      <c r="G154" s="46" t="s">
        <v>276</v>
      </c>
      <c r="H154" s="46" t="s">
        <v>107</v>
      </c>
      <c r="I154" s="44" t="s">
        <v>254</v>
      </c>
      <c r="J154" s="58" t="n">
        <v>0.7</v>
      </c>
      <c r="K154" s="49"/>
      <c r="L154" s="49"/>
      <c r="M154" s="49"/>
      <c r="N154" s="49"/>
      <c r="O154" s="50"/>
      <c r="P154" s="49"/>
      <c r="Q154" s="51" t="n">
        <v>893062</v>
      </c>
      <c r="R154" s="44" t="n">
        <v>124</v>
      </c>
      <c r="S154" s="46" t="s">
        <v>281</v>
      </c>
      <c r="T154" s="74" t="n">
        <f aca="false">J154*J$1*R154</f>
        <v>2604</v>
      </c>
      <c r="U154" s="74"/>
      <c r="V154" s="75" t="n">
        <v>233230</v>
      </c>
      <c r="W154" s="46"/>
      <c r="X154" s="72"/>
      <c r="Y154" s="72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3"/>
      <c r="CN154" s="73"/>
      <c r="CO154" s="73"/>
      <c r="CP154" s="73"/>
      <c r="CQ154" s="73"/>
      <c r="CR154" s="73"/>
      <c r="CS154" s="73"/>
      <c r="CT154" s="73"/>
      <c r="CU154" s="73"/>
      <c r="CV154" s="73"/>
      <c r="CW154" s="73"/>
      <c r="CX154" s="73"/>
      <c r="CY154" s="73"/>
      <c r="CZ154" s="73"/>
      <c r="DA154" s="73"/>
      <c r="DB154" s="73"/>
      <c r="DC154" s="73"/>
      <c r="DD154" s="73"/>
      <c r="DE154" s="73"/>
      <c r="DF154" s="73"/>
      <c r="DG154" s="73"/>
      <c r="DH154" s="73"/>
      <c r="DI154" s="73"/>
      <c r="DJ154" s="73"/>
      <c r="DK154" s="73"/>
      <c r="DL154" s="73"/>
      <c r="DM154" s="73"/>
      <c r="DN154" s="73"/>
      <c r="DO154" s="73"/>
      <c r="DP154" s="73"/>
      <c r="DQ154" s="73"/>
      <c r="DR154" s="73"/>
      <c r="DS154" s="73"/>
      <c r="DT154" s="73"/>
      <c r="DU154" s="73"/>
      <c r="DV154" s="73"/>
      <c r="DW154" s="73"/>
      <c r="DX154" s="73"/>
      <c r="DY154" s="73"/>
      <c r="DZ154" s="73"/>
      <c r="EA154" s="73"/>
      <c r="EB154" s="73"/>
      <c r="EC154" s="73"/>
      <c r="ED154" s="73"/>
      <c r="EE154" s="73"/>
      <c r="EF154" s="73"/>
      <c r="EG154" s="73"/>
      <c r="EH154" s="73"/>
      <c r="EI154" s="73"/>
      <c r="EJ154" s="73"/>
      <c r="EK154" s="73"/>
      <c r="EL154" s="73"/>
      <c r="EM154" s="73"/>
      <c r="EN154" s="73"/>
      <c r="EO154" s="73"/>
      <c r="EP154" s="73"/>
      <c r="EQ154" s="73"/>
      <c r="ER154" s="73"/>
      <c r="ES154" s="73"/>
      <c r="ET154" s="73"/>
      <c r="EU154" s="73"/>
      <c r="EV154" s="73"/>
      <c r="EW154" s="73"/>
      <c r="EX154" s="73"/>
      <c r="EY154" s="73"/>
      <c r="EZ154" s="73"/>
      <c r="FA154" s="73"/>
      <c r="FB154" s="73"/>
      <c r="FC154" s="73"/>
      <c r="FD154" s="73"/>
      <c r="FE154" s="73"/>
      <c r="FF154" s="73"/>
      <c r="FG154" s="73"/>
      <c r="FH154" s="73"/>
      <c r="FI154" s="73"/>
      <c r="FJ154" s="73"/>
      <c r="FK154" s="73"/>
      <c r="FL154" s="73"/>
      <c r="FM154" s="73"/>
      <c r="FN154" s="73"/>
      <c r="FO154" s="73"/>
      <c r="FP154" s="73"/>
      <c r="FQ154" s="73"/>
      <c r="FR154" s="73"/>
      <c r="FS154" s="73"/>
      <c r="FT154" s="73"/>
      <c r="FU154" s="73"/>
      <c r="FV154" s="73"/>
      <c r="FW154" s="73"/>
      <c r="FX154" s="73"/>
      <c r="FY154" s="73"/>
      <c r="FZ154" s="73"/>
      <c r="GA154" s="73"/>
      <c r="GB154" s="73"/>
      <c r="GC154" s="73"/>
      <c r="GD154" s="73"/>
      <c r="GE154" s="73"/>
      <c r="GF154" s="73"/>
      <c r="GG154" s="73"/>
      <c r="GH154" s="73"/>
      <c r="GI154" s="73"/>
      <c r="GJ154" s="73"/>
      <c r="GK154" s="73"/>
      <c r="GL154" s="73"/>
      <c r="GM154" s="73"/>
      <c r="GN154" s="73"/>
      <c r="GO154" s="73"/>
      <c r="GP154" s="73"/>
      <c r="GQ154" s="73"/>
      <c r="GR154" s="73"/>
      <c r="GS154" s="73"/>
      <c r="GT154" s="73"/>
      <c r="GU154" s="73"/>
      <c r="GV154" s="73"/>
      <c r="GW154" s="73"/>
      <c r="GX154" s="73"/>
      <c r="GY154" s="73"/>
      <c r="GZ154" s="73"/>
      <c r="HA154" s="73"/>
      <c r="HB154" s="73"/>
      <c r="HC154" s="73"/>
      <c r="HD154" s="73"/>
      <c r="HE154" s="73"/>
      <c r="HF154" s="73"/>
      <c r="HG154" s="73"/>
      <c r="HH154" s="73"/>
      <c r="HI154" s="73"/>
      <c r="HJ154" s="73"/>
      <c r="HK154" s="73"/>
      <c r="HL154" s="73"/>
      <c r="HM154" s="73"/>
      <c r="HN154" s="73"/>
      <c r="HO154" s="73"/>
      <c r="HP154" s="73"/>
      <c r="HQ154" s="73"/>
      <c r="HR154" s="73"/>
      <c r="HS154" s="73"/>
      <c r="HT154" s="73"/>
      <c r="HU154" s="73"/>
      <c r="HV154" s="73"/>
      <c r="HW154" s="73"/>
      <c r="HX154" s="73"/>
      <c r="HY154" s="73"/>
      <c r="HZ154" s="73"/>
      <c r="IA154" s="73"/>
      <c r="IB154" s="73"/>
      <c r="IC154" s="73"/>
      <c r="ID154" s="73"/>
      <c r="IE154" s="73"/>
      <c r="IF154" s="73"/>
      <c r="IG154" s="73"/>
      <c r="IH154" s="73"/>
      <c r="II154" s="73"/>
      <c r="IJ154" s="73"/>
      <c r="IK154" s="73"/>
      <c r="IL154" s="73"/>
      <c r="IM154" s="73"/>
      <c r="IN154" s="73"/>
      <c r="IO154" s="73"/>
      <c r="IP154" s="73"/>
      <c r="IQ154" s="73"/>
      <c r="IR154" s="73"/>
      <c r="IS154" s="73"/>
      <c r="IT154" s="73"/>
      <c r="IU154" s="73"/>
      <c r="IV154" s="73"/>
      <c r="IW154" s="73"/>
    </row>
    <row r="155" customFormat="false" ht="12.75" hidden="false" customHeight="false" outlineLevel="0" collapsed="false">
      <c r="A155" s="73"/>
      <c r="B155" s="46" t="s">
        <v>201</v>
      </c>
      <c r="C155" s="44" t="s">
        <v>250</v>
      </c>
      <c r="D155" s="44" t="s">
        <v>251</v>
      </c>
      <c r="E155" s="45" t="n">
        <v>36617</v>
      </c>
      <c r="F155" s="45" t="n">
        <v>41394</v>
      </c>
      <c r="G155" s="46"/>
      <c r="H155" s="46" t="s">
        <v>282</v>
      </c>
      <c r="I155" s="44" t="s">
        <v>283</v>
      </c>
      <c r="J155" s="58" t="n">
        <f aca="false">5.643/J1</f>
        <v>0.1881</v>
      </c>
      <c r="K155" s="49"/>
      <c r="L155" s="49"/>
      <c r="M155" s="49"/>
      <c r="N155" s="49"/>
      <c r="O155" s="50"/>
      <c r="P155" s="49"/>
      <c r="Q155" s="51" t="n">
        <v>893061</v>
      </c>
      <c r="R155" s="44" t="n">
        <v>151</v>
      </c>
      <c r="S155" s="46" t="s">
        <v>284</v>
      </c>
      <c r="T155" s="74" t="n">
        <f aca="false">J155*J$1*R155</f>
        <v>852.093</v>
      </c>
      <c r="U155" s="74"/>
      <c r="V155" s="75" t="n">
        <v>233229</v>
      </c>
      <c r="W155" s="46"/>
      <c r="X155" s="72"/>
      <c r="Y155" s="72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3"/>
      <c r="CO155" s="73"/>
      <c r="CP155" s="73"/>
      <c r="CQ155" s="73"/>
      <c r="CR155" s="73"/>
      <c r="CS155" s="73"/>
      <c r="CT155" s="73"/>
      <c r="CU155" s="73"/>
      <c r="CV155" s="73"/>
      <c r="CW155" s="73"/>
      <c r="CX155" s="73"/>
      <c r="CY155" s="73"/>
      <c r="CZ155" s="73"/>
      <c r="DA155" s="73"/>
      <c r="DB155" s="73"/>
      <c r="DC155" s="73"/>
      <c r="DD155" s="73"/>
      <c r="DE155" s="73"/>
      <c r="DF155" s="73"/>
      <c r="DG155" s="73"/>
      <c r="DH155" s="73"/>
      <c r="DI155" s="73"/>
      <c r="DJ155" s="73"/>
      <c r="DK155" s="73"/>
      <c r="DL155" s="73"/>
      <c r="DM155" s="73"/>
      <c r="DN155" s="73"/>
      <c r="DO155" s="73"/>
      <c r="DP155" s="73"/>
      <c r="DQ155" s="73"/>
      <c r="DR155" s="73"/>
      <c r="DS155" s="73"/>
      <c r="DT155" s="73"/>
      <c r="DU155" s="73"/>
      <c r="DV155" s="73"/>
      <c r="DW155" s="73"/>
      <c r="DX155" s="73"/>
      <c r="DY155" s="73"/>
      <c r="DZ155" s="73"/>
      <c r="EA155" s="73"/>
      <c r="EB155" s="73"/>
      <c r="EC155" s="73"/>
      <c r="ED155" s="73"/>
      <c r="EE155" s="73"/>
      <c r="EF155" s="73"/>
      <c r="EG155" s="73"/>
      <c r="EH155" s="73"/>
      <c r="EI155" s="73"/>
      <c r="EJ155" s="73"/>
      <c r="EK155" s="73"/>
      <c r="EL155" s="73"/>
      <c r="EM155" s="73"/>
      <c r="EN155" s="73"/>
      <c r="EO155" s="73"/>
      <c r="EP155" s="73"/>
      <c r="EQ155" s="73"/>
      <c r="ER155" s="73"/>
      <c r="ES155" s="73"/>
      <c r="ET155" s="73"/>
      <c r="EU155" s="73"/>
      <c r="EV155" s="73"/>
      <c r="EW155" s="73"/>
      <c r="EX155" s="73"/>
      <c r="EY155" s="73"/>
      <c r="EZ155" s="73"/>
      <c r="FA155" s="73"/>
      <c r="FB155" s="73"/>
      <c r="FC155" s="73"/>
      <c r="FD155" s="73"/>
      <c r="FE155" s="73"/>
      <c r="FF155" s="73"/>
      <c r="FG155" s="73"/>
      <c r="FH155" s="73"/>
      <c r="FI155" s="73"/>
      <c r="FJ155" s="73"/>
      <c r="FK155" s="73"/>
      <c r="FL155" s="73"/>
      <c r="FM155" s="73"/>
      <c r="FN155" s="73"/>
      <c r="FO155" s="73"/>
      <c r="FP155" s="73"/>
      <c r="FQ155" s="73"/>
      <c r="FR155" s="73"/>
      <c r="FS155" s="73"/>
      <c r="FT155" s="73"/>
      <c r="FU155" s="73"/>
      <c r="FV155" s="73"/>
      <c r="FW155" s="73"/>
      <c r="FX155" s="73"/>
      <c r="FY155" s="73"/>
      <c r="FZ155" s="73"/>
      <c r="GA155" s="73"/>
      <c r="GB155" s="73"/>
      <c r="GC155" s="73"/>
      <c r="GD155" s="73"/>
      <c r="GE155" s="73"/>
      <c r="GF155" s="73"/>
      <c r="GG155" s="73"/>
      <c r="GH155" s="73"/>
      <c r="GI155" s="73"/>
      <c r="GJ155" s="73"/>
      <c r="GK155" s="73"/>
      <c r="GL155" s="73"/>
      <c r="GM155" s="73"/>
      <c r="GN155" s="73"/>
      <c r="GO155" s="73"/>
      <c r="GP155" s="73"/>
      <c r="GQ155" s="73"/>
      <c r="GR155" s="73"/>
      <c r="GS155" s="73"/>
      <c r="GT155" s="73"/>
      <c r="GU155" s="73"/>
      <c r="GV155" s="73"/>
      <c r="GW155" s="73"/>
      <c r="GX155" s="73"/>
      <c r="GY155" s="73"/>
      <c r="GZ155" s="73"/>
      <c r="HA155" s="73"/>
      <c r="HB155" s="73"/>
      <c r="HC155" s="73"/>
      <c r="HD155" s="73"/>
      <c r="HE155" s="73"/>
      <c r="HF155" s="73"/>
      <c r="HG155" s="73"/>
      <c r="HH155" s="73"/>
      <c r="HI155" s="73"/>
      <c r="HJ155" s="73"/>
      <c r="HK155" s="73"/>
      <c r="HL155" s="73"/>
      <c r="HM155" s="73"/>
      <c r="HN155" s="73"/>
      <c r="HO155" s="73"/>
      <c r="HP155" s="73"/>
      <c r="HQ155" s="73"/>
      <c r="HR155" s="73"/>
      <c r="HS155" s="73"/>
      <c r="HT155" s="73"/>
      <c r="HU155" s="73"/>
      <c r="HV155" s="73"/>
      <c r="HW155" s="73"/>
      <c r="HX155" s="73"/>
      <c r="HY155" s="73"/>
      <c r="HZ155" s="73"/>
      <c r="IA155" s="73"/>
      <c r="IB155" s="73"/>
      <c r="IC155" s="73"/>
      <c r="ID155" s="73"/>
      <c r="IE155" s="73"/>
      <c r="IF155" s="73"/>
      <c r="IG155" s="73"/>
      <c r="IH155" s="73"/>
      <c r="II155" s="73"/>
      <c r="IJ155" s="73"/>
      <c r="IK155" s="73"/>
      <c r="IL155" s="73"/>
      <c r="IM155" s="73"/>
      <c r="IN155" s="73"/>
      <c r="IO155" s="73"/>
      <c r="IP155" s="73"/>
      <c r="IQ155" s="73"/>
      <c r="IR155" s="73"/>
      <c r="IS155" s="73"/>
      <c r="IT155" s="73"/>
      <c r="IU155" s="73"/>
      <c r="IV155" s="73"/>
      <c r="IW155" s="73"/>
    </row>
    <row r="156" customFormat="false" ht="12.75" hidden="false" customHeight="false" outlineLevel="0" collapsed="false">
      <c r="A156" s="73"/>
      <c r="B156" s="46" t="s">
        <v>201</v>
      </c>
      <c r="C156" s="44" t="s">
        <v>250</v>
      </c>
      <c r="D156" s="44" t="s">
        <v>251</v>
      </c>
      <c r="E156" s="45" t="n">
        <v>36617</v>
      </c>
      <c r="F156" s="45" t="n">
        <v>41394</v>
      </c>
      <c r="G156" s="46"/>
      <c r="H156" s="46" t="s">
        <v>282</v>
      </c>
      <c r="I156" s="44" t="s">
        <v>283</v>
      </c>
      <c r="J156" s="58" t="n">
        <v>0.1343</v>
      </c>
      <c r="K156" s="49"/>
      <c r="L156" s="49"/>
      <c r="M156" s="49"/>
      <c r="N156" s="49"/>
      <c r="O156" s="50"/>
      <c r="P156" s="49"/>
      <c r="Q156" s="51" t="n">
        <v>893061</v>
      </c>
      <c r="R156" s="44" t="n">
        <v>10843</v>
      </c>
      <c r="S156" s="46" t="s">
        <v>284</v>
      </c>
      <c r="T156" s="74" t="n">
        <f aca="false">+J156*R156</f>
        <v>1456.2149</v>
      </c>
      <c r="U156" s="74"/>
      <c r="V156" s="75" t="n">
        <v>233229</v>
      </c>
      <c r="W156" s="46"/>
      <c r="X156" s="72"/>
      <c r="Y156" s="72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3"/>
      <c r="CO156" s="73"/>
      <c r="CP156" s="73"/>
      <c r="CQ156" s="73"/>
      <c r="CR156" s="73"/>
      <c r="CS156" s="73"/>
      <c r="CT156" s="73"/>
      <c r="CU156" s="73"/>
      <c r="CV156" s="73"/>
      <c r="CW156" s="73"/>
      <c r="CX156" s="73"/>
      <c r="CY156" s="73"/>
      <c r="CZ156" s="73"/>
      <c r="DA156" s="73"/>
      <c r="DB156" s="73"/>
      <c r="DC156" s="73"/>
      <c r="DD156" s="73"/>
      <c r="DE156" s="73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  <c r="DP156" s="73"/>
      <c r="DQ156" s="73"/>
      <c r="DR156" s="73"/>
      <c r="DS156" s="73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3"/>
      <c r="EE156" s="73"/>
      <c r="EF156" s="73"/>
      <c r="EG156" s="73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3"/>
      <c r="ES156" s="73"/>
      <c r="ET156" s="73"/>
      <c r="EU156" s="73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3"/>
      <c r="FG156" s="73"/>
      <c r="FH156" s="73"/>
      <c r="FI156" s="73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  <c r="FT156" s="73"/>
      <c r="FU156" s="73"/>
      <c r="FV156" s="73"/>
      <c r="FW156" s="73"/>
      <c r="FX156" s="73"/>
      <c r="FY156" s="73"/>
      <c r="FZ156" s="73"/>
      <c r="GA156" s="73"/>
      <c r="GB156" s="73"/>
      <c r="GC156" s="73"/>
      <c r="GD156" s="73"/>
      <c r="GE156" s="73"/>
      <c r="GF156" s="73"/>
      <c r="GG156" s="73"/>
      <c r="GH156" s="73"/>
      <c r="GI156" s="73"/>
      <c r="GJ156" s="73"/>
      <c r="GK156" s="73"/>
      <c r="GL156" s="73"/>
      <c r="GM156" s="73"/>
      <c r="GN156" s="73"/>
      <c r="GO156" s="73"/>
      <c r="GP156" s="73"/>
      <c r="GQ156" s="73"/>
      <c r="GR156" s="73"/>
      <c r="GS156" s="73"/>
      <c r="GT156" s="73"/>
      <c r="GU156" s="73"/>
      <c r="GV156" s="73"/>
      <c r="GW156" s="73"/>
      <c r="GX156" s="73"/>
      <c r="GY156" s="73"/>
      <c r="GZ156" s="73"/>
      <c r="HA156" s="73"/>
      <c r="HB156" s="73"/>
      <c r="HC156" s="73"/>
      <c r="HD156" s="73"/>
      <c r="HE156" s="73"/>
      <c r="HF156" s="73"/>
      <c r="HG156" s="73"/>
      <c r="HH156" s="73"/>
      <c r="HI156" s="73"/>
      <c r="HJ156" s="73"/>
      <c r="HK156" s="73"/>
      <c r="HL156" s="73"/>
      <c r="HM156" s="73"/>
      <c r="HN156" s="73"/>
      <c r="HO156" s="73"/>
      <c r="HP156" s="73"/>
      <c r="HQ156" s="73"/>
      <c r="HR156" s="73"/>
      <c r="HS156" s="73"/>
      <c r="HT156" s="73"/>
      <c r="HU156" s="73"/>
      <c r="HV156" s="73"/>
      <c r="HW156" s="73"/>
      <c r="HX156" s="73"/>
      <c r="HY156" s="73"/>
      <c r="HZ156" s="73"/>
      <c r="IA156" s="73"/>
      <c r="IB156" s="73"/>
      <c r="IC156" s="73"/>
      <c r="ID156" s="73"/>
      <c r="IE156" s="73"/>
      <c r="IF156" s="73"/>
      <c r="IG156" s="73"/>
      <c r="IH156" s="73"/>
      <c r="II156" s="73"/>
      <c r="IJ156" s="73"/>
      <c r="IK156" s="73"/>
      <c r="IL156" s="73"/>
      <c r="IM156" s="73"/>
      <c r="IN156" s="73"/>
      <c r="IO156" s="73"/>
      <c r="IP156" s="73"/>
      <c r="IQ156" s="73"/>
      <c r="IR156" s="73"/>
      <c r="IS156" s="73"/>
      <c r="IT156" s="73"/>
      <c r="IU156" s="73"/>
      <c r="IV156" s="73"/>
      <c r="IW156" s="73"/>
    </row>
    <row r="157" customFormat="false" ht="12.75" hidden="false" customHeight="false" outlineLevel="0" collapsed="false">
      <c r="A157" s="73"/>
      <c r="B157" s="46" t="s">
        <v>201</v>
      </c>
      <c r="C157" s="44" t="s">
        <v>250</v>
      </c>
      <c r="D157" s="44" t="s">
        <v>251</v>
      </c>
      <c r="E157" s="45" t="n">
        <v>36617</v>
      </c>
      <c r="F157" s="45" t="n">
        <v>36830</v>
      </c>
      <c r="G157" s="46" t="s">
        <v>263</v>
      </c>
      <c r="H157" s="46" t="s">
        <v>107</v>
      </c>
      <c r="I157" s="44" t="s">
        <v>264</v>
      </c>
      <c r="J157" s="58" t="n">
        <f aca="false">7.136/J1</f>
        <v>0.237866666666667</v>
      </c>
      <c r="K157" s="49"/>
      <c r="L157" s="49"/>
      <c r="M157" s="49"/>
      <c r="N157" s="49"/>
      <c r="O157" s="50"/>
      <c r="P157" s="49"/>
      <c r="Q157" s="51" t="n">
        <v>893068</v>
      </c>
      <c r="R157" s="44" t="n">
        <v>10</v>
      </c>
      <c r="S157" s="46" t="s">
        <v>285</v>
      </c>
      <c r="T157" s="74" t="n">
        <f aca="false">J157*J$1*R157</f>
        <v>71.36</v>
      </c>
      <c r="U157" s="74"/>
      <c r="V157" s="75" t="n">
        <v>233228</v>
      </c>
      <c r="W157" s="46"/>
      <c r="X157" s="72"/>
      <c r="Y157" s="72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3"/>
      <c r="CO157" s="73"/>
      <c r="CP157" s="73"/>
      <c r="CQ157" s="73"/>
      <c r="CR157" s="73"/>
      <c r="CS157" s="73"/>
      <c r="CT157" s="73"/>
      <c r="CU157" s="73"/>
      <c r="CV157" s="73"/>
      <c r="CW157" s="73"/>
      <c r="CX157" s="73"/>
      <c r="CY157" s="73"/>
      <c r="CZ157" s="73"/>
      <c r="DA157" s="73"/>
      <c r="DB157" s="73"/>
      <c r="DC157" s="73"/>
      <c r="DD157" s="73"/>
      <c r="DE157" s="73"/>
      <c r="DF157" s="73"/>
      <c r="DG157" s="73"/>
      <c r="DH157" s="73"/>
      <c r="DI157" s="73"/>
      <c r="DJ157" s="73"/>
      <c r="DK157" s="73"/>
      <c r="DL157" s="73"/>
      <c r="DM157" s="73"/>
      <c r="DN157" s="73"/>
      <c r="DO157" s="73"/>
      <c r="DP157" s="73"/>
      <c r="DQ157" s="73"/>
      <c r="DR157" s="73"/>
      <c r="DS157" s="73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3"/>
      <c r="EE157" s="73"/>
      <c r="EF157" s="73"/>
      <c r="EG157" s="73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3"/>
      <c r="ES157" s="73"/>
      <c r="ET157" s="73"/>
      <c r="EU157" s="73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3"/>
      <c r="FG157" s="73"/>
      <c r="FH157" s="73"/>
      <c r="FI157" s="73"/>
      <c r="FJ157" s="73"/>
      <c r="FK157" s="73"/>
      <c r="FL157" s="73"/>
      <c r="FM157" s="73"/>
      <c r="FN157" s="73"/>
      <c r="FO157" s="73"/>
      <c r="FP157" s="73"/>
      <c r="FQ157" s="73"/>
      <c r="FR157" s="73"/>
      <c r="FS157" s="73"/>
      <c r="FT157" s="73"/>
      <c r="FU157" s="73"/>
      <c r="FV157" s="73"/>
      <c r="FW157" s="73"/>
      <c r="FX157" s="73"/>
      <c r="FY157" s="73"/>
      <c r="FZ157" s="73"/>
      <c r="GA157" s="73"/>
      <c r="GB157" s="73"/>
      <c r="GC157" s="73"/>
      <c r="GD157" s="73"/>
      <c r="GE157" s="73"/>
      <c r="GF157" s="73"/>
      <c r="GG157" s="73"/>
      <c r="GH157" s="73"/>
      <c r="GI157" s="73"/>
      <c r="GJ157" s="73"/>
      <c r="GK157" s="73"/>
      <c r="GL157" s="73"/>
      <c r="GM157" s="73"/>
      <c r="GN157" s="73"/>
      <c r="GO157" s="73"/>
      <c r="GP157" s="73"/>
      <c r="GQ157" s="73"/>
      <c r="GR157" s="73"/>
      <c r="GS157" s="73"/>
      <c r="GT157" s="73"/>
      <c r="GU157" s="73"/>
      <c r="GV157" s="73"/>
      <c r="GW157" s="73"/>
      <c r="GX157" s="73"/>
      <c r="GY157" s="73"/>
      <c r="GZ157" s="73"/>
      <c r="HA157" s="73"/>
      <c r="HB157" s="73"/>
      <c r="HC157" s="73"/>
      <c r="HD157" s="73"/>
      <c r="HE157" s="73"/>
      <c r="HF157" s="73"/>
      <c r="HG157" s="73"/>
      <c r="HH157" s="73"/>
      <c r="HI157" s="73"/>
      <c r="HJ157" s="73"/>
      <c r="HK157" s="73"/>
      <c r="HL157" s="73"/>
      <c r="HM157" s="73"/>
      <c r="HN157" s="73"/>
      <c r="HO157" s="73"/>
      <c r="HP157" s="73"/>
      <c r="HQ157" s="73"/>
      <c r="HR157" s="73"/>
      <c r="HS157" s="73"/>
      <c r="HT157" s="73"/>
      <c r="HU157" s="73"/>
      <c r="HV157" s="73"/>
      <c r="HW157" s="73"/>
      <c r="HX157" s="73"/>
      <c r="HY157" s="73"/>
      <c r="HZ157" s="73"/>
      <c r="IA157" s="73"/>
      <c r="IB157" s="73"/>
      <c r="IC157" s="73"/>
      <c r="ID157" s="73"/>
      <c r="IE157" s="73"/>
      <c r="IF157" s="73"/>
      <c r="IG157" s="73"/>
      <c r="IH157" s="73"/>
      <c r="II157" s="73"/>
      <c r="IJ157" s="73"/>
      <c r="IK157" s="73"/>
      <c r="IL157" s="73"/>
      <c r="IM157" s="73"/>
      <c r="IN157" s="73"/>
      <c r="IO157" s="73"/>
      <c r="IP157" s="73"/>
      <c r="IQ157" s="73"/>
      <c r="IR157" s="73"/>
      <c r="IS157" s="73"/>
      <c r="IT157" s="73"/>
      <c r="IU157" s="73"/>
      <c r="IV157" s="73"/>
      <c r="IW157" s="73"/>
    </row>
    <row r="158" customFormat="false" ht="12.75" hidden="false" customHeight="false" outlineLevel="0" collapsed="false">
      <c r="A158" s="73"/>
      <c r="B158" s="46" t="s">
        <v>201</v>
      </c>
      <c r="C158" s="44" t="s">
        <v>250</v>
      </c>
      <c r="D158" s="44" t="s">
        <v>251</v>
      </c>
      <c r="E158" s="45" t="n">
        <v>36617</v>
      </c>
      <c r="F158" s="45" t="n">
        <v>39021</v>
      </c>
      <c r="G158" s="46" t="s">
        <v>276</v>
      </c>
      <c r="H158" s="46" t="s">
        <v>107</v>
      </c>
      <c r="I158" s="44" t="s">
        <v>254</v>
      </c>
      <c r="J158" s="58" t="n">
        <v>0.7</v>
      </c>
      <c r="K158" s="49"/>
      <c r="L158" s="49"/>
      <c r="M158" s="49"/>
      <c r="N158" s="49"/>
      <c r="O158" s="50"/>
      <c r="P158" s="49"/>
      <c r="Q158" s="51" t="n">
        <v>893069</v>
      </c>
      <c r="R158" s="44" t="n">
        <v>150</v>
      </c>
      <c r="S158" s="46" t="s">
        <v>286</v>
      </c>
      <c r="T158" s="74" t="n">
        <f aca="false">J158*J$1*R158</f>
        <v>3150</v>
      </c>
      <c r="U158" s="74"/>
      <c r="V158" s="75" t="n">
        <v>233219</v>
      </c>
      <c r="W158" s="46"/>
      <c r="X158" s="72"/>
      <c r="Y158" s="72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  <c r="CG158" s="73"/>
      <c r="CH158" s="73"/>
      <c r="CI158" s="73"/>
      <c r="CJ158" s="73"/>
      <c r="CK158" s="73"/>
      <c r="CL158" s="73"/>
      <c r="CM158" s="73"/>
      <c r="CN158" s="73"/>
      <c r="CO158" s="73"/>
      <c r="CP158" s="73"/>
      <c r="CQ158" s="73"/>
      <c r="CR158" s="73"/>
      <c r="CS158" s="73"/>
      <c r="CT158" s="73"/>
      <c r="CU158" s="73"/>
      <c r="CV158" s="73"/>
      <c r="CW158" s="73"/>
      <c r="CX158" s="73"/>
      <c r="CY158" s="73"/>
      <c r="CZ158" s="73"/>
      <c r="DA158" s="73"/>
      <c r="DB158" s="73"/>
      <c r="DC158" s="73"/>
      <c r="DD158" s="73"/>
      <c r="DE158" s="73"/>
      <c r="DF158" s="73"/>
      <c r="DG158" s="73"/>
      <c r="DH158" s="73"/>
      <c r="DI158" s="73"/>
      <c r="DJ158" s="73"/>
      <c r="DK158" s="73"/>
      <c r="DL158" s="73"/>
      <c r="DM158" s="73"/>
      <c r="DN158" s="73"/>
      <c r="DO158" s="73"/>
      <c r="DP158" s="73"/>
      <c r="DQ158" s="73"/>
      <c r="DR158" s="73"/>
      <c r="DS158" s="73"/>
      <c r="DT158" s="73"/>
      <c r="DU158" s="73"/>
      <c r="DV158" s="73"/>
      <c r="DW158" s="73"/>
      <c r="DX158" s="73"/>
      <c r="DY158" s="73"/>
      <c r="DZ158" s="73"/>
      <c r="EA158" s="73"/>
      <c r="EB158" s="73"/>
      <c r="EC158" s="73"/>
      <c r="ED158" s="73"/>
      <c r="EE158" s="73"/>
      <c r="EF158" s="73"/>
      <c r="EG158" s="73"/>
      <c r="EH158" s="73"/>
      <c r="EI158" s="73"/>
      <c r="EJ158" s="73"/>
      <c r="EK158" s="73"/>
      <c r="EL158" s="73"/>
      <c r="EM158" s="73"/>
      <c r="EN158" s="73"/>
      <c r="EO158" s="73"/>
      <c r="EP158" s="73"/>
      <c r="EQ158" s="73"/>
      <c r="ER158" s="73"/>
      <c r="ES158" s="73"/>
      <c r="ET158" s="73"/>
      <c r="EU158" s="73"/>
      <c r="EV158" s="73"/>
      <c r="EW158" s="73"/>
      <c r="EX158" s="73"/>
      <c r="EY158" s="73"/>
      <c r="EZ158" s="73"/>
      <c r="FA158" s="73"/>
      <c r="FB158" s="73"/>
      <c r="FC158" s="73"/>
      <c r="FD158" s="73"/>
      <c r="FE158" s="73"/>
      <c r="FF158" s="73"/>
      <c r="FG158" s="73"/>
      <c r="FH158" s="73"/>
      <c r="FI158" s="73"/>
      <c r="FJ158" s="73"/>
      <c r="FK158" s="73"/>
      <c r="FL158" s="73"/>
      <c r="FM158" s="73"/>
      <c r="FN158" s="73"/>
      <c r="FO158" s="73"/>
      <c r="FP158" s="73"/>
      <c r="FQ158" s="73"/>
      <c r="FR158" s="73"/>
      <c r="FS158" s="73"/>
      <c r="FT158" s="73"/>
      <c r="FU158" s="73"/>
      <c r="FV158" s="73"/>
      <c r="FW158" s="73"/>
      <c r="FX158" s="73"/>
      <c r="FY158" s="73"/>
      <c r="FZ158" s="73"/>
      <c r="GA158" s="73"/>
      <c r="GB158" s="73"/>
      <c r="GC158" s="73"/>
      <c r="GD158" s="73"/>
      <c r="GE158" s="73"/>
      <c r="GF158" s="73"/>
      <c r="GG158" s="73"/>
      <c r="GH158" s="73"/>
      <c r="GI158" s="73"/>
      <c r="GJ158" s="73"/>
      <c r="GK158" s="73"/>
      <c r="GL158" s="73"/>
      <c r="GM158" s="73"/>
      <c r="GN158" s="73"/>
      <c r="GO158" s="73"/>
      <c r="GP158" s="73"/>
      <c r="GQ158" s="73"/>
      <c r="GR158" s="73"/>
      <c r="GS158" s="73"/>
      <c r="GT158" s="73"/>
      <c r="GU158" s="73"/>
      <c r="GV158" s="73"/>
      <c r="GW158" s="73"/>
      <c r="GX158" s="73"/>
      <c r="GY158" s="73"/>
      <c r="GZ158" s="73"/>
      <c r="HA158" s="73"/>
      <c r="HB158" s="73"/>
      <c r="HC158" s="73"/>
      <c r="HD158" s="73"/>
      <c r="HE158" s="73"/>
      <c r="HF158" s="73"/>
      <c r="HG158" s="73"/>
      <c r="HH158" s="73"/>
      <c r="HI158" s="73"/>
      <c r="HJ158" s="73"/>
      <c r="HK158" s="73"/>
      <c r="HL158" s="73"/>
      <c r="HM158" s="73"/>
      <c r="HN158" s="73"/>
      <c r="HO158" s="73"/>
      <c r="HP158" s="73"/>
      <c r="HQ158" s="73"/>
      <c r="HR158" s="73"/>
      <c r="HS158" s="73"/>
      <c r="HT158" s="73"/>
      <c r="HU158" s="73"/>
      <c r="HV158" s="73"/>
      <c r="HW158" s="73"/>
      <c r="HX158" s="73"/>
      <c r="HY158" s="73"/>
      <c r="HZ158" s="73"/>
      <c r="IA158" s="73"/>
      <c r="IB158" s="73"/>
      <c r="IC158" s="73"/>
      <c r="ID158" s="73"/>
      <c r="IE158" s="73"/>
      <c r="IF158" s="73"/>
      <c r="IG158" s="73"/>
      <c r="IH158" s="73"/>
      <c r="II158" s="73"/>
      <c r="IJ158" s="73"/>
      <c r="IK158" s="73"/>
      <c r="IL158" s="73"/>
      <c r="IM158" s="73"/>
      <c r="IN158" s="73"/>
      <c r="IO158" s="73"/>
      <c r="IP158" s="73"/>
      <c r="IQ158" s="73"/>
      <c r="IR158" s="73"/>
      <c r="IS158" s="73"/>
      <c r="IT158" s="73"/>
      <c r="IU158" s="73"/>
      <c r="IV158" s="73"/>
      <c r="IW158" s="73"/>
    </row>
    <row r="159" customFormat="false" ht="12.75" hidden="false" customHeight="false" outlineLevel="0" collapsed="false">
      <c r="A159" s="88"/>
      <c r="B159" s="89" t="s">
        <v>201</v>
      </c>
      <c r="C159" s="90" t="s">
        <v>250</v>
      </c>
      <c r="D159" s="90" t="s">
        <v>287</v>
      </c>
      <c r="E159" s="91" t="n">
        <v>36647</v>
      </c>
      <c r="F159" s="91" t="n">
        <v>36677</v>
      </c>
      <c r="G159" s="89" t="s">
        <v>260</v>
      </c>
      <c r="H159" s="89" t="s">
        <v>107</v>
      </c>
      <c r="I159" s="90" t="s">
        <v>264</v>
      </c>
      <c r="J159" s="92" t="n">
        <v>0.65</v>
      </c>
      <c r="K159" s="93" t="n">
        <v>0</v>
      </c>
      <c r="L159" s="93" t="n">
        <v>0.0022</v>
      </c>
      <c r="M159" s="93" t="n">
        <v>0</v>
      </c>
      <c r="N159" s="93" t="n">
        <v>0</v>
      </c>
      <c r="O159" s="94" t="n">
        <v>0</v>
      </c>
      <c r="P159" s="93" t="n">
        <f aca="false">SUM(J159:N159)</f>
        <v>0.6522</v>
      </c>
      <c r="Q159" s="95" t="n">
        <v>893255</v>
      </c>
      <c r="R159" s="90" t="n">
        <v>103</v>
      </c>
      <c r="S159" s="89" t="s">
        <v>288</v>
      </c>
      <c r="T159" s="96" t="n">
        <f aca="false">J159*J$1*R159</f>
        <v>2008.5</v>
      </c>
      <c r="U159" s="96"/>
      <c r="V159" s="97" t="s">
        <v>289</v>
      </c>
      <c r="W159" s="89"/>
      <c r="X159" s="98"/>
      <c r="Y159" s="9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8"/>
      <c r="DG159" s="88"/>
      <c r="DH159" s="88"/>
      <c r="DI159" s="88"/>
      <c r="DJ159" s="88"/>
      <c r="DK159" s="88"/>
      <c r="DL159" s="88"/>
      <c r="DM159" s="88"/>
      <c r="DN159" s="88"/>
      <c r="DO159" s="88"/>
      <c r="DP159" s="88"/>
      <c r="DQ159" s="88"/>
      <c r="DR159" s="88"/>
      <c r="DS159" s="88"/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  <c r="EF159" s="88"/>
      <c r="EG159" s="88"/>
      <c r="EH159" s="88"/>
      <c r="EI159" s="88"/>
      <c r="EJ159" s="88"/>
      <c r="EK159" s="88"/>
      <c r="EL159" s="88"/>
      <c r="EM159" s="88"/>
      <c r="EN159" s="88"/>
      <c r="EO159" s="88"/>
      <c r="EP159" s="88"/>
      <c r="EQ159" s="88"/>
      <c r="ER159" s="88"/>
      <c r="ES159" s="88"/>
      <c r="ET159" s="88"/>
      <c r="EU159" s="88"/>
      <c r="EV159" s="88"/>
      <c r="EW159" s="88"/>
      <c r="EX159" s="88"/>
      <c r="EY159" s="88"/>
      <c r="EZ159" s="88"/>
      <c r="FA159" s="88"/>
      <c r="FB159" s="88"/>
      <c r="FC159" s="88"/>
      <c r="FD159" s="88"/>
      <c r="FE159" s="88"/>
      <c r="FF159" s="88"/>
      <c r="FG159" s="88"/>
      <c r="FH159" s="88"/>
      <c r="FI159" s="88"/>
      <c r="FJ159" s="88"/>
      <c r="FK159" s="88"/>
      <c r="FL159" s="88"/>
      <c r="FM159" s="88"/>
      <c r="FN159" s="88"/>
      <c r="FO159" s="88"/>
      <c r="FP159" s="88"/>
      <c r="FQ159" s="88"/>
      <c r="FR159" s="88"/>
      <c r="FS159" s="88"/>
      <c r="FT159" s="88"/>
      <c r="FU159" s="88"/>
      <c r="FV159" s="88"/>
      <c r="FW159" s="88"/>
      <c r="FX159" s="88"/>
      <c r="FY159" s="88"/>
      <c r="FZ159" s="88"/>
      <c r="GA159" s="88"/>
      <c r="GB159" s="88"/>
      <c r="GC159" s="88"/>
      <c r="GD159" s="88"/>
      <c r="GE159" s="88"/>
      <c r="GF159" s="88"/>
      <c r="GG159" s="88"/>
      <c r="GH159" s="88"/>
      <c r="GI159" s="88"/>
      <c r="GJ159" s="88"/>
      <c r="GK159" s="88"/>
      <c r="GL159" s="88"/>
      <c r="GM159" s="88"/>
      <c r="GN159" s="88"/>
      <c r="GO159" s="88"/>
      <c r="GP159" s="88"/>
      <c r="GQ159" s="88"/>
      <c r="GR159" s="88"/>
      <c r="GS159" s="88"/>
      <c r="GT159" s="88"/>
      <c r="GU159" s="88"/>
      <c r="GV159" s="88"/>
      <c r="GW159" s="88"/>
      <c r="GX159" s="88"/>
      <c r="GY159" s="88"/>
      <c r="GZ159" s="88"/>
      <c r="HA159" s="88"/>
      <c r="HB159" s="88"/>
      <c r="HC159" s="88"/>
      <c r="HD159" s="88"/>
      <c r="HE159" s="88"/>
      <c r="HF159" s="88"/>
      <c r="HG159" s="88"/>
      <c r="HH159" s="88"/>
      <c r="HI159" s="88"/>
      <c r="HJ159" s="88"/>
      <c r="HK159" s="88"/>
      <c r="HL159" s="88"/>
      <c r="HM159" s="88"/>
      <c r="HN159" s="88"/>
      <c r="HO159" s="88"/>
      <c r="HP159" s="88"/>
      <c r="HQ159" s="88"/>
      <c r="HR159" s="88"/>
      <c r="HS159" s="88"/>
      <c r="HT159" s="88"/>
      <c r="HU159" s="88"/>
      <c r="HV159" s="88"/>
      <c r="HW159" s="88"/>
      <c r="HX159" s="88"/>
      <c r="HY159" s="88"/>
      <c r="HZ159" s="88"/>
      <c r="IA159" s="88"/>
      <c r="IB159" s="88"/>
      <c r="IC159" s="88"/>
      <c r="ID159" s="88"/>
      <c r="IE159" s="88"/>
      <c r="IF159" s="88"/>
      <c r="IG159" s="88"/>
      <c r="IH159" s="88"/>
      <c r="II159" s="88"/>
      <c r="IJ159" s="88"/>
      <c r="IK159" s="88"/>
      <c r="IL159" s="88"/>
      <c r="IM159" s="88"/>
      <c r="IN159" s="88"/>
      <c r="IO159" s="88"/>
      <c r="IP159" s="88"/>
      <c r="IQ159" s="88"/>
      <c r="IR159" s="88"/>
      <c r="IS159" s="88"/>
      <c r="IT159" s="88"/>
      <c r="IU159" s="88"/>
      <c r="IV159" s="88"/>
      <c r="IW159" s="88"/>
    </row>
    <row r="160" customFormat="false" ht="12.75" hidden="false" customHeight="false" outlineLevel="0" collapsed="false">
      <c r="A160" s="88"/>
      <c r="B160" s="89" t="s">
        <v>201</v>
      </c>
      <c r="C160" s="90" t="s">
        <v>250</v>
      </c>
      <c r="D160" s="90" t="s">
        <v>94</v>
      </c>
      <c r="E160" s="91" t="n">
        <v>36647</v>
      </c>
      <c r="F160" s="91" t="n">
        <v>36677</v>
      </c>
      <c r="G160" s="89" t="s">
        <v>263</v>
      </c>
      <c r="H160" s="89" t="s">
        <v>263</v>
      </c>
      <c r="I160" s="90" t="s">
        <v>290</v>
      </c>
      <c r="J160" s="92" t="n">
        <f aca="false">1.2167/30</f>
        <v>0.0405566666666667</v>
      </c>
      <c r="K160" s="93"/>
      <c r="L160" s="93"/>
      <c r="M160" s="93"/>
      <c r="N160" s="93"/>
      <c r="O160" s="94"/>
      <c r="P160" s="93"/>
      <c r="Q160" s="95" t="n">
        <v>893310</v>
      </c>
      <c r="R160" s="90" t="n">
        <v>41</v>
      </c>
      <c r="S160" s="89" t="s">
        <v>291</v>
      </c>
      <c r="T160" s="96" t="n">
        <f aca="false">+J160*R160*J$1</f>
        <v>49.8847</v>
      </c>
      <c r="U160" s="96"/>
      <c r="V160" s="97" t="n">
        <v>254436</v>
      </c>
      <c r="W160" s="89"/>
      <c r="X160" s="98"/>
      <c r="Y160" s="9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8"/>
      <c r="DG160" s="88"/>
      <c r="DH160" s="88"/>
      <c r="DI160" s="88"/>
      <c r="DJ160" s="88"/>
      <c r="DK160" s="88"/>
      <c r="DL160" s="88"/>
      <c r="DM160" s="88"/>
      <c r="DN160" s="88"/>
      <c r="DO160" s="88"/>
      <c r="DP160" s="88"/>
      <c r="DQ160" s="88"/>
      <c r="DR160" s="88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  <c r="EF160" s="88"/>
      <c r="EG160" s="88"/>
      <c r="EH160" s="88"/>
      <c r="EI160" s="88"/>
      <c r="EJ160" s="88"/>
      <c r="EK160" s="88"/>
      <c r="EL160" s="88"/>
      <c r="EM160" s="88"/>
      <c r="EN160" s="88"/>
      <c r="EO160" s="88"/>
      <c r="EP160" s="88"/>
      <c r="EQ160" s="88"/>
      <c r="ER160" s="88"/>
      <c r="ES160" s="88"/>
      <c r="ET160" s="88"/>
      <c r="EU160" s="88"/>
      <c r="EV160" s="88"/>
      <c r="EW160" s="88"/>
      <c r="EX160" s="88"/>
      <c r="EY160" s="88"/>
      <c r="EZ160" s="88"/>
      <c r="FA160" s="88"/>
      <c r="FB160" s="88"/>
      <c r="FC160" s="88"/>
      <c r="FD160" s="88"/>
      <c r="FE160" s="88"/>
      <c r="FF160" s="88"/>
      <c r="FG160" s="88"/>
      <c r="FH160" s="88"/>
      <c r="FI160" s="88"/>
      <c r="FJ160" s="88"/>
      <c r="FK160" s="88"/>
      <c r="FL160" s="88"/>
      <c r="FM160" s="88"/>
      <c r="FN160" s="88"/>
      <c r="FO160" s="88"/>
      <c r="FP160" s="88"/>
      <c r="FQ160" s="88"/>
      <c r="FR160" s="88"/>
      <c r="FS160" s="88"/>
      <c r="FT160" s="88"/>
      <c r="FU160" s="88"/>
      <c r="FV160" s="88"/>
      <c r="FW160" s="88"/>
      <c r="FX160" s="88"/>
      <c r="FY160" s="88"/>
      <c r="FZ160" s="88"/>
      <c r="GA160" s="88"/>
      <c r="GB160" s="88"/>
      <c r="GC160" s="88"/>
      <c r="GD160" s="88"/>
      <c r="GE160" s="88"/>
      <c r="GF160" s="88"/>
      <c r="GG160" s="88"/>
      <c r="GH160" s="88"/>
      <c r="GI160" s="88"/>
      <c r="GJ160" s="88"/>
      <c r="GK160" s="88"/>
      <c r="GL160" s="88"/>
      <c r="GM160" s="88"/>
      <c r="GN160" s="88"/>
      <c r="GO160" s="88"/>
      <c r="GP160" s="88"/>
      <c r="GQ160" s="88"/>
      <c r="GR160" s="88"/>
      <c r="GS160" s="88"/>
      <c r="GT160" s="88"/>
      <c r="GU160" s="88"/>
      <c r="GV160" s="88"/>
      <c r="GW160" s="88"/>
      <c r="GX160" s="88"/>
      <c r="GY160" s="88"/>
      <c r="GZ160" s="88"/>
      <c r="HA160" s="88"/>
      <c r="HB160" s="88"/>
      <c r="HC160" s="88"/>
      <c r="HD160" s="88"/>
      <c r="HE160" s="88"/>
      <c r="HF160" s="88"/>
      <c r="HG160" s="88"/>
      <c r="HH160" s="88"/>
      <c r="HI160" s="88"/>
      <c r="HJ160" s="88"/>
      <c r="HK160" s="88"/>
      <c r="HL160" s="88"/>
      <c r="HM160" s="88"/>
      <c r="HN160" s="88"/>
      <c r="HO160" s="88"/>
      <c r="HP160" s="88"/>
      <c r="HQ160" s="88"/>
      <c r="HR160" s="88"/>
      <c r="HS160" s="88"/>
      <c r="HT160" s="88"/>
      <c r="HU160" s="88"/>
      <c r="HV160" s="88"/>
      <c r="HW160" s="88"/>
      <c r="HX160" s="88"/>
      <c r="HY160" s="88"/>
      <c r="HZ160" s="88"/>
      <c r="IA160" s="88"/>
      <c r="IB160" s="88"/>
      <c r="IC160" s="88"/>
      <c r="ID160" s="88"/>
      <c r="IE160" s="88"/>
      <c r="IF160" s="88"/>
      <c r="IG160" s="88"/>
      <c r="IH160" s="88"/>
      <c r="II160" s="88"/>
      <c r="IJ160" s="88"/>
      <c r="IK160" s="88"/>
      <c r="IL160" s="88"/>
      <c r="IM160" s="88"/>
      <c r="IN160" s="88"/>
      <c r="IO160" s="88"/>
      <c r="IP160" s="88"/>
      <c r="IQ160" s="88"/>
      <c r="IR160" s="88"/>
      <c r="IS160" s="88"/>
      <c r="IT160" s="88"/>
      <c r="IU160" s="88"/>
      <c r="IV160" s="88"/>
      <c r="IW160" s="88"/>
    </row>
    <row r="161" customFormat="false" ht="12.75" hidden="false" customHeight="false" outlineLevel="0" collapsed="false">
      <c r="A161" s="88"/>
      <c r="B161" s="89" t="s">
        <v>201</v>
      </c>
      <c r="C161" s="90" t="s">
        <v>250</v>
      </c>
      <c r="D161" s="90" t="s">
        <v>94</v>
      </c>
      <c r="E161" s="91" t="n">
        <v>36617</v>
      </c>
      <c r="F161" s="91" t="n">
        <v>36646</v>
      </c>
      <c r="G161" s="89" t="s">
        <v>292</v>
      </c>
      <c r="H161" s="89" t="s">
        <v>263</v>
      </c>
      <c r="I161" s="90" t="s">
        <v>254</v>
      </c>
      <c r="J161" s="92" t="n">
        <f aca="false">5.075/30</f>
        <v>0.169166666666667</v>
      </c>
      <c r="K161" s="93"/>
      <c r="L161" s="93"/>
      <c r="M161" s="93"/>
      <c r="N161" s="93"/>
      <c r="O161" s="94"/>
      <c r="P161" s="93"/>
      <c r="Q161" s="95" t="n">
        <v>893309</v>
      </c>
      <c r="R161" s="90" t="n">
        <v>41</v>
      </c>
      <c r="S161" s="89" t="s">
        <v>293</v>
      </c>
      <c r="T161" s="96" t="n">
        <f aca="false">+J161*R161*J$1</f>
        <v>208.075</v>
      </c>
      <c r="U161" s="96"/>
      <c r="V161" s="97" t="n">
        <v>254432</v>
      </c>
      <c r="W161" s="89"/>
      <c r="X161" s="98"/>
      <c r="Y161" s="9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88"/>
      <c r="GD161" s="88"/>
      <c r="GE161" s="88"/>
      <c r="GF161" s="88"/>
      <c r="GG161" s="88"/>
      <c r="GH161" s="88"/>
      <c r="GI161" s="88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  <c r="GT161" s="88"/>
      <c r="GU161" s="88"/>
      <c r="GV161" s="88"/>
      <c r="GW161" s="88"/>
      <c r="GX161" s="88"/>
      <c r="GY161" s="88"/>
      <c r="GZ161" s="88"/>
      <c r="HA161" s="88"/>
      <c r="HB161" s="88"/>
      <c r="HC161" s="88"/>
      <c r="HD161" s="88"/>
      <c r="HE161" s="88"/>
      <c r="HF161" s="88"/>
      <c r="HG161" s="88"/>
      <c r="HH161" s="88"/>
      <c r="HI161" s="88"/>
      <c r="HJ161" s="88"/>
      <c r="HK161" s="88"/>
      <c r="HL161" s="88"/>
      <c r="HM161" s="88"/>
      <c r="HN161" s="88"/>
      <c r="HO161" s="88"/>
      <c r="HP161" s="88"/>
      <c r="HQ161" s="88"/>
      <c r="HR161" s="88"/>
      <c r="HS161" s="88"/>
      <c r="HT161" s="88"/>
      <c r="HU161" s="88"/>
      <c r="HV161" s="88"/>
      <c r="HW161" s="88"/>
      <c r="HX161" s="88"/>
      <c r="HY161" s="88"/>
      <c r="HZ161" s="88"/>
      <c r="IA161" s="88"/>
      <c r="IB161" s="88"/>
      <c r="IC161" s="88"/>
      <c r="ID161" s="88"/>
      <c r="IE161" s="88"/>
      <c r="IF161" s="88"/>
      <c r="IG161" s="88"/>
      <c r="IH161" s="88"/>
      <c r="II161" s="88"/>
      <c r="IJ161" s="88"/>
      <c r="IK161" s="88"/>
      <c r="IL161" s="88"/>
      <c r="IM161" s="88"/>
      <c r="IN161" s="88"/>
      <c r="IO161" s="88"/>
      <c r="IP161" s="88"/>
      <c r="IQ161" s="88"/>
      <c r="IR161" s="88"/>
      <c r="IS161" s="88"/>
      <c r="IT161" s="88"/>
      <c r="IU161" s="88"/>
      <c r="IV161" s="88"/>
      <c r="IW161" s="88"/>
    </row>
    <row r="162" customFormat="false" ht="12.75" hidden="false" customHeight="false" outlineLevel="0" collapsed="false">
      <c r="A162" s="73"/>
      <c r="B162" s="46" t="s">
        <v>249</v>
      </c>
      <c r="C162" s="44" t="s">
        <v>250</v>
      </c>
      <c r="D162" s="44" t="s">
        <v>251</v>
      </c>
      <c r="E162" s="45" t="n">
        <v>36617</v>
      </c>
      <c r="F162" s="45" t="n">
        <v>36830</v>
      </c>
      <c r="G162" s="46" t="s">
        <v>263</v>
      </c>
      <c r="H162" s="46" t="s">
        <v>107</v>
      </c>
      <c r="I162" s="44" t="s">
        <v>264</v>
      </c>
      <c r="J162" s="58" t="n">
        <f aca="false">7.136/J$1</f>
        <v>0.237866666666667</v>
      </c>
      <c r="K162" s="49"/>
      <c r="L162" s="49"/>
      <c r="M162" s="49"/>
      <c r="N162" s="49"/>
      <c r="O162" s="50"/>
      <c r="P162" s="49"/>
      <c r="Q162" s="51" t="n">
        <v>889165</v>
      </c>
      <c r="R162" s="44" t="n">
        <v>10</v>
      </c>
      <c r="S162" s="46" t="s">
        <v>294</v>
      </c>
      <c r="T162" s="74" t="n">
        <f aca="false">J162*J$1*R162</f>
        <v>71.36</v>
      </c>
      <c r="U162" s="74"/>
      <c r="V162" s="75" t="n">
        <v>276479</v>
      </c>
      <c r="W162" s="46"/>
      <c r="X162" s="72"/>
      <c r="Y162" s="72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  <c r="BX162" s="73"/>
      <c r="BY162" s="73"/>
      <c r="BZ162" s="73"/>
      <c r="CA162" s="73"/>
      <c r="CB162" s="73"/>
      <c r="CC162" s="73"/>
      <c r="CD162" s="73"/>
      <c r="CE162" s="73"/>
      <c r="CF162" s="73"/>
      <c r="CG162" s="73"/>
      <c r="CH162" s="73"/>
      <c r="CI162" s="73"/>
      <c r="CJ162" s="73"/>
      <c r="CK162" s="73"/>
      <c r="CL162" s="73"/>
      <c r="CM162" s="73"/>
      <c r="CN162" s="73"/>
      <c r="CO162" s="73"/>
      <c r="CP162" s="73"/>
      <c r="CQ162" s="73"/>
      <c r="CR162" s="73"/>
      <c r="CS162" s="73"/>
      <c r="CT162" s="73"/>
      <c r="CU162" s="73"/>
      <c r="CV162" s="73"/>
      <c r="CW162" s="73"/>
      <c r="CX162" s="73"/>
      <c r="CY162" s="73"/>
      <c r="CZ162" s="73"/>
      <c r="DA162" s="73"/>
      <c r="DB162" s="73"/>
      <c r="DC162" s="73"/>
      <c r="DD162" s="73"/>
      <c r="DE162" s="73"/>
      <c r="DF162" s="73"/>
      <c r="DG162" s="73"/>
      <c r="DH162" s="73"/>
      <c r="DI162" s="73"/>
      <c r="DJ162" s="73"/>
      <c r="DK162" s="73"/>
      <c r="DL162" s="73"/>
      <c r="DM162" s="73"/>
      <c r="DN162" s="73"/>
      <c r="DO162" s="73"/>
      <c r="DP162" s="73"/>
      <c r="DQ162" s="73"/>
      <c r="DR162" s="73"/>
      <c r="DS162" s="73"/>
      <c r="DT162" s="73"/>
      <c r="DU162" s="73"/>
      <c r="DV162" s="73"/>
      <c r="DW162" s="73"/>
      <c r="DX162" s="73"/>
      <c r="DY162" s="73"/>
      <c r="DZ162" s="73"/>
      <c r="EA162" s="73"/>
      <c r="EB162" s="73"/>
      <c r="EC162" s="73"/>
      <c r="ED162" s="73"/>
      <c r="EE162" s="73"/>
      <c r="EF162" s="73"/>
      <c r="EG162" s="73"/>
      <c r="EH162" s="73"/>
      <c r="EI162" s="73"/>
      <c r="EJ162" s="73"/>
      <c r="EK162" s="73"/>
      <c r="EL162" s="73"/>
      <c r="EM162" s="73"/>
      <c r="EN162" s="73"/>
      <c r="EO162" s="73"/>
      <c r="EP162" s="73"/>
      <c r="EQ162" s="73"/>
      <c r="ER162" s="73"/>
      <c r="ES162" s="73"/>
      <c r="ET162" s="73"/>
      <c r="EU162" s="73"/>
      <c r="EV162" s="73"/>
      <c r="EW162" s="73"/>
      <c r="EX162" s="73"/>
      <c r="EY162" s="73"/>
      <c r="EZ162" s="73"/>
      <c r="FA162" s="73"/>
      <c r="FB162" s="73"/>
      <c r="FC162" s="73"/>
      <c r="FD162" s="73"/>
      <c r="FE162" s="73"/>
      <c r="FF162" s="73"/>
      <c r="FG162" s="73"/>
      <c r="FH162" s="73"/>
      <c r="FI162" s="73"/>
      <c r="FJ162" s="73"/>
      <c r="FK162" s="73"/>
      <c r="FL162" s="73"/>
      <c r="FM162" s="73"/>
      <c r="FN162" s="73"/>
      <c r="FO162" s="73"/>
      <c r="FP162" s="73"/>
      <c r="FQ162" s="73"/>
      <c r="FR162" s="73"/>
      <c r="FS162" s="73"/>
      <c r="FT162" s="73"/>
      <c r="FU162" s="73"/>
      <c r="FV162" s="73"/>
      <c r="FW162" s="73"/>
      <c r="FX162" s="73"/>
      <c r="FY162" s="73"/>
      <c r="FZ162" s="73"/>
      <c r="GA162" s="73"/>
      <c r="GB162" s="73"/>
      <c r="GC162" s="73"/>
      <c r="GD162" s="73"/>
      <c r="GE162" s="73"/>
      <c r="GF162" s="73"/>
      <c r="GG162" s="73"/>
      <c r="GH162" s="73"/>
      <c r="GI162" s="73"/>
      <c r="GJ162" s="73"/>
      <c r="GK162" s="73"/>
      <c r="GL162" s="73"/>
      <c r="GM162" s="73"/>
      <c r="GN162" s="73"/>
      <c r="GO162" s="73"/>
      <c r="GP162" s="73"/>
      <c r="GQ162" s="73"/>
      <c r="GR162" s="73"/>
      <c r="GS162" s="73"/>
      <c r="GT162" s="73"/>
      <c r="GU162" s="73"/>
      <c r="GV162" s="73"/>
      <c r="GW162" s="73"/>
      <c r="GX162" s="73"/>
      <c r="GY162" s="73"/>
      <c r="GZ162" s="73"/>
      <c r="HA162" s="73"/>
      <c r="HB162" s="73"/>
      <c r="HC162" s="73"/>
      <c r="HD162" s="73"/>
      <c r="HE162" s="73"/>
      <c r="HF162" s="73"/>
      <c r="HG162" s="73"/>
      <c r="HH162" s="73"/>
      <c r="HI162" s="73"/>
      <c r="HJ162" s="73"/>
      <c r="HK162" s="73"/>
      <c r="HL162" s="73"/>
      <c r="HM162" s="73"/>
      <c r="HN162" s="73"/>
      <c r="HO162" s="73"/>
      <c r="HP162" s="73"/>
      <c r="HQ162" s="73"/>
      <c r="HR162" s="73"/>
      <c r="HS162" s="73"/>
      <c r="HT162" s="73"/>
      <c r="HU162" s="73"/>
      <c r="HV162" s="73"/>
      <c r="HW162" s="73"/>
      <c r="HX162" s="73"/>
      <c r="HY162" s="73"/>
      <c r="HZ162" s="73"/>
      <c r="IA162" s="73"/>
      <c r="IB162" s="73"/>
      <c r="IC162" s="73"/>
      <c r="ID162" s="73"/>
      <c r="IE162" s="73"/>
      <c r="IF162" s="73"/>
      <c r="IG162" s="73"/>
      <c r="IH162" s="73"/>
      <c r="II162" s="73"/>
      <c r="IJ162" s="73"/>
      <c r="IK162" s="73"/>
      <c r="IL162" s="73"/>
      <c r="IM162" s="73"/>
      <c r="IN162" s="73"/>
      <c r="IO162" s="73"/>
      <c r="IP162" s="73"/>
      <c r="IQ162" s="73"/>
      <c r="IR162" s="73"/>
      <c r="IS162" s="73"/>
      <c r="IT162" s="73"/>
      <c r="IU162" s="73"/>
      <c r="IV162" s="73"/>
      <c r="IW162" s="73"/>
    </row>
    <row r="163" customFormat="false" ht="12.75" hidden="false" customHeight="false" outlineLevel="0" collapsed="false">
      <c r="A163" s="73"/>
      <c r="B163" s="46" t="s">
        <v>249</v>
      </c>
      <c r="C163" s="44" t="s">
        <v>250</v>
      </c>
      <c r="D163" s="44" t="s">
        <v>251</v>
      </c>
      <c r="E163" s="45" t="n">
        <v>36617</v>
      </c>
      <c r="F163" s="45" t="n">
        <v>36830</v>
      </c>
      <c r="G163" s="46" t="s">
        <v>263</v>
      </c>
      <c r="H163" s="46" t="s">
        <v>107</v>
      </c>
      <c r="I163" s="44" t="s">
        <v>264</v>
      </c>
      <c r="J163" s="58" t="n">
        <f aca="false">7.136/J$1</f>
        <v>0.237866666666667</v>
      </c>
      <c r="K163" s="49"/>
      <c r="L163" s="49"/>
      <c r="M163" s="49"/>
      <c r="N163" s="49"/>
      <c r="O163" s="50"/>
      <c r="P163" s="49"/>
      <c r="Q163" s="51" t="n">
        <v>889165</v>
      </c>
      <c r="R163" s="44" t="n">
        <v>-10</v>
      </c>
      <c r="S163" s="46" t="s">
        <v>295</v>
      </c>
      <c r="T163" s="74" t="n">
        <f aca="false">J163*J$1*R163</f>
        <v>-71.36</v>
      </c>
      <c r="U163" s="74"/>
      <c r="V163" s="75"/>
      <c r="W163" s="46"/>
      <c r="X163" s="72"/>
      <c r="Y163" s="72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  <c r="BX163" s="73"/>
      <c r="BY163" s="73"/>
      <c r="BZ163" s="73"/>
      <c r="CA163" s="73"/>
      <c r="CB163" s="73"/>
      <c r="CC163" s="73"/>
      <c r="CD163" s="73"/>
      <c r="CE163" s="73"/>
      <c r="CF163" s="73"/>
      <c r="CG163" s="73"/>
      <c r="CH163" s="73"/>
      <c r="CI163" s="73"/>
      <c r="CJ163" s="73"/>
      <c r="CK163" s="73"/>
      <c r="CL163" s="73"/>
      <c r="CM163" s="73"/>
      <c r="CN163" s="73"/>
      <c r="CO163" s="73"/>
      <c r="CP163" s="73"/>
      <c r="CQ163" s="73"/>
      <c r="CR163" s="73"/>
      <c r="CS163" s="73"/>
      <c r="CT163" s="73"/>
      <c r="CU163" s="73"/>
      <c r="CV163" s="73"/>
      <c r="CW163" s="73"/>
      <c r="CX163" s="73"/>
      <c r="CY163" s="73"/>
      <c r="CZ163" s="73"/>
      <c r="DA163" s="73"/>
      <c r="DB163" s="73"/>
      <c r="DC163" s="73"/>
      <c r="DD163" s="73"/>
      <c r="DE163" s="73"/>
      <c r="DF163" s="73"/>
      <c r="DG163" s="73"/>
      <c r="DH163" s="73"/>
      <c r="DI163" s="73"/>
      <c r="DJ163" s="73"/>
      <c r="DK163" s="73"/>
      <c r="DL163" s="73"/>
      <c r="DM163" s="73"/>
      <c r="DN163" s="73"/>
      <c r="DO163" s="73"/>
      <c r="DP163" s="73"/>
      <c r="DQ163" s="73"/>
      <c r="DR163" s="73"/>
      <c r="DS163" s="73"/>
      <c r="DT163" s="73"/>
      <c r="DU163" s="73"/>
      <c r="DV163" s="73"/>
      <c r="DW163" s="73"/>
      <c r="DX163" s="73"/>
      <c r="DY163" s="73"/>
      <c r="DZ163" s="73"/>
      <c r="EA163" s="73"/>
      <c r="EB163" s="73"/>
      <c r="EC163" s="73"/>
      <c r="ED163" s="73"/>
      <c r="EE163" s="73"/>
      <c r="EF163" s="73"/>
      <c r="EG163" s="73"/>
      <c r="EH163" s="73"/>
      <c r="EI163" s="73"/>
      <c r="EJ163" s="73"/>
      <c r="EK163" s="73"/>
      <c r="EL163" s="73"/>
      <c r="EM163" s="73"/>
      <c r="EN163" s="73"/>
      <c r="EO163" s="73"/>
      <c r="EP163" s="73"/>
      <c r="EQ163" s="73"/>
      <c r="ER163" s="73"/>
      <c r="ES163" s="73"/>
      <c r="ET163" s="73"/>
      <c r="EU163" s="73"/>
      <c r="EV163" s="73"/>
      <c r="EW163" s="73"/>
      <c r="EX163" s="73"/>
      <c r="EY163" s="73"/>
      <c r="EZ163" s="73"/>
      <c r="FA163" s="73"/>
      <c r="FB163" s="73"/>
      <c r="FC163" s="73"/>
      <c r="FD163" s="73"/>
      <c r="FE163" s="73"/>
      <c r="FF163" s="73"/>
      <c r="FG163" s="73"/>
      <c r="FH163" s="73"/>
      <c r="FI163" s="73"/>
      <c r="FJ163" s="73"/>
      <c r="FK163" s="73"/>
      <c r="FL163" s="73"/>
      <c r="FM163" s="73"/>
      <c r="FN163" s="73"/>
      <c r="FO163" s="73"/>
      <c r="FP163" s="73"/>
      <c r="FQ163" s="73"/>
      <c r="FR163" s="73"/>
      <c r="FS163" s="73"/>
      <c r="FT163" s="73"/>
      <c r="FU163" s="73"/>
      <c r="FV163" s="73"/>
      <c r="FW163" s="73"/>
      <c r="FX163" s="73"/>
      <c r="FY163" s="73"/>
      <c r="FZ163" s="73"/>
      <c r="GA163" s="73"/>
      <c r="GB163" s="73"/>
      <c r="GC163" s="73"/>
      <c r="GD163" s="73"/>
      <c r="GE163" s="73"/>
      <c r="GF163" s="73"/>
      <c r="GG163" s="73"/>
      <c r="GH163" s="73"/>
      <c r="GI163" s="73"/>
      <c r="GJ163" s="73"/>
      <c r="GK163" s="73"/>
      <c r="GL163" s="73"/>
      <c r="GM163" s="73"/>
      <c r="GN163" s="73"/>
      <c r="GO163" s="73"/>
      <c r="GP163" s="73"/>
      <c r="GQ163" s="73"/>
      <c r="GR163" s="73"/>
      <c r="GS163" s="73"/>
      <c r="GT163" s="73"/>
      <c r="GU163" s="73"/>
      <c r="GV163" s="73"/>
      <c r="GW163" s="73"/>
      <c r="GX163" s="73"/>
      <c r="GY163" s="73"/>
      <c r="GZ163" s="73"/>
      <c r="HA163" s="73"/>
      <c r="HB163" s="73"/>
      <c r="HC163" s="73"/>
      <c r="HD163" s="73"/>
      <c r="HE163" s="73"/>
      <c r="HF163" s="73"/>
      <c r="HG163" s="73"/>
      <c r="HH163" s="73"/>
      <c r="HI163" s="73"/>
      <c r="HJ163" s="73"/>
      <c r="HK163" s="73"/>
      <c r="HL163" s="73"/>
      <c r="HM163" s="73"/>
      <c r="HN163" s="73"/>
      <c r="HO163" s="73"/>
      <c r="HP163" s="73"/>
      <c r="HQ163" s="73"/>
      <c r="HR163" s="73"/>
      <c r="HS163" s="73"/>
      <c r="HT163" s="73"/>
      <c r="HU163" s="73"/>
      <c r="HV163" s="73"/>
      <c r="HW163" s="73"/>
      <c r="HX163" s="73"/>
      <c r="HY163" s="73"/>
      <c r="HZ163" s="73"/>
      <c r="IA163" s="73"/>
      <c r="IB163" s="73"/>
      <c r="IC163" s="73"/>
      <c r="ID163" s="73"/>
      <c r="IE163" s="73"/>
      <c r="IF163" s="73"/>
      <c r="IG163" s="73"/>
      <c r="IH163" s="73"/>
      <c r="II163" s="73"/>
      <c r="IJ163" s="73"/>
      <c r="IK163" s="73"/>
      <c r="IL163" s="73"/>
      <c r="IM163" s="73"/>
      <c r="IN163" s="73"/>
      <c r="IO163" s="73"/>
      <c r="IP163" s="73"/>
      <c r="IQ163" s="73"/>
      <c r="IR163" s="73"/>
      <c r="IS163" s="73"/>
      <c r="IT163" s="73"/>
      <c r="IU163" s="73"/>
      <c r="IV163" s="73"/>
      <c r="IW163" s="73"/>
    </row>
    <row r="164" customFormat="false" ht="12.75" hidden="false" customHeight="false" outlineLevel="0" collapsed="false">
      <c r="A164" s="73"/>
      <c r="B164" s="46" t="s">
        <v>201</v>
      </c>
      <c r="C164" s="44" t="s">
        <v>250</v>
      </c>
      <c r="D164" s="44" t="s">
        <v>251</v>
      </c>
      <c r="E164" s="45" t="n">
        <v>36617</v>
      </c>
      <c r="F164" s="45" t="n">
        <v>37560</v>
      </c>
      <c r="G164" s="46" t="s">
        <v>276</v>
      </c>
      <c r="H164" s="46" t="s">
        <v>277</v>
      </c>
      <c r="I164" s="44" t="s">
        <v>254</v>
      </c>
      <c r="J164" s="58" t="n">
        <v>0.5083</v>
      </c>
      <c r="K164" s="49"/>
      <c r="L164" s="49"/>
      <c r="M164" s="49"/>
      <c r="N164" s="49"/>
      <c r="O164" s="50"/>
      <c r="P164" s="49"/>
      <c r="Q164" s="51" t="n">
        <v>889122</v>
      </c>
      <c r="R164" s="44" t="n">
        <v>16</v>
      </c>
      <c r="S164" s="46" t="s">
        <v>296</v>
      </c>
      <c r="T164" s="74" t="n">
        <f aca="false">J164*J$1*R164</f>
        <v>243.984</v>
      </c>
      <c r="U164" s="74"/>
      <c r="V164" s="75" t="n">
        <v>276496</v>
      </c>
      <c r="W164" s="46"/>
      <c r="X164" s="72"/>
      <c r="Y164" s="72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73"/>
      <c r="CS164" s="73"/>
      <c r="CT164" s="73"/>
      <c r="CU164" s="73"/>
      <c r="CV164" s="73"/>
      <c r="CW164" s="73"/>
      <c r="CX164" s="73"/>
      <c r="CY164" s="73"/>
      <c r="CZ164" s="73"/>
      <c r="DA164" s="73"/>
      <c r="DB164" s="73"/>
      <c r="DC164" s="73"/>
      <c r="DD164" s="73"/>
      <c r="DE164" s="73"/>
      <c r="DF164" s="73"/>
      <c r="DG164" s="73"/>
      <c r="DH164" s="73"/>
      <c r="DI164" s="73"/>
      <c r="DJ164" s="73"/>
      <c r="DK164" s="73"/>
      <c r="DL164" s="73"/>
      <c r="DM164" s="73"/>
      <c r="DN164" s="73"/>
      <c r="DO164" s="73"/>
      <c r="DP164" s="73"/>
      <c r="DQ164" s="73"/>
      <c r="DR164" s="73"/>
      <c r="DS164" s="73"/>
      <c r="DT164" s="73"/>
      <c r="DU164" s="73"/>
      <c r="DV164" s="73"/>
      <c r="DW164" s="73"/>
      <c r="DX164" s="73"/>
      <c r="DY164" s="73"/>
      <c r="DZ164" s="73"/>
      <c r="EA164" s="73"/>
      <c r="EB164" s="73"/>
      <c r="EC164" s="73"/>
      <c r="ED164" s="73"/>
      <c r="EE164" s="73"/>
      <c r="EF164" s="73"/>
      <c r="EG164" s="73"/>
      <c r="EH164" s="73"/>
      <c r="EI164" s="73"/>
      <c r="EJ164" s="73"/>
      <c r="EK164" s="73"/>
      <c r="EL164" s="73"/>
      <c r="EM164" s="73"/>
      <c r="EN164" s="73"/>
      <c r="EO164" s="73"/>
      <c r="EP164" s="73"/>
      <c r="EQ164" s="73"/>
      <c r="ER164" s="73"/>
      <c r="ES164" s="73"/>
      <c r="ET164" s="73"/>
      <c r="EU164" s="73"/>
      <c r="EV164" s="73"/>
      <c r="EW164" s="73"/>
      <c r="EX164" s="73"/>
      <c r="EY164" s="73"/>
      <c r="EZ164" s="73"/>
      <c r="FA164" s="73"/>
      <c r="FB164" s="73"/>
      <c r="FC164" s="73"/>
      <c r="FD164" s="73"/>
      <c r="FE164" s="73"/>
      <c r="FF164" s="73"/>
      <c r="FG164" s="73"/>
      <c r="FH164" s="73"/>
      <c r="FI164" s="73"/>
      <c r="FJ164" s="73"/>
      <c r="FK164" s="73"/>
      <c r="FL164" s="73"/>
      <c r="FM164" s="73"/>
      <c r="FN164" s="73"/>
      <c r="FO164" s="73"/>
      <c r="FP164" s="73"/>
      <c r="FQ164" s="73"/>
      <c r="FR164" s="73"/>
      <c r="FS164" s="73"/>
      <c r="FT164" s="73"/>
      <c r="FU164" s="73"/>
      <c r="FV164" s="73"/>
      <c r="FW164" s="73"/>
      <c r="FX164" s="73"/>
      <c r="FY164" s="73"/>
      <c r="FZ164" s="73"/>
      <c r="GA164" s="73"/>
      <c r="GB164" s="73"/>
      <c r="GC164" s="73"/>
      <c r="GD164" s="73"/>
      <c r="GE164" s="73"/>
      <c r="GF164" s="73"/>
      <c r="GG164" s="73"/>
      <c r="GH164" s="73"/>
      <c r="GI164" s="73"/>
      <c r="GJ164" s="73"/>
      <c r="GK164" s="73"/>
      <c r="GL164" s="73"/>
      <c r="GM164" s="73"/>
      <c r="GN164" s="73"/>
      <c r="GO164" s="73"/>
      <c r="GP164" s="73"/>
      <c r="GQ164" s="73"/>
      <c r="GR164" s="73"/>
      <c r="GS164" s="73"/>
      <c r="GT164" s="73"/>
      <c r="GU164" s="73"/>
      <c r="GV164" s="73"/>
      <c r="GW164" s="73"/>
      <c r="GX164" s="73"/>
      <c r="GY164" s="73"/>
      <c r="GZ164" s="73"/>
      <c r="HA164" s="73"/>
      <c r="HB164" s="73"/>
      <c r="HC164" s="73"/>
      <c r="HD164" s="73"/>
      <c r="HE164" s="73"/>
      <c r="HF164" s="73"/>
      <c r="HG164" s="73"/>
      <c r="HH164" s="73"/>
      <c r="HI164" s="73"/>
      <c r="HJ164" s="73"/>
      <c r="HK164" s="73"/>
      <c r="HL164" s="73"/>
      <c r="HM164" s="73"/>
      <c r="HN164" s="73"/>
      <c r="HO164" s="73"/>
      <c r="HP164" s="73"/>
      <c r="HQ164" s="73"/>
      <c r="HR164" s="73"/>
      <c r="HS164" s="73"/>
      <c r="HT164" s="73"/>
      <c r="HU164" s="73"/>
      <c r="HV164" s="73"/>
      <c r="HW164" s="73"/>
      <c r="HX164" s="73"/>
      <c r="HY164" s="73"/>
      <c r="HZ164" s="73"/>
      <c r="IA164" s="73"/>
      <c r="IB164" s="73"/>
      <c r="IC164" s="73"/>
      <c r="ID164" s="73"/>
      <c r="IE164" s="73"/>
      <c r="IF164" s="73"/>
      <c r="IG164" s="73"/>
      <c r="IH164" s="73"/>
      <c r="II164" s="73"/>
      <c r="IJ164" s="73"/>
      <c r="IK164" s="73"/>
      <c r="IL164" s="73"/>
      <c r="IM164" s="73"/>
      <c r="IN164" s="73"/>
      <c r="IO164" s="73"/>
      <c r="IP164" s="73"/>
      <c r="IQ164" s="73"/>
      <c r="IR164" s="73"/>
      <c r="IS164" s="73"/>
      <c r="IT164" s="73"/>
      <c r="IU164" s="73"/>
      <c r="IV164" s="73"/>
      <c r="IW164" s="73"/>
    </row>
    <row r="165" customFormat="false" ht="12.75" hidden="false" customHeight="false" outlineLevel="0" collapsed="false">
      <c r="A165" s="73"/>
      <c r="B165" s="46" t="s">
        <v>201</v>
      </c>
      <c r="C165" s="44" t="s">
        <v>250</v>
      </c>
      <c r="D165" s="44" t="s">
        <v>251</v>
      </c>
      <c r="E165" s="45" t="n">
        <v>36617</v>
      </c>
      <c r="F165" s="45" t="n">
        <v>37560</v>
      </c>
      <c r="G165" s="46" t="s">
        <v>276</v>
      </c>
      <c r="H165" s="46" t="s">
        <v>277</v>
      </c>
      <c r="I165" s="44" t="s">
        <v>254</v>
      </c>
      <c r="J165" s="58" t="n">
        <v>0.5083</v>
      </c>
      <c r="K165" s="49"/>
      <c r="L165" s="49"/>
      <c r="M165" s="49"/>
      <c r="N165" s="49"/>
      <c r="O165" s="50"/>
      <c r="P165" s="49"/>
      <c r="Q165" s="51" t="n">
        <v>889122</v>
      </c>
      <c r="R165" s="44" t="n">
        <v>-16</v>
      </c>
      <c r="S165" s="46" t="s">
        <v>297</v>
      </c>
      <c r="T165" s="74" t="n">
        <f aca="false">J165*J$1*R165</f>
        <v>-243.984</v>
      </c>
      <c r="U165" s="74"/>
      <c r="V165" s="75"/>
      <c r="W165" s="46"/>
      <c r="X165" s="72"/>
      <c r="Y165" s="72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  <c r="BX165" s="73"/>
      <c r="BY165" s="73"/>
      <c r="BZ165" s="73"/>
      <c r="CA165" s="73"/>
      <c r="CB165" s="73"/>
      <c r="CC165" s="73"/>
      <c r="CD165" s="73"/>
      <c r="CE165" s="73"/>
      <c r="CF165" s="73"/>
      <c r="CG165" s="73"/>
      <c r="CH165" s="73"/>
      <c r="CI165" s="73"/>
      <c r="CJ165" s="73"/>
      <c r="CK165" s="73"/>
      <c r="CL165" s="73"/>
      <c r="CM165" s="73"/>
      <c r="CN165" s="73"/>
      <c r="CO165" s="73"/>
      <c r="CP165" s="73"/>
      <c r="CQ165" s="73"/>
      <c r="CR165" s="73"/>
      <c r="CS165" s="73"/>
      <c r="CT165" s="73"/>
      <c r="CU165" s="73"/>
      <c r="CV165" s="73"/>
      <c r="CW165" s="73"/>
      <c r="CX165" s="73"/>
      <c r="CY165" s="73"/>
      <c r="CZ165" s="73"/>
      <c r="DA165" s="73"/>
      <c r="DB165" s="73"/>
      <c r="DC165" s="73"/>
      <c r="DD165" s="73"/>
      <c r="DE165" s="73"/>
      <c r="DF165" s="73"/>
      <c r="DG165" s="73"/>
      <c r="DH165" s="73"/>
      <c r="DI165" s="73"/>
      <c r="DJ165" s="73"/>
      <c r="DK165" s="73"/>
      <c r="DL165" s="73"/>
      <c r="DM165" s="73"/>
      <c r="DN165" s="73"/>
      <c r="DO165" s="73"/>
      <c r="DP165" s="73"/>
      <c r="DQ165" s="73"/>
      <c r="DR165" s="73"/>
      <c r="DS165" s="73"/>
      <c r="DT165" s="73"/>
      <c r="DU165" s="73"/>
      <c r="DV165" s="73"/>
      <c r="DW165" s="73"/>
      <c r="DX165" s="73"/>
      <c r="DY165" s="73"/>
      <c r="DZ165" s="73"/>
      <c r="EA165" s="73"/>
      <c r="EB165" s="73"/>
      <c r="EC165" s="73"/>
      <c r="ED165" s="73"/>
      <c r="EE165" s="73"/>
      <c r="EF165" s="73"/>
      <c r="EG165" s="73"/>
      <c r="EH165" s="73"/>
      <c r="EI165" s="73"/>
      <c r="EJ165" s="73"/>
      <c r="EK165" s="73"/>
      <c r="EL165" s="73"/>
      <c r="EM165" s="73"/>
      <c r="EN165" s="73"/>
      <c r="EO165" s="73"/>
      <c r="EP165" s="73"/>
      <c r="EQ165" s="73"/>
      <c r="ER165" s="73"/>
      <c r="ES165" s="73"/>
      <c r="ET165" s="73"/>
      <c r="EU165" s="73"/>
      <c r="EV165" s="73"/>
      <c r="EW165" s="73"/>
      <c r="EX165" s="73"/>
      <c r="EY165" s="73"/>
      <c r="EZ165" s="73"/>
      <c r="FA165" s="73"/>
      <c r="FB165" s="73"/>
      <c r="FC165" s="73"/>
      <c r="FD165" s="73"/>
      <c r="FE165" s="73"/>
      <c r="FF165" s="73"/>
      <c r="FG165" s="73"/>
      <c r="FH165" s="73"/>
      <c r="FI165" s="73"/>
      <c r="FJ165" s="73"/>
      <c r="FK165" s="73"/>
      <c r="FL165" s="73"/>
      <c r="FM165" s="73"/>
      <c r="FN165" s="73"/>
      <c r="FO165" s="73"/>
      <c r="FP165" s="73"/>
      <c r="FQ165" s="73"/>
      <c r="FR165" s="73"/>
      <c r="FS165" s="73"/>
      <c r="FT165" s="73"/>
      <c r="FU165" s="73"/>
      <c r="FV165" s="73"/>
      <c r="FW165" s="73"/>
      <c r="FX165" s="73"/>
      <c r="FY165" s="73"/>
      <c r="FZ165" s="73"/>
      <c r="GA165" s="73"/>
      <c r="GB165" s="73"/>
      <c r="GC165" s="73"/>
      <c r="GD165" s="73"/>
      <c r="GE165" s="73"/>
      <c r="GF165" s="73"/>
      <c r="GG165" s="73"/>
      <c r="GH165" s="73"/>
      <c r="GI165" s="73"/>
      <c r="GJ165" s="73"/>
      <c r="GK165" s="73"/>
      <c r="GL165" s="73"/>
      <c r="GM165" s="73"/>
      <c r="GN165" s="73"/>
      <c r="GO165" s="73"/>
      <c r="GP165" s="73"/>
      <c r="GQ165" s="73"/>
      <c r="GR165" s="73"/>
      <c r="GS165" s="73"/>
      <c r="GT165" s="73"/>
      <c r="GU165" s="73"/>
      <c r="GV165" s="73"/>
      <c r="GW165" s="73"/>
      <c r="GX165" s="73"/>
      <c r="GY165" s="73"/>
      <c r="GZ165" s="73"/>
      <c r="HA165" s="73"/>
      <c r="HB165" s="73"/>
      <c r="HC165" s="73"/>
      <c r="HD165" s="73"/>
      <c r="HE165" s="73"/>
      <c r="HF165" s="73"/>
      <c r="HG165" s="73"/>
      <c r="HH165" s="73"/>
      <c r="HI165" s="73"/>
      <c r="HJ165" s="73"/>
      <c r="HK165" s="73"/>
      <c r="HL165" s="73"/>
      <c r="HM165" s="73"/>
      <c r="HN165" s="73"/>
      <c r="HO165" s="73"/>
      <c r="HP165" s="73"/>
      <c r="HQ165" s="73"/>
      <c r="HR165" s="73"/>
      <c r="HS165" s="73"/>
      <c r="HT165" s="73"/>
      <c r="HU165" s="73"/>
      <c r="HV165" s="73"/>
      <c r="HW165" s="73"/>
      <c r="HX165" s="73"/>
      <c r="HY165" s="73"/>
      <c r="HZ165" s="73"/>
      <c r="IA165" s="73"/>
      <c r="IB165" s="73"/>
      <c r="IC165" s="73"/>
      <c r="ID165" s="73"/>
      <c r="IE165" s="73"/>
      <c r="IF165" s="73"/>
      <c r="IG165" s="73"/>
      <c r="IH165" s="73"/>
      <c r="II165" s="73"/>
      <c r="IJ165" s="73"/>
      <c r="IK165" s="73"/>
      <c r="IL165" s="73"/>
      <c r="IM165" s="73"/>
      <c r="IN165" s="73"/>
      <c r="IO165" s="73"/>
      <c r="IP165" s="73"/>
      <c r="IQ165" s="73"/>
      <c r="IR165" s="73"/>
      <c r="IS165" s="73"/>
      <c r="IT165" s="73"/>
      <c r="IU165" s="73"/>
      <c r="IV165" s="73"/>
      <c r="IW165" s="73"/>
    </row>
    <row r="166" customFormat="false" ht="12.75" hidden="false" customHeight="false" outlineLevel="0" collapsed="false">
      <c r="A166" s="73"/>
      <c r="B166" s="46" t="s">
        <v>201</v>
      </c>
      <c r="C166" s="44" t="s">
        <v>250</v>
      </c>
      <c r="D166" s="44" t="s">
        <v>251</v>
      </c>
      <c r="E166" s="45" t="n">
        <v>36617</v>
      </c>
      <c r="F166" s="45" t="n">
        <v>39021</v>
      </c>
      <c r="G166" s="46" t="s">
        <v>276</v>
      </c>
      <c r="H166" s="46" t="s">
        <v>107</v>
      </c>
      <c r="I166" s="44" t="s">
        <v>254</v>
      </c>
      <c r="J166" s="58" t="n">
        <v>0.775</v>
      </c>
      <c r="K166" s="49"/>
      <c r="L166" s="49"/>
      <c r="M166" s="49"/>
      <c r="N166" s="49"/>
      <c r="O166" s="50"/>
      <c r="P166" s="49"/>
      <c r="Q166" s="51" t="n">
        <v>889124</v>
      </c>
      <c r="R166" s="44" t="n">
        <v>124</v>
      </c>
      <c r="S166" s="46" t="s">
        <v>298</v>
      </c>
      <c r="T166" s="74" t="n">
        <f aca="false">J166*J$1*R166</f>
        <v>2883</v>
      </c>
      <c r="U166" s="74"/>
      <c r="V166" s="75" t="n">
        <v>276504</v>
      </c>
      <c r="W166" s="46"/>
      <c r="X166" s="72"/>
      <c r="Y166" s="72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  <c r="BX166" s="73"/>
      <c r="BY166" s="73"/>
      <c r="BZ166" s="73"/>
      <c r="CA166" s="73"/>
      <c r="CB166" s="73"/>
      <c r="CC166" s="73"/>
      <c r="CD166" s="73"/>
      <c r="CE166" s="73"/>
      <c r="CF166" s="73"/>
      <c r="CG166" s="73"/>
      <c r="CH166" s="73"/>
      <c r="CI166" s="73"/>
      <c r="CJ166" s="73"/>
      <c r="CK166" s="73"/>
      <c r="CL166" s="73"/>
      <c r="CM166" s="73"/>
      <c r="CN166" s="73"/>
      <c r="CO166" s="73"/>
      <c r="CP166" s="73"/>
      <c r="CQ166" s="73"/>
      <c r="CR166" s="73"/>
      <c r="CS166" s="73"/>
      <c r="CT166" s="73"/>
      <c r="CU166" s="73"/>
      <c r="CV166" s="73"/>
      <c r="CW166" s="73"/>
      <c r="CX166" s="73"/>
      <c r="CY166" s="73"/>
      <c r="CZ166" s="73"/>
      <c r="DA166" s="73"/>
      <c r="DB166" s="73"/>
      <c r="DC166" s="73"/>
      <c r="DD166" s="73"/>
      <c r="DE166" s="73"/>
      <c r="DF166" s="73"/>
      <c r="DG166" s="73"/>
      <c r="DH166" s="73"/>
      <c r="DI166" s="73"/>
      <c r="DJ166" s="73"/>
      <c r="DK166" s="73"/>
      <c r="DL166" s="73"/>
      <c r="DM166" s="73"/>
      <c r="DN166" s="73"/>
      <c r="DO166" s="73"/>
      <c r="DP166" s="73"/>
      <c r="DQ166" s="73"/>
      <c r="DR166" s="73"/>
      <c r="DS166" s="73"/>
      <c r="DT166" s="73"/>
      <c r="DU166" s="73"/>
      <c r="DV166" s="73"/>
      <c r="DW166" s="73"/>
      <c r="DX166" s="73"/>
      <c r="DY166" s="73"/>
      <c r="DZ166" s="73"/>
      <c r="EA166" s="73"/>
      <c r="EB166" s="73"/>
      <c r="EC166" s="73"/>
      <c r="ED166" s="73"/>
      <c r="EE166" s="73"/>
      <c r="EF166" s="73"/>
      <c r="EG166" s="73"/>
      <c r="EH166" s="73"/>
      <c r="EI166" s="73"/>
      <c r="EJ166" s="73"/>
      <c r="EK166" s="73"/>
      <c r="EL166" s="73"/>
      <c r="EM166" s="73"/>
      <c r="EN166" s="73"/>
      <c r="EO166" s="73"/>
      <c r="EP166" s="73"/>
      <c r="EQ166" s="73"/>
      <c r="ER166" s="73"/>
      <c r="ES166" s="73"/>
      <c r="ET166" s="73"/>
      <c r="EU166" s="73"/>
      <c r="EV166" s="73"/>
      <c r="EW166" s="73"/>
      <c r="EX166" s="73"/>
      <c r="EY166" s="73"/>
      <c r="EZ166" s="73"/>
      <c r="FA166" s="73"/>
      <c r="FB166" s="73"/>
      <c r="FC166" s="73"/>
      <c r="FD166" s="73"/>
      <c r="FE166" s="73"/>
      <c r="FF166" s="73"/>
      <c r="FG166" s="73"/>
      <c r="FH166" s="73"/>
      <c r="FI166" s="73"/>
      <c r="FJ166" s="73"/>
      <c r="FK166" s="73"/>
      <c r="FL166" s="73"/>
      <c r="FM166" s="73"/>
      <c r="FN166" s="73"/>
      <c r="FO166" s="73"/>
      <c r="FP166" s="73"/>
      <c r="FQ166" s="73"/>
      <c r="FR166" s="73"/>
      <c r="FS166" s="73"/>
      <c r="FT166" s="73"/>
      <c r="FU166" s="73"/>
      <c r="FV166" s="73"/>
      <c r="FW166" s="73"/>
      <c r="FX166" s="73"/>
      <c r="FY166" s="73"/>
      <c r="FZ166" s="73"/>
      <c r="GA166" s="73"/>
      <c r="GB166" s="73"/>
      <c r="GC166" s="73"/>
      <c r="GD166" s="73"/>
      <c r="GE166" s="73"/>
      <c r="GF166" s="73"/>
      <c r="GG166" s="73"/>
      <c r="GH166" s="73"/>
      <c r="GI166" s="73"/>
      <c r="GJ166" s="73"/>
      <c r="GK166" s="73"/>
      <c r="GL166" s="73"/>
      <c r="GM166" s="73"/>
      <c r="GN166" s="73"/>
      <c r="GO166" s="73"/>
      <c r="GP166" s="73"/>
      <c r="GQ166" s="73"/>
      <c r="GR166" s="73"/>
      <c r="GS166" s="73"/>
      <c r="GT166" s="73"/>
      <c r="GU166" s="73"/>
      <c r="GV166" s="73"/>
      <c r="GW166" s="73"/>
      <c r="GX166" s="73"/>
      <c r="GY166" s="73"/>
      <c r="GZ166" s="73"/>
      <c r="HA166" s="73"/>
      <c r="HB166" s="73"/>
      <c r="HC166" s="73"/>
      <c r="HD166" s="73"/>
      <c r="HE166" s="73"/>
      <c r="HF166" s="73"/>
      <c r="HG166" s="73"/>
      <c r="HH166" s="73"/>
      <c r="HI166" s="73"/>
      <c r="HJ166" s="73"/>
      <c r="HK166" s="73"/>
      <c r="HL166" s="73"/>
      <c r="HM166" s="73"/>
      <c r="HN166" s="73"/>
      <c r="HO166" s="73"/>
      <c r="HP166" s="73"/>
      <c r="HQ166" s="73"/>
      <c r="HR166" s="73"/>
      <c r="HS166" s="73"/>
      <c r="HT166" s="73"/>
      <c r="HU166" s="73"/>
      <c r="HV166" s="73"/>
      <c r="HW166" s="73"/>
      <c r="HX166" s="73"/>
      <c r="HY166" s="73"/>
      <c r="HZ166" s="73"/>
      <c r="IA166" s="73"/>
      <c r="IB166" s="73"/>
      <c r="IC166" s="73"/>
      <c r="ID166" s="73"/>
      <c r="IE166" s="73"/>
      <c r="IF166" s="73"/>
      <c r="IG166" s="73"/>
      <c r="IH166" s="73"/>
      <c r="II166" s="73"/>
      <c r="IJ166" s="73"/>
      <c r="IK166" s="73"/>
      <c r="IL166" s="73"/>
      <c r="IM166" s="73"/>
      <c r="IN166" s="73"/>
      <c r="IO166" s="73"/>
      <c r="IP166" s="73"/>
      <c r="IQ166" s="73"/>
      <c r="IR166" s="73"/>
      <c r="IS166" s="73"/>
      <c r="IT166" s="73"/>
      <c r="IU166" s="73"/>
      <c r="IV166" s="73"/>
      <c r="IW166" s="73"/>
    </row>
    <row r="167" customFormat="false" ht="12.75" hidden="false" customHeight="false" outlineLevel="0" collapsed="false">
      <c r="A167" s="73"/>
      <c r="B167" s="46" t="s">
        <v>201</v>
      </c>
      <c r="C167" s="44" t="s">
        <v>250</v>
      </c>
      <c r="D167" s="44" t="s">
        <v>251</v>
      </c>
      <c r="E167" s="45" t="n">
        <v>36617</v>
      </c>
      <c r="F167" s="45" t="n">
        <v>39021</v>
      </c>
      <c r="G167" s="46" t="s">
        <v>276</v>
      </c>
      <c r="H167" s="46" t="s">
        <v>107</v>
      </c>
      <c r="I167" s="44" t="s">
        <v>254</v>
      </c>
      <c r="J167" s="58" t="n">
        <v>0.6</v>
      </c>
      <c r="K167" s="49"/>
      <c r="L167" s="49"/>
      <c r="M167" s="49"/>
      <c r="N167" s="49"/>
      <c r="O167" s="50"/>
      <c r="P167" s="49"/>
      <c r="Q167" s="51" t="n">
        <v>889124</v>
      </c>
      <c r="R167" s="44" t="n">
        <v>-124</v>
      </c>
      <c r="S167" s="46" t="s">
        <v>299</v>
      </c>
      <c r="T167" s="74" t="n">
        <f aca="false">J167*J$1*R167</f>
        <v>-2232</v>
      </c>
      <c r="U167" s="74"/>
      <c r="V167" s="75"/>
      <c r="W167" s="46"/>
      <c r="X167" s="72"/>
      <c r="Y167" s="72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  <c r="DA167" s="73"/>
      <c r="DB167" s="73"/>
      <c r="DC167" s="73"/>
      <c r="DD167" s="73"/>
      <c r="DE167" s="73"/>
      <c r="DF167" s="73"/>
      <c r="DG167" s="73"/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/>
      <c r="DS167" s="73"/>
      <c r="DT167" s="73"/>
      <c r="DU167" s="73"/>
      <c r="DV167" s="73"/>
      <c r="DW167" s="73"/>
      <c r="DX167" s="73"/>
      <c r="DY167" s="73"/>
      <c r="DZ167" s="73"/>
      <c r="EA167" s="73"/>
      <c r="EB167" s="73"/>
      <c r="EC167" s="73"/>
      <c r="ED167" s="73"/>
      <c r="EE167" s="73"/>
      <c r="EF167" s="73"/>
      <c r="EG167" s="73"/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/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/>
      <c r="GA167" s="73"/>
      <c r="GB167" s="73"/>
      <c r="GC167" s="73"/>
      <c r="GD167" s="73"/>
      <c r="GE167" s="73"/>
      <c r="GF167" s="73"/>
      <c r="GG167" s="73"/>
      <c r="GH167" s="73"/>
      <c r="GI167" s="73"/>
      <c r="GJ167" s="73"/>
      <c r="GK167" s="73"/>
      <c r="GL167" s="73"/>
      <c r="GM167" s="73"/>
      <c r="GN167" s="73"/>
      <c r="GO167" s="73"/>
      <c r="GP167" s="73"/>
      <c r="GQ167" s="73"/>
      <c r="GR167" s="73"/>
      <c r="GS167" s="73"/>
      <c r="GT167" s="73"/>
      <c r="GU167" s="73"/>
      <c r="GV167" s="73"/>
      <c r="GW167" s="73"/>
      <c r="GX167" s="73"/>
      <c r="GY167" s="73"/>
      <c r="GZ167" s="73"/>
      <c r="HA167" s="73"/>
      <c r="HB167" s="73"/>
      <c r="HC167" s="73"/>
      <c r="HD167" s="73"/>
      <c r="HE167" s="73"/>
      <c r="HF167" s="73"/>
      <c r="HG167" s="73"/>
      <c r="HH167" s="73"/>
      <c r="HI167" s="73"/>
      <c r="HJ167" s="73"/>
      <c r="HK167" s="73"/>
      <c r="HL167" s="73"/>
      <c r="HM167" s="73"/>
      <c r="HN167" s="73"/>
      <c r="HO167" s="73"/>
      <c r="HP167" s="73"/>
      <c r="HQ167" s="73"/>
      <c r="HR167" s="73"/>
      <c r="HS167" s="73"/>
      <c r="HT167" s="73"/>
      <c r="HU167" s="73"/>
      <c r="HV167" s="73"/>
      <c r="HW167" s="73"/>
      <c r="HX167" s="73"/>
      <c r="HY167" s="73"/>
      <c r="HZ167" s="73"/>
      <c r="IA167" s="73"/>
      <c r="IB167" s="73"/>
      <c r="IC167" s="73"/>
      <c r="ID167" s="73"/>
      <c r="IE167" s="73"/>
      <c r="IF167" s="73"/>
      <c r="IG167" s="73"/>
      <c r="IH167" s="73"/>
      <c r="II167" s="73"/>
      <c r="IJ167" s="73"/>
      <c r="IK167" s="73"/>
      <c r="IL167" s="73"/>
      <c r="IM167" s="73"/>
      <c r="IN167" s="73"/>
      <c r="IO167" s="73"/>
      <c r="IP167" s="73"/>
      <c r="IQ167" s="73"/>
      <c r="IR167" s="73"/>
      <c r="IS167" s="73"/>
      <c r="IT167" s="73"/>
      <c r="IU167" s="73"/>
      <c r="IV167" s="73"/>
      <c r="IW167" s="73"/>
    </row>
    <row r="168" customFormat="false" ht="12.75" hidden="false" customHeight="false" outlineLevel="0" collapsed="false">
      <c r="A168" s="73"/>
      <c r="B168" s="46" t="s">
        <v>249</v>
      </c>
      <c r="C168" s="44" t="s">
        <v>250</v>
      </c>
      <c r="D168" s="44" t="s">
        <v>251</v>
      </c>
      <c r="E168" s="45" t="n">
        <v>36617</v>
      </c>
      <c r="F168" s="45" t="n">
        <v>39021</v>
      </c>
      <c r="G168" s="46" t="s">
        <v>276</v>
      </c>
      <c r="H168" s="46" t="s">
        <v>107</v>
      </c>
      <c r="I168" s="44" t="s">
        <v>254</v>
      </c>
      <c r="J168" s="58" t="n">
        <v>0.61</v>
      </c>
      <c r="K168" s="49"/>
      <c r="L168" s="49"/>
      <c r="M168" s="49"/>
      <c r="N168" s="49"/>
      <c r="O168" s="50"/>
      <c r="P168" s="49"/>
      <c r="Q168" s="51" t="n">
        <v>889126</v>
      </c>
      <c r="R168" s="44" t="n">
        <v>150</v>
      </c>
      <c r="S168" s="46" t="s">
        <v>300</v>
      </c>
      <c r="T168" s="74" t="n">
        <f aca="false">J168*J$1*R168</f>
        <v>2745</v>
      </c>
      <c r="U168" s="74"/>
      <c r="V168" s="75" t="n">
        <v>276512</v>
      </c>
      <c r="W168" s="46"/>
      <c r="X168" s="72"/>
      <c r="Y168" s="72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  <c r="CM168" s="73"/>
      <c r="CN168" s="73"/>
      <c r="CO168" s="73"/>
      <c r="CP168" s="73"/>
      <c r="CQ168" s="73"/>
      <c r="CR168" s="73"/>
      <c r="CS168" s="73"/>
      <c r="CT168" s="73"/>
      <c r="CU168" s="73"/>
      <c r="CV168" s="73"/>
      <c r="CW168" s="73"/>
      <c r="CX168" s="73"/>
      <c r="CY168" s="73"/>
      <c r="CZ168" s="73"/>
      <c r="DA168" s="73"/>
      <c r="DB168" s="73"/>
      <c r="DC168" s="73"/>
      <c r="DD168" s="73"/>
      <c r="DE168" s="73"/>
      <c r="DF168" s="73"/>
      <c r="DG168" s="73"/>
      <c r="DH168" s="73"/>
      <c r="DI168" s="73"/>
      <c r="DJ168" s="73"/>
      <c r="DK168" s="73"/>
      <c r="DL168" s="73"/>
      <c r="DM168" s="73"/>
      <c r="DN168" s="73"/>
      <c r="DO168" s="73"/>
      <c r="DP168" s="73"/>
      <c r="DQ168" s="73"/>
      <c r="DR168" s="73"/>
      <c r="DS168" s="73"/>
      <c r="DT168" s="73"/>
      <c r="DU168" s="73"/>
      <c r="DV168" s="73"/>
      <c r="DW168" s="73"/>
      <c r="DX168" s="73"/>
      <c r="DY168" s="73"/>
      <c r="DZ168" s="73"/>
      <c r="EA168" s="73"/>
      <c r="EB168" s="73"/>
      <c r="EC168" s="73"/>
      <c r="ED168" s="73"/>
      <c r="EE168" s="73"/>
      <c r="EF168" s="73"/>
      <c r="EG168" s="73"/>
      <c r="EH168" s="73"/>
      <c r="EI168" s="73"/>
      <c r="EJ168" s="73"/>
      <c r="EK168" s="73"/>
      <c r="EL168" s="73"/>
      <c r="EM168" s="73"/>
      <c r="EN168" s="73"/>
      <c r="EO168" s="73"/>
      <c r="EP168" s="73"/>
      <c r="EQ168" s="73"/>
      <c r="ER168" s="73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73"/>
      <c r="FP168" s="73"/>
      <c r="FQ168" s="73"/>
      <c r="FR168" s="73"/>
      <c r="FS168" s="73"/>
      <c r="FT168" s="73"/>
      <c r="FU168" s="73"/>
      <c r="FV168" s="73"/>
      <c r="FW168" s="73"/>
      <c r="FX168" s="73"/>
      <c r="FY168" s="73"/>
      <c r="FZ168" s="73"/>
      <c r="GA168" s="73"/>
      <c r="GB168" s="73"/>
      <c r="GC168" s="73"/>
      <c r="GD168" s="73"/>
      <c r="GE168" s="73"/>
      <c r="GF168" s="73"/>
      <c r="GG168" s="73"/>
      <c r="GH168" s="73"/>
      <c r="GI168" s="73"/>
      <c r="GJ168" s="73"/>
      <c r="GK168" s="73"/>
      <c r="GL168" s="73"/>
      <c r="GM168" s="73"/>
      <c r="GN168" s="73"/>
      <c r="GO168" s="73"/>
      <c r="GP168" s="73"/>
      <c r="GQ168" s="73"/>
      <c r="GR168" s="73"/>
      <c r="GS168" s="73"/>
      <c r="GT168" s="73"/>
      <c r="GU168" s="73"/>
      <c r="GV168" s="73"/>
      <c r="GW168" s="73"/>
      <c r="GX168" s="73"/>
      <c r="GY168" s="73"/>
      <c r="GZ168" s="73"/>
      <c r="HA168" s="73"/>
      <c r="HB168" s="73"/>
      <c r="HC168" s="73"/>
      <c r="HD168" s="73"/>
      <c r="HE168" s="73"/>
      <c r="HF168" s="73"/>
      <c r="HG168" s="73"/>
      <c r="HH168" s="73"/>
      <c r="HI168" s="73"/>
      <c r="HJ168" s="73"/>
      <c r="HK168" s="73"/>
      <c r="HL168" s="73"/>
      <c r="HM168" s="73"/>
      <c r="HN168" s="73"/>
      <c r="HO168" s="73"/>
      <c r="HP168" s="73"/>
      <c r="HQ168" s="73"/>
      <c r="HR168" s="73"/>
      <c r="HS168" s="73"/>
      <c r="HT168" s="73"/>
      <c r="HU168" s="73"/>
      <c r="HV168" s="73"/>
      <c r="HW168" s="73"/>
      <c r="HX168" s="73"/>
      <c r="HY168" s="73"/>
      <c r="HZ168" s="73"/>
      <c r="IA168" s="73"/>
      <c r="IB168" s="73"/>
      <c r="IC168" s="73"/>
      <c r="ID168" s="73"/>
      <c r="IE168" s="73"/>
      <c r="IF168" s="73"/>
      <c r="IG168" s="73"/>
      <c r="IH168" s="73"/>
      <c r="II168" s="73"/>
      <c r="IJ168" s="73"/>
      <c r="IK168" s="73"/>
      <c r="IL168" s="73"/>
      <c r="IM168" s="73"/>
      <c r="IN168" s="73"/>
      <c r="IO168" s="73"/>
      <c r="IP168" s="73"/>
      <c r="IQ168" s="73"/>
      <c r="IR168" s="73"/>
      <c r="IS168" s="73"/>
      <c r="IT168" s="73"/>
      <c r="IU168" s="73"/>
      <c r="IV168" s="73"/>
      <c r="IW168" s="73"/>
    </row>
    <row r="169" customFormat="false" ht="12.75" hidden="false" customHeight="false" outlineLevel="0" collapsed="false">
      <c r="A169" s="73"/>
      <c r="B169" s="46" t="s">
        <v>249</v>
      </c>
      <c r="C169" s="44" t="s">
        <v>250</v>
      </c>
      <c r="D169" s="44" t="s">
        <v>251</v>
      </c>
      <c r="E169" s="45" t="n">
        <v>36617</v>
      </c>
      <c r="F169" s="45" t="n">
        <v>39021</v>
      </c>
      <c r="G169" s="46" t="s">
        <v>276</v>
      </c>
      <c r="H169" s="46" t="s">
        <v>107</v>
      </c>
      <c r="I169" s="44" t="s">
        <v>254</v>
      </c>
      <c r="J169" s="58" t="n">
        <v>0.844</v>
      </c>
      <c r="K169" s="49"/>
      <c r="L169" s="49"/>
      <c r="M169" s="49"/>
      <c r="N169" s="49"/>
      <c r="O169" s="50"/>
      <c r="P169" s="49"/>
      <c r="Q169" s="51" t="n">
        <v>889126</v>
      </c>
      <c r="R169" s="44" t="n">
        <v>-150</v>
      </c>
      <c r="S169" s="46" t="s">
        <v>286</v>
      </c>
      <c r="T169" s="74" t="n">
        <f aca="false">J169*J$1*R169</f>
        <v>-3798</v>
      </c>
      <c r="U169" s="74"/>
      <c r="V169" s="75"/>
      <c r="W169" s="46"/>
      <c r="X169" s="72"/>
      <c r="Y169" s="72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  <c r="BX169" s="73"/>
      <c r="BY169" s="73"/>
      <c r="BZ169" s="73"/>
      <c r="CA169" s="73"/>
      <c r="CB169" s="73"/>
      <c r="CC169" s="73"/>
      <c r="CD169" s="73"/>
      <c r="CE169" s="73"/>
      <c r="CF169" s="73"/>
      <c r="CG169" s="73"/>
      <c r="CH169" s="73"/>
      <c r="CI169" s="73"/>
      <c r="CJ169" s="73"/>
      <c r="CK169" s="73"/>
      <c r="CL169" s="73"/>
      <c r="CM169" s="73"/>
      <c r="CN169" s="73"/>
      <c r="CO169" s="73"/>
      <c r="CP169" s="73"/>
      <c r="CQ169" s="73"/>
      <c r="CR169" s="73"/>
      <c r="CS169" s="73"/>
      <c r="CT169" s="73"/>
      <c r="CU169" s="73"/>
      <c r="CV169" s="73"/>
      <c r="CW169" s="73"/>
      <c r="CX169" s="73"/>
      <c r="CY169" s="73"/>
      <c r="CZ169" s="73"/>
      <c r="DA169" s="73"/>
      <c r="DB169" s="73"/>
      <c r="DC169" s="73"/>
      <c r="DD169" s="73"/>
      <c r="DE169" s="73"/>
      <c r="DF169" s="73"/>
      <c r="DG169" s="73"/>
      <c r="DH169" s="73"/>
      <c r="DI169" s="73"/>
      <c r="DJ169" s="73"/>
      <c r="DK169" s="73"/>
      <c r="DL169" s="73"/>
      <c r="DM169" s="73"/>
      <c r="DN169" s="73"/>
      <c r="DO169" s="73"/>
      <c r="DP169" s="73"/>
      <c r="DQ169" s="73"/>
      <c r="DR169" s="73"/>
      <c r="DS169" s="73"/>
      <c r="DT169" s="73"/>
      <c r="DU169" s="73"/>
      <c r="DV169" s="73"/>
      <c r="DW169" s="73"/>
      <c r="DX169" s="73"/>
      <c r="DY169" s="73"/>
      <c r="DZ169" s="73"/>
      <c r="EA169" s="73"/>
      <c r="EB169" s="73"/>
      <c r="EC169" s="73"/>
      <c r="ED169" s="73"/>
      <c r="EE169" s="73"/>
      <c r="EF169" s="73"/>
      <c r="EG169" s="73"/>
      <c r="EH169" s="73"/>
      <c r="EI169" s="73"/>
      <c r="EJ169" s="73"/>
      <c r="EK169" s="73"/>
      <c r="EL169" s="73"/>
      <c r="EM169" s="73"/>
      <c r="EN169" s="73"/>
      <c r="EO169" s="73"/>
      <c r="EP169" s="73"/>
      <c r="EQ169" s="73"/>
      <c r="ER169" s="73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73"/>
      <c r="FP169" s="73"/>
      <c r="FQ169" s="73"/>
      <c r="FR169" s="73"/>
      <c r="FS169" s="73"/>
      <c r="FT169" s="73"/>
      <c r="FU169" s="73"/>
      <c r="FV169" s="73"/>
      <c r="FW169" s="73"/>
      <c r="FX169" s="73"/>
      <c r="FY169" s="73"/>
      <c r="FZ169" s="73"/>
      <c r="GA169" s="73"/>
      <c r="GB169" s="73"/>
      <c r="GC169" s="73"/>
      <c r="GD169" s="73"/>
      <c r="GE169" s="73"/>
      <c r="GF169" s="73"/>
      <c r="GG169" s="73"/>
      <c r="GH169" s="73"/>
      <c r="GI169" s="73"/>
      <c r="GJ169" s="73"/>
      <c r="GK169" s="73"/>
      <c r="GL169" s="73"/>
      <c r="GM169" s="73"/>
      <c r="GN169" s="73"/>
      <c r="GO169" s="73"/>
      <c r="GP169" s="73"/>
      <c r="GQ169" s="73"/>
      <c r="GR169" s="73"/>
      <c r="GS169" s="73"/>
      <c r="GT169" s="73"/>
      <c r="GU169" s="73"/>
      <c r="GV169" s="73"/>
      <c r="GW169" s="73"/>
      <c r="GX169" s="73"/>
      <c r="GY169" s="73"/>
      <c r="GZ169" s="73"/>
      <c r="HA169" s="73"/>
      <c r="HB169" s="73"/>
      <c r="HC169" s="73"/>
      <c r="HD169" s="73"/>
      <c r="HE169" s="73"/>
      <c r="HF169" s="73"/>
      <c r="HG169" s="73"/>
      <c r="HH169" s="73"/>
      <c r="HI169" s="73"/>
      <c r="HJ169" s="73"/>
      <c r="HK169" s="73"/>
      <c r="HL169" s="73"/>
      <c r="HM169" s="73"/>
      <c r="HN169" s="73"/>
      <c r="HO169" s="73"/>
      <c r="HP169" s="73"/>
      <c r="HQ169" s="73"/>
      <c r="HR169" s="73"/>
      <c r="HS169" s="73"/>
      <c r="HT169" s="73"/>
      <c r="HU169" s="73"/>
      <c r="HV169" s="73"/>
      <c r="HW169" s="73"/>
      <c r="HX169" s="73"/>
      <c r="HY169" s="73"/>
      <c r="HZ169" s="73"/>
      <c r="IA169" s="73"/>
      <c r="IB169" s="73"/>
      <c r="IC169" s="73"/>
      <c r="ID169" s="73"/>
      <c r="IE169" s="73"/>
      <c r="IF169" s="73"/>
      <c r="IG169" s="73"/>
      <c r="IH169" s="73"/>
      <c r="II169" s="73"/>
      <c r="IJ169" s="73"/>
      <c r="IK169" s="73"/>
      <c r="IL169" s="73"/>
      <c r="IM169" s="73"/>
      <c r="IN169" s="73"/>
      <c r="IO169" s="73"/>
      <c r="IP169" s="73"/>
      <c r="IQ169" s="73"/>
      <c r="IR169" s="73"/>
      <c r="IS169" s="73"/>
      <c r="IT169" s="73"/>
      <c r="IU169" s="73"/>
      <c r="IV169" s="73"/>
      <c r="IW169" s="73"/>
    </row>
    <row r="170" customFormat="false" ht="11.25" hidden="false" customHeight="true" outlineLevel="0" collapsed="false">
      <c r="B170" s="46"/>
      <c r="C170" s="44"/>
      <c r="D170" s="44"/>
      <c r="E170" s="45"/>
      <c r="F170" s="45"/>
      <c r="G170" s="46"/>
      <c r="H170" s="46"/>
      <c r="I170" s="44"/>
      <c r="J170" s="58"/>
      <c r="K170" s="49"/>
      <c r="L170" s="99"/>
      <c r="M170" s="49"/>
      <c r="N170" s="49"/>
      <c r="O170" s="50"/>
      <c r="P170" s="49"/>
      <c r="Q170" s="51"/>
      <c r="R170" s="52" t="n">
        <f aca="false">SUM(R142:R161)</f>
        <v>12473</v>
      </c>
      <c r="S170" s="44"/>
      <c r="T170" s="74" t="n">
        <f aca="false">SUM(T142:T169)</f>
        <v>22947.0906</v>
      </c>
      <c r="U170" s="74"/>
      <c r="V170" s="75"/>
      <c r="W170" s="46"/>
      <c r="X170" s="72"/>
      <c r="Y170" s="72"/>
    </row>
    <row r="171" customFormat="false" ht="12.75" hidden="false" customHeight="false" outlineLevel="0" collapsed="false">
      <c r="B171" s="63" t="s">
        <v>181</v>
      </c>
      <c r="C171" s="64" t="s">
        <v>182</v>
      </c>
      <c r="D171" s="64" t="s">
        <v>183</v>
      </c>
      <c r="E171" s="65" t="s">
        <v>184</v>
      </c>
      <c r="F171" s="65"/>
      <c r="G171" s="63" t="s">
        <v>185</v>
      </c>
      <c r="H171" s="63" t="s">
        <v>186</v>
      </c>
      <c r="I171" s="64" t="s">
        <v>187</v>
      </c>
      <c r="J171" s="66" t="s">
        <v>188</v>
      </c>
      <c r="K171" s="64" t="s">
        <v>189</v>
      </c>
      <c r="L171" s="64" t="s">
        <v>190</v>
      </c>
      <c r="M171" s="64" t="s">
        <v>191</v>
      </c>
      <c r="N171" s="64" t="s">
        <v>192</v>
      </c>
      <c r="O171" s="67" t="s">
        <v>193</v>
      </c>
      <c r="P171" s="64" t="s">
        <v>194</v>
      </c>
      <c r="Q171" s="68" t="s">
        <v>195</v>
      </c>
      <c r="R171" s="64" t="s">
        <v>196</v>
      </c>
      <c r="S171" s="63" t="s">
        <v>197</v>
      </c>
      <c r="T171" s="69" t="s">
        <v>198</v>
      </c>
      <c r="U171" s="69" t="s">
        <v>199</v>
      </c>
      <c r="V171" s="70" t="s">
        <v>200</v>
      </c>
      <c r="W171" s="71" t="n">
        <f aca="false">+W94</f>
        <v>0</v>
      </c>
      <c r="X171" s="72"/>
      <c r="Y171" s="72"/>
    </row>
    <row r="172" customFormat="false" ht="12.75" hidden="false" customHeight="false" outlineLevel="0" collapsed="false">
      <c r="A172" s="73"/>
      <c r="B172" s="46" t="s">
        <v>201</v>
      </c>
      <c r="C172" s="44" t="s">
        <v>169</v>
      </c>
      <c r="D172" s="44" t="s">
        <v>251</v>
      </c>
      <c r="E172" s="45" t="n">
        <v>36220</v>
      </c>
      <c r="F172" s="45" t="n">
        <v>38656</v>
      </c>
      <c r="G172" s="46" t="s">
        <v>301</v>
      </c>
      <c r="H172" s="46" t="s">
        <v>302</v>
      </c>
      <c r="I172" s="44" t="s">
        <v>224</v>
      </c>
      <c r="J172" s="58" t="n">
        <v>0.3033</v>
      </c>
      <c r="K172" s="49" t="n">
        <v>0</v>
      </c>
      <c r="L172" s="49" t="n">
        <v>0.0022</v>
      </c>
      <c r="M172" s="49" t="n">
        <v>0</v>
      </c>
      <c r="N172" s="49" t="n">
        <v>0</v>
      </c>
      <c r="O172" s="50" t="n">
        <v>0</v>
      </c>
      <c r="P172" s="49" t="n">
        <f aca="false">SUM(J172:N172)</f>
        <v>0.3055</v>
      </c>
      <c r="Q172" s="51" t="s">
        <v>303</v>
      </c>
      <c r="R172" s="44" t="n">
        <v>25</v>
      </c>
      <c r="S172" s="46" t="s">
        <v>304</v>
      </c>
      <c r="T172" s="74" t="n">
        <f aca="false">J172*J$1*R172</f>
        <v>227.475</v>
      </c>
      <c r="U172" s="74"/>
      <c r="V172" s="75" t="n">
        <v>157260</v>
      </c>
      <c r="W172" s="46"/>
      <c r="X172" s="72"/>
      <c r="Y172" s="72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  <c r="BX172" s="73"/>
      <c r="BY172" s="73"/>
      <c r="BZ172" s="73"/>
      <c r="CA172" s="73"/>
      <c r="CB172" s="73"/>
      <c r="CC172" s="73"/>
      <c r="CD172" s="73"/>
      <c r="CE172" s="73"/>
      <c r="CF172" s="73"/>
      <c r="CG172" s="73"/>
      <c r="CH172" s="73"/>
      <c r="CI172" s="73"/>
      <c r="CJ172" s="73"/>
      <c r="CK172" s="73"/>
      <c r="CL172" s="73"/>
      <c r="CM172" s="73"/>
      <c r="CN172" s="73"/>
      <c r="CO172" s="73"/>
      <c r="CP172" s="73"/>
      <c r="CQ172" s="73"/>
      <c r="CR172" s="73"/>
      <c r="CS172" s="73"/>
      <c r="CT172" s="73"/>
      <c r="CU172" s="73"/>
      <c r="CV172" s="73"/>
      <c r="CW172" s="73"/>
      <c r="CX172" s="73"/>
      <c r="CY172" s="73"/>
      <c r="CZ172" s="73"/>
      <c r="DA172" s="73"/>
      <c r="DB172" s="73"/>
      <c r="DC172" s="73"/>
      <c r="DD172" s="73"/>
      <c r="DE172" s="73"/>
      <c r="DF172" s="73"/>
      <c r="DG172" s="73"/>
      <c r="DH172" s="73"/>
      <c r="DI172" s="73"/>
      <c r="DJ172" s="73"/>
      <c r="DK172" s="73"/>
      <c r="DL172" s="73"/>
      <c r="DM172" s="73"/>
      <c r="DN172" s="73"/>
      <c r="DO172" s="73"/>
      <c r="DP172" s="73"/>
      <c r="DQ172" s="73"/>
      <c r="DR172" s="73"/>
      <c r="DS172" s="73"/>
      <c r="DT172" s="73"/>
      <c r="DU172" s="73"/>
      <c r="DV172" s="73"/>
      <c r="DW172" s="73"/>
      <c r="DX172" s="73"/>
      <c r="DY172" s="73"/>
      <c r="DZ172" s="73"/>
      <c r="EA172" s="73"/>
      <c r="EB172" s="73"/>
      <c r="EC172" s="73"/>
      <c r="ED172" s="73"/>
      <c r="EE172" s="73"/>
      <c r="EF172" s="73"/>
      <c r="EG172" s="73"/>
      <c r="EH172" s="73"/>
      <c r="EI172" s="73"/>
      <c r="EJ172" s="73"/>
      <c r="EK172" s="73"/>
      <c r="EL172" s="73"/>
      <c r="EM172" s="73"/>
      <c r="EN172" s="73"/>
      <c r="EO172" s="73"/>
      <c r="EP172" s="73"/>
      <c r="EQ172" s="73"/>
      <c r="ER172" s="73"/>
      <c r="ES172" s="73"/>
      <c r="ET172" s="73"/>
      <c r="EU172" s="73"/>
      <c r="EV172" s="73"/>
      <c r="EW172" s="73"/>
      <c r="EX172" s="73"/>
      <c r="EY172" s="73"/>
      <c r="EZ172" s="73"/>
      <c r="FA172" s="73"/>
      <c r="FB172" s="73"/>
      <c r="FC172" s="73"/>
      <c r="FD172" s="73"/>
      <c r="FE172" s="73"/>
      <c r="FF172" s="73"/>
      <c r="FG172" s="73"/>
      <c r="FH172" s="73"/>
      <c r="FI172" s="73"/>
      <c r="FJ172" s="73"/>
      <c r="FK172" s="73"/>
      <c r="FL172" s="73"/>
      <c r="FM172" s="73"/>
      <c r="FN172" s="73"/>
      <c r="FO172" s="73"/>
      <c r="FP172" s="73"/>
      <c r="FQ172" s="73"/>
      <c r="FR172" s="73"/>
      <c r="FS172" s="73"/>
      <c r="FT172" s="73"/>
      <c r="FU172" s="73"/>
      <c r="FV172" s="73"/>
      <c r="FW172" s="73"/>
      <c r="FX172" s="73"/>
      <c r="FY172" s="73"/>
      <c r="FZ172" s="73"/>
      <c r="GA172" s="73"/>
      <c r="GB172" s="73"/>
      <c r="GC172" s="73"/>
      <c r="GD172" s="73"/>
      <c r="GE172" s="73"/>
      <c r="GF172" s="73"/>
      <c r="GG172" s="73"/>
      <c r="GH172" s="73"/>
      <c r="GI172" s="73"/>
      <c r="GJ172" s="73"/>
      <c r="GK172" s="73"/>
      <c r="GL172" s="73"/>
      <c r="GM172" s="73"/>
      <c r="GN172" s="73"/>
      <c r="GO172" s="73"/>
      <c r="GP172" s="73"/>
      <c r="GQ172" s="73"/>
      <c r="GR172" s="73"/>
      <c r="GS172" s="73"/>
      <c r="GT172" s="73"/>
      <c r="GU172" s="73"/>
      <c r="GV172" s="73"/>
      <c r="GW172" s="73"/>
      <c r="GX172" s="73"/>
      <c r="GY172" s="73"/>
      <c r="GZ172" s="73"/>
      <c r="HA172" s="73"/>
      <c r="HB172" s="73"/>
      <c r="HC172" s="73"/>
      <c r="HD172" s="73"/>
      <c r="HE172" s="73"/>
      <c r="HF172" s="73"/>
      <c r="HG172" s="73"/>
      <c r="HH172" s="73"/>
      <c r="HI172" s="73"/>
      <c r="HJ172" s="73"/>
      <c r="HK172" s="73"/>
      <c r="HL172" s="73"/>
      <c r="HM172" s="73"/>
      <c r="HN172" s="73"/>
      <c r="HO172" s="73"/>
      <c r="HP172" s="73"/>
      <c r="HQ172" s="73"/>
      <c r="HR172" s="73"/>
      <c r="HS172" s="73"/>
      <c r="HT172" s="73"/>
      <c r="HU172" s="73"/>
      <c r="HV172" s="73"/>
      <c r="HW172" s="73"/>
      <c r="HX172" s="73"/>
      <c r="HY172" s="73"/>
      <c r="HZ172" s="73"/>
      <c r="IA172" s="73"/>
      <c r="IB172" s="73"/>
      <c r="IC172" s="73"/>
      <c r="ID172" s="73"/>
      <c r="IE172" s="73"/>
      <c r="IF172" s="73"/>
      <c r="IG172" s="73"/>
      <c r="IH172" s="73"/>
      <c r="II172" s="73"/>
      <c r="IJ172" s="73"/>
      <c r="IK172" s="73"/>
      <c r="IL172" s="73"/>
      <c r="IM172" s="73"/>
      <c r="IN172" s="73"/>
      <c r="IO172" s="73"/>
      <c r="IP172" s="73"/>
      <c r="IQ172" s="73"/>
      <c r="IR172" s="73"/>
      <c r="IS172" s="73"/>
      <c r="IT172" s="73"/>
      <c r="IU172" s="73"/>
      <c r="IV172" s="73"/>
      <c r="IW172" s="73"/>
    </row>
    <row r="173" customFormat="false" ht="12.75" hidden="false" customHeight="false" outlineLevel="0" collapsed="false">
      <c r="A173" s="73"/>
      <c r="B173" s="46" t="s">
        <v>201</v>
      </c>
      <c r="C173" s="44" t="s">
        <v>169</v>
      </c>
      <c r="D173" s="44" t="s">
        <v>251</v>
      </c>
      <c r="E173" s="45" t="n">
        <v>36220</v>
      </c>
      <c r="F173" s="45" t="n">
        <v>38656</v>
      </c>
      <c r="G173" s="46" t="s">
        <v>305</v>
      </c>
      <c r="H173" s="46" t="s">
        <v>302</v>
      </c>
      <c r="I173" s="44" t="s">
        <v>224</v>
      </c>
      <c r="J173" s="58" t="n">
        <v>0.3033</v>
      </c>
      <c r="K173" s="49" t="n">
        <v>0</v>
      </c>
      <c r="L173" s="49" t="n">
        <v>0.0022</v>
      </c>
      <c r="M173" s="49" t="n">
        <v>0</v>
      </c>
      <c r="N173" s="49" t="n">
        <v>0</v>
      </c>
      <c r="O173" s="50" t="n">
        <v>0</v>
      </c>
      <c r="P173" s="49" t="n">
        <f aca="false">SUM(J173:N173)</f>
        <v>0.3055</v>
      </c>
      <c r="Q173" s="51" t="s">
        <v>303</v>
      </c>
      <c r="R173" s="44" t="n">
        <v>21</v>
      </c>
      <c r="S173" s="46" t="s">
        <v>304</v>
      </c>
      <c r="T173" s="74" t="n">
        <f aca="false">J173*J$1*R173</f>
        <v>191.079</v>
      </c>
      <c r="U173" s="74"/>
      <c r="V173" s="75" t="n">
        <v>157260</v>
      </c>
      <c r="W173" s="46"/>
      <c r="X173" s="72"/>
      <c r="Y173" s="72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  <c r="BX173" s="73"/>
      <c r="BY173" s="73"/>
      <c r="BZ173" s="73"/>
      <c r="CA173" s="73"/>
      <c r="CB173" s="73"/>
      <c r="CC173" s="73"/>
      <c r="CD173" s="73"/>
      <c r="CE173" s="73"/>
      <c r="CF173" s="73"/>
      <c r="CG173" s="73"/>
      <c r="CH173" s="73"/>
      <c r="CI173" s="73"/>
      <c r="CJ173" s="73"/>
      <c r="CK173" s="73"/>
      <c r="CL173" s="73"/>
      <c r="CM173" s="73"/>
      <c r="CN173" s="73"/>
      <c r="CO173" s="73"/>
      <c r="CP173" s="73"/>
      <c r="CQ173" s="73"/>
      <c r="CR173" s="73"/>
      <c r="CS173" s="73"/>
      <c r="CT173" s="73"/>
      <c r="CU173" s="73"/>
      <c r="CV173" s="73"/>
      <c r="CW173" s="73"/>
      <c r="CX173" s="73"/>
      <c r="CY173" s="73"/>
      <c r="CZ173" s="73"/>
      <c r="DA173" s="73"/>
      <c r="DB173" s="73"/>
      <c r="DC173" s="73"/>
      <c r="DD173" s="73"/>
      <c r="DE173" s="73"/>
      <c r="DF173" s="73"/>
      <c r="DG173" s="73"/>
      <c r="DH173" s="73"/>
      <c r="DI173" s="73"/>
      <c r="DJ173" s="73"/>
      <c r="DK173" s="73"/>
      <c r="DL173" s="73"/>
      <c r="DM173" s="73"/>
      <c r="DN173" s="73"/>
      <c r="DO173" s="73"/>
      <c r="DP173" s="73"/>
      <c r="DQ173" s="73"/>
      <c r="DR173" s="73"/>
      <c r="DS173" s="73"/>
      <c r="DT173" s="73"/>
      <c r="DU173" s="73"/>
      <c r="DV173" s="73"/>
      <c r="DW173" s="73"/>
      <c r="DX173" s="73"/>
      <c r="DY173" s="73"/>
      <c r="DZ173" s="73"/>
      <c r="EA173" s="73"/>
      <c r="EB173" s="73"/>
      <c r="EC173" s="73"/>
      <c r="ED173" s="73"/>
      <c r="EE173" s="73"/>
      <c r="EF173" s="73"/>
      <c r="EG173" s="73"/>
      <c r="EH173" s="73"/>
      <c r="EI173" s="73"/>
      <c r="EJ173" s="73"/>
      <c r="EK173" s="73"/>
      <c r="EL173" s="73"/>
      <c r="EM173" s="73"/>
      <c r="EN173" s="73"/>
      <c r="EO173" s="73"/>
      <c r="EP173" s="73"/>
      <c r="EQ173" s="73"/>
      <c r="ER173" s="73"/>
      <c r="ES173" s="73"/>
      <c r="ET173" s="73"/>
      <c r="EU173" s="73"/>
      <c r="EV173" s="73"/>
      <c r="EW173" s="73"/>
      <c r="EX173" s="73"/>
      <c r="EY173" s="73"/>
      <c r="EZ173" s="73"/>
      <c r="FA173" s="73"/>
      <c r="FB173" s="73"/>
      <c r="FC173" s="73"/>
      <c r="FD173" s="73"/>
      <c r="FE173" s="73"/>
      <c r="FF173" s="73"/>
      <c r="FG173" s="73"/>
      <c r="FH173" s="73"/>
      <c r="FI173" s="73"/>
      <c r="FJ173" s="73"/>
      <c r="FK173" s="73"/>
      <c r="FL173" s="73"/>
      <c r="FM173" s="73"/>
      <c r="FN173" s="73"/>
      <c r="FO173" s="73"/>
      <c r="FP173" s="73"/>
      <c r="FQ173" s="73"/>
      <c r="FR173" s="73"/>
      <c r="FS173" s="73"/>
      <c r="FT173" s="73"/>
      <c r="FU173" s="73"/>
      <c r="FV173" s="73"/>
      <c r="FW173" s="73"/>
      <c r="FX173" s="73"/>
      <c r="FY173" s="73"/>
      <c r="FZ173" s="73"/>
      <c r="GA173" s="73"/>
      <c r="GB173" s="73"/>
      <c r="GC173" s="73"/>
      <c r="GD173" s="73"/>
      <c r="GE173" s="73"/>
      <c r="GF173" s="73"/>
      <c r="GG173" s="73"/>
      <c r="GH173" s="73"/>
      <c r="GI173" s="73"/>
      <c r="GJ173" s="73"/>
      <c r="GK173" s="73"/>
      <c r="GL173" s="73"/>
      <c r="GM173" s="73"/>
      <c r="GN173" s="73"/>
      <c r="GO173" s="73"/>
      <c r="GP173" s="73"/>
      <c r="GQ173" s="73"/>
      <c r="GR173" s="73"/>
      <c r="GS173" s="73"/>
      <c r="GT173" s="73"/>
      <c r="GU173" s="73"/>
      <c r="GV173" s="73"/>
      <c r="GW173" s="73"/>
      <c r="GX173" s="73"/>
      <c r="GY173" s="73"/>
      <c r="GZ173" s="73"/>
      <c r="HA173" s="73"/>
      <c r="HB173" s="73"/>
      <c r="HC173" s="73"/>
      <c r="HD173" s="73"/>
      <c r="HE173" s="73"/>
      <c r="HF173" s="73"/>
      <c r="HG173" s="73"/>
      <c r="HH173" s="73"/>
      <c r="HI173" s="73"/>
      <c r="HJ173" s="73"/>
      <c r="HK173" s="73"/>
      <c r="HL173" s="73"/>
      <c r="HM173" s="73"/>
      <c r="HN173" s="73"/>
      <c r="HO173" s="73"/>
      <c r="HP173" s="73"/>
      <c r="HQ173" s="73"/>
      <c r="HR173" s="73"/>
      <c r="HS173" s="73"/>
      <c r="HT173" s="73"/>
      <c r="HU173" s="73"/>
      <c r="HV173" s="73"/>
      <c r="HW173" s="73"/>
      <c r="HX173" s="73"/>
      <c r="HY173" s="73"/>
      <c r="HZ173" s="73"/>
      <c r="IA173" s="73"/>
      <c r="IB173" s="73"/>
      <c r="IC173" s="73"/>
      <c r="ID173" s="73"/>
      <c r="IE173" s="73"/>
      <c r="IF173" s="73"/>
      <c r="IG173" s="73"/>
      <c r="IH173" s="73"/>
      <c r="II173" s="73"/>
      <c r="IJ173" s="73"/>
      <c r="IK173" s="73"/>
      <c r="IL173" s="73"/>
      <c r="IM173" s="73"/>
      <c r="IN173" s="73"/>
      <c r="IO173" s="73"/>
      <c r="IP173" s="73"/>
      <c r="IQ173" s="73"/>
      <c r="IR173" s="73"/>
      <c r="IS173" s="73"/>
      <c r="IT173" s="73"/>
      <c r="IU173" s="73"/>
      <c r="IV173" s="73"/>
      <c r="IW173" s="73"/>
    </row>
    <row r="174" customFormat="false" ht="12.75" hidden="false" customHeight="false" outlineLevel="0" collapsed="false">
      <c r="A174" s="73"/>
      <c r="B174" s="46" t="s">
        <v>201</v>
      </c>
      <c r="C174" s="44" t="s">
        <v>169</v>
      </c>
      <c r="D174" s="44" t="s">
        <v>94</v>
      </c>
      <c r="E174" s="45" t="n">
        <v>36647</v>
      </c>
      <c r="F174" s="45" t="n">
        <v>36677</v>
      </c>
      <c r="G174" s="46" t="s">
        <v>305</v>
      </c>
      <c r="H174" s="46" t="s">
        <v>302</v>
      </c>
      <c r="I174" s="44" t="s">
        <v>224</v>
      </c>
      <c r="J174" s="162" t="n">
        <v>0.3074</v>
      </c>
      <c r="K174" s="162" t="n">
        <v>0.0279</v>
      </c>
      <c r="L174" s="162" t="n">
        <v>0.0022</v>
      </c>
      <c r="M174" s="162" t="n">
        <v>0.0072</v>
      </c>
      <c r="N174" s="162" t="n">
        <v>0</v>
      </c>
      <c r="O174" s="50" t="n">
        <v>0</v>
      </c>
      <c r="P174" s="49" t="n">
        <f aca="false">SUM(J174:N174)</f>
        <v>0.3447</v>
      </c>
      <c r="Q174" s="51" t="s">
        <v>306</v>
      </c>
      <c r="R174" s="51" t="n">
        <v>1405</v>
      </c>
      <c r="S174" s="44" t="s">
        <v>307</v>
      </c>
      <c r="T174" s="163" t="n">
        <f aca="false">+(0.3074*R174)*31</f>
        <v>13388.807</v>
      </c>
      <c r="U174" s="163"/>
      <c r="V174" s="164" t="n">
        <v>254533</v>
      </c>
      <c r="W174" s="46"/>
      <c r="X174" s="72"/>
      <c r="Y174" s="72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  <c r="BX174" s="73"/>
      <c r="BY174" s="73"/>
      <c r="BZ174" s="73"/>
      <c r="CA174" s="73"/>
      <c r="CB174" s="73"/>
      <c r="CC174" s="73"/>
      <c r="CD174" s="73"/>
      <c r="CE174" s="73"/>
      <c r="CF174" s="73"/>
      <c r="CG174" s="73"/>
      <c r="CH174" s="73"/>
      <c r="CI174" s="73"/>
      <c r="CJ174" s="73"/>
      <c r="CK174" s="73"/>
      <c r="CL174" s="73"/>
      <c r="CM174" s="73"/>
      <c r="CN174" s="73"/>
      <c r="CO174" s="73"/>
      <c r="CP174" s="73"/>
      <c r="CQ174" s="73"/>
      <c r="CR174" s="73"/>
      <c r="CS174" s="73"/>
      <c r="CT174" s="73"/>
      <c r="CU174" s="73"/>
      <c r="CV174" s="73"/>
      <c r="CW174" s="73"/>
      <c r="CX174" s="73"/>
      <c r="CY174" s="73"/>
      <c r="CZ174" s="73"/>
      <c r="DA174" s="73"/>
      <c r="DB174" s="73"/>
      <c r="DC174" s="73"/>
      <c r="DD174" s="73"/>
      <c r="DE174" s="73"/>
      <c r="DF174" s="73"/>
      <c r="DG174" s="73"/>
      <c r="DH174" s="73"/>
      <c r="DI174" s="73"/>
      <c r="DJ174" s="73"/>
      <c r="DK174" s="73"/>
      <c r="DL174" s="73"/>
      <c r="DM174" s="73"/>
      <c r="DN174" s="73"/>
      <c r="DO174" s="73"/>
      <c r="DP174" s="73"/>
      <c r="DQ174" s="73"/>
      <c r="DR174" s="73"/>
      <c r="DS174" s="73"/>
      <c r="DT174" s="73"/>
      <c r="DU174" s="73"/>
      <c r="DV174" s="73"/>
      <c r="DW174" s="73"/>
      <c r="DX174" s="73"/>
      <c r="DY174" s="73"/>
      <c r="DZ174" s="73"/>
      <c r="EA174" s="73"/>
      <c r="EB174" s="73"/>
      <c r="EC174" s="73"/>
      <c r="ED174" s="73"/>
      <c r="EE174" s="73"/>
      <c r="EF174" s="73"/>
      <c r="EG174" s="73"/>
      <c r="EH174" s="73"/>
      <c r="EI174" s="73"/>
      <c r="EJ174" s="73"/>
      <c r="EK174" s="73"/>
      <c r="EL174" s="73"/>
      <c r="EM174" s="73"/>
      <c r="EN174" s="73"/>
      <c r="EO174" s="73"/>
      <c r="EP174" s="73"/>
      <c r="EQ174" s="73"/>
      <c r="ER174" s="73"/>
      <c r="ES174" s="73"/>
      <c r="ET174" s="73"/>
      <c r="EU174" s="73"/>
      <c r="EV174" s="73"/>
      <c r="EW174" s="73"/>
      <c r="EX174" s="73"/>
      <c r="EY174" s="73"/>
      <c r="EZ174" s="73"/>
      <c r="FA174" s="73"/>
      <c r="FB174" s="73"/>
      <c r="FC174" s="73"/>
      <c r="FD174" s="73"/>
      <c r="FE174" s="73"/>
      <c r="FF174" s="73"/>
      <c r="FG174" s="73"/>
      <c r="FH174" s="73"/>
      <c r="FI174" s="73"/>
      <c r="FJ174" s="73"/>
      <c r="FK174" s="73"/>
      <c r="FL174" s="73"/>
      <c r="FM174" s="73"/>
      <c r="FN174" s="73"/>
      <c r="FO174" s="73"/>
      <c r="FP174" s="73"/>
      <c r="FQ174" s="73"/>
      <c r="FR174" s="73"/>
      <c r="FS174" s="73"/>
      <c r="FT174" s="73"/>
      <c r="FU174" s="73"/>
      <c r="FV174" s="73"/>
      <c r="FW174" s="73"/>
      <c r="FX174" s="73"/>
      <c r="FY174" s="73"/>
      <c r="FZ174" s="73"/>
      <c r="GA174" s="73"/>
      <c r="GB174" s="73"/>
      <c r="GC174" s="73"/>
      <c r="GD174" s="73"/>
      <c r="GE174" s="73"/>
      <c r="GF174" s="73"/>
      <c r="GG174" s="73"/>
      <c r="GH174" s="73"/>
      <c r="GI174" s="73"/>
      <c r="GJ174" s="73"/>
      <c r="GK174" s="73"/>
      <c r="GL174" s="73"/>
      <c r="GM174" s="73"/>
      <c r="GN174" s="73"/>
      <c r="GO174" s="73"/>
      <c r="GP174" s="73"/>
      <c r="GQ174" s="73"/>
      <c r="GR174" s="73"/>
      <c r="GS174" s="73"/>
      <c r="GT174" s="73"/>
      <c r="GU174" s="73"/>
      <c r="GV174" s="73"/>
      <c r="GW174" s="73"/>
      <c r="GX174" s="73"/>
      <c r="GY174" s="73"/>
      <c r="GZ174" s="73"/>
      <c r="HA174" s="73"/>
      <c r="HB174" s="73"/>
      <c r="HC174" s="73"/>
      <c r="HD174" s="73"/>
      <c r="HE174" s="73"/>
      <c r="HF174" s="73"/>
      <c r="HG174" s="73"/>
      <c r="HH174" s="73"/>
      <c r="HI174" s="73"/>
      <c r="HJ174" s="73"/>
      <c r="HK174" s="73"/>
      <c r="HL174" s="73"/>
      <c r="HM174" s="73"/>
      <c r="HN174" s="73"/>
      <c r="HO174" s="73"/>
      <c r="HP174" s="73"/>
      <c r="HQ174" s="73"/>
      <c r="HR174" s="73"/>
      <c r="HS174" s="73"/>
      <c r="HT174" s="73"/>
      <c r="HU174" s="73"/>
      <c r="HV174" s="73"/>
      <c r="HW174" s="73"/>
      <c r="HX174" s="73"/>
      <c r="HY174" s="73"/>
      <c r="HZ174" s="73"/>
      <c r="IA174" s="73"/>
      <c r="IB174" s="73"/>
      <c r="IC174" s="73"/>
      <c r="ID174" s="73"/>
      <c r="IE174" s="73"/>
      <c r="IF174" s="73"/>
      <c r="IG174" s="73"/>
      <c r="IH174" s="73"/>
      <c r="II174" s="73"/>
      <c r="IJ174" s="73"/>
      <c r="IK174" s="73"/>
      <c r="IL174" s="73"/>
      <c r="IM174" s="73"/>
      <c r="IN174" s="73"/>
      <c r="IO174" s="73"/>
      <c r="IP174" s="73"/>
      <c r="IQ174" s="73"/>
      <c r="IR174" s="73"/>
      <c r="IS174" s="73"/>
      <c r="IT174" s="73"/>
      <c r="IU174" s="73"/>
      <c r="IV174" s="73"/>
      <c r="IW174" s="73"/>
    </row>
    <row r="175" customFormat="false" ht="12.75" hidden="false" customHeight="false" outlineLevel="0" collapsed="false">
      <c r="B175" s="46"/>
      <c r="C175" s="44"/>
      <c r="D175" s="44"/>
      <c r="E175" s="45" t="s">
        <v>113</v>
      </c>
      <c r="F175" s="45"/>
      <c r="G175" s="46"/>
      <c r="H175" s="46"/>
      <c r="I175" s="44"/>
      <c r="J175" s="58"/>
      <c r="K175" s="49"/>
      <c r="L175" s="99"/>
      <c r="M175" s="49"/>
      <c r="N175" s="49"/>
      <c r="O175" s="50"/>
      <c r="P175" s="49"/>
      <c r="Q175" s="106"/>
      <c r="R175" s="107" t="n">
        <f aca="false">SUM(R172:R174)</f>
        <v>1451</v>
      </c>
      <c r="S175" s="108"/>
      <c r="T175" s="53" t="n">
        <f aca="false">SUM(T172:T174)</f>
        <v>13807.361</v>
      </c>
      <c r="U175" s="53"/>
      <c r="V175" s="54"/>
      <c r="W175" s="55"/>
      <c r="X175" s="56"/>
      <c r="Y175" s="56"/>
    </row>
    <row r="176" customFormat="false" ht="12.75" hidden="false" customHeight="false" outlineLevel="0" collapsed="false">
      <c r="B176" s="63" t="s">
        <v>181</v>
      </c>
      <c r="C176" s="64" t="s">
        <v>182</v>
      </c>
      <c r="D176" s="64" t="s">
        <v>183</v>
      </c>
      <c r="E176" s="65" t="s">
        <v>184</v>
      </c>
      <c r="F176" s="65"/>
      <c r="G176" s="63" t="s">
        <v>185</v>
      </c>
      <c r="H176" s="63" t="s">
        <v>186</v>
      </c>
      <c r="I176" s="64" t="s">
        <v>187</v>
      </c>
      <c r="J176" s="66" t="s">
        <v>188</v>
      </c>
      <c r="K176" s="64" t="s">
        <v>189</v>
      </c>
      <c r="L176" s="64" t="s">
        <v>190</v>
      </c>
      <c r="M176" s="64" t="s">
        <v>191</v>
      </c>
      <c r="N176" s="64" t="s">
        <v>192</v>
      </c>
      <c r="O176" s="67" t="s">
        <v>193</v>
      </c>
      <c r="P176" s="64" t="s">
        <v>194</v>
      </c>
      <c r="Q176" s="68" t="s">
        <v>195</v>
      </c>
      <c r="R176" s="64" t="s">
        <v>196</v>
      </c>
      <c r="S176" s="63" t="s">
        <v>197</v>
      </c>
      <c r="T176" s="69" t="s">
        <v>198</v>
      </c>
      <c r="U176" s="69" t="s">
        <v>199</v>
      </c>
      <c r="V176" s="70" t="s">
        <v>200</v>
      </c>
      <c r="W176" s="71" t="e">
        <f aca="false">+#REF!</f>
        <v>#REF!</v>
      </c>
      <c r="X176" s="72"/>
      <c r="Y176" s="72"/>
    </row>
    <row r="177" customFormat="false" ht="12.75" hidden="false" customHeight="false" outlineLevel="0" collapsed="false">
      <c r="A177" s="88"/>
      <c r="B177" s="89" t="s">
        <v>249</v>
      </c>
      <c r="C177" s="90" t="s">
        <v>62</v>
      </c>
      <c r="D177" s="90" t="s">
        <v>308</v>
      </c>
      <c r="E177" s="91" t="n">
        <v>36647</v>
      </c>
      <c r="F177" s="91" t="n">
        <v>36677</v>
      </c>
      <c r="G177" s="89" t="s">
        <v>309</v>
      </c>
      <c r="H177" s="89" t="s">
        <v>308</v>
      </c>
      <c r="I177" s="90" t="s">
        <v>310</v>
      </c>
      <c r="J177" s="92" t="n">
        <v>0</v>
      </c>
      <c r="K177" s="93" t="n">
        <v>0</v>
      </c>
      <c r="L177" s="93" t="n">
        <v>0.0022</v>
      </c>
      <c r="M177" s="93" t="n">
        <v>0</v>
      </c>
      <c r="N177" s="93" t="n">
        <v>0</v>
      </c>
      <c r="O177" s="94" t="n">
        <v>0</v>
      </c>
      <c r="P177" s="93" t="n">
        <f aca="false">SUM(J177:N177)</f>
        <v>0.0022</v>
      </c>
      <c r="Q177" s="95" t="s">
        <v>311</v>
      </c>
      <c r="R177" s="90" t="n">
        <v>15</v>
      </c>
      <c r="S177" s="89" t="s">
        <v>312</v>
      </c>
      <c r="T177" s="96" t="n">
        <f aca="false">J177*J$1*R177</f>
        <v>0</v>
      </c>
      <c r="U177" s="96"/>
      <c r="V177" s="97" t="n">
        <v>229454</v>
      </c>
      <c r="W177" s="89"/>
      <c r="X177" s="98"/>
      <c r="Y177" s="9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8"/>
      <c r="DE177" s="88"/>
      <c r="DF177" s="88"/>
      <c r="DG177" s="88"/>
      <c r="DH177" s="88"/>
      <c r="DI177" s="88"/>
      <c r="DJ177" s="88"/>
      <c r="DK177" s="88"/>
      <c r="DL177" s="88"/>
      <c r="DM177" s="88"/>
      <c r="DN177" s="88"/>
      <c r="DO177" s="88"/>
      <c r="DP177" s="88"/>
      <c r="DQ177" s="88"/>
      <c r="DR177" s="88"/>
      <c r="DS177" s="88"/>
      <c r="DT177" s="88"/>
      <c r="DU177" s="88"/>
      <c r="DV177" s="88"/>
      <c r="DW177" s="88"/>
      <c r="DX177" s="88"/>
      <c r="DY177" s="88"/>
      <c r="DZ177" s="88"/>
      <c r="EA177" s="88"/>
      <c r="EB177" s="88"/>
      <c r="EC177" s="88"/>
      <c r="ED177" s="88"/>
      <c r="EE177" s="88"/>
      <c r="EF177" s="88"/>
      <c r="EG177" s="88"/>
      <c r="EH177" s="88"/>
      <c r="EI177" s="88"/>
      <c r="EJ177" s="88"/>
      <c r="EK177" s="88"/>
      <c r="EL177" s="88"/>
      <c r="EM177" s="88"/>
      <c r="EN177" s="88"/>
      <c r="EO177" s="88"/>
      <c r="EP177" s="88"/>
      <c r="EQ177" s="88"/>
      <c r="ER177" s="88"/>
      <c r="ES177" s="88"/>
      <c r="ET177" s="88"/>
      <c r="EU177" s="88"/>
      <c r="EV177" s="88"/>
      <c r="EW177" s="88"/>
      <c r="EX177" s="88"/>
      <c r="EY177" s="88"/>
      <c r="EZ177" s="88"/>
      <c r="FA177" s="88"/>
      <c r="FB177" s="88"/>
      <c r="FC177" s="88"/>
      <c r="FD177" s="88"/>
      <c r="FE177" s="88"/>
      <c r="FF177" s="88"/>
      <c r="FG177" s="88"/>
      <c r="FH177" s="88"/>
      <c r="FI177" s="88"/>
      <c r="FJ177" s="88"/>
      <c r="FK177" s="88"/>
      <c r="FL177" s="88"/>
      <c r="FM177" s="88"/>
      <c r="FN177" s="88"/>
      <c r="FO177" s="88"/>
      <c r="FP177" s="88"/>
      <c r="FQ177" s="88"/>
      <c r="FR177" s="88"/>
      <c r="FS177" s="88"/>
      <c r="FT177" s="88"/>
      <c r="FU177" s="88"/>
      <c r="FV177" s="88"/>
      <c r="FW177" s="88"/>
      <c r="FX177" s="88"/>
      <c r="FY177" s="88"/>
      <c r="FZ177" s="88"/>
      <c r="GA177" s="88"/>
      <c r="GB177" s="88"/>
      <c r="GC177" s="88"/>
      <c r="GD177" s="88"/>
      <c r="GE177" s="88"/>
      <c r="GF177" s="88"/>
      <c r="GG177" s="88"/>
      <c r="GH177" s="88"/>
      <c r="GI177" s="88"/>
      <c r="GJ177" s="88"/>
      <c r="GK177" s="88"/>
      <c r="GL177" s="88"/>
      <c r="GM177" s="88"/>
      <c r="GN177" s="88"/>
      <c r="GO177" s="88"/>
      <c r="GP177" s="88"/>
      <c r="GQ177" s="88"/>
      <c r="GR177" s="88"/>
      <c r="GS177" s="88"/>
      <c r="GT177" s="88"/>
      <c r="GU177" s="88"/>
      <c r="GV177" s="88"/>
      <c r="GW177" s="88"/>
      <c r="GX177" s="88"/>
      <c r="GY177" s="88"/>
      <c r="GZ177" s="88"/>
      <c r="HA177" s="88"/>
      <c r="HB177" s="88"/>
      <c r="HC177" s="88"/>
      <c r="HD177" s="88"/>
      <c r="HE177" s="88"/>
      <c r="HF177" s="88"/>
      <c r="HG177" s="88"/>
      <c r="HH177" s="88"/>
      <c r="HI177" s="88"/>
      <c r="HJ177" s="88"/>
      <c r="HK177" s="88"/>
      <c r="HL177" s="88"/>
      <c r="HM177" s="88"/>
      <c r="HN177" s="88"/>
      <c r="HO177" s="88"/>
      <c r="HP177" s="88"/>
      <c r="HQ177" s="88"/>
      <c r="HR177" s="88"/>
      <c r="HS177" s="88"/>
      <c r="HT177" s="88"/>
      <c r="HU177" s="88"/>
      <c r="HV177" s="88"/>
      <c r="HW177" s="88"/>
      <c r="HX177" s="88"/>
      <c r="HY177" s="88"/>
      <c r="HZ177" s="88"/>
      <c r="IA177" s="88"/>
      <c r="IB177" s="88"/>
      <c r="IC177" s="88"/>
      <c r="ID177" s="88"/>
      <c r="IE177" s="88"/>
      <c r="IF177" s="88"/>
      <c r="IG177" s="88"/>
      <c r="IH177" s="88"/>
      <c r="II177" s="88"/>
      <c r="IJ177" s="88"/>
      <c r="IK177" s="88"/>
      <c r="IL177" s="88"/>
      <c r="IM177" s="88"/>
      <c r="IN177" s="88"/>
      <c r="IO177" s="88"/>
      <c r="IP177" s="88"/>
      <c r="IQ177" s="88"/>
      <c r="IR177" s="88"/>
      <c r="IS177" s="88"/>
      <c r="IT177" s="88"/>
      <c r="IU177" s="88"/>
      <c r="IV177" s="88"/>
      <c r="IW177" s="88"/>
    </row>
    <row r="178" customFormat="false" ht="12.75" hidden="false" customHeight="false" outlineLevel="0" collapsed="false">
      <c r="A178" s="88"/>
      <c r="B178" s="89" t="s">
        <v>249</v>
      </c>
      <c r="C178" s="90" t="s">
        <v>62</v>
      </c>
      <c r="D178" s="90" t="s">
        <v>308</v>
      </c>
      <c r="E178" s="91" t="n">
        <v>36647</v>
      </c>
      <c r="F178" s="91" t="n">
        <v>36677</v>
      </c>
      <c r="G178" s="89" t="s">
        <v>313</v>
      </c>
      <c r="H178" s="89" t="s">
        <v>308</v>
      </c>
      <c r="I178" s="90" t="s">
        <v>310</v>
      </c>
      <c r="J178" s="92" t="n">
        <v>0</v>
      </c>
      <c r="K178" s="93" t="n">
        <v>0</v>
      </c>
      <c r="L178" s="93" t="n">
        <v>0.0022</v>
      </c>
      <c r="M178" s="93" t="n">
        <v>0</v>
      </c>
      <c r="N178" s="93" t="n">
        <v>0</v>
      </c>
      <c r="O178" s="94" t="n">
        <v>0</v>
      </c>
      <c r="P178" s="93" t="n">
        <f aca="false">SUM(J178:N178)</f>
        <v>0.0022</v>
      </c>
      <c r="Q178" s="95" t="s">
        <v>311</v>
      </c>
      <c r="R178" s="90" t="n">
        <v>21</v>
      </c>
      <c r="S178" s="89" t="s">
        <v>312</v>
      </c>
      <c r="T178" s="96" t="n">
        <f aca="false">J178*J$1*R178</f>
        <v>0</v>
      </c>
      <c r="U178" s="96"/>
      <c r="V178" s="97" t="n">
        <v>229454</v>
      </c>
      <c r="W178" s="89"/>
      <c r="X178" s="98"/>
      <c r="Y178" s="9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  <c r="DB178" s="88"/>
      <c r="DC178" s="88"/>
      <c r="DD178" s="88"/>
      <c r="DE178" s="88"/>
      <c r="DF178" s="88"/>
      <c r="DG178" s="88"/>
      <c r="DH178" s="88"/>
      <c r="DI178" s="88"/>
      <c r="DJ178" s="88"/>
      <c r="DK178" s="88"/>
      <c r="DL178" s="88"/>
      <c r="DM178" s="88"/>
      <c r="DN178" s="88"/>
      <c r="DO178" s="88"/>
      <c r="DP178" s="88"/>
      <c r="DQ178" s="88"/>
      <c r="DR178" s="88"/>
      <c r="DS178" s="88"/>
      <c r="DT178" s="88"/>
      <c r="DU178" s="88"/>
      <c r="DV178" s="88"/>
      <c r="DW178" s="88"/>
      <c r="DX178" s="88"/>
      <c r="DY178" s="88"/>
      <c r="DZ178" s="88"/>
      <c r="EA178" s="88"/>
      <c r="EB178" s="88"/>
      <c r="EC178" s="88"/>
      <c r="ED178" s="88"/>
      <c r="EE178" s="88"/>
      <c r="EF178" s="88"/>
      <c r="EG178" s="88"/>
      <c r="EH178" s="88"/>
      <c r="EI178" s="88"/>
      <c r="EJ178" s="88"/>
      <c r="EK178" s="88"/>
      <c r="EL178" s="88"/>
      <c r="EM178" s="88"/>
      <c r="EN178" s="88"/>
      <c r="EO178" s="88"/>
      <c r="EP178" s="88"/>
      <c r="EQ178" s="88"/>
      <c r="ER178" s="88"/>
      <c r="ES178" s="88"/>
      <c r="ET178" s="88"/>
      <c r="EU178" s="88"/>
      <c r="EV178" s="88"/>
      <c r="EW178" s="88"/>
      <c r="EX178" s="88"/>
      <c r="EY178" s="88"/>
      <c r="EZ178" s="88"/>
      <c r="FA178" s="88"/>
      <c r="FB178" s="88"/>
      <c r="FC178" s="88"/>
      <c r="FD178" s="88"/>
      <c r="FE178" s="88"/>
      <c r="FF178" s="88"/>
      <c r="FG178" s="88"/>
      <c r="FH178" s="88"/>
      <c r="FI178" s="88"/>
      <c r="FJ178" s="88"/>
      <c r="FK178" s="88"/>
      <c r="FL178" s="88"/>
      <c r="FM178" s="88"/>
      <c r="FN178" s="88"/>
      <c r="FO178" s="88"/>
      <c r="FP178" s="88"/>
      <c r="FQ178" s="88"/>
      <c r="FR178" s="88"/>
      <c r="FS178" s="88"/>
      <c r="FT178" s="88"/>
      <c r="FU178" s="88"/>
      <c r="FV178" s="88"/>
      <c r="FW178" s="88"/>
      <c r="FX178" s="88"/>
      <c r="FY178" s="88"/>
      <c r="FZ178" s="88"/>
      <c r="GA178" s="88"/>
      <c r="GB178" s="88"/>
      <c r="GC178" s="88"/>
      <c r="GD178" s="88"/>
      <c r="GE178" s="88"/>
      <c r="GF178" s="88"/>
      <c r="GG178" s="88"/>
      <c r="GH178" s="88"/>
      <c r="GI178" s="88"/>
      <c r="GJ178" s="88"/>
      <c r="GK178" s="88"/>
      <c r="GL178" s="88"/>
      <c r="GM178" s="88"/>
      <c r="GN178" s="88"/>
      <c r="GO178" s="88"/>
      <c r="GP178" s="88"/>
      <c r="GQ178" s="88"/>
      <c r="GR178" s="88"/>
      <c r="GS178" s="88"/>
      <c r="GT178" s="88"/>
      <c r="GU178" s="88"/>
      <c r="GV178" s="88"/>
      <c r="GW178" s="88"/>
      <c r="GX178" s="88"/>
      <c r="GY178" s="88"/>
      <c r="GZ178" s="88"/>
      <c r="HA178" s="88"/>
      <c r="HB178" s="88"/>
      <c r="HC178" s="88"/>
      <c r="HD178" s="88"/>
      <c r="HE178" s="88"/>
      <c r="HF178" s="88"/>
      <c r="HG178" s="88"/>
      <c r="HH178" s="88"/>
      <c r="HI178" s="88"/>
      <c r="HJ178" s="88"/>
      <c r="HK178" s="88"/>
      <c r="HL178" s="88"/>
      <c r="HM178" s="88"/>
      <c r="HN178" s="88"/>
      <c r="HO178" s="88"/>
      <c r="HP178" s="88"/>
      <c r="HQ178" s="88"/>
      <c r="HR178" s="88"/>
      <c r="HS178" s="88"/>
      <c r="HT178" s="88"/>
      <c r="HU178" s="88"/>
      <c r="HV178" s="88"/>
      <c r="HW178" s="88"/>
      <c r="HX178" s="88"/>
      <c r="HY178" s="88"/>
      <c r="HZ178" s="88"/>
      <c r="IA178" s="88"/>
      <c r="IB178" s="88"/>
      <c r="IC178" s="88"/>
      <c r="ID178" s="88"/>
      <c r="IE178" s="88"/>
      <c r="IF178" s="88"/>
      <c r="IG178" s="88"/>
      <c r="IH178" s="88"/>
      <c r="II178" s="88"/>
      <c r="IJ178" s="88"/>
      <c r="IK178" s="88"/>
      <c r="IL178" s="88"/>
      <c r="IM178" s="88"/>
      <c r="IN178" s="88"/>
      <c r="IO178" s="88"/>
      <c r="IP178" s="88"/>
      <c r="IQ178" s="88"/>
      <c r="IR178" s="88"/>
      <c r="IS178" s="88"/>
      <c r="IT178" s="88"/>
      <c r="IU178" s="88"/>
      <c r="IV178" s="88"/>
      <c r="IW178" s="88"/>
    </row>
    <row r="179" customFormat="false" ht="12.75" hidden="false" customHeight="false" outlineLevel="0" collapsed="false">
      <c r="A179" s="88"/>
      <c r="B179" s="89" t="s">
        <v>249</v>
      </c>
      <c r="C179" s="90" t="s">
        <v>62</v>
      </c>
      <c r="D179" s="90" t="s">
        <v>308</v>
      </c>
      <c r="E179" s="91" t="n">
        <v>36647</v>
      </c>
      <c r="F179" s="91" t="n">
        <v>36677</v>
      </c>
      <c r="G179" s="89" t="s">
        <v>314</v>
      </c>
      <c r="H179" s="89" t="s">
        <v>308</v>
      </c>
      <c r="I179" s="90" t="s">
        <v>310</v>
      </c>
      <c r="J179" s="92" t="n">
        <v>0</v>
      </c>
      <c r="K179" s="93" t="n">
        <v>0</v>
      </c>
      <c r="L179" s="93" t="n">
        <v>0.0022</v>
      </c>
      <c r="M179" s="93" t="n">
        <v>0</v>
      </c>
      <c r="N179" s="93" t="n">
        <v>0</v>
      </c>
      <c r="O179" s="94" t="n">
        <v>0</v>
      </c>
      <c r="P179" s="93" t="n">
        <f aca="false">SUM(J179:N179)</f>
        <v>0.0022</v>
      </c>
      <c r="Q179" s="95" t="s">
        <v>311</v>
      </c>
      <c r="R179" s="90" t="n">
        <f aca="false">16+34</f>
        <v>50</v>
      </c>
      <c r="S179" s="89" t="s">
        <v>312</v>
      </c>
      <c r="T179" s="96" t="n">
        <f aca="false">J179*J$1*R179</f>
        <v>0</v>
      </c>
      <c r="U179" s="96"/>
      <c r="V179" s="97" t="n">
        <v>229454</v>
      </c>
      <c r="W179" s="89"/>
      <c r="X179" s="98"/>
      <c r="Y179" s="9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88"/>
      <c r="DR179" s="88"/>
      <c r="DS179" s="88"/>
      <c r="DT179" s="88"/>
      <c r="DU179" s="88"/>
      <c r="DV179" s="88"/>
      <c r="DW179" s="88"/>
      <c r="DX179" s="88"/>
      <c r="DY179" s="88"/>
      <c r="DZ179" s="88"/>
      <c r="EA179" s="88"/>
      <c r="EB179" s="88"/>
      <c r="EC179" s="88"/>
      <c r="ED179" s="88"/>
      <c r="EE179" s="88"/>
      <c r="EF179" s="88"/>
      <c r="EG179" s="88"/>
      <c r="EH179" s="88"/>
      <c r="EI179" s="88"/>
      <c r="EJ179" s="88"/>
      <c r="EK179" s="88"/>
      <c r="EL179" s="88"/>
      <c r="EM179" s="88"/>
      <c r="EN179" s="88"/>
      <c r="EO179" s="88"/>
      <c r="EP179" s="88"/>
      <c r="EQ179" s="88"/>
      <c r="ER179" s="88"/>
      <c r="ES179" s="88"/>
      <c r="ET179" s="88"/>
      <c r="EU179" s="88"/>
      <c r="EV179" s="88"/>
      <c r="EW179" s="88"/>
      <c r="EX179" s="88"/>
      <c r="EY179" s="88"/>
      <c r="EZ179" s="88"/>
      <c r="FA179" s="88"/>
      <c r="FB179" s="88"/>
      <c r="FC179" s="88"/>
      <c r="FD179" s="88"/>
      <c r="FE179" s="88"/>
      <c r="FF179" s="88"/>
      <c r="FG179" s="88"/>
      <c r="FH179" s="88"/>
      <c r="FI179" s="88"/>
      <c r="FJ179" s="88"/>
      <c r="FK179" s="88"/>
      <c r="FL179" s="88"/>
      <c r="FM179" s="88"/>
      <c r="FN179" s="88"/>
      <c r="FO179" s="88"/>
      <c r="FP179" s="88"/>
      <c r="FQ179" s="88"/>
      <c r="FR179" s="88"/>
      <c r="FS179" s="88"/>
      <c r="FT179" s="88"/>
      <c r="FU179" s="88"/>
      <c r="FV179" s="88"/>
      <c r="FW179" s="88"/>
      <c r="FX179" s="88"/>
      <c r="FY179" s="88"/>
      <c r="FZ179" s="88"/>
      <c r="GA179" s="88"/>
      <c r="GB179" s="88"/>
      <c r="GC179" s="88"/>
      <c r="GD179" s="88"/>
      <c r="GE179" s="88"/>
      <c r="GF179" s="88"/>
      <c r="GG179" s="88"/>
      <c r="GH179" s="88"/>
      <c r="GI179" s="88"/>
      <c r="GJ179" s="88"/>
      <c r="GK179" s="88"/>
      <c r="GL179" s="88"/>
      <c r="GM179" s="88"/>
      <c r="GN179" s="88"/>
      <c r="GO179" s="88"/>
      <c r="GP179" s="88"/>
      <c r="GQ179" s="88"/>
      <c r="GR179" s="88"/>
      <c r="GS179" s="88"/>
      <c r="GT179" s="88"/>
      <c r="GU179" s="88"/>
      <c r="GV179" s="88"/>
      <c r="GW179" s="88"/>
      <c r="GX179" s="88"/>
      <c r="GY179" s="88"/>
      <c r="GZ179" s="88"/>
      <c r="HA179" s="88"/>
      <c r="HB179" s="88"/>
      <c r="HC179" s="88"/>
      <c r="HD179" s="88"/>
      <c r="HE179" s="88"/>
      <c r="HF179" s="88"/>
      <c r="HG179" s="88"/>
      <c r="HH179" s="88"/>
      <c r="HI179" s="88"/>
      <c r="HJ179" s="88"/>
      <c r="HK179" s="88"/>
      <c r="HL179" s="88"/>
      <c r="HM179" s="88"/>
      <c r="HN179" s="88"/>
      <c r="HO179" s="88"/>
      <c r="HP179" s="88"/>
      <c r="HQ179" s="88"/>
      <c r="HR179" s="88"/>
      <c r="HS179" s="88"/>
      <c r="HT179" s="88"/>
      <c r="HU179" s="88"/>
      <c r="HV179" s="88"/>
      <c r="HW179" s="88"/>
      <c r="HX179" s="88"/>
      <c r="HY179" s="88"/>
      <c r="HZ179" s="88"/>
      <c r="IA179" s="88"/>
      <c r="IB179" s="88"/>
      <c r="IC179" s="88"/>
      <c r="ID179" s="88"/>
      <c r="IE179" s="88"/>
      <c r="IF179" s="88"/>
      <c r="IG179" s="88"/>
      <c r="IH179" s="88"/>
      <c r="II179" s="88"/>
      <c r="IJ179" s="88"/>
      <c r="IK179" s="88"/>
      <c r="IL179" s="88"/>
      <c r="IM179" s="88"/>
      <c r="IN179" s="88"/>
      <c r="IO179" s="88"/>
      <c r="IP179" s="88"/>
      <c r="IQ179" s="88"/>
      <c r="IR179" s="88"/>
      <c r="IS179" s="88"/>
      <c r="IT179" s="88"/>
      <c r="IU179" s="88"/>
      <c r="IV179" s="88"/>
      <c r="IW179" s="88"/>
    </row>
    <row r="180" customFormat="false" ht="12.75" hidden="false" customHeight="false" outlineLevel="0" collapsed="false">
      <c r="A180" s="73"/>
      <c r="B180" s="46" t="s">
        <v>201</v>
      </c>
      <c r="C180" s="44" t="s">
        <v>62</v>
      </c>
      <c r="D180" s="44" t="s">
        <v>239</v>
      </c>
      <c r="E180" s="45" t="n">
        <v>36647</v>
      </c>
      <c r="F180" s="45" t="n">
        <v>36677</v>
      </c>
      <c r="G180" s="46" t="s">
        <v>309</v>
      </c>
      <c r="H180" s="46" t="s">
        <v>315</v>
      </c>
      <c r="I180" s="44" t="s">
        <v>310</v>
      </c>
      <c r="J180" s="58" t="n">
        <f aca="false">7.5225/J$1</f>
        <v>0.25075</v>
      </c>
      <c r="K180" s="49" t="n">
        <v>0</v>
      </c>
      <c r="L180" s="49" t="n">
        <v>0.0022</v>
      </c>
      <c r="M180" s="49" t="n">
        <v>0</v>
      </c>
      <c r="N180" s="49" t="n">
        <v>0</v>
      </c>
      <c r="O180" s="50" t="n">
        <v>0</v>
      </c>
      <c r="P180" s="49" t="n">
        <f aca="false">SUM(J180:N180)</f>
        <v>0.25295</v>
      </c>
      <c r="Q180" s="51" t="s">
        <v>530</v>
      </c>
      <c r="R180" s="44" t="n">
        <v>1115</v>
      </c>
      <c r="S180" s="46" t="s">
        <v>531</v>
      </c>
      <c r="T180" s="117" t="n">
        <f aca="false">J180*J$1*R180</f>
        <v>8387.5875</v>
      </c>
      <c r="U180" s="74"/>
      <c r="V180" s="75" t="n">
        <v>252026</v>
      </c>
      <c r="W180" s="46"/>
      <c r="X180" s="72"/>
      <c r="Y180" s="72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73"/>
      <c r="BY180" s="73"/>
      <c r="BZ180" s="73"/>
      <c r="CA180" s="73"/>
      <c r="CB180" s="73"/>
      <c r="CC180" s="73"/>
      <c r="CD180" s="73"/>
      <c r="CE180" s="73"/>
      <c r="CF180" s="73"/>
      <c r="CG180" s="73"/>
      <c r="CH180" s="73"/>
      <c r="CI180" s="73"/>
      <c r="CJ180" s="73"/>
      <c r="CK180" s="73"/>
      <c r="CL180" s="73"/>
      <c r="CM180" s="73"/>
      <c r="CN180" s="73"/>
      <c r="CO180" s="73"/>
      <c r="CP180" s="73"/>
      <c r="CQ180" s="73"/>
      <c r="CR180" s="73"/>
      <c r="CS180" s="73"/>
      <c r="CT180" s="73"/>
      <c r="CU180" s="73"/>
      <c r="CV180" s="73"/>
      <c r="CW180" s="73"/>
      <c r="CX180" s="73"/>
      <c r="CY180" s="73"/>
      <c r="CZ180" s="73"/>
      <c r="DA180" s="73"/>
      <c r="DB180" s="73"/>
      <c r="DC180" s="73"/>
      <c r="DD180" s="73"/>
      <c r="DE180" s="73"/>
      <c r="DF180" s="73"/>
      <c r="DG180" s="73"/>
      <c r="DH180" s="73"/>
      <c r="DI180" s="73"/>
      <c r="DJ180" s="73"/>
      <c r="DK180" s="73"/>
      <c r="DL180" s="73"/>
      <c r="DM180" s="73"/>
      <c r="DN180" s="73"/>
      <c r="DO180" s="73"/>
      <c r="DP180" s="73"/>
      <c r="DQ180" s="73"/>
      <c r="DR180" s="73"/>
      <c r="DS180" s="73"/>
      <c r="DT180" s="73"/>
      <c r="DU180" s="73"/>
      <c r="DV180" s="73"/>
      <c r="DW180" s="73"/>
      <c r="DX180" s="73"/>
      <c r="DY180" s="73"/>
      <c r="DZ180" s="73"/>
      <c r="EA180" s="73"/>
      <c r="EB180" s="73"/>
      <c r="EC180" s="73"/>
      <c r="ED180" s="73"/>
      <c r="EE180" s="73"/>
      <c r="EF180" s="73"/>
      <c r="EG180" s="73"/>
      <c r="EH180" s="73"/>
      <c r="EI180" s="73"/>
      <c r="EJ180" s="73"/>
      <c r="EK180" s="73"/>
      <c r="EL180" s="73"/>
      <c r="EM180" s="73"/>
      <c r="EN180" s="73"/>
      <c r="EO180" s="73"/>
      <c r="EP180" s="73"/>
      <c r="EQ180" s="73"/>
      <c r="ER180" s="73"/>
      <c r="ES180" s="73"/>
      <c r="ET180" s="73"/>
      <c r="EU180" s="73"/>
      <c r="EV180" s="73"/>
      <c r="EW180" s="73"/>
      <c r="EX180" s="73"/>
      <c r="EY180" s="73"/>
      <c r="EZ180" s="73"/>
      <c r="FA180" s="73"/>
      <c r="FB180" s="73"/>
      <c r="FC180" s="73"/>
      <c r="FD180" s="73"/>
      <c r="FE180" s="73"/>
      <c r="FF180" s="73"/>
      <c r="FG180" s="73"/>
      <c r="FH180" s="73"/>
      <c r="FI180" s="73"/>
      <c r="FJ180" s="73"/>
      <c r="FK180" s="73"/>
      <c r="FL180" s="73"/>
      <c r="FM180" s="73"/>
      <c r="FN180" s="73"/>
      <c r="FO180" s="73"/>
      <c r="FP180" s="73"/>
      <c r="FQ180" s="73"/>
      <c r="FR180" s="73"/>
      <c r="FS180" s="73"/>
      <c r="FT180" s="73"/>
      <c r="FU180" s="73"/>
      <c r="FV180" s="73"/>
      <c r="FW180" s="73"/>
      <c r="FX180" s="73"/>
      <c r="FY180" s="73"/>
      <c r="FZ180" s="73"/>
      <c r="GA180" s="73"/>
      <c r="GB180" s="73"/>
      <c r="GC180" s="73"/>
      <c r="GD180" s="73"/>
      <c r="GE180" s="73"/>
      <c r="GF180" s="73"/>
      <c r="GG180" s="73"/>
      <c r="GH180" s="73"/>
      <c r="GI180" s="73"/>
      <c r="GJ180" s="73"/>
      <c r="GK180" s="73"/>
      <c r="GL180" s="73"/>
      <c r="GM180" s="73"/>
      <c r="GN180" s="73"/>
      <c r="GO180" s="73"/>
      <c r="GP180" s="73"/>
      <c r="GQ180" s="73"/>
      <c r="GR180" s="73"/>
      <c r="GS180" s="73"/>
      <c r="GT180" s="73"/>
      <c r="GU180" s="73"/>
      <c r="GV180" s="73"/>
      <c r="GW180" s="73"/>
      <c r="GX180" s="73"/>
      <c r="GY180" s="73"/>
      <c r="GZ180" s="73"/>
      <c r="HA180" s="73"/>
      <c r="HB180" s="73"/>
      <c r="HC180" s="73"/>
      <c r="HD180" s="73"/>
      <c r="HE180" s="73"/>
      <c r="HF180" s="73"/>
      <c r="HG180" s="73"/>
      <c r="HH180" s="73"/>
      <c r="HI180" s="73"/>
      <c r="HJ180" s="73"/>
      <c r="HK180" s="73"/>
      <c r="HL180" s="73"/>
      <c r="HM180" s="73"/>
      <c r="HN180" s="73"/>
      <c r="HO180" s="73"/>
      <c r="HP180" s="73"/>
      <c r="HQ180" s="73"/>
      <c r="HR180" s="73"/>
      <c r="HS180" s="73"/>
      <c r="HT180" s="73"/>
      <c r="HU180" s="73"/>
      <c r="HV180" s="73"/>
      <c r="HW180" s="73"/>
      <c r="HX180" s="73"/>
      <c r="HY180" s="73"/>
      <c r="HZ180" s="73"/>
      <c r="IA180" s="73"/>
      <c r="IB180" s="73"/>
      <c r="IC180" s="73"/>
      <c r="ID180" s="73"/>
      <c r="IE180" s="73"/>
      <c r="IF180" s="73"/>
      <c r="IG180" s="73"/>
      <c r="IH180" s="73"/>
      <c r="II180" s="73"/>
      <c r="IJ180" s="73"/>
      <c r="IK180" s="73"/>
      <c r="IL180" s="73"/>
      <c r="IM180" s="73"/>
      <c r="IN180" s="73"/>
      <c r="IO180" s="73"/>
      <c r="IP180" s="73"/>
      <c r="IQ180" s="73"/>
      <c r="IR180" s="73"/>
      <c r="IS180" s="73"/>
      <c r="IT180" s="73"/>
      <c r="IU180" s="73"/>
      <c r="IV180" s="73"/>
      <c r="IW180" s="73"/>
    </row>
    <row r="181" customFormat="false" ht="12.75" hidden="false" customHeight="false" outlineLevel="0" collapsed="false">
      <c r="A181" s="73"/>
      <c r="B181" s="46" t="s">
        <v>201</v>
      </c>
      <c r="C181" s="44" t="s">
        <v>62</v>
      </c>
      <c r="D181" s="44" t="s">
        <v>239</v>
      </c>
      <c r="E181" s="45" t="n">
        <v>36647</v>
      </c>
      <c r="F181" s="45" t="n">
        <v>36677</v>
      </c>
      <c r="G181" s="46" t="s">
        <v>313</v>
      </c>
      <c r="H181" s="46" t="s">
        <v>315</v>
      </c>
      <c r="I181" s="44" t="s">
        <v>310</v>
      </c>
      <c r="J181" s="58" t="n">
        <f aca="false">7.5225/J$1</f>
        <v>0.25075</v>
      </c>
      <c r="K181" s="49" t="n">
        <v>0</v>
      </c>
      <c r="L181" s="49" t="n">
        <v>0.0022</v>
      </c>
      <c r="M181" s="49" t="n">
        <v>0</v>
      </c>
      <c r="N181" s="49" t="n">
        <v>0</v>
      </c>
      <c r="O181" s="50" t="n">
        <v>0</v>
      </c>
      <c r="P181" s="49" t="n">
        <f aca="false">SUM(J181:N181)</f>
        <v>0.25295</v>
      </c>
      <c r="Q181" s="51" t="s">
        <v>530</v>
      </c>
      <c r="R181" s="44" t="n">
        <v>1640</v>
      </c>
      <c r="S181" s="46" t="s">
        <v>531</v>
      </c>
      <c r="T181" s="117" t="n">
        <f aca="false">J181*J$1*R181</f>
        <v>12336.9</v>
      </c>
      <c r="U181" s="74"/>
      <c r="V181" s="75" t="n">
        <v>252026</v>
      </c>
      <c r="W181" s="46"/>
      <c r="X181" s="72"/>
      <c r="Y181" s="72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73"/>
      <c r="BY181" s="73"/>
      <c r="BZ181" s="73"/>
      <c r="CA181" s="73"/>
      <c r="CB181" s="73"/>
      <c r="CC181" s="73"/>
      <c r="CD181" s="73"/>
      <c r="CE181" s="73"/>
      <c r="CF181" s="73"/>
      <c r="CG181" s="73"/>
      <c r="CH181" s="73"/>
      <c r="CI181" s="73"/>
      <c r="CJ181" s="73"/>
      <c r="CK181" s="73"/>
      <c r="CL181" s="73"/>
      <c r="CM181" s="73"/>
      <c r="CN181" s="73"/>
      <c r="CO181" s="73"/>
      <c r="CP181" s="73"/>
      <c r="CQ181" s="73"/>
      <c r="CR181" s="73"/>
      <c r="CS181" s="73"/>
      <c r="CT181" s="73"/>
      <c r="CU181" s="73"/>
      <c r="CV181" s="73"/>
      <c r="CW181" s="73"/>
      <c r="CX181" s="73"/>
      <c r="CY181" s="73"/>
      <c r="CZ181" s="73"/>
      <c r="DA181" s="73"/>
      <c r="DB181" s="73"/>
      <c r="DC181" s="73"/>
      <c r="DD181" s="73"/>
      <c r="DE181" s="73"/>
      <c r="DF181" s="73"/>
      <c r="DG181" s="73"/>
      <c r="DH181" s="73"/>
      <c r="DI181" s="73"/>
      <c r="DJ181" s="73"/>
      <c r="DK181" s="73"/>
      <c r="DL181" s="73"/>
      <c r="DM181" s="73"/>
      <c r="DN181" s="73"/>
      <c r="DO181" s="73"/>
      <c r="DP181" s="73"/>
      <c r="DQ181" s="73"/>
      <c r="DR181" s="73"/>
      <c r="DS181" s="73"/>
      <c r="DT181" s="73"/>
      <c r="DU181" s="73"/>
      <c r="DV181" s="73"/>
      <c r="DW181" s="73"/>
      <c r="DX181" s="73"/>
      <c r="DY181" s="73"/>
      <c r="DZ181" s="73"/>
      <c r="EA181" s="73"/>
      <c r="EB181" s="73"/>
      <c r="EC181" s="73"/>
      <c r="ED181" s="73"/>
      <c r="EE181" s="73"/>
      <c r="EF181" s="73"/>
      <c r="EG181" s="73"/>
      <c r="EH181" s="73"/>
      <c r="EI181" s="73"/>
      <c r="EJ181" s="73"/>
      <c r="EK181" s="73"/>
      <c r="EL181" s="73"/>
      <c r="EM181" s="73"/>
      <c r="EN181" s="73"/>
      <c r="EO181" s="73"/>
      <c r="EP181" s="73"/>
      <c r="EQ181" s="73"/>
      <c r="ER181" s="73"/>
      <c r="ES181" s="73"/>
      <c r="ET181" s="73"/>
      <c r="EU181" s="73"/>
      <c r="EV181" s="73"/>
      <c r="EW181" s="73"/>
      <c r="EX181" s="73"/>
      <c r="EY181" s="73"/>
      <c r="EZ181" s="73"/>
      <c r="FA181" s="73"/>
      <c r="FB181" s="73"/>
      <c r="FC181" s="73"/>
      <c r="FD181" s="73"/>
      <c r="FE181" s="73"/>
      <c r="FF181" s="73"/>
      <c r="FG181" s="73"/>
      <c r="FH181" s="73"/>
      <c r="FI181" s="73"/>
      <c r="FJ181" s="73"/>
      <c r="FK181" s="73"/>
      <c r="FL181" s="73"/>
      <c r="FM181" s="73"/>
      <c r="FN181" s="73"/>
      <c r="FO181" s="73"/>
      <c r="FP181" s="73"/>
      <c r="FQ181" s="73"/>
      <c r="FR181" s="73"/>
      <c r="FS181" s="73"/>
      <c r="FT181" s="73"/>
      <c r="FU181" s="73"/>
      <c r="FV181" s="73"/>
      <c r="FW181" s="73"/>
      <c r="FX181" s="73"/>
      <c r="FY181" s="73"/>
      <c r="FZ181" s="73"/>
      <c r="GA181" s="73"/>
      <c r="GB181" s="73"/>
      <c r="GC181" s="73"/>
      <c r="GD181" s="73"/>
      <c r="GE181" s="73"/>
      <c r="GF181" s="73"/>
      <c r="GG181" s="73"/>
      <c r="GH181" s="73"/>
      <c r="GI181" s="73"/>
      <c r="GJ181" s="73"/>
      <c r="GK181" s="73"/>
      <c r="GL181" s="73"/>
      <c r="GM181" s="73"/>
      <c r="GN181" s="73"/>
      <c r="GO181" s="73"/>
      <c r="GP181" s="73"/>
      <c r="GQ181" s="73"/>
      <c r="GR181" s="73"/>
      <c r="GS181" s="73"/>
      <c r="GT181" s="73"/>
      <c r="GU181" s="73"/>
      <c r="GV181" s="73"/>
      <c r="GW181" s="73"/>
      <c r="GX181" s="73"/>
      <c r="GY181" s="73"/>
      <c r="GZ181" s="73"/>
      <c r="HA181" s="73"/>
      <c r="HB181" s="73"/>
      <c r="HC181" s="73"/>
      <c r="HD181" s="73"/>
      <c r="HE181" s="73"/>
      <c r="HF181" s="73"/>
      <c r="HG181" s="73"/>
      <c r="HH181" s="73"/>
      <c r="HI181" s="73"/>
      <c r="HJ181" s="73"/>
      <c r="HK181" s="73"/>
      <c r="HL181" s="73"/>
      <c r="HM181" s="73"/>
      <c r="HN181" s="73"/>
      <c r="HO181" s="73"/>
      <c r="HP181" s="73"/>
      <c r="HQ181" s="73"/>
      <c r="HR181" s="73"/>
      <c r="HS181" s="73"/>
      <c r="HT181" s="73"/>
      <c r="HU181" s="73"/>
      <c r="HV181" s="73"/>
      <c r="HW181" s="73"/>
      <c r="HX181" s="73"/>
      <c r="HY181" s="73"/>
      <c r="HZ181" s="73"/>
      <c r="IA181" s="73"/>
      <c r="IB181" s="73"/>
      <c r="IC181" s="73"/>
      <c r="ID181" s="73"/>
      <c r="IE181" s="73"/>
      <c r="IF181" s="73"/>
      <c r="IG181" s="73"/>
      <c r="IH181" s="73"/>
      <c r="II181" s="73"/>
      <c r="IJ181" s="73"/>
      <c r="IK181" s="73"/>
      <c r="IL181" s="73"/>
      <c r="IM181" s="73"/>
      <c r="IN181" s="73"/>
      <c r="IO181" s="73"/>
      <c r="IP181" s="73"/>
      <c r="IQ181" s="73"/>
      <c r="IR181" s="73"/>
      <c r="IS181" s="73"/>
      <c r="IT181" s="73"/>
      <c r="IU181" s="73"/>
      <c r="IV181" s="73"/>
      <c r="IW181" s="73"/>
    </row>
    <row r="182" customFormat="false" ht="12.75" hidden="false" customHeight="false" outlineLevel="0" collapsed="false">
      <c r="A182" s="73"/>
      <c r="B182" s="46" t="s">
        <v>201</v>
      </c>
      <c r="C182" s="44" t="s">
        <v>62</v>
      </c>
      <c r="D182" s="44" t="s">
        <v>239</v>
      </c>
      <c r="E182" s="45" t="n">
        <v>36647</v>
      </c>
      <c r="F182" s="45" t="n">
        <v>36677</v>
      </c>
      <c r="G182" s="46" t="s">
        <v>314</v>
      </c>
      <c r="H182" s="46" t="s">
        <v>315</v>
      </c>
      <c r="I182" s="44" t="s">
        <v>310</v>
      </c>
      <c r="J182" s="58" t="n">
        <f aca="false">7.5225/J$1</f>
        <v>0.25075</v>
      </c>
      <c r="K182" s="49" t="n">
        <v>0</v>
      </c>
      <c r="L182" s="49" t="n">
        <v>0.0022</v>
      </c>
      <c r="M182" s="49" t="n">
        <v>0</v>
      </c>
      <c r="N182" s="49" t="n">
        <v>0</v>
      </c>
      <c r="O182" s="50" t="n">
        <v>0</v>
      </c>
      <c r="P182" s="49" t="n">
        <f aca="false">SUM(J182:N182)</f>
        <v>0.25295</v>
      </c>
      <c r="Q182" s="51" t="s">
        <v>530</v>
      </c>
      <c r="R182" s="44" t="n">
        <f aca="false">1246+2558</f>
        <v>3804</v>
      </c>
      <c r="S182" s="46" t="s">
        <v>531</v>
      </c>
      <c r="T182" s="117" t="n">
        <f aca="false">J182*J$1*R182</f>
        <v>28615.59</v>
      </c>
      <c r="U182" s="74"/>
      <c r="V182" s="75" t="n">
        <v>252026</v>
      </c>
      <c r="W182" s="46"/>
      <c r="X182" s="72"/>
      <c r="Y182" s="72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73"/>
      <c r="BY182" s="73"/>
      <c r="BZ182" s="73"/>
      <c r="CA182" s="73"/>
      <c r="CB182" s="73"/>
      <c r="CC182" s="73"/>
      <c r="CD182" s="73"/>
      <c r="CE182" s="73"/>
      <c r="CF182" s="73"/>
      <c r="CG182" s="73"/>
      <c r="CH182" s="73"/>
      <c r="CI182" s="73"/>
      <c r="CJ182" s="73"/>
      <c r="CK182" s="73"/>
      <c r="CL182" s="73"/>
      <c r="CM182" s="73"/>
      <c r="CN182" s="73"/>
      <c r="CO182" s="73"/>
      <c r="CP182" s="73"/>
      <c r="CQ182" s="73"/>
      <c r="CR182" s="73"/>
      <c r="CS182" s="73"/>
      <c r="CT182" s="73"/>
      <c r="CU182" s="73"/>
      <c r="CV182" s="73"/>
      <c r="CW182" s="73"/>
      <c r="CX182" s="73"/>
      <c r="CY182" s="73"/>
      <c r="CZ182" s="73"/>
      <c r="DA182" s="73"/>
      <c r="DB182" s="73"/>
      <c r="DC182" s="73"/>
      <c r="DD182" s="73"/>
      <c r="DE182" s="73"/>
      <c r="DF182" s="73"/>
      <c r="DG182" s="73"/>
      <c r="DH182" s="73"/>
      <c r="DI182" s="73"/>
      <c r="DJ182" s="73"/>
      <c r="DK182" s="73"/>
      <c r="DL182" s="73"/>
      <c r="DM182" s="73"/>
      <c r="DN182" s="73"/>
      <c r="DO182" s="73"/>
      <c r="DP182" s="73"/>
      <c r="DQ182" s="73"/>
      <c r="DR182" s="73"/>
      <c r="DS182" s="73"/>
      <c r="DT182" s="73"/>
      <c r="DU182" s="73"/>
      <c r="DV182" s="73"/>
      <c r="DW182" s="73"/>
      <c r="DX182" s="73"/>
      <c r="DY182" s="73"/>
      <c r="DZ182" s="73"/>
      <c r="EA182" s="73"/>
      <c r="EB182" s="73"/>
      <c r="EC182" s="73"/>
      <c r="ED182" s="73"/>
      <c r="EE182" s="73"/>
      <c r="EF182" s="73"/>
      <c r="EG182" s="73"/>
      <c r="EH182" s="73"/>
      <c r="EI182" s="73"/>
      <c r="EJ182" s="73"/>
      <c r="EK182" s="73"/>
      <c r="EL182" s="73"/>
      <c r="EM182" s="73"/>
      <c r="EN182" s="73"/>
      <c r="EO182" s="73"/>
      <c r="EP182" s="73"/>
      <c r="EQ182" s="73"/>
      <c r="ER182" s="73"/>
      <c r="ES182" s="73"/>
      <c r="ET182" s="73"/>
      <c r="EU182" s="73"/>
      <c r="EV182" s="73"/>
      <c r="EW182" s="73"/>
      <c r="EX182" s="73"/>
      <c r="EY182" s="73"/>
      <c r="EZ182" s="73"/>
      <c r="FA182" s="73"/>
      <c r="FB182" s="73"/>
      <c r="FC182" s="73"/>
      <c r="FD182" s="73"/>
      <c r="FE182" s="73"/>
      <c r="FF182" s="73"/>
      <c r="FG182" s="73"/>
      <c r="FH182" s="73"/>
      <c r="FI182" s="73"/>
      <c r="FJ182" s="73"/>
      <c r="FK182" s="73"/>
      <c r="FL182" s="73"/>
      <c r="FM182" s="73"/>
      <c r="FN182" s="73"/>
      <c r="FO182" s="73"/>
      <c r="FP182" s="73"/>
      <c r="FQ182" s="73"/>
      <c r="FR182" s="73"/>
      <c r="FS182" s="73"/>
      <c r="FT182" s="73"/>
      <c r="FU182" s="73"/>
      <c r="FV182" s="73"/>
      <c r="FW182" s="73"/>
      <c r="FX182" s="73"/>
      <c r="FY182" s="73"/>
      <c r="FZ182" s="73"/>
      <c r="GA182" s="73"/>
      <c r="GB182" s="73"/>
      <c r="GC182" s="73"/>
      <c r="GD182" s="73"/>
      <c r="GE182" s="73"/>
      <c r="GF182" s="73"/>
      <c r="GG182" s="73"/>
      <c r="GH182" s="73"/>
      <c r="GI182" s="73"/>
      <c r="GJ182" s="73"/>
      <c r="GK182" s="73"/>
      <c r="GL182" s="73"/>
      <c r="GM182" s="73"/>
      <c r="GN182" s="73"/>
      <c r="GO182" s="73"/>
      <c r="GP182" s="73"/>
      <c r="GQ182" s="73"/>
      <c r="GR182" s="73"/>
      <c r="GS182" s="73"/>
      <c r="GT182" s="73"/>
      <c r="GU182" s="73"/>
      <c r="GV182" s="73"/>
      <c r="GW182" s="73"/>
      <c r="GX182" s="73"/>
      <c r="GY182" s="73"/>
      <c r="GZ182" s="73"/>
      <c r="HA182" s="73"/>
      <c r="HB182" s="73"/>
      <c r="HC182" s="73"/>
      <c r="HD182" s="73"/>
      <c r="HE182" s="73"/>
      <c r="HF182" s="73"/>
      <c r="HG182" s="73"/>
      <c r="HH182" s="73"/>
      <c r="HI182" s="73"/>
      <c r="HJ182" s="73"/>
      <c r="HK182" s="73"/>
      <c r="HL182" s="73"/>
      <c r="HM182" s="73"/>
      <c r="HN182" s="73"/>
      <c r="HO182" s="73"/>
      <c r="HP182" s="73"/>
      <c r="HQ182" s="73"/>
      <c r="HR182" s="73"/>
      <c r="HS182" s="73"/>
      <c r="HT182" s="73"/>
      <c r="HU182" s="73"/>
      <c r="HV182" s="73"/>
      <c r="HW182" s="73"/>
      <c r="HX182" s="73"/>
      <c r="HY182" s="73"/>
      <c r="HZ182" s="73"/>
      <c r="IA182" s="73"/>
      <c r="IB182" s="73"/>
      <c r="IC182" s="73"/>
      <c r="ID182" s="73"/>
      <c r="IE182" s="73"/>
      <c r="IF182" s="73"/>
      <c r="IG182" s="73"/>
      <c r="IH182" s="73"/>
      <c r="II182" s="73"/>
      <c r="IJ182" s="73"/>
      <c r="IK182" s="73"/>
      <c r="IL182" s="73"/>
      <c r="IM182" s="73"/>
      <c r="IN182" s="73"/>
      <c r="IO182" s="73"/>
      <c r="IP182" s="73"/>
      <c r="IQ182" s="73"/>
      <c r="IR182" s="73"/>
      <c r="IS182" s="73"/>
      <c r="IT182" s="73"/>
      <c r="IU182" s="73"/>
      <c r="IV182" s="73"/>
      <c r="IW182" s="73"/>
    </row>
    <row r="183" customFormat="false" ht="12.75" hidden="false" customHeight="false" outlineLevel="0" collapsed="false">
      <c r="A183" s="73"/>
      <c r="B183" s="46" t="s">
        <v>201</v>
      </c>
      <c r="C183" s="44" t="s">
        <v>62</v>
      </c>
      <c r="D183" s="44" t="s">
        <v>239</v>
      </c>
      <c r="E183" s="45" t="n">
        <v>36647</v>
      </c>
      <c r="F183" s="45" t="n">
        <v>36646</v>
      </c>
      <c r="G183" s="46" t="s">
        <v>309</v>
      </c>
      <c r="H183" s="46" t="s">
        <v>315</v>
      </c>
      <c r="I183" s="44" t="s">
        <v>310</v>
      </c>
      <c r="J183" s="58" t="n">
        <f aca="false">7.5225/J$1</f>
        <v>0.25075</v>
      </c>
      <c r="K183" s="49" t="n">
        <v>0</v>
      </c>
      <c r="L183" s="49" t="n">
        <v>0.0022</v>
      </c>
      <c r="M183" s="49" t="n">
        <v>0</v>
      </c>
      <c r="N183" s="49" t="n">
        <v>0</v>
      </c>
      <c r="O183" s="50" t="n">
        <v>0</v>
      </c>
      <c r="P183" s="49" t="n">
        <f aca="false">SUM(J183:N183)</f>
        <v>0.25295</v>
      </c>
      <c r="Q183" s="51" t="s">
        <v>532</v>
      </c>
      <c r="R183" s="108" t="n">
        <v>67</v>
      </c>
      <c r="S183" s="46" t="s">
        <v>533</v>
      </c>
      <c r="T183" s="117" t="n">
        <f aca="false">J183*J$1*R183</f>
        <v>504.0075</v>
      </c>
      <c r="U183" s="74"/>
      <c r="V183" s="75" t="n">
        <v>252020</v>
      </c>
      <c r="W183" s="46"/>
      <c r="X183" s="72"/>
      <c r="Y183" s="72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  <c r="BX183" s="73"/>
      <c r="BY183" s="73"/>
      <c r="BZ183" s="73"/>
      <c r="CA183" s="73"/>
      <c r="CB183" s="73"/>
      <c r="CC183" s="73"/>
      <c r="CD183" s="73"/>
      <c r="CE183" s="73"/>
      <c r="CF183" s="73"/>
      <c r="CG183" s="73"/>
      <c r="CH183" s="73"/>
      <c r="CI183" s="73"/>
      <c r="CJ183" s="73"/>
      <c r="CK183" s="73"/>
      <c r="CL183" s="73"/>
      <c r="CM183" s="73"/>
      <c r="CN183" s="73"/>
      <c r="CO183" s="73"/>
      <c r="CP183" s="73"/>
      <c r="CQ183" s="73"/>
      <c r="CR183" s="73"/>
      <c r="CS183" s="73"/>
      <c r="CT183" s="73"/>
      <c r="CU183" s="73"/>
      <c r="CV183" s="73"/>
      <c r="CW183" s="73"/>
      <c r="CX183" s="73"/>
      <c r="CY183" s="73"/>
      <c r="CZ183" s="73"/>
      <c r="DA183" s="73"/>
      <c r="DB183" s="73"/>
      <c r="DC183" s="73"/>
      <c r="DD183" s="73"/>
      <c r="DE183" s="73"/>
      <c r="DF183" s="73"/>
      <c r="DG183" s="73"/>
      <c r="DH183" s="73"/>
      <c r="DI183" s="73"/>
      <c r="DJ183" s="73"/>
      <c r="DK183" s="73"/>
      <c r="DL183" s="73"/>
      <c r="DM183" s="73"/>
      <c r="DN183" s="73"/>
      <c r="DO183" s="73"/>
      <c r="DP183" s="73"/>
      <c r="DQ183" s="73"/>
      <c r="DR183" s="73"/>
      <c r="DS183" s="73"/>
      <c r="DT183" s="73"/>
      <c r="DU183" s="73"/>
      <c r="DV183" s="73"/>
      <c r="DW183" s="73"/>
      <c r="DX183" s="73"/>
      <c r="DY183" s="73"/>
      <c r="DZ183" s="73"/>
      <c r="EA183" s="73"/>
      <c r="EB183" s="73"/>
      <c r="EC183" s="73"/>
      <c r="ED183" s="73"/>
      <c r="EE183" s="73"/>
      <c r="EF183" s="73"/>
      <c r="EG183" s="73"/>
      <c r="EH183" s="73"/>
      <c r="EI183" s="73"/>
      <c r="EJ183" s="73"/>
      <c r="EK183" s="73"/>
      <c r="EL183" s="73"/>
      <c r="EM183" s="73"/>
      <c r="EN183" s="73"/>
      <c r="EO183" s="73"/>
      <c r="EP183" s="73"/>
      <c r="EQ183" s="73"/>
      <c r="ER183" s="73"/>
      <c r="ES183" s="73"/>
      <c r="ET183" s="73"/>
      <c r="EU183" s="73"/>
      <c r="EV183" s="73"/>
      <c r="EW183" s="73"/>
      <c r="EX183" s="73"/>
      <c r="EY183" s="73"/>
      <c r="EZ183" s="73"/>
      <c r="FA183" s="73"/>
      <c r="FB183" s="73"/>
      <c r="FC183" s="73"/>
      <c r="FD183" s="73"/>
      <c r="FE183" s="73"/>
      <c r="FF183" s="73"/>
      <c r="FG183" s="73"/>
      <c r="FH183" s="73"/>
      <c r="FI183" s="73"/>
      <c r="FJ183" s="73"/>
      <c r="FK183" s="73"/>
      <c r="FL183" s="73"/>
      <c r="FM183" s="73"/>
      <c r="FN183" s="73"/>
      <c r="FO183" s="73"/>
      <c r="FP183" s="73"/>
      <c r="FQ183" s="73"/>
      <c r="FR183" s="73"/>
      <c r="FS183" s="73"/>
      <c r="FT183" s="73"/>
      <c r="FU183" s="73"/>
      <c r="FV183" s="73"/>
      <c r="FW183" s="73"/>
      <c r="FX183" s="73"/>
      <c r="FY183" s="73"/>
      <c r="FZ183" s="73"/>
      <c r="GA183" s="73"/>
      <c r="GB183" s="73"/>
      <c r="GC183" s="73"/>
      <c r="GD183" s="73"/>
      <c r="GE183" s="73"/>
      <c r="GF183" s="73"/>
      <c r="GG183" s="73"/>
      <c r="GH183" s="73"/>
      <c r="GI183" s="73"/>
      <c r="GJ183" s="73"/>
      <c r="GK183" s="73"/>
      <c r="GL183" s="73"/>
      <c r="GM183" s="73"/>
      <c r="GN183" s="73"/>
      <c r="GO183" s="73"/>
      <c r="GP183" s="73"/>
      <c r="GQ183" s="73"/>
      <c r="GR183" s="73"/>
      <c r="GS183" s="73"/>
      <c r="GT183" s="73"/>
      <c r="GU183" s="73"/>
      <c r="GV183" s="73"/>
      <c r="GW183" s="73"/>
      <c r="GX183" s="73"/>
      <c r="GY183" s="73"/>
      <c r="GZ183" s="73"/>
      <c r="HA183" s="73"/>
      <c r="HB183" s="73"/>
      <c r="HC183" s="73"/>
      <c r="HD183" s="73"/>
      <c r="HE183" s="73"/>
      <c r="HF183" s="73"/>
      <c r="HG183" s="73"/>
      <c r="HH183" s="73"/>
      <c r="HI183" s="73"/>
      <c r="HJ183" s="73"/>
      <c r="HK183" s="73"/>
      <c r="HL183" s="73"/>
      <c r="HM183" s="73"/>
      <c r="HN183" s="73"/>
      <c r="HO183" s="73"/>
      <c r="HP183" s="73"/>
      <c r="HQ183" s="73"/>
      <c r="HR183" s="73"/>
      <c r="HS183" s="73"/>
      <c r="HT183" s="73"/>
      <c r="HU183" s="73"/>
      <c r="HV183" s="73"/>
      <c r="HW183" s="73"/>
      <c r="HX183" s="73"/>
      <c r="HY183" s="73"/>
      <c r="HZ183" s="73"/>
      <c r="IA183" s="73"/>
      <c r="IB183" s="73"/>
      <c r="IC183" s="73"/>
      <c r="ID183" s="73"/>
      <c r="IE183" s="73"/>
      <c r="IF183" s="73"/>
      <c r="IG183" s="73"/>
      <c r="IH183" s="73"/>
      <c r="II183" s="73"/>
      <c r="IJ183" s="73"/>
      <c r="IK183" s="73"/>
      <c r="IL183" s="73"/>
      <c r="IM183" s="73"/>
      <c r="IN183" s="73"/>
      <c r="IO183" s="73"/>
      <c r="IP183" s="73"/>
      <c r="IQ183" s="73"/>
      <c r="IR183" s="73"/>
      <c r="IS183" s="73"/>
      <c r="IT183" s="73"/>
      <c r="IU183" s="73"/>
      <c r="IV183" s="73"/>
      <c r="IW183" s="73"/>
    </row>
    <row r="184" customFormat="false" ht="12.75" hidden="false" customHeight="false" outlineLevel="0" collapsed="false">
      <c r="A184" s="73"/>
      <c r="B184" s="46" t="s">
        <v>201</v>
      </c>
      <c r="C184" s="44" t="s">
        <v>62</v>
      </c>
      <c r="D184" s="44" t="s">
        <v>239</v>
      </c>
      <c r="E184" s="45" t="n">
        <v>36647</v>
      </c>
      <c r="F184" s="45" t="n">
        <v>36646</v>
      </c>
      <c r="G184" s="46" t="s">
        <v>313</v>
      </c>
      <c r="H184" s="46" t="s">
        <v>315</v>
      </c>
      <c r="I184" s="44" t="s">
        <v>310</v>
      </c>
      <c r="J184" s="58" t="n">
        <f aca="false">7.5225/J$1</f>
        <v>0.25075</v>
      </c>
      <c r="K184" s="49" t="n">
        <v>0</v>
      </c>
      <c r="L184" s="49" t="n">
        <v>0.0022</v>
      </c>
      <c r="M184" s="49" t="n">
        <v>0</v>
      </c>
      <c r="N184" s="49" t="n">
        <v>0</v>
      </c>
      <c r="O184" s="50" t="n">
        <v>0</v>
      </c>
      <c r="P184" s="49" t="n">
        <f aca="false">SUM(J184:N184)</f>
        <v>0.25295</v>
      </c>
      <c r="Q184" s="51" t="s">
        <v>532</v>
      </c>
      <c r="R184" s="44" t="n">
        <v>98</v>
      </c>
      <c r="S184" s="46" t="s">
        <v>533</v>
      </c>
      <c r="T184" s="117" t="n">
        <f aca="false">J184*J$1*R184</f>
        <v>737.205</v>
      </c>
      <c r="U184" s="74"/>
      <c r="V184" s="75" t="n">
        <v>252020</v>
      </c>
      <c r="W184" s="46"/>
      <c r="X184" s="72"/>
      <c r="Y184" s="72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  <c r="CC184" s="73"/>
      <c r="CD184" s="73"/>
      <c r="CE184" s="73"/>
      <c r="CF184" s="73"/>
      <c r="CG184" s="73"/>
      <c r="CH184" s="73"/>
      <c r="CI184" s="73"/>
      <c r="CJ184" s="73"/>
      <c r="CK184" s="73"/>
      <c r="CL184" s="73"/>
      <c r="CM184" s="73"/>
      <c r="CN184" s="73"/>
      <c r="CO184" s="73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  <c r="DA184" s="73"/>
      <c r="DB184" s="73"/>
      <c r="DC184" s="73"/>
      <c r="DD184" s="73"/>
      <c r="DE184" s="73"/>
      <c r="DF184" s="73"/>
      <c r="DG184" s="73"/>
      <c r="DH184" s="73"/>
      <c r="DI184" s="73"/>
      <c r="DJ184" s="73"/>
      <c r="DK184" s="73"/>
      <c r="DL184" s="73"/>
      <c r="DM184" s="73"/>
      <c r="DN184" s="73"/>
      <c r="DO184" s="73"/>
      <c r="DP184" s="73"/>
      <c r="DQ184" s="73"/>
      <c r="DR184" s="73"/>
      <c r="DS184" s="73"/>
      <c r="DT184" s="73"/>
      <c r="DU184" s="73"/>
      <c r="DV184" s="73"/>
      <c r="DW184" s="73"/>
      <c r="DX184" s="73"/>
      <c r="DY184" s="73"/>
      <c r="DZ184" s="73"/>
      <c r="EA184" s="73"/>
      <c r="EB184" s="73"/>
      <c r="EC184" s="73"/>
      <c r="ED184" s="73"/>
      <c r="EE184" s="73"/>
      <c r="EF184" s="73"/>
      <c r="EG184" s="73"/>
      <c r="EH184" s="73"/>
      <c r="EI184" s="73"/>
      <c r="EJ184" s="73"/>
      <c r="EK184" s="73"/>
      <c r="EL184" s="73"/>
      <c r="EM184" s="73"/>
      <c r="EN184" s="73"/>
      <c r="EO184" s="73"/>
      <c r="EP184" s="73"/>
      <c r="EQ184" s="73"/>
      <c r="ER184" s="73"/>
      <c r="ES184" s="73"/>
      <c r="ET184" s="73"/>
      <c r="EU184" s="73"/>
      <c r="EV184" s="73"/>
      <c r="EW184" s="73"/>
      <c r="EX184" s="73"/>
      <c r="EY184" s="73"/>
      <c r="EZ184" s="73"/>
      <c r="FA184" s="73"/>
      <c r="FB184" s="73"/>
      <c r="FC184" s="73"/>
      <c r="FD184" s="73"/>
      <c r="FE184" s="73"/>
      <c r="FF184" s="73"/>
      <c r="FG184" s="73"/>
      <c r="FH184" s="73"/>
      <c r="FI184" s="73"/>
      <c r="FJ184" s="73"/>
      <c r="FK184" s="73"/>
      <c r="FL184" s="73"/>
      <c r="FM184" s="73"/>
      <c r="FN184" s="73"/>
      <c r="FO184" s="73"/>
      <c r="FP184" s="73"/>
      <c r="FQ184" s="73"/>
      <c r="FR184" s="73"/>
      <c r="FS184" s="73"/>
      <c r="FT184" s="73"/>
      <c r="FU184" s="73"/>
      <c r="FV184" s="73"/>
      <c r="FW184" s="73"/>
      <c r="FX184" s="73"/>
      <c r="FY184" s="73"/>
      <c r="FZ184" s="73"/>
      <c r="GA184" s="73"/>
      <c r="GB184" s="73"/>
      <c r="GC184" s="73"/>
      <c r="GD184" s="73"/>
      <c r="GE184" s="73"/>
      <c r="GF184" s="73"/>
      <c r="GG184" s="73"/>
      <c r="GH184" s="73"/>
      <c r="GI184" s="73"/>
      <c r="GJ184" s="73"/>
      <c r="GK184" s="73"/>
      <c r="GL184" s="73"/>
      <c r="GM184" s="73"/>
      <c r="GN184" s="73"/>
      <c r="GO184" s="73"/>
      <c r="GP184" s="73"/>
      <c r="GQ184" s="73"/>
      <c r="GR184" s="73"/>
      <c r="GS184" s="73"/>
      <c r="GT184" s="73"/>
      <c r="GU184" s="73"/>
      <c r="GV184" s="73"/>
      <c r="GW184" s="73"/>
      <c r="GX184" s="73"/>
      <c r="GY184" s="73"/>
      <c r="GZ184" s="73"/>
      <c r="HA184" s="73"/>
      <c r="HB184" s="73"/>
      <c r="HC184" s="73"/>
      <c r="HD184" s="73"/>
      <c r="HE184" s="73"/>
      <c r="HF184" s="73"/>
      <c r="HG184" s="73"/>
      <c r="HH184" s="73"/>
      <c r="HI184" s="73"/>
      <c r="HJ184" s="73"/>
      <c r="HK184" s="73"/>
      <c r="HL184" s="73"/>
      <c r="HM184" s="73"/>
      <c r="HN184" s="73"/>
      <c r="HO184" s="73"/>
      <c r="HP184" s="73"/>
      <c r="HQ184" s="73"/>
      <c r="HR184" s="73"/>
      <c r="HS184" s="73"/>
      <c r="HT184" s="73"/>
      <c r="HU184" s="73"/>
      <c r="HV184" s="73"/>
      <c r="HW184" s="73"/>
      <c r="HX184" s="73"/>
      <c r="HY184" s="73"/>
      <c r="HZ184" s="73"/>
      <c r="IA184" s="73"/>
      <c r="IB184" s="73"/>
      <c r="IC184" s="73"/>
      <c r="ID184" s="73"/>
      <c r="IE184" s="73"/>
      <c r="IF184" s="73"/>
      <c r="IG184" s="73"/>
      <c r="IH184" s="73"/>
      <c r="II184" s="73"/>
      <c r="IJ184" s="73"/>
      <c r="IK184" s="73"/>
      <c r="IL184" s="73"/>
      <c r="IM184" s="73"/>
      <c r="IN184" s="73"/>
      <c r="IO184" s="73"/>
      <c r="IP184" s="73"/>
      <c r="IQ184" s="73"/>
      <c r="IR184" s="73"/>
      <c r="IS184" s="73"/>
      <c r="IT184" s="73"/>
      <c r="IU184" s="73"/>
      <c r="IV184" s="73"/>
      <c r="IW184" s="73"/>
    </row>
    <row r="185" customFormat="false" ht="12.75" hidden="false" customHeight="false" outlineLevel="0" collapsed="false">
      <c r="A185" s="73"/>
      <c r="B185" s="46" t="s">
        <v>201</v>
      </c>
      <c r="C185" s="44" t="s">
        <v>62</v>
      </c>
      <c r="D185" s="44" t="s">
        <v>239</v>
      </c>
      <c r="E185" s="45" t="n">
        <v>36647</v>
      </c>
      <c r="F185" s="45" t="n">
        <v>36646</v>
      </c>
      <c r="G185" s="46" t="s">
        <v>314</v>
      </c>
      <c r="H185" s="46" t="s">
        <v>315</v>
      </c>
      <c r="I185" s="44" t="s">
        <v>310</v>
      </c>
      <c r="J185" s="58" t="n">
        <f aca="false">7.5225/J$1</f>
        <v>0.25075</v>
      </c>
      <c r="K185" s="49" t="n">
        <v>0</v>
      </c>
      <c r="L185" s="49" t="n">
        <v>0.0022</v>
      </c>
      <c r="M185" s="49" t="n">
        <v>0</v>
      </c>
      <c r="N185" s="49" t="n">
        <v>0</v>
      </c>
      <c r="O185" s="50" t="n">
        <v>0</v>
      </c>
      <c r="P185" s="49" t="n">
        <f aca="false">SUM(J185:N185)</f>
        <v>0.25295</v>
      </c>
      <c r="Q185" s="51" t="s">
        <v>532</v>
      </c>
      <c r="R185" s="44" t="n">
        <f aca="false">75+154</f>
        <v>229</v>
      </c>
      <c r="S185" s="46" t="s">
        <v>533</v>
      </c>
      <c r="T185" s="117" t="n">
        <f aca="false">J185*J$1*R185</f>
        <v>1722.6525</v>
      </c>
      <c r="U185" s="74"/>
      <c r="V185" s="75" t="n">
        <v>252020</v>
      </c>
      <c r="W185" s="46"/>
      <c r="X185" s="72"/>
      <c r="Y185" s="72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  <c r="BX185" s="73"/>
      <c r="BY185" s="73"/>
      <c r="BZ185" s="73"/>
      <c r="CA185" s="73"/>
      <c r="CB185" s="73"/>
      <c r="CC185" s="73"/>
      <c r="CD185" s="73"/>
      <c r="CE185" s="73"/>
      <c r="CF185" s="73"/>
      <c r="CG185" s="73"/>
      <c r="CH185" s="73"/>
      <c r="CI185" s="73"/>
      <c r="CJ185" s="73"/>
      <c r="CK185" s="73"/>
      <c r="CL185" s="73"/>
      <c r="CM185" s="73"/>
      <c r="CN185" s="73"/>
      <c r="CO185" s="73"/>
      <c r="CP185" s="73"/>
      <c r="CQ185" s="73"/>
      <c r="CR185" s="73"/>
      <c r="CS185" s="73"/>
      <c r="CT185" s="73"/>
      <c r="CU185" s="73"/>
      <c r="CV185" s="73"/>
      <c r="CW185" s="73"/>
      <c r="CX185" s="73"/>
      <c r="CY185" s="73"/>
      <c r="CZ185" s="73"/>
      <c r="DA185" s="73"/>
      <c r="DB185" s="73"/>
      <c r="DC185" s="73"/>
      <c r="DD185" s="73"/>
      <c r="DE185" s="73"/>
      <c r="DF185" s="73"/>
      <c r="DG185" s="73"/>
      <c r="DH185" s="73"/>
      <c r="DI185" s="73"/>
      <c r="DJ185" s="73"/>
      <c r="DK185" s="73"/>
      <c r="DL185" s="73"/>
      <c r="DM185" s="73"/>
      <c r="DN185" s="73"/>
      <c r="DO185" s="73"/>
      <c r="DP185" s="73"/>
      <c r="DQ185" s="73"/>
      <c r="DR185" s="73"/>
      <c r="DS185" s="73"/>
      <c r="DT185" s="73"/>
      <c r="DU185" s="73"/>
      <c r="DV185" s="73"/>
      <c r="DW185" s="73"/>
      <c r="DX185" s="73"/>
      <c r="DY185" s="73"/>
      <c r="DZ185" s="73"/>
      <c r="EA185" s="73"/>
      <c r="EB185" s="73"/>
      <c r="EC185" s="73"/>
      <c r="ED185" s="73"/>
      <c r="EE185" s="73"/>
      <c r="EF185" s="73"/>
      <c r="EG185" s="73"/>
      <c r="EH185" s="73"/>
      <c r="EI185" s="73"/>
      <c r="EJ185" s="73"/>
      <c r="EK185" s="73"/>
      <c r="EL185" s="73"/>
      <c r="EM185" s="73"/>
      <c r="EN185" s="73"/>
      <c r="EO185" s="73"/>
      <c r="EP185" s="73"/>
      <c r="EQ185" s="73"/>
      <c r="ER185" s="73"/>
      <c r="ES185" s="73"/>
      <c r="ET185" s="73"/>
      <c r="EU185" s="73"/>
      <c r="EV185" s="73"/>
      <c r="EW185" s="73"/>
      <c r="EX185" s="73"/>
      <c r="EY185" s="73"/>
      <c r="EZ185" s="73"/>
      <c r="FA185" s="73"/>
      <c r="FB185" s="73"/>
      <c r="FC185" s="73"/>
      <c r="FD185" s="73"/>
      <c r="FE185" s="73"/>
      <c r="FF185" s="73"/>
      <c r="FG185" s="73"/>
      <c r="FH185" s="73"/>
      <c r="FI185" s="73"/>
      <c r="FJ185" s="73"/>
      <c r="FK185" s="73"/>
      <c r="FL185" s="73"/>
      <c r="FM185" s="73"/>
      <c r="FN185" s="73"/>
      <c r="FO185" s="73"/>
      <c r="FP185" s="73"/>
      <c r="FQ185" s="73"/>
      <c r="FR185" s="73"/>
      <c r="FS185" s="73"/>
      <c r="FT185" s="73"/>
      <c r="FU185" s="73"/>
      <c r="FV185" s="73"/>
      <c r="FW185" s="73"/>
      <c r="FX185" s="73"/>
      <c r="FY185" s="73"/>
      <c r="FZ185" s="73"/>
      <c r="GA185" s="73"/>
      <c r="GB185" s="73"/>
      <c r="GC185" s="73"/>
      <c r="GD185" s="73"/>
      <c r="GE185" s="73"/>
      <c r="GF185" s="73"/>
      <c r="GG185" s="73"/>
      <c r="GH185" s="73"/>
      <c r="GI185" s="73"/>
      <c r="GJ185" s="73"/>
      <c r="GK185" s="73"/>
      <c r="GL185" s="73"/>
      <c r="GM185" s="73"/>
      <c r="GN185" s="73"/>
      <c r="GO185" s="73"/>
      <c r="GP185" s="73"/>
      <c r="GQ185" s="73"/>
      <c r="GR185" s="73"/>
      <c r="GS185" s="73"/>
      <c r="GT185" s="73"/>
      <c r="GU185" s="73"/>
      <c r="GV185" s="73"/>
      <c r="GW185" s="73"/>
      <c r="GX185" s="73"/>
      <c r="GY185" s="73"/>
      <c r="GZ185" s="73"/>
      <c r="HA185" s="73"/>
      <c r="HB185" s="73"/>
      <c r="HC185" s="73"/>
      <c r="HD185" s="73"/>
      <c r="HE185" s="73"/>
      <c r="HF185" s="73"/>
      <c r="HG185" s="73"/>
      <c r="HH185" s="73"/>
      <c r="HI185" s="73"/>
      <c r="HJ185" s="73"/>
      <c r="HK185" s="73"/>
      <c r="HL185" s="73"/>
      <c r="HM185" s="73"/>
      <c r="HN185" s="73"/>
      <c r="HO185" s="73"/>
      <c r="HP185" s="73"/>
      <c r="HQ185" s="73"/>
      <c r="HR185" s="73"/>
      <c r="HS185" s="73"/>
      <c r="HT185" s="73"/>
      <c r="HU185" s="73"/>
      <c r="HV185" s="73"/>
      <c r="HW185" s="73"/>
      <c r="HX185" s="73"/>
      <c r="HY185" s="73"/>
      <c r="HZ185" s="73"/>
      <c r="IA185" s="73"/>
      <c r="IB185" s="73"/>
      <c r="IC185" s="73"/>
      <c r="ID185" s="73"/>
      <c r="IE185" s="73"/>
      <c r="IF185" s="73"/>
      <c r="IG185" s="73"/>
      <c r="IH185" s="73"/>
      <c r="II185" s="73"/>
      <c r="IJ185" s="73"/>
      <c r="IK185" s="73"/>
      <c r="IL185" s="73"/>
      <c r="IM185" s="73"/>
      <c r="IN185" s="73"/>
      <c r="IO185" s="73"/>
      <c r="IP185" s="73"/>
      <c r="IQ185" s="73"/>
      <c r="IR185" s="73"/>
      <c r="IS185" s="73"/>
      <c r="IT185" s="73"/>
      <c r="IU185" s="73"/>
      <c r="IV185" s="73"/>
      <c r="IW185" s="73"/>
    </row>
    <row r="186" customFormat="false" ht="12.75" hidden="false" customHeight="false" outlineLevel="0" collapsed="false">
      <c r="A186" s="73"/>
      <c r="B186" s="46" t="s">
        <v>201</v>
      </c>
      <c r="C186" s="44" t="s">
        <v>62</v>
      </c>
      <c r="D186" s="44" t="s">
        <v>239</v>
      </c>
      <c r="E186" s="45" t="n">
        <v>36617</v>
      </c>
      <c r="F186" s="45" t="n">
        <v>36646</v>
      </c>
      <c r="G186" s="46" t="s">
        <v>320</v>
      </c>
      <c r="H186" s="46" t="s">
        <v>315</v>
      </c>
      <c r="I186" s="44" t="s">
        <v>321</v>
      </c>
      <c r="J186" s="58" t="n">
        <f aca="false">14.1875/30</f>
        <v>0.472916666666667</v>
      </c>
      <c r="K186" s="49" t="n">
        <v>0</v>
      </c>
      <c r="L186" s="49" t="n">
        <v>0.0022</v>
      </c>
      <c r="M186" s="49" t="n">
        <v>0</v>
      </c>
      <c r="N186" s="49" t="n">
        <v>0</v>
      </c>
      <c r="O186" s="50" t="n">
        <v>0</v>
      </c>
      <c r="P186" s="49" t="n">
        <f aca="false">SUM(J186:N186)</f>
        <v>0.475116666666667</v>
      </c>
      <c r="Q186" s="165" t="s">
        <v>534</v>
      </c>
      <c r="R186" s="44" t="n">
        <v>5278</v>
      </c>
      <c r="S186" s="46" t="s">
        <v>535</v>
      </c>
      <c r="T186" s="117" t="n">
        <f aca="false">J186*J$1*R186</f>
        <v>74881.625</v>
      </c>
      <c r="U186" s="74"/>
      <c r="V186" s="75" t="n">
        <v>254375</v>
      </c>
      <c r="W186" s="46"/>
      <c r="X186" s="72"/>
      <c r="Y186" s="72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  <c r="BX186" s="73"/>
      <c r="BY186" s="73"/>
      <c r="BZ186" s="73"/>
      <c r="CA186" s="73"/>
      <c r="CB186" s="73"/>
      <c r="CC186" s="73"/>
      <c r="CD186" s="73"/>
      <c r="CE186" s="73"/>
      <c r="CF186" s="73"/>
      <c r="CG186" s="73"/>
      <c r="CH186" s="73"/>
      <c r="CI186" s="73"/>
      <c r="CJ186" s="73"/>
      <c r="CK186" s="73"/>
      <c r="CL186" s="73"/>
      <c r="CM186" s="73"/>
      <c r="CN186" s="73"/>
      <c r="CO186" s="73"/>
      <c r="CP186" s="73"/>
      <c r="CQ186" s="73"/>
      <c r="CR186" s="73"/>
      <c r="CS186" s="73"/>
      <c r="CT186" s="73"/>
      <c r="CU186" s="73"/>
      <c r="CV186" s="73"/>
      <c r="CW186" s="73"/>
      <c r="CX186" s="73"/>
      <c r="CY186" s="73"/>
      <c r="CZ186" s="73"/>
      <c r="DA186" s="73"/>
      <c r="DB186" s="73"/>
      <c r="DC186" s="73"/>
      <c r="DD186" s="73"/>
      <c r="DE186" s="73"/>
      <c r="DF186" s="73"/>
      <c r="DG186" s="73"/>
      <c r="DH186" s="73"/>
      <c r="DI186" s="73"/>
      <c r="DJ186" s="73"/>
      <c r="DK186" s="73"/>
      <c r="DL186" s="73"/>
      <c r="DM186" s="73"/>
      <c r="DN186" s="73"/>
      <c r="DO186" s="73"/>
      <c r="DP186" s="73"/>
      <c r="DQ186" s="73"/>
      <c r="DR186" s="73"/>
      <c r="DS186" s="73"/>
      <c r="DT186" s="73"/>
      <c r="DU186" s="73"/>
      <c r="DV186" s="73"/>
      <c r="DW186" s="73"/>
      <c r="DX186" s="73"/>
      <c r="DY186" s="73"/>
      <c r="DZ186" s="73"/>
      <c r="EA186" s="73"/>
      <c r="EB186" s="73"/>
      <c r="EC186" s="73"/>
      <c r="ED186" s="73"/>
      <c r="EE186" s="73"/>
      <c r="EF186" s="73"/>
      <c r="EG186" s="73"/>
      <c r="EH186" s="73"/>
      <c r="EI186" s="73"/>
      <c r="EJ186" s="73"/>
      <c r="EK186" s="73"/>
      <c r="EL186" s="73"/>
      <c r="EM186" s="73"/>
      <c r="EN186" s="73"/>
      <c r="EO186" s="73"/>
      <c r="EP186" s="73"/>
      <c r="EQ186" s="73"/>
      <c r="ER186" s="73"/>
      <c r="ES186" s="73"/>
      <c r="ET186" s="73"/>
      <c r="EU186" s="73"/>
      <c r="EV186" s="73"/>
      <c r="EW186" s="73"/>
      <c r="EX186" s="73"/>
      <c r="EY186" s="73"/>
      <c r="EZ186" s="73"/>
      <c r="FA186" s="73"/>
      <c r="FB186" s="73"/>
      <c r="FC186" s="73"/>
      <c r="FD186" s="73"/>
      <c r="FE186" s="73"/>
      <c r="FF186" s="73"/>
      <c r="FG186" s="73"/>
      <c r="FH186" s="73"/>
      <c r="FI186" s="73"/>
      <c r="FJ186" s="73"/>
      <c r="FK186" s="73"/>
      <c r="FL186" s="73"/>
      <c r="FM186" s="73"/>
      <c r="FN186" s="73"/>
      <c r="FO186" s="73"/>
      <c r="FP186" s="73"/>
      <c r="FQ186" s="73"/>
      <c r="FR186" s="73"/>
      <c r="FS186" s="73"/>
      <c r="FT186" s="73"/>
      <c r="FU186" s="73"/>
      <c r="FV186" s="73"/>
      <c r="FW186" s="73"/>
      <c r="FX186" s="73"/>
      <c r="FY186" s="73"/>
      <c r="FZ186" s="73"/>
      <c r="GA186" s="73"/>
      <c r="GB186" s="73"/>
      <c r="GC186" s="73"/>
      <c r="GD186" s="73"/>
      <c r="GE186" s="73"/>
      <c r="GF186" s="73"/>
      <c r="GG186" s="73"/>
      <c r="GH186" s="73"/>
      <c r="GI186" s="73"/>
      <c r="GJ186" s="73"/>
      <c r="GK186" s="73"/>
      <c r="GL186" s="73"/>
      <c r="GM186" s="73"/>
      <c r="GN186" s="73"/>
      <c r="GO186" s="73"/>
      <c r="GP186" s="73"/>
      <c r="GQ186" s="73"/>
      <c r="GR186" s="73"/>
      <c r="GS186" s="73"/>
      <c r="GT186" s="73"/>
      <c r="GU186" s="73"/>
      <c r="GV186" s="73"/>
      <c r="GW186" s="73"/>
      <c r="GX186" s="73"/>
      <c r="GY186" s="73"/>
      <c r="GZ186" s="73"/>
      <c r="HA186" s="73"/>
      <c r="HB186" s="73"/>
      <c r="HC186" s="73"/>
      <c r="HD186" s="73"/>
      <c r="HE186" s="73"/>
      <c r="HF186" s="73"/>
      <c r="HG186" s="73"/>
      <c r="HH186" s="73"/>
      <c r="HI186" s="73"/>
      <c r="HJ186" s="73"/>
      <c r="HK186" s="73"/>
      <c r="HL186" s="73"/>
      <c r="HM186" s="73"/>
      <c r="HN186" s="73"/>
      <c r="HO186" s="73"/>
      <c r="HP186" s="73"/>
      <c r="HQ186" s="73"/>
      <c r="HR186" s="73"/>
      <c r="HS186" s="73"/>
      <c r="HT186" s="73"/>
      <c r="HU186" s="73"/>
      <c r="HV186" s="73"/>
      <c r="HW186" s="73"/>
      <c r="HX186" s="73"/>
      <c r="HY186" s="73"/>
      <c r="HZ186" s="73"/>
      <c r="IA186" s="73"/>
      <c r="IB186" s="73"/>
      <c r="IC186" s="73"/>
      <c r="ID186" s="73"/>
      <c r="IE186" s="73"/>
      <c r="IF186" s="73"/>
      <c r="IG186" s="73"/>
      <c r="IH186" s="73"/>
      <c r="II186" s="73"/>
      <c r="IJ186" s="73"/>
      <c r="IK186" s="73"/>
      <c r="IL186" s="73"/>
      <c r="IM186" s="73"/>
      <c r="IN186" s="73"/>
      <c r="IO186" s="73"/>
      <c r="IP186" s="73"/>
      <c r="IQ186" s="73"/>
      <c r="IR186" s="73"/>
      <c r="IS186" s="73"/>
      <c r="IT186" s="73"/>
      <c r="IU186" s="73"/>
      <c r="IV186" s="73"/>
      <c r="IW186" s="73"/>
    </row>
    <row r="187" customFormat="false" ht="12.75" hidden="false" customHeight="false" outlineLevel="0" collapsed="false">
      <c r="A187" s="73"/>
      <c r="B187" s="46" t="s">
        <v>201</v>
      </c>
      <c r="C187" s="44" t="s">
        <v>62</v>
      </c>
      <c r="D187" s="44" t="s">
        <v>239</v>
      </c>
      <c r="E187" s="45" t="n">
        <v>36647</v>
      </c>
      <c r="F187" s="45" t="n">
        <v>36677</v>
      </c>
      <c r="G187" s="46" t="s">
        <v>324</v>
      </c>
      <c r="H187" s="46"/>
      <c r="I187" s="44" t="s">
        <v>325</v>
      </c>
      <c r="J187" s="58" t="n">
        <v>0.0079</v>
      </c>
      <c r="K187" s="49" t="n">
        <v>0</v>
      </c>
      <c r="L187" s="49" t="n">
        <v>0.0022</v>
      </c>
      <c r="M187" s="49" t="n">
        <v>0</v>
      </c>
      <c r="N187" s="49" t="n">
        <v>0</v>
      </c>
      <c r="O187" s="50" t="n">
        <v>0</v>
      </c>
      <c r="P187" s="49" t="n">
        <f aca="false">SUM(J187:N187)</f>
        <v>0.0101</v>
      </c>
      <c r="Q187" s="73"/>
      <c r="R187" s="44" t="n">
        <v>380338</v>
      </c>
      <c r="S187" s="46" t="s">
        <v>536</v>
      </c>
      <c r="T187" s="166" t="n">
        <f aca="false">+R187*J187</f>
        <v>3004.6702</v>
      </c>
      <c r="U187" s="74"/>
      <c r="V187" s="75" t="n">
        <v>252030</v>
      </c>
      <c r="W187" s="46"/>
      <c r="X187" s="72"/>
      <c r="Y187" s="72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  <c r="BX187" s="73"/>
      <c r="BY187" s="73"/>
      <c r="BZ187" s="73"/>
      <c r="CA187" s="73"/>
      <c r="CB187" s="73"/>
      <c r="CC187" s="73"/>
      <c r="CD187" s="73"/>
      <c r="CE187" s="73"/>
      <c r="CF187" s="73"/>
      <c r="CG187" s="73"/>
      <c r="CH187" s="73"/>
      <c r="CI187" s="73"/>
      <c r="CJ187" s="73"/>
      <c r="CK187" s="73"/>
      <c r="CL187" s="73"/>
      <c r="CM187" s="73"/>
      <c r="CN187" s="73"/>
      <c r="CO187" s="73"/>
      <c r="CP187" s="73"/>
      <c r="CQ187" s="73"/>
      <c r="CR187" s="73"/>
      <c r="CS187" s="73"/>
      <c r="CT187" s="73"/>
      <c r="CU187" s="73"/>
      <c r="CV187" s="73"/>
      <c r="CW187" s="73"/>
      <c r="CX187" s="73"/>
      <c r="CY187" s="73"/>
      <c r="CZ187" s="73"/>
      <c r="DA187" s="73"/>
      <c r="DB187" s="73"/>
      <c r="DC187" s="73"/>
      <c r="DD187" s="73"/>
      <c r="DE187" s="73"/>
      <c r="DF187" s="73"/>
      <c r="DG187" s="73"/>
      <c r="DH187" s="73"/>
      <c r="DI187" s="73"/>
      <c r="DJ187" s="73"/>
      <c r="DK187" s="73"/>
      <c r="DL187" s="73"/>
      <c r="DM187" s="73"/>
      <c r="DN187" s="73"/>
      <c r="DO187" s="73"/>
      <c r="DP187" s="73"/>
      <c r="DQ187" s="73"/>
      <c r="DR187" s="73"/>
      <c r="DS187" s="73"/>
      <c r="DT187" s="73"/>
      <c r="DU187" s="73"/>
      <c r="DV187" s="73"/>
      <c r="DW187" s="73"/>
      <c r="DX187" s="73"/>
      <c r="DY187" s="73"/>
      <c r="DZ187" s="73"/>
      <c r="EA187" s="73"/>
      <c r="EB187" s="73"/>
      <c r="EC187" s="73"/>
      <c r="ED187" s="73"/>
      <c r="EE187" s="73"/>
      <c r="EF187" s="73"/>
      <c r="EG187" s="73"/>
      <c r="EH187" s="73"/>
      <c r="EI187" s="73"/>
      <c r="EJ187" s="73"/>
      <c r="EK187" s="73"/>
      <c r="EL187" s="73"/>
      <c r="EM187" s="73"/>
      <c r="EN187" s="73"/>
      <c r="EO187" s="73"/>
      <c r="EP187" s="73"/>
      <c r="EQ187" s="73"/>
      <c r="ER187" s="73"/>
      <c r="ES187" s="73"/>
      <c r="ET187" s="73"/>
      <c r="EU187" s="73"/>
      <c r="EV187" s="73"/>
      <c r="EW187" s="73"/>
      <c r="EX187" s="73"/>
      <c r="EY187" s="73"/>
      <c r="EZ187" s="73"/>
      <c r="FA187" s="73"/>
      <c r="FB187" s="73"/>
      <c r="FC187" s="73"/>
      <c r="FD187" s="73"/>
      <c r="FE187" s="73"/>
      <c r="FF187" s="73"/>
      <c r="FG187" s="73"/>
      <c r="FH187" s="73"/>
      <c r="FI187" s="73"/>
      <c r="FJ187" s="73"/>
      <c r="FK187" s="73"/>
      <c r="FL187" s="73"/>
      <c r="FM187" s="73"/>
      <c r="FN187" s="73"/>
      <c r="FO187" s="73"/>
      <c r="FP187" s="73"/>
      <c r="FQ187" s="73"/>
      <c r="FR187" s="73"/>
      <c r="FS187" s="73"/>
      <c r="FT187" s="73"/>
      <c r="FU187" s="73"/>
      <c r="FV187" s="73"/>
      <c r="FW187" s="73"/>
      <c r="FX187" s="73"/>
      <c r="FY187" s="73"/>
      <c r="FZ187" s="73"/>
      <c r="GA187" s="73"/>
      <c r="GB187" s="73"/>
      <c r="GC187" s="73"/>
      <c r="GD187" s="73"/>
      <c r="GE187" s="73"/>
      <c r="GF187" s="73"/>
      <c r="GG187" s="73"/>
      <c r="GH187" s="73"/>
      <c r="GI187" s="73"/>
      <c r="GJ187" s="73"/>
      <c r="GK187" s="73"/>
      <c r="GL187" s="73"/>
      <c r="GM187" s="73"/>
      <c r="GN187" s="73"/>
      <c r="GO187" s="73"/>
      <c r="GP187" s="73"/>
      <c r="GQ187" s="73"/>
      <c r="GR187" s="73"/>
      <c r="GS187" s="73"/>
      <c r="GT187" s="73"/>
      <c r="GU187" s="73"/>
      <c r="GV187" s="73"/>
      <c r="GW187" s="73"/>
      <c r="GX187" s="73"/>
      <c r="GY187" s="73"/>
      <c r="GZ187" s="73"/>
      <c r="HA187" s="73"/>
      <c r="HB187" s="73"/>
      <c r="HC187" s="73"/>
      <c r="HD187" s="73"/>
      <c r="HE187" s="73"/>
      <c r="HF187" s="73"/>
      <c r="HG187" s="73"/>
      <c r="HH187" s="73"/>
      <c r="HI187" s="73"/>
      <c r="HJ187" s="73"/>
      <c r="HK187" s="73"/>
      <c r="HL187" s="73"/>
      <c r="HM187" s="73"/>
      <c r="HN187" s="73"/>
      <c r="HO187" s="73"/>
      <c r="HP187" s="73"/>
      <c r="HQ187" s="73"/>
      <c r="HR187" s="73"/>
      <c r="HS187" s="73"/>
      <c r="HT187" s="73"/>
      <c r="HU187" s="73"/>
      <c r="HV187" s="73"/>
      <c r="HW187" s="73"/>
      <c r="HX187" s="73"/>
      <c r="HY187" s="73"/>
      <c r="HZ187" s="73"/>
      <c r="IA187" s="73"/>
      <c r="IB187" s="73"/>
      <c r="IC187" s="73"/>
      <c r="ID187" s="73"/>
      <c r="IE187" s="73"/>
      <c r="IF187" s="73"/>
      <c r="IG187" s="73"/>
      <c r="IH187" s="73"/>
      <c r="II187" s="73"/>
      <c r="IJ187" s="73"/>
      <c r="IK187" s="73"/>
      <c r="IL187" s="73"/>
      <c r="IM187" s="73"/>
      <c r="IN187" s="73"/>
      <c r="IO187" s="73"/>
      <c r="IP187" s="73"/>
      <c r="IQ187" s="73"/>
      <c r="IR187" s="73"/>
      <c r="IS187" s="73"/>
      <c r="IT187" s="73"/>
      <c r="IU187" s="73"/>
      <c r="IV187" s="73"/>
      <c r="IW187" s="73"/>
    </row>
    <row r="188" customFormat="false" ht="12.75" hidden="false" customHeight="false" outlineLevel="0" collapsed="false">
      <c r="A188" s="73"/>
      <c r="B188" s="46" t="s">
        <v>201</v>
      </c>
      <c r="C188" s="44" t="s">
        <v>62</v>
      </c>
      <c r="D188" s="44" t="s">
        <v>239</v>
      </c>
      <c r="E188" s="45" t="n">
        <v>36647</v>
      </c>
      <c r="F188" s="45" t="n">
        <v>36677</v>
      </c>
      <c r="G188" s="46" t="s">
        <v>327</v>
      </c>
      <c r="H188" s="46"/>
      <c r="I188" s="44" t="s">
        <v>325</v>
      </c>
      <c r="J188" s="58" t="n">
        <v>0.6673</v>
      </c>
      <c r="K188" s="49" t="n">
        <v>0</v>
      </c>
      <c r="L188" s="49" t="n">
        <v>0.0022</v>
      </c>
      <c r="M188" s="49" t="n">
        <v>0</v>
      </c>
      <c r="N188" s="49" t="n">
        <v>0</v>
      </c>
      <c r="O188" s="50" t="n">
        <v>0</v>
      </c>
      <c r="P188" s="49" t="n">
        <f aca="false">SUM(J188:N188)</f>
        <v>0.6695</v>
      </c>
      <c r="Q188" s="73"/>
      <c r="R188" s="44" t="n">
        <v>4475</v>
      </c>
      <c r="S188" s="46" t="s">
        <v>536</v>
      </c>
      <c r="T188" s="166" t="n">
        <f aca="false">+R188*J188</f>
        <v>2986.1675</v>
      </c>
      <c r="U188" s="74"/>
      <c r="V188" s="75" t="n">
        <v>252030</v>
      </c>
      <c r="W188" s="46"/>
      <c r="X188" s="72"/>
      <c r="Y188" s="72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  <c r="BX188" s="73"/>
      <c r="BY188" s="73"/>
      <c r="BZ188" s="73"/>
      <c r="CA188" s="73"/>
      <c r="CB188" s="73"/>
      <c r="CC188" s="73"/>
      <c r="CD188" s="73"/>
      <c r="CE188" s="73"/>
      <c r="CF188" s="73"/>
      <c r="CG188" s="73"/>
      <c r="CH188" s="73"/>
      <c r="CI188" s="73"/>
      <c r="CJ188" s="73"/>
      <c r="CK188" s="73"/>
      <c r="CL188" s="73"/>
      <c r="CM188" s="73"/>
      <c r="CN188" s="73"/>
      <c r="CO188" s="73"/>
      <c r="CP188" s="73"/>
      <c r="CQ188" s="73"/>
      <c r="CR188" s="73"/>
      <c r="CS188" s="73"/>
      <c r="CT188" s="73"/>
      <c r="CU188" s="73"/>
      <c r="CV188" s="73"/>
      <c r="CW188" s="73"/>
      <c r="CX188" s="73"/>
      <c r="CY188" s="73"/>
      <c r="CZ188" s="73"/>
      <c r="DA188" s="73"/>
      <c r="DB188" s="73"/>
      <c r="DC188" s="73"/>
      <c r="DD188" s="73"/>
      <c r="DE188" s="73"/>
      <c r="DF188" s="73"/>
      <c r="DG188" s="73"/>
      <c r="DH188" s="73"/>
      <c r="DI188" s="73"/>
      <c r="DJ188" s="73"/>
      <c r="DK188" s="73"/>
      <c r="DL188" s="73"/>
      <c r="DM188" s="73"/>
      <c r="DN188" s="73"/>
      <c r="DO188" s="73"/>
      <c r="DP188" s="73"/>
      <c r="DQ188" s="73"/>
      <c r="DR188" s="73"/>
      <c r="DS188" s="73"/>
      <c r="DT188" s="73"/>
      <c r="DU188" s="73"/>
      <c r="DV188" s="73"/>
      <c r="DW188" s="73"/>
      <c r="DX188" s="73"/>
      <c r="DY188" s="73"/>
      <c r="DZ188" s="73"/>
      <c r="EA188" s="73"/>
      <c r="EB188" s="73"/>
      <c r="EC188" s="73"/>
      <c r="ED188" s="73"/>
      <c r="EE188" s="73"/>
      <c r="EF188" s="73"/>
      <c r="EG188" s="73"/>
      <c r="EH188" s="73"/>
      <c r="EI188" s="73"/>
      <c r="EJ188" s="73"/>
      <c r="EK188" s="73"/>
      <c r="EL188" s="73"/>
      <c r="EM188" s="73"/>
      <c r="EN188" s="73"/>
      <c r="EO188" s="73"/>
      <c r="EP188" s="73"/>
      <c r="EQ188" s="73"/>
      <c r="ER188" s="73"/>
      <c r="ES188" s="73"/>
      <c r="ET188" s="73"/>
      <c r="EU188" s="73"/>
      <c r="EV188" s="73"/>
      <c r="EW188" s="73"/>
      <c r="EX188" s="73"/>
      <c r="EY188" s="73"/>
      <c r="EZ188" s="73"/>
      <c r="FA188" s="73"/>
      <c r="FB188" s="73"/>
      <c r="FC188" s="73"/>
      <c r="FD188" s="73"/>
      <c r="FE188" s="73"/>
      <c r="FF188" s="73"/>
      <c r="FG188" s="73"/>
      <c r="FH188" s="73"/>
      <c r="FI188" s="73"/>
      <c r="FJ188" s="73"/>
      <c r="FK188" s="73"/>
      <c r="FL188" s="73"/>
      <c r="FM188" s="73"/>
      <c r="FN188" s="73"/>
      <c r="FO188" s="73"/>
      <c r="FP188" s="73"/>
      <c r="FQ188" s="73"/>
      <c r="FR188" s="73"/>
      <c r="FS188" s="73"/>
      <c r="FT188" s="73"/>
      <c r="FU188" s="73"/>
      <c r="FV188" s="73"/>
      <c r="FW188" s="73"/>
      <c r="FX188" s="73"/>
      <c r="FY188" s="73"/>
      <c r="FZ188" s="73"/>
      <c r="GA188" s="73"/>
      <c r="GB188" s="73"/>
      <c r="GC188" s="73"/>
      <c r="GD188" s="73"/>
      <c r="GE188" s="73"/>
      <c r="GF188" s="73"/>
      <c r="GG188" s="73"/>
      <c r="GH188" s="73"/>
      <c r="GI188" s="73"/>
      <c r="GJ188" s="73"/>
      <c r="GK188" s="73"/>
      <c r="GL188" s="73"/>
      <c r="GM188" s="73"/>
      <c r="GN188" s="73"/>
      <c r="GO188" s="73"/>
      <c r="GP188" s="73"/>
      <c r="GQ188" s="73"/>
      <c r="GR188" s="73"/>
      <c r="GS188" s="73"/>
      <c r="GT188" s="73"/>
      <c r="GU188" s="73"/>
      <c r="GV188" s="73"/>
      <c r="GW188" s="73"/>
      <c r="GX188" s="73"/>
      <c r="GY188" s="73"/>
      <c r="GZ188" s="73"/>
      <c r="HA188" s="73"/>
      <c r="HB188" s="73"/>
      <c r="HC188" s="73"/>
      <c r="HD188" s="73"/>
      <c r="HE188" s="73"/>
      <c r="HF188" s="73"/>
      <c r="HG188" s="73"/>
      <c r="HH188" s="73"/>
      <c r="HI188" s="73"/>
      <c r="HJ188" s="73"/>
      <c r="HK188" s="73"/>
      <c r="HL188" s="73"/>
      <c r="HM188" s="73"/>
      <c r="HN188" s="73"/>
      <c r="HO188" s="73"/>
      <c r="HP188" s="73"/>
      <c r="HQ188" s="73"/>
      <c r="HR188" s="73"/>
      <c r="HS188" s="73"/>
      <c r="HT188" s="73"/>
      <c r="HU188" s="73"/>
      <c r="HV188" s="73"/>
      <c r="HW188" s="73"/>
      <c r="HX188" s="73"/>
      <c r="HY188" s="73"/>
      <c r="HZ188" s="73"/>
      <c r="IA188" s="73"/>
      <c r="IB188" s="73"/>
      <c r="IC188" s="73"/>
      <c r="ID188" s="73"/>
      <c r="IE188" s="73"/>
      <c r="IF188" s="73"/>
      <c r="IG188" s="73"/>
      <c r="IH188" s="73"/>
      <c r="II188" s="73"/>
      <c r="IJ188" s="73"/>
      <c r="IK188" s="73"/>
      <c r="IL188" s="73"/>
      <c r="IM188" s="73"/>
      <c r="IN188" s="73"/>
      <c r="IO188" s="73"/>
      <c r="IP188" s="73"/>
      <c r="IQ188" s="73"/>
      <c r="IR188" s="73"/>
      <c r="IS188" s="73"/>
      <c r="IT188" s="73"/>
      <c r="IU188" s="73"/>
      <c r="IV188" s="73"/>
      <c r="IW188" s="73"/>
    </row>
    <row r="189" customFormat="false" ht="12.75" hidden="false" customHeight="false" outlineLevel="0" collapsed="false">
      <c r="A189" s="73"/>
      <c r="B189" s="46" t="s">
        <v>201</v>
      </c>
      <c r="C189" s="44" t="s">
        <v>62</v>
      </c>
      <c r="D189" s="44" t="s">
        <v>239</v>
      </c>
      <c r="E189" s="45" t="n">
        <v>36647</v>
      </c>
      <c r="F189" s="45" t="n">
        <v>36677</v>
      </c>
      <c r="G189" s="46" t="s">
        <v>328</v>
      </c>
      <c r="H189" s="46"/>
      <c r="I189" s="44" t="s">
        <v>329</v>
      </c>
      <c r="J189" s="58" t="n">
        <v>0.0481</v>
      </c>
      <c r="K189" s="49" t="n">
        <v>0</v>
      </c>
      <c r="L189" s="49" t="n">
        <v>0.0022</v>
      </c>
      <c r="M189" s="49" t="n">
        <v>0</v>
      </c>
      <c r="N189" s="49" t="n">
        <v>0</v>
      </c>
      <c r="O189" s="50" t="n">
        <v>0</v>
      </c>
      <c r="P189" s="49" t="n">
        <f aca="false">SUM(J189:N189)</f>
        <v>0.0503</v>
      </c>
      <c r="Q189" s="73"/>
      <c r="R189" s="44" t="n">
        <v>19323</v>
      </c>
      <c r="S189" s="46" t="s">
        <v>331</v>
      </c>
      <c r="T189" s="166" t="n">
        <f aca="false">+J189*R189</f>
        <v>929.4363</v>
      </c>
      <c r="U189" s="74"/>
      <c r="V189" s="75" t="n">
        <v>260640</v>
      </c>
      <c r="W189" s="46"/>
      <c r="X189" s="72"/>
      <c r="Y189" s="72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3"/>
      <c r="CA189" s="73"/>
      <c r="CB189" s="73"/>
      <c r="CC189" s="73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3"/>
      <c r="CO189" s="73"/>
      <c r="CP189" s="73"/>
      <c r="CQ189" s="73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  <c r="DB189" s="73"/>
      <c r="DC189" s="73"/>
      <c r="DD189" s="73"/>
      <c r="DE189" s="73"/>
      <c r="DF189" s="73"/>
      <c r="DG189" s="73"/>
      <c r="DH189" s="73"/>
      <c r="DI189" s="73"/>
      <c r="DJ189" s="73"/>
      <c r="DK189" s="73"/>
      <c r="DL189" s="73"/>
      <c r="DM189" s="73"/>
      <c r="DN189" s="73"/>
      <c r="DO189" s="73"/>
      <c r="DP189" s="73"/>
      <c r="DQ189" s="73"/>
      <c r="DR189" s="73"/>
      <c r="DS189" s="73"/>
      <c r="DT189" s="73"/>
      <c r="DU189" s="73"/>
      <c r="DV189" s="73"/>
      <c r="DW189" s="73"/>
      <c r="DX189" s="73"/>
      <c r="DY189" s="73"/>
      <c r="DZ189" s="73"/>
      <c r="EA189" s="73"/>
      <c r="EB189" s="73"/>
      <c r="EC189" s="73"/>
      <c r="ED189" s="73"/>
      <c r="EE189" s="73"/>
      <c r="EF189" s="73"/>
      <c r="EG189" s="73"/>
      <c r="EH189" s="73"/>
      <c r="EI189" s="73"/>
      <c r="EJ189" s="73"/>
      <c r="EK189" s="73"/>
      <c r="EL189" s="73"/>
      <c r="EM189" s="73"/>
      <c r="EN189" s="73"/>
      <c r="EO189" s="73"/>
      <c r="EP189" s="73"/>
      <c r="EQ189" s="73"/>
      <c r="ER189" s="73"/>
      <c r="ES189" s="73"/>
      <c r="ET189" s="73"/>
      <c r="EU189" s="73"/>
      <c r="EV189" s="73"/>
      <c r="EW189" s="73"/>
      <c r="EX189" s="73"/>
      <c r="EY189" s="73"/>
      <c r="EZ189" s="73"/>
      <c r="FA189" s="73"/>
      <c r="FB189" s="73"/>
      <c r="FC189" s="73"/>
      <c r="FD189" s="73"/>
      <c r="FE189" s="73"/>
      <c r="FF189" s="73"/>
      <c r="FG189" s="73"/>
      <c r="FH189" s="73"/>
      <c r="FI189" s="73"/>
      <c r="FJ189" s="73"/>
      <c r="FK189" s="73"/>
      <c r="FL189" s="73"/>
      <c r="FM189" s="73"/>
      <c r="FN189" s="73"/>
      <c r="FO189" s="73"/>
      <c r="FP189" s="73"/>
      <c r="FQ189" s="73"/>
      <c r="FR189" s="73"/>
      <c r="FS189" s="73"/>
      <c r="FT189" s="73"/>
      <c r="FU189" s="73"/>
      <c r="FV189" s="73"/>
      <c r="FW189" s="73"/>
      <c r="FX189" s="73"/>
      <c r="FY189" s="73"/>
      <c r="FZ189" s="73"/>
      <c r="GA189" s="73"/>
      <c r="GB189" s="73"/>
      <c r="GC189" s="73"/>
      <c r="GD189" s="73"/>
      <c r="GE189" s="73"/>
      <c r="GF189" s="73"/>
      <c r="GG189" s="73"/>
      <c r="GH189" s="73"/>
      <c r="GI189" s="73"/>
      <c r="GJ189" s="73"/>
      <c r="GK189" s="73"/>
      <c r="GL189" s="73"/>
      <c r="GM189" s="73"/>
      <c r="GN189" s="73"/>
      <c r="GO189" s="73"/>
      <c r="GP189" s="73"/>
      <c r="GQ189" s="73"/>
      <c r="GR189" s="73"/>
      <c r="GS189" s="73"/>
      <c r="GT189" s="73"/>
      <c r="GU189" s="73"/>
      <c r="GV189" s="73"/>
      <c r="GW189" s="73"/>
      <c r="GX189" s="73"/>
      <c r="GY189" s="73"/>
      <c r="GZ189" s="73"/>
      <c r="HA189" s="73"/>
      <c r="HB189" s="73"/>
      <c r="HC189" s="73"/>
      <c r="HD189" s="73"/>
      <c r="HE189" s="73"/>
      <c r="HF189" s="73"/>
      <c r="HG189" s="73"/>
      <c r="HH189" s="73"/>
      <c r="HI189" s="73"/>
      <c r="HJ189" s="73"/>
      <c r="HK189" s="73"/>
      <c r="HL189" s="73"/>
      <c r="HM189" s="73"/>
      <c r="HN189" s="73"/>
      <c r="HO189" s="73"/>
      <c r="HP189" s="73"/>
      <c r="HQ189" s="73"/>
      <c r="HR189" s="73"/>
      <c r="HS189" s="73"/>
      <c r="HT189" s="73"/>
      <c r="HU189" s="73"/>
      <c r="HV189" s="73"/>
      <c r="HW189" s="73"/>
      <c r="HX189" s="73"/>
      <c r="HY189" s="73"/>
      <c r="HZ189" s="73"/>
      <c r="IA189" s="73"/>
      <c r="IB189" s="73"/>
      <c r="IC189" s="73"/>
      <c r="ID189" s="73"/>
      <c r="IE189" s="73"/>
      <c r="IF189" s="73"/>
      <c r="IG189" s="73"/>
      <c r="IH189" s="73"/>
      <c r="II189" s="73"/>
      <c r="IJ189" s="73"/>
      <c r="IK189" s="73"/>
      <c r="IL189" s="73"/>
      <c r="IM189" s="73"/>
      <c r="IN189" s="73"/>
      <c r="IO189" s="73"/>
      <c r="IP189" s="73"/>
      <c r="IQ189" s="73"/>
      <c r="IR189" s="73"/>
      <c r="IS189" s="73"/>
      <c r="IT189" s="73"/>
      <c r="IU189" s="73"/>
      <c r="IV189" s="73"/>
      <c r="IW189" s="73"/>
    </row>
    <row r="190" customFormat="false" ht="12.75" hidden="false" customHeight="false" outlineLevel="0" collapsed="false">
      <c r="A190" s="73"/>
      <c r="B190" s="46" t="s">
        <v>201</v>
      </c>
      <c r="C190" s="44" t="s">
        <v>62</v>
      </c>
      <c r="D190" s="44" t="s">
        <v>239</v>
      </c>
      <c r="E190" s="45" t="n">
        <v>36647</v>
      </c>
      <c r="F190" s="45" t="n">
        <v>36677</v>
      </c>
      <c r="G190" s="46" t="s">
        <v>330</v>
      </c>
      <c r="H190" s="46"/>
      <c r="I190" s="44" t="s">
        <v>329</v>
      </c>
      <c r="J190" s="58" t="n">
        <v>0.484</v>
      </c>
      <c r="K190" s="49" t="n">
        <v>0</v>
      </c>
      <c r="L190" s="49" t="n">
        <v>0.0022</v>
      </c>
      <c r="M190" s="49" t="n">
        <v>0</v>
      </c>
      <c r="N190" s="49" t="n">
        <v>0</v>
      </c>
      <c r="O190" s="50" t="n">
        <v>0</v>
      </c>
      <c r="P190" s="49" t="n">
        <f aca="false">SUM(J190:N190)</f>
        <v>0.4862</v>
      </c>
      <c r="Q190" s="73"/>
      <c r="R190" s="44" t="n">
        <v>1921</v>
      </c>
      <c r="S190" s="46" t="s">
        <v>331</v>
      </c>
      <c r="T190" s="166" t="n">
        <f aca="false">+J190*R190</f>
        <v>929.764</v>
      </c>
      <c r="U190" s="74"/>
      <c r="V190" s="75" t="n">
        <v>260640</v>
      </c>
      <c r="W190" s="46"/>
      <c r="X190" s="72"/>
      <c r="Y190" s="72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  <c r="BX190" s="73"/>
      <c r="BY190" s="73"/>
      <c r="BZ190" s="73"/>
      <c r="CA190" s="73"/>
      <c r="CB190" s="73"/>
      <c r="CC190" s="73"/>
      <c r="CD190" s="73"/>
      <c r="CE190" s="73"/>
      <c r="CF190" s="73"/>
      <c r="CG190" s="73"/>
      <c r="CH190" s="73"/>
      <c r="CI190" s="73"/>
      <c r="CJ190" s="73"/>
      <c r="CK190" s="73"/>
      <c r="CL190" s="73"/>
      <c r="CM190" s="73"/>
      <c r="CN190" s="73"/>
      <c r="CO190" s="73"/>
      <c r="CP190" s="73"/>
      <c r="CQ190" s="73"/>
      <c r="CR190" s="73"/>
      <c r="CS190" s="73"/>
      <c r="CT190" s="73"/>
      <c r="CU190" s="73"/>
      <c r="CV190" s="73"/>
      <c r="CW190" s="73"/>
      <c r="CX190" s="73"/>
      <c r="CY190" s="73"/>
      <c r="CZ190" s="73"/>
      <c r="DA190" s="73"/>
      <c r="DB190" s="73"/>
      <c r="DC190" s="73"/>
      <c r="DD190" s="73"/>
      <c r="DE190" s="73"/>
      <c r="DF190" s="73"/>
      <c r="DG190" s="73"/>
      <c r="DH190" s="73"/>
      <c r="DI190" s="73"/>
      <c r="DJ190" s="73"/>
      <c r="DK190" s="73"/>
      <c r="DL190" s="73"/>
      <c r="DM190" s="73"/>
      <c r="DN190" s="73"/>
      <c r="DO190" s="73"/>
      <c r="DP190" s="73"/>
      <c r="DQ190" s="73"/>
      <c r="DR190" s="73"/>
      <c r="DS190" s="73"/>
      <c r="DT190" s="73"/>
      <c r="DU190" s="73"/>
      <c r="DV190" s="73"/>
      <c r="DW190" s="73"/>
      <c r="DX190" s="73"/>
      <c r="DY190" s="73"/>
      <c r="DZ190" s="73"/>
      <c r="EA190" s="73"/>
      <c r="EB190" s="73"/>
      <c r="EC190" s="73"/>
      <c r="ED190" s="73"/>
      <c r="EE190" s="73"/>
      <c r="EF190" s="73"/>
      <c r="EG190" s="73"/>
      <c r="EH190" s="73"/>
      <c r="EI190" s="73"/>
      <c r="EJ190" s="73"/>
      <c r="EK190" s="73"/>
      <c r="EL190" s="73"/>
      <c r="EM190" s="73"/>
      <c r="EN190" s="73"/>
      <c r="EO190" s="73"/>
      <c r="EP190" s="73"/>
      <c r="EQ190" s="73"/>
      <c r="ER190" s="73"/>
      <c r="ES190" s="73"/>
      <c r="ET190" s="73"/>
      <c r="EU190" s="73"/>
      <c r="EV190" s="73"/>
      <c r="EW190" s="73"/>
      <c r="EX190" s="73"/>
      <c r="EY190" s="73"/>
      <c r="EZ190" s="73"/>
      <c r="FA190" s="73"/>
      <c r="FB190" s="73"/>
      <c r="FC190" s="73"/>
      <c r="FD190" s="73"/>
      <c r="FE190" s="73"/>
      <c r="FF190" s="73"/>
      <c r="FG190" s="73"/>
      <c r="FH190" s="73"/>
      <c r="FI190" s="73"/>
      <c r="FJ190" s="73"/>
      <c r="FK190" s="73"/>
      <c r="FL190" s="73"/>
      <c r="FM190" s="73"/>
      <c r="FN190" s="73"/>
      <c r="FO190" s="73"/>
      <c r="FP190" s="73"/>
      <c r="FQ190" s="73"/>
      <c r="FR190" s="73"/>
      <c r="FS190" s="73"/>
      <c r="FT190" s="73"/>
      <c r="FU190" s="73"/>
      <c r="FV190" s="73"/>
      <c r="FW190" s="73"/>
      <c r="FX190" s="73"/>
      <c r="FY190" s="73"/>
      <c r="FZ190" s="73"/>
      <c r="GA190" s="73"/>
      <c r="GB190" s="73"/>
      <c r="GC190" s="73"/>
      <c r="GD190" s="73"/>
      <c r="GE190" s="73"/>
      <c r="GF190" s="73"/>
      <c r="GG190" s="73"/>
      <c r="GH190" s="73"/>
      <c r="GI190" s="73"/>
      <c r="GJ190" s="73"/>
      <c r="GK190" s="73"/>
      <c r="GL190" s="73"/>
      <c r="GM190" s="73"/>
      <c r="GN190" s="73"/>
      <c r="GO190" s="73"/>
      <c r="GP190" s="73"/>
      <c r="GQ190" s="73"/>
      <c r="GR190" s="73"/>
      <c r="GS190" s="73"/>
      <c r="GT190" s="73"/>
      <c r="GU190" s="73"/>
      <c r="GV190" s="73"/>
      <c r="GW190" s="73"/>
      <c r="GX190" s="73"/>
      <c r="GY190" s="73"/>
      <c r="GZ190" s="73"/>
      <c r="HA190" s="73"/>
      <c r="HB190" s="73"/>
      <c r="HC190" s="73"/>
      <c r="HD190" s="73"/>
      <c r="HE190" s="73"/>
      <c r="HF190" s="73"/>
      <c r="HG190" s="73"/>
      <c r="HH190" s="73"/>
      <c r="HI190" s="73"/>
      <c r="HJ190" s="73"/>
      <c r="HK190" s="73"/>
      <c r="HL190" s="73"/>
      <c r="HM190" s="73"/>
      <c r="HN190" s="73"/>
      <c r="HO190" s="73"/>
      <c r="HP190" s="73"/>
      <c r="HQ190" s="73"/>
      <c r="HR190" s="73"/>
      <c r="HS190" s="73"/>
      <c r="HT190" s="73"/>
      <c r="HU190" s="73"/>
      <c r="HV190" s="73"/>
      <c r="HW190" s="73"/>
      <c r="HX190" s="73"/>
      <c r="HY190" s="73"/>
      <c r="HZ190" s="73"/>
      <c r="IA190" s="73"/>
      <c r="IB190" s="73"/>
      <c r="IC190" s="73"/>
      <c r="ID190" s="73"/>
      <c r="IE190" s="73"/>
      <c r="IF190" s="73"/>
      <c r="IG190" s="73"/>
      <c r="IH190" s="73"/>
      <c r="II190" s="73"/>
      <c r="IJ190" s="73"/>
      <c r="IK190" s="73"/>
      <c r="IL190" s="73"/>
      <c r="IM190" s="73"/>
      <c r="IN190" s="73"/>
      <c r="IO190" s="73"/>
      <c r="IP190" s="73"/>
      <c r="IQ190" s="73"/>
      <c r="IR190" s="73"/>
      <c r="IS190" s="73"/>
      <c r="IT190" s="73"/>
      <c r="IU190" s="73"/>
      <c r="IV190" s="73"/>
      <c r="IW190" s="73"/>
    </row>
    <row r="191" customFormat="false" ht="12.75" hidden="false" customHeight="false" outlineLevel="0" collapsed="false">
      <c r="A191" s="73"/>
      <c r="B191" s="46" t="s">
        <v>249</v>
      </c>
      <c r="C191" s="44" t="s">
        <v>62</v>
      </c>
      <c r="D191" s="44" t="s">
        <v>251</v>
      </c>
      <c r="E191" s="45" t="n">
        <v>35977</v>
      </c>
      <c r="F191" s="45" t="n">
        <v>39599</v>
      </c>
      <c r="G191" s="46" t="s">
        <v>332</v>
      </c>
      <c r="H191" s="46" t="s">
        <v>333</v>
      </c>
      <c r="I191" s="44" t="s">
        <v>334</v>
      </c>
      <c r="J191" s="58" t="n">
        <f aca="false">4.7713/J$1</f>
        <v>0.159043333333333</v>
      </c>
      <c r="K191" s="49" t="n">
        <v>0</v>
      </c>
      <c r="L191" s="49" t="n">
        <v>0.0022</v>
      </c>
      <c r="M191" s="49" t="n">
        <v>0</v>
      </c>
      <c r="N191" s="49" t="n">
        <v>0</v>
      </c>
      <c r="O191" s="50" t="n">
        <v>0</v>
      </c>
      <c r="P191" s="49" t="n">
        <f aca="false">SUM(J191:N191)</f>
        <v>0.161243333333333</v>
      </c>
      <c r="Q191" s="51" t="s">
        <v>335</v>
      </c>
      <c r="R191" s="44" t="n">
        <v>15</v>
      </c>
      <c r="S191" s="46" t="s">
        <v>336</v>
      </c>
      <c r="T191" s="117" t="n">
        <f aca="false">J191*J$1*R191</f>
        <v>71.5695</v>
      </c>
      <c r="U191" s="74"/>
      <c r="V191" s="75" t="s">
        <v>337</v>
      </c>
      <c r="W191" s="46"/>
      <c r="X191" s="72"/>
      <c r="Y191" s="72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E191" s="73"/>
      <c r="CF191" s="73"/>
      <c r="CG191" s="73"/>
      <c r="CH191" s="73"/>
      <c r="CI191" s="73"/>
      <c r="CJ191" s="73"/>
      <c r="CK191" s="73"/>
      <c r="CL191" s="73"/>
      <c r="CM191" s="73"/>
      <c r="CN191" s="73"/>
      <c r="CO191" s="73"/>
      <c r="CP191" s="73"/>
      <c r="CQ191" s="73"/>
      <c r="CR191" s="73"/>
      <c r="CS191" s="73"/>
      <c r="CT191" s="73"/>
      <c r="CU191" s="73"/>
      <c r="CV191" s="73"/>
      <c r="CW191" s="73"/>
      <c r="CX191" s="73"/>
      <c r="CY191" s="73"/>
      <c r="CZ191" s="73"/>
      <c r="DA191" s="73"/>
      <c r="DB191" s="73"/>
      <c r="DC191" s="73"/>
      <c r="DD191" s="73"/>
      <c r="DE191" s="73"/>
      <c r="DF191" s="73"/>
      <c r="DG191" s="73"/>
      <c r="DH191" s="73"/>
      <c r="DI191" s="73"/>
      <c r="DJ191" s="73"/>
      <c r="DK191" s="73"/>
      <c r="DL191" s="73"/>
      <c r="DM191" s="73"/>
      <c r="DN191" s="73"/>
      <c r="DO191" s="73"/>
      <c r="DP191" s="73"/>
      <c r="DQ191" s="73"/>
      <c r="DR191" s="73"/>
      <c r="DS191" s="73"/>
      <c r="DT191" s="73"/>
      <c r="DU191" s="73"/>
      <c r="DV191" s="73"/>
      <c r="DW191" s="73"/>
      <c r="DX191" s="73"/>
      <c r="DY191" s="73"/>
      <c r="DZ191" s="73"/>
      <c r="EA191" s="73"/>
      <c r="EB191" s="73"/>
      <c r="EC191" s="73"/>
      <c r="ED191" s="73"/>
      <c r="EE191" s="73"/>
      <c r="EF191" s="73"/>
      <c r="EG191" s="73"/>
      <c r="EH191" s="73"/>
      <c r="EI191" s="73"/>
      <c r="EJ191" s="73"/>
      <c r="EK191" s="73"/>
      <c r="EL191" s="73"/>
      <c r="EM191" s="73"/>
      <c r="EN191" s="73"/>
      <c r="EO191" s="73"/>
      <c r="EP191" s="73"/>
      <c r="EQ191" s="73"/>
      <c r="ER191" s="73"/>
      <c r="ES191" s="73"/>
      <c r="ET191" s="73"/>
      <c r="EU191" s="73"/>
      <c r="EV191" s="73"/>
      <c r="EW191" s="73"/>
      <c r="EX191" s="73"/>
      <c r="EY191" s="73"/>
      <c r="EZ191" s="73"/>
      <c r="FA191" s="73"/>
      <c r="FB191" s="73"/>
      <c r="FC191" s="73"/>
      <c r="FD191" s="73"/>
      <c r="FE191" s="73"/>
      <c r="FF191" s="73"/>
      <c r="FG191" s="73"/>
      <c r="FH191" s="73"/>
      <c r="FI191" s="73"/>
      <c r="FJ191" s="73"/>
      <c r="FK191" s="73"/>
      <c r="FL191" s="73"/>
      <c r="FM191" s="73"/>
      <c r="FN191" s="73"/>
      <c r="FO191" s="73"/>
      <c r="FP191" s="73"/>
      <c r="FQ191" s="73"/>
      <c r="FR191" s="73"/>
      <c r="FS191" s="73"/>
      <c r="FT191" s="73"/>
      <c r="FU191" s="73"/>
      <c r="FV191" s="73"/>
      <c r="FW191" s="73"/>
      <c r="FX191" s="73"/>
      <c r="FY191" s="73"/>
      <c r="FZ191" s="73"/>
      <c r="GA191" s="73"/>
      <c r="GB191" s="73"/>
      <c r="GC191" s="73"/>
      <c r="GD191" s="73"/>
      <c r="GE191" s="73"/>
      <c r="GF191" s="73"/>
      <c r="GG191" s="73"/>
      <c r="GH191" s="73"/>
      <c r="GI191" s="73"/>
      <c r="GJ191" s="73"/>
      <c r="GK191" s="73"/>
      <c r="GL191" s="73"/>
      <c r="GM191" s="73"/>
      <c r="GN191" s="73"/>
      <c r="GO191" s="73"/>
      <c r="GP191" s="73"/>
      <c r="GQ191" s="73"/>
      <c r="GR191" s="73"/>
      <c r="GS191" s="73"/>
      <c r="GT191" s="73"/>
      <c r="GU191" s="73"/>
      <c r="GV191" s="73"/>
      <c r="GW191" s="73"/>
      <c r="GX191" s="73"/>
      <c r="GY191" s="73"/>
      <c r="GZ191" s="73"/>
      <c r="HA191" s="73"/>
      <c r="HB191" s="73"/>
      <c r="HC191" s="73"/>
      <c r="HD191" s="73"/>
      <c r="HE191" s="73"/>
      <c r="HF191" s="73"/>
      <c r="HG191" s="73"/>
      <c r="HH191" s="73"/>
      <c r="HI191" s="73"/>
      <c r="HJ191" s="73"/>
      <c r="HK191" s="73"/>
      <c r="HL191" s="73"/>
      <c r="HM191" s="73"/>
      <c r="HN191" s="73"/>
      <c r="HO191" s="73"/>
      <c r="HP191" s="73"/>
      <c r="HQ191" s="73"/>
      <c r="HR191" s="73"/>
      <c r="HS191" s="73"/>
      <c r="HT191" s="73"/>
      <c r="HU191" s="73"/>
      <c r="HV191" s="73"/>
      <c r="HW191" s="73"/>
      <c r="HX191" s="73"/>
      <c r="HY191" s="73"/>
      <c r="HZ191" s="73"/>
      <c r="IA191" s="73"/>
      <c r="IB191" s="73"/>
      <c r="IC191" s="73"/>
      <c r="ID191" s="73"/>
      <c r="IE191" s="73"/>
      <c r="IF191" s="73"/>
      <c r="IG191" s="73"/>
      <c r="IH191" s="73"/>
      <c r="II191" s="73"/>
      <c r="IJ191" s="73"/>
      <c r="IK191" s="73"/>
      <c r="IL191" s="73"/>
      <c r="IM191" s="73"/>
      <c r="IN191" s="73"/>
      <c r="IO191" s="73"/>
      <c r="IP191" s="73"/>
      <c r="IQ191" s="73"/>
      <c r="IR191" s="73"/>
      <c r="IS191" s="73"/>
      <c r="IT191" s="73"/>
      <c r="IU191" s="73"/>
      <c r="IV191" s="73"/>
      <c r="IW191" s="73"/>
    </row>
    <row r="192" customFormat="false" ht="12.75" hidden="false" customHeight="false" outlineLevel="0" collapsed="false">
      <c r="A192" s="73"/>
      <c r="B192" s="46" t="s">
        <v>249</v>
      </c>
      <c r="C192" s="44" t="s">
        <v>62</v>
      </c>
      <c r="D192" s="44" t="s">
        <v>251</v>
      </c>
      <c r="E192" s="45" t="n">
        <v>36130</v>
      </c>
      <c r="F192" s="45" t="n">
        <v>39599</v>
      </c>
      <c r="G192" s="46" t="s">
        <v>332</v>
      </c>
      <c r="H192" s="46" t="s">
        <v>333</v>
      </c>
      <c r="I192" s="44" t="s">
        <v>334</v>
      </c>
      <c r="J192" s="58" t="n">
        <f aca="false">4.7713/J$1</f>
        <v>0.159043333333333</v>
      </c>
      <c r="K192" s="49" t="n">
        <v>0</v>
      </c>
      <c r="L192" s="49" t="n">
        <v>0.0022</v>
      </c>
      <c r="M192" s="49" t="n">
        <v>0</v>
      </c>
      <c r="N192" s="49" t="n">
        <v>0</v>
      </c>
      <c r="O192" s="50" t="n">
        <v>0</v>
      </c>
      <c r="P192" s="49" t="n">
        <f aca="false">SUM(J192:N192)</f>
        <v>0.161243333333333</v>
      </c>
      <c r="Q192" s="51" t="s">
        <v>537</v>
      </c>
      <c r="R192" s="44" t="n">
        <v>2</v>
      </c>
      <c r="S192" s="46" t="s">
        <v>538</v>
      </c>
      <c r="T192" s="117" t="n">
        <f aca="false">J192*J$1*R192</f>
        <v>9.5426</v>
      </c>
      <c r="U192" s="74"/>
      <c r="V192" s="75" t="s">
        <v>539</v>
      </c>
      <c r="W192" s="46"/>
      <c r="X192" s="72"/>
      <c r="Y192" s="72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  <c r="BX192" s="73"/>
      <c r="BY192" s="73"/>
      <c r="BZ192" s="73"/>
      <c r="CA192" s="73"/>
      <c r="CB192" s="73"/>
      <c r="CC192" s="73"/>
      <c r="CD192" s="73"/>
      <c r="CE192" s="73"/>
      <c r="CF192" s="73"/>
      <c r="CG192" s="73"/>
      <c r="CH192" s="73"/>
      <c r="CI192" s="73"/>
      <c r="CJ192" s="73"/>
      <c r="CK192" s="73"/>
      <c r="CL192" s="73"/>
      <c r="CM192" s="73"/>
      <c r="CN192" s="73"/>
      <c r="CO192" s="73"/>
      <c r="CP192" s="73"/>
      <c r="CQ192" s="73"/>
      <c r="CR192" s="73"/>
      <c r="CS192" s="73"/>
      <c r="CT192" s="73"/>
      <c r="CU192" s="73"/>
      <c r="CV192" s="73"/>
      <c r="CW192" s="73"/>
      <c r="CX192" s="73"/>
      <c r="CY192" s="73"/>
      <c r="CZ192" s="73"/>
      <c r="DA192" s="73"/>
      <c r="DB192" s="73"/>
      <c r="DC192" s="73"/>
      <c r="DD192" s="73"/>
      <c r="DE192" s="73"/>
      <c r="DF192" s="73"/>
      <c r="DG192" s="73"/>
      <c r="DH192" s="73"/>
      <c r="DI192" s="73"/>
      <c r="DJ192" s="73"/>
      <c r="DK192" s="73"/>
      <c r="DL192" s="73"/>
      <c r="DM192" s="73"/>
      <c r="DN192" s="73"/>
      <c r="DO192" s="73"/>
      <c r="DP192" s="73"/>
      <c r="DQ192" s="73"/>
      <c r="DR192" s="73"/>
      <c r="DS192" s="73"/>
      <c r="DT192" s="73"/>
      <c r="DU192" s="73"/>
      <c r="DV192" s="73"/>
      <c r="DW192" s="73"/>
      <c r="DX192" s="73"/>
      <c r="DY192" s="73"/>
      <c r="DZ192" s="73"/>
      <c r="EA192" s="73"/>
      <c r="EB192" s="73"/>
      <c r="EC192" s="73"/>
      <c r="ED192" s="73"/>
      <c r="EE192" s="73"/>
      <c r="EF192" s="73"/>
      <c r="EG192" s="73"/>
      <c r="EH192" s="73"/>
      <c r="EI192" s="73"/>
      <c r="EJ192" s="73"/>
      <c r="EK192" s="73"/>
      <c r="EL192" s="73"/>
      <c r="EM192" s="73"/>
      <c r="EN192" s="73"/>
      <c r="EO192" s="73"/>
      <c r="EP192" s="73"/>
      <c r="EQ192" s="73"/>
      <c r="ER192" s="73"/>
      <c r="ES192" s="73"/>
      <c r="ET192" s="73"/>
      <c r="EU192" s="73"/>
      <c r="EV192" s="73"/>
      <c r="EW192" s="73"/>
      <c r="EX192" s="73"/>
      <c r="EY192" s="73"/>
      <c r="EZ192" s="73"/>
      <c r="FA192" s="73"/>
      <c r="FB192" s="73"/>
      <c r="FC192" s="73"/>
      <c r="FD192" s="73"/>
      <c r="FE192" s="73"/>
      <c r="FF192" s="73"/>
      <c r="FG192" s="73"/>
      <c r="FH192" s="73"/>
      <c r="FI192" s="73"/>
      <c r="FJ192" s="73"/>
      <c r="FK192" s="73"/>
      <c r="FL192" s="73"/>
      <c r="FM192" s="73"/>
      <c r="FN192" s="73"/>
      <c r="FO192" s="73"/>
      <c r="FP192" s="73"/>
      <c r="FQ192" s="73"/>
      <c r="FR192" s="73"/>
      <c r="FS192" s="73"/>
      <c r="FT192" s="73"/>
      <c r="FU192" s="73"/>
      <c r="FV192" s="73"/>
      <c r="FW192" s="73"/>
      <c r="FX192" s="73"/>
      <c r="FY192" s="73"/>
      <c r="FZ192" s="73"/>
      <c r="GA192" s="73"/>
      <c r="GB192" s="73"/>
      <c r="GC192" s="73"/>
      <c r="GD192" s="73"/>
      <c r="GE192" s="73"/>
      <c r="GF192" s="73"/>
      <c r="GG192" s="73"/>
      <c r="GH192" s="73"/>
      <c r="GI192" s="73"/>
      <c r="GJ192" s="73"/>
      <c r="GK192" s="73"/>
      <c r="GL192" s="73"/>
      <c r="GM192" s="73"/>
      <c r="GN192" s="73"/>
      <c r="GO192" s="73"/>
      <c r="GP192" s="73"/>
      <c r="GQ192" s="73"/>
      <c r="GR192" s="73"/>
      <c r="GS192" s="73"/>
      <c r="GT192" s="73"/>
      <c r="GU192" s="73"/>
      <c r="GV192" s="73"/>
      <c r="GW192" s="73"/>
      <c r="GX192" s="73"/>
      <c r="GY192" s="73"/>
      <c r="GZ192" s="73"/>
      <c r="HA192" s="73"/>
      <c r="HB192" s="73"/>
      <c r="HC192" s="73"/>
      <c r="HD192" s="73"/>
      <c r="HE192" s="73"/>
      <c r="HF192" s="73"/>
      <c r="HG192" s="73"/>
      <c r="HH192" s="73"/>
      <c r="HI192" s="73"/>
      <c r="HJ192" s="73"/>
      <c r="HK192" s="73"/>
      <c r="HL192" s="73"/>
      <c r="HM192" s="73"/>
      <c r="HN192" s="73"/>
      <c r="HO192" s="73"/>
      <c r="HP192" s="73"/>
      <c r="HQ192" s="73"/>
      <c r="HR192" s="73"/>
      <c r="HS192" s="73"/>
      <c r="HT192" s="73"/>
      <c r="HU192" s="73"/>
      <c r="HV192" s="73"/>
      <c r="HW192" s="73"/>
      <c r="HX192" s="73"/>
      <c r="HY192" s="73"/>
      <c r="HZ192" s="73"/>
      <c r="IA192" s="73"/>
      <c r="IB192" s="73"/>
      <c r="IC192" s="73"/>
      <c r="ID192" s="73"/>
      <c r="IE192" s="73"/>
      <c r="IF192" s="73"/>
      <c r="IG192" s="73"/>
      <c r="IH192" s="73"/>
      <c r="II192" s="73"/>
      <c r="IJ192" s="73"/>
      <c r="IK192" s="73"/>
      <c r="IL192" s="73"/>
      <c r="IM192" s="73"/>
      <c r="IN192" s="73"/>
      <c r="IO192" s="73"/>
      <c r="IP192" s="73"/>
      <c r="IQ192" s="73"/>
      <c r="IR192" s="73"/>
      <c r="IS192" s="73"/>
      <c r="IT192" s="73"/>
      <c r="IU192" s="73"/>
      <c r="IV192" s="73"/>
      <c r="IW192" s="73"/>
    </row>
    <row r="193" customFormat="false" ht="12.75" hidden="false" customHeight="false" outlineLevel="0" collapsed="false">
      <c r="A193" s="73"/>
      <c r="B193" s="46" t="s">
        <v>249</v>
      </c>
      <c r="C193" s="44" t="s">
        <v>62</v>
      </c>
      <c r="D193" s="44" t="s">
        <v>251</v>
      </c>
      <c r="E193" s="45" t="n">
        <v>36220</v>
      </c>
      <c r="F193" s="45" t="n">
        <v>39599</v>
      </c>
      <c r="G193" s="46" t="s">
        <v>332</v>
      </c>
      <c r="H193" s="46" t="s">
        <v>333</v>
      </c>
      <c r="I193" s="44" t="s">
        <v>334</v>
      </c>
      <c r="J193" s="58" t="n">
        <f aca="false">4.7713/J$1</f>
        <v>0.159043333333333</v>
      </c>
      <c r="K193" s="49" t="n">
        <v>0</v>
      </c>
      <c r="L193" s="49" t="n">
        <v>0.0022</v>
      </c>
      <c r="M193" s="49" t="n">
        <v>0</v>
      </c>
      <c r="N193" s="49" t="n">
        <v>0</v>
      </c>
      <c r="O193" s="50" t="n">
        <v>0</v>
      </c>
      <c r="P193" s="49" t="n">
        <f aca="false">SUM(J193:N193)</f>
        <v>0.161243333333333</v>
      </c>
      <c r="Q193" s="51" t="s">
        <v>340</v>
      </c>
      <c r="R193" s="44" t="n">
        <v>5</v>
      </c>
      <c r="S193" s="46" t="s">
        <v>341</v>
      </c>
      <c r="T193" s="117" t="n">
        <f aca="false">J193*J$1*R193</f>
        <v>23.8565</v>
      </c>
      <c r="U193" s="74"/>
      <c r="V193" s="75" t="s">
        <v>342</v>
      </c>
      <c r="W193" s="46"/>
      <c r="X193" s="72"/>
      <c r="Y193" s="72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  <c r="BX193" s="73"/>
      <c r="BY193" s="73"/>
      <c r="BZ193" s="73"/>
      <c r="CA193" s="73"/>
      <c r="CB193" s="73"/>
      <c r="CC193" s="73"/>
      <c r="CD193" s="73"/>
      <c r="CE193" s="73"/>
      <c r="CF193" s="73"/>
      <c r="CG193" s="73"/>
      <c r="CH193" s="73"/>
      <c r="CI193" s="73"/>
      <c r="CJ193" s="73"/>
      <c r="CK193" s="73"/>
      <c r="CL193" s="73"/>
      <c r="CM193" s="73"/>
      <c r="CN193" s="73"/>
      <c r="CO193" s="73"/>
      <c r="CP193" s="73"/>
      <c r="CQ193" s="73"/>
      <c r="CR193" s="73"/>
      <c r="CS193" s="73"/>
      <c r="CT193" s="73"/>
      <c r="CU193" s="73"/>
      <c r="CV193" s="73"/>
      <c r="CW193" s="73"/>
      <c r="CX193" s="73"/>
      <c r="CY193" s="73"/>
      <c r="CZ193" s="73"/>
      <c r="DA193" s="73"/>
      <c r="DB193" s="73"/>
      <c r="DC193" s="73"/>
      <c r="DD193" s="73"/>
      <c r="DE193" s="73"/>
      <c r="DF193" s="73"/>
      <c r="DG193" s="73"/>
      <c r="DH193" s="73"/>
      <c r="DI193" s="73"/>
      <c r="DJ193" s="73"/>
      <c r="DK193" s="73"/>
      <c r="DL193" s="73"/>
      <c r="DM193" s="73"/>
      <c r="DN193" s="73"/>
      <c r="DO193" s="73"/>
      <c r="DP193" s="73"/>
      <c r="DQ193" s="73"/>
      <c r="DR193" s="73"/>
      <c r="DS193" s="73"/>
      <c r="DT193" s="73"/>
      <c r="DU193" s="73"/>
      <c r="DV193" s="73"/>
      <c r="DW193" s="73"/>
      <c r="DX193" s="73"/>
      <c r="DY193" s="73"/>
      <c r="DZ193" s="73"/>
      <c r="EA193" s="73"/>
      <c r="EB193" s="73"/>
      <c r="EC193" s="73"/>
      <c r="ED193" s="73"/>
      <c r="EE193" s="73"/>
      <c r="EF193" s="73"/>
      <c r="EG193" s="73"/>
      <c r="EH193" s="73"/>
      <c r="EI193" s="73"/>
      <c r="EJ193" s="73"/>
      <c r="EK193" s="73"/>
      <c r="EL193" s="73"/>
      <c r="EM193" s="73"/>
      <c r="EN193" s="73"/>
      <c r="EO193" s="73"/>
      <c r="EP193" s="73"/>
      <c r="EQ193" s="73"/>
      <c r="ER193" s="73"/>
      <c r="ES193" s="73"/>
      <c r="ET193" s="73"/>
      <c r="EU193" s="73"/>
      <c r="EV193" s="73"/>
      <c r="EW193" s="73"/>
      <c r="EX193" s="73"/>
      <c r="EY193" s="73"/>
      <c r="EZ193" s="73"/>
      <c r="FA193" s="73"/>
      <c r="FB193" s="73"/>
      <c r="FC193" s="73"/>
      <c r="FD193" s="73"/>
      <c r="FE193" s="73"/>
      <c r="FF193" s="73"/>
      <c r="FG193" s="73"/>
      <c r="FH193" s="73"/>
      <c r="FI193" s="73"/>
      <c r="FJ193" s="73"/>
      <c r="FK193" s="73"/>
      <c r="FL193" s="73"/>
      <c r="FM193" s="73"/>
      <c r="FN193" s="73"/>
      <c r="FO193" s="73"/>
      <c r="FP193" s="73"/>
      <c r="FQ193" s="73"/>
      <c r="FR193" s="73"/>
      <c r="FS193" s="73"/>
      <c r="FT193" s="73"/>
      <c r="FU193" s="73"/>
      <c r="FV193" s="73"/>
      <c r="FW193" s="73"/>
      <c r="FX193" s="73"/>
      <c r="FY193" s="73"/>
      <c r="FZ193" s="73"/>
      <c r="GA193" s="73"/>
      <c r="GB193" s="73"/>
      <c r="GC193" s="73"/>
      <c r="GD193" s="73"/>
      <c r="GE193" s="73"/>
      <c r="GF193" s="73"/>
      <c r="GG193" s="73"/>
      <c r="GH193" s="73"/>
      <c r="GI193" s="73"/>
      <c r="GJ193" s="73"/>
      <c r="GK193" s="73"/>
      <c r="GL193" s="73"/>
      <c r="GM193" s="73"/>
      <c r="GN193" s="73"/>
      <c r="GO193" s="73"/>
      <c r="GP193" s="73"/>
      <c r="GQ193" s="73"/>
      <c r="GR193" s="73"/>
      <c r="GS193" s="73"/>
      <c r="GT193" s="73"/>
      <c r="GU193" s="73"/>
      <c r="GV193" s="73"/>
      <c r="GW193" s="73"/>
      <c r="GX193" s="73"/>
      <c r="GY193" s="73"/>
      <c r="GZ193" s="73"/>
      <c r="HA193" s="73"/>
      <c r="HB193" s="73"/>
      <c r="HC193" s="73"/>
      <c r="HD193" s="73"/>
      <c r="HE193" s="73"/>
      <c r="HF193" s="73"/>
      <c r="HG193" s="73"/>
      <c r="HH193" s="73"/>
      <c r="HI193" s="73"/>
      <c r="HJ193" s="73"/>
      <c r="HK193" s="73"/>
      <c r="HL193" s="73"/>
      <c r="HM193" s="73"/>
      <c r="HN193" s="73"/>
      <c r="HO193" s="73"/>
      <c r="HP193" s="73"/>
      <c r="HQ193" s="73"/>
      <c r="HR193" s="73"/>
      <c r="HS193" s="73"/>
      <c r="HT193" s="73"/>
      <c r="HU193" s="73"/>
      <c r="HV193" s="73"/>
      <c r="HW193" s="73"/>
      <c r="HX193" s="73"/>
      <c r="HY193" s="73"/>
      <c r="HZ193" s="73"/>
      <c r="IA193" s="73"/>
      <c r="IB193" s="73"/>
      <c r="IC193" s="73"/>
      <c r="ID193" s="73"/>
      <c r="IE193" s="73"/>
      <c r="IF193" s="73"/>
      <c r="IG193" s="73"/>
      <c r="IH193" s="73"/>
      <c r="II193" s="73"/>
      <c r="IJ193" s="73"/>
      <c r="IK193" s="73"/>
      <c r="IL193" s="73"/>
      <c r="IM193" s="73"/>
      <c r="IN193" s="73"/>
      <c r="IO193" s="73"/>
      <c r="IP193" s="73"/>
      <c r="IQ193" s="73"/>
      <c r="IR193" s="73"/>
      <c r="IS193" s="73"/>
      <c r="IT193" s="73"/>
      <c r="IU193" s="73"/>
      <c r="IV193" s="73"/>
      <c r="IW193" s="73"/>
    </row>
    <row r="194" customFormat="false" ht="12.75" hidden="false" customHeight="false" outlineLevel="0" collapsed="false">
      <c r="B194" s="40"/>
      <c r="C194" s="44"/>
      <c r="D194" s="44"/>
      <c r="E194" s="45"/>
      <c r="F194" s="45"/>
      <c r="G194" s="46"/>
      <c r="H194" s="46"/>
      <c r="I194" s="44"/>
      <c r="J194" s="58"/>
      <c r="K194" s="49"/>
      <c r="L194" s="49"/>
      <c r="M194" s="49"/>
      <c r="N194" s="49"/>
      <c r="O194" s="50"/>
      <c r="P194" s="49"/>
      <c r="Q194" s="106"/>
      <c r="R194" s="107"/>
      <c r="S194" s="53"/>
      <c r="T194" s="53" t="n">
        <f aca="false">SUM(T177:T193)</f>
        <v>135140.5741</v>
      </c>
      <c r="U194" s="53"/>
      <c r="V194" s="54"/>
      <c r="W194" s="55"/>
      <c r="X194" s="56"/>
      <c r="Y194" s="56"/>
    </row>
    <row r="195" customFormat="false" ht="12.75" hidden="false" customHeight="false" outlineLevel="0" collapsed="false">
      <c r="B195" s="40"/>
      <c r="C195" s="44"/>
      <c r="D195" s="44"/>
      <c r="E195" s="45"/>
      <c r="F195" s="45"/>
      <c r="G195" s="46"/>
      <c r="H195" s="46"/>
      <c r="I195" s="44"/>
      <c r="J195" s="49"/>
      <c r="K195" s="49"/>
      <c r="L195" s="49"/>
      <c r="M195" s="49"/>
      <c r="N195" s="49"/>
      <c r="O195" s="50"/>
      <c r="P195" s="49"/>
      <c r="Q195" s="106"/>
      <c r="R195" s="107"/>
      <c r="S195" s="53"/>
      <c r="T195" s="53"/>
      <c r="U195" s="53"/>
      <c r="V195" s="54"/>
      <c r="W195" s="55"/>
      <c r="X195" s="56"/>
      <c r="Y195" s="56"/>
    </row>
    <row r="196" customFormat="false" ht="12.75" hidden="false" customHeight="false" outlineLevel="0" collapsed="false">
      <c r="B196" s="40"/>
      <c r="C196" s="44"/>
      <c r="D196" s="44"/>
      <c r="E196" s="45"/>
      <c r="F196" s="45"/>
      <c r="G196" s="46"/>
      <c r="H196" s="46"/>
      <c r="I196" s="44"/>
      <c r="J196" s="58"/>
      <c r="K196" s="49"/>
      <c r="L196" s="49"/>
      <c r="M196" s="49"/>
      <c r="N196" s="49"/>
      <c r="O196" s="50"/>
      <c r="P196" s="49"/>
      <c r="Q196" s="106"/>
      <c r="R196" s="107"/>
      <c r="S196" s="53"/>
      <c r="T196" s="53"/>
      <c r="U196" s="53"/>
      <c r="V196" s="54"/>
      <c r="W196" s="55"/>
      <c r="X196" s="56"/>
      <c r="Y196" s="56"/>
    </row>
    <row r="197" customFormat="false" ht="13.5" hidden="false" customHeight="false" outlineLevel="0" collapsed="false">
      <c r="B197" s="40"/>
      <c r="C197" s="44"/>
      <c r="D197" s="44"/>
      <c r="E197" s="45"/>
      <c r="F197" s="45"/>
      <c r="G197" s="46"/>
      <c r="H197" s="46"/>
      <c r="I197" s="44"/>
      <c r="J197" s="49"/>
      <c r="K197" s="49"/>
      <c r="L197" s="49"/>
      <c r="M197" s="49"/>
      <c r="N197" s="49"/>
      <c r="O197" s="50"/>
      <c r="P197" s="49"/>
      <c r="Q197" s="106"/>
      <c r="R197" s="107"/>
      <c r="S197" s="53"/>
      <c r="T197" s="113" t="n">
        <f aca="false">SUM(T194,T175,T170,T140,T129,T118,T115,T91,T36,T20)</f>
        <v>1830783.01941634</v>
      </c>
      <c r="U197" s="53" t="s">
        <v>345</v>
      </c>
      <c r="V197" s="54"/>
      <c r="W197" s="55"/>
      <c r="X197" s="56"/>
      <c r="Y197" s="56"/>
    </row>
    <row r="198" customFormat="false" ht="13.5" hidden="false" customHeight="false" outlineLevel="0" collapsed="false">
      <c r="B198" s="40"/>
      <c r="C198" s="44"/>
      <c r="D198" s="44"/>
      <c r="E198" s="45"/>
      <c r="F198" s="45"/>
      <c r="G198" s="46"/>
      <c r="H198" s="46"/>
      <c r="I198" s="44"/>
      <c r="J198" s="49"/>
      <c r="K198" s="49"/>
      <c r="L198" s="49"/>
      <c r="M198" s="49"/>
      <c r="N198" s="49"/>
      <c r="O198" s="50"/>
      <c r="P198" s="49"/>
      <c r="Q198" s="106"/>
      <c r="R198" s="107"/>
      <c r="S198" s="53"/>
      <c r="T198" s="53"/>
      <c r="U198" s="55" t="s">
        <v>346</v>
      </c>
      <c r="V198" s="54"/>
      <c r="W198" s="55"/>
      <c r="X198" s="108"/>
      <c r="Y198" s="56"/>
    </row>
    <row r="199" customFormat="false" ht="12.75" hidden="false" customHeight="false" outlineLevel="0" collapsed="false">
      <c r="B199" s="40"/>
      <c r="C199" s="44"/>
      <c r="D199" s="44"/>
      <c r="E199" s="45"/>
      <c r="F199" s="45"/>
      <c r="G199" s="46"/>
      <c r="H199" s="46"/>
      <c r="I199" s="44"/>
      <c r="J199" s="49"/>
      <c r="K199" s="49"/>
      <c r="L199" s="49"/>
      <c r="M199" s="49"/>
      <c r="N199" s="49"/>
      <c r="O199" s="50"/>
      <c r="P199" s="49"/>
      <c r="Q199" s="106"/>
      <c r="R199" s="107"/>
      <c r="S199" s="53"/>
      <c r="T199" s="53"/>
      <c r="U199" s="53"/>
      <c r="V199" s="54"/>
      <c r="W199" s="55"/>
      <c r="X199" s="56"/>
      <c r="Y199" s="56"/>
    </row>
    <row r="200" customFormat="false" ht="12.75" hidden="false" customHeight="false" outlineLevel="0" collapsed="false">
      <c r="B200" s="40"/>
      <c r="C200" s="44"/>
      <c r="D200" s="44"/>
      <c r="E200" s="45"/>
      <c r="F200" s="45"/>
      <c r="G200" s="46"/>
      <c r="H200" s="46"/>
      <c r="I200" s="44"/>
      <c r="J200" s="49"/>
      <c r="K200" s="49"/>
      <c r="L200" s="49"/>
      <c r="M200" s="49"/>
      <c r="N200" s="49"/>
      <c r="O200" s="50"/>
      <c r="P200" s="49"/>
      <c r="Q200" s="106"/>
      <c r="R200" s="107"/>
      <c r="S200" s="53"/>
      <c r="T200" s="53" t="n">
        <f aca="false">SUM('CES Retail East'!T114)</f>
        <v>756023.305695484</v>
      </c>
      <c r="U200" s="53" t="s">
        <v>540</v>
      </c>
      <c r="V200" s="54"/>
      <c r="W200" s="55"/>
      <c r="X200" s="56"/>
      <c r="Y200" s="56"/>
    </row>
    <row r="201" customFormat="false" ht="12.75" hidden="false" customHeight="false" outlineLevel="0" collapsed="false">
      <c r="B201" s="40"/>
      <c r="C201" s="44"/>
      <c r="D201" s="44"/>
      <c r="E201" s="45"/>
      <c r="F201" s="45"/>
      <c r="G201" s="46"/>
      <c r="H201" s="46"/>
      <c r="I201" s="44"/>
      <c r="J201" s="58"/>
      <c r="K201" s="49"/>
      <c r="L201" s="49"/>
      <c r="M201" s="49"/>
      <c r="N201" s="49"/>
      <c r="O201" s="50"/>
      <c r="P201" s="49"/>
      <c r="Q201" s="106"/>
      <c r="R201" s="107"/>
      <c r="S201" s="108"/>
      <c r="T201" s="53" t="n">
        <f aca="false">SUM('CES Retail Mrkt'!T97)</f>
        <v>957665.529490323</v>
      </c>
      <c r="U201" s="53" t="s">
        <v>541</v>
      </c>
      <c r="V201" s="54"/>
      <c r="W201" s="55"/>
      <c r="X201" s="56"/>
      <c r="Y201" s="56"/>
    </row>
    <row r="202" customFormat="false" ht="13.5" hidden="false" customHeight="false" outlineLevel="0" collapsed="false">
      <c r="B202" s="40"/>
      <c r="C202" s="44"/>
      <c r="D202" s="44"/>
      <c r="E202" s="45"/>
      <c r="F202" s="45"/>
      <c r="G202" s="46"/>
      <c r="H202" s="46"/>
      <c r="I202" s="44"/>
      <c r="J202" s="58"/>
      <c r="K202" s="49"/>
      <c r="L202" s="49"/>
      <c r="M202" s="49"/>
      <c r="N202" s="49"/>
      <c r="O202" s="50"/>
      <c r="P202" s="49"/>
      <c r="Q202" s="106"/>
      <c r="R202" s="107"/>
      <c r="S202" s="108"/>
      <c r="T202" s="113" t="n">
        <f aca="false">SUM(T200:T201)</f>
        <v>1713688.83518581</v>
      </c>
      <c r="U202" s="53" t="s">
        <v>95</v>
      </c>
      <c r="V202" s="54"/>
      <c r="W202" s="55"/>
      <c r="X202" s="56"/>
      <c r="Y202" s="56"/>
    </row>
    <row r="203" customFormat="false" ht="13.5" hidden="false" customHeight="false" outlineLevel="0" collapsed="false">
      <c r="Q203" s="35"/>
      <c r="R203" s="35"/>
      <c r="S203" s="35"/>
      <c r="T203" s="35"/>
      <c r="U203" s="35"/>
      <c r="V203" s="114"/>
      <c r="W203" s="115"/>
      <c r="X203" s="114"/>
    </row>
    <row r="204" customFormat="false" ht="12.75" hidden="false" customHeight="false" outlineLevel="0" collapsed="false">
      <c r="Q204" s="35"/>
      <c r="R204" s="35"/>
      <c r="S204" s="35"/>
      <c r="T204" s="35"/>
      <c r="U204" s="35"/>
      <c r="V204" s="114"/>
      <c r="W204" s="115"/>
      <c r="X204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2000-05-15T10:21:36Z</cp:lastPrinted>
  <cp:revision>0</cp:revision>
  <dc:subject/>
  <dc:title/>
</cp:coreProperties>
</file>